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3.xml" ContentType="application/vnd.openxmlformats-officedocument.spreadsheetml.chart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d.docs.live.net/58ad06a9c1df9c05/Documenti/TUTTI DOCUMENTI/PROGRAMMI data/Elaborazione INPUT-OUTPUT/1 Patrimionio^0Risparmi^0Rendimenti/"/>
    </mc:Choice>
  </mc:AlternateContent>
  <xr:revisionPtr revIDLastSave="11" documentId="8_{7035A057-B960-4A41-9B21-70FCA3985BA9}" xr6:coauthVersionLast="47" xr6:coauthVersionMax="47" xr10:uidLastSave="{06F65ACD-3A22-4E8B-9552-DA612C549388}"/>
  <bookViews>
    <workbookView xWindow="-108" yWindow="-108" windowWidth="23256" windowHeight="12456" tabRatio="620" xr2:uid="{00000000-000D-0000-FFFF-FFFF00000000}"/>
  </bookViews>
  <sheets>
    <sheet name="Savings(Yearly)" sheetId="4" r:id="rId1"/>
    <sheet name="Normal Graph" sheetId="13" state="hidden" r:id="rId2"/>
    <sheet name="Real Graph" sheetId="14" state="hidden" r:id="rId3"/>
    <sheet name="Real" sheetId="15" r:id="rId4"/>
    <sheet name="Comparison" sheetId="17" r:id="rId5"/>
    <sheet name="Nominal" sheetId="16" r:id="rId6"/>
    <sheet name="Graph, Data" sheetId="10" r:id="rId7"/>
    <sheet name="Nominal2" sheetId="20" state="hidden" r:id="rId8"/>
    <sheet name="Pivot" sheetId="18" r:id="rId9"/>
  </sheets>
  <externalReferences>
    <externalReference r:id="rId10"/>
  </externalReferences>
  <definedNames>
    <definedName name="_xlnm._FilterDatabase" localSheetId="0" hidden="1">'Savings(Yearly)'!$T$3:$T$17</definedName>
    <definedName name="Capital">'Savings(Yearly)'!$B$2</definedName>
    <definedName name="inflazione">[1]Parametri!$B$5</definedName>
    <definedName name="q_b">'Savings(Yearly)'!$H$4</definedName>
    <definedName name="q_b_BTP">'Savings(Yearly)'!$I$5</definedName>
    <definedName name="q_s">'Savings(Yearly)'!$H$6</definedName>
    <definedName name="r_a">'Savings(Yearly)'!$B$5</definedName>
    <definedName name="r_b">'Savings(Yearly)'!$G$4</definedName>
    <definedName name="r_b_btp">'Savings(Yearly)'!$G$5</definedName>
    <definedName name="r_c">'Savings(Yearly)'!$K$4</definedName>
    <definedName name="r_d">'Savings(Yearly)'!$G$3</definedName>
    <definedName name="r_i">'Savings(Yearly)'!$B$4</definedName>
    <definedName name="r_s">'Savings(Yearly)'!$G$6</definedName>
    <definedName name="r_tax">'Savings(Yearly)'!$J$4</definedName>
    <definedName name="r_tax_btp">'Savings(Yearly)'!$J$5</definedName>
    <definedName name="T_t">'Savings(Yearly)'!$B$3</definedName>
  </definedNames>
  <calcPr calcId="191028" calcMode="autoNoTable"/>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L4" i="4"/>
  <c r="M3" i="4"/>
  <c r="AG55" i="4"/>
  <c r="D6" i="16"/>
  <c r="D7" i="16"/>
  <c r="E7" i="16"/>
  <c r="D6" i="17"/>
  <c r="D7" i="17"/>
  <c r="E7" i="17"/>
  <c r="E3" i="15"/>
  <c r="E3" i="16" s="1"/>
  <c r="E6" i="15"/>
  <c r="E6" i="16" s="1"/>
  <c r="B1" i="16"/>
  <c r="C1" i="16"/>
  <c r="D1" i="16"/>
  <c r="E1" i="16"/>
  <c r="A2" i="16"/>
  <c r="A3" i="16"/>
  <c r="A4" i="16"/>
  <c r="A5" i="16"/>
  <c r="A6" i="16"/>
  <c r="B6" i="16"/>
  <c r="A7" i="16"/>
  <c r="A8" i="16"/>
  <c r="C8" i="15"/>
  <c r="C8" i="17" s="1"/>
  <c r="B1" i="17"/>
  <c r="C1" i="17"/>
  <c r="D1" i="17"/>
  <c r="E1" i="17"/>
  <c r="A2" i="17"/>
  <c r="A3" i="17"/>
  <c r="A4" i="17"/>
  <c r="A5" i="17"/>
  <c r="A6" i="17"/>
  <c r="B6" i="17"/>
  <c r="A7" i="17"/>
  <c r="A8" i="17"/>
  <c r="BK3" i="4" a="1"/>
  <c r="BK3" i="4" s="1"/>
  <c r="A10" i="4" s="1"/>
  <c r="B34" i="4" s="1"/>
  <c r="B66" i="4" s="1"/>
  <c r="C6" i="15"/>
  <c r="C6" i="16" s="1"/>
  <c r="C7" i="15"/>
  <c r="C7" i="17" s="1"/>
  <c r="D5" i="15"/>
  <c r="D5" i="16" s="1"/>
  <c r="D3" i="15"/>
  <c r="D3" i="17" s="1"/>
  <c r="C5" i="15"/>
  <c r="C5" i="17" s="1"/>
  <c r="C4" i="15"/>
  <c r="C4" i="17" s="1"/>
  <c r="C3" i="15"/>
  <c r="C3" i="17" s="1"/>
  <c r="B2" i="15"/>
  <c r="B2" i="16" s="1"/>
  <c r="B70" i="4"/>
  <c r="C70" i="4"/>
  <c r="C71" i="4"/>
  <c r="B72" i="4"/>
  <c r="A71" i="4"/>
  <c r="A72" i="4"/>
  <c r="A73" i="4"/>
  <c r="A70" i="4"/>
  <c r="D64" i="4"/>
  <c r="C64" i="4"/>
  <c r="B64" i="4"/>
  <c r="A64" i="4"/>
  <c r="A65" i="4"/>
  <c r="A66" i="4"/>
  <c r="A67" i="4"/>
  <c r="AP3" i="4" a="1"/>
  <c r="AP3" i="4" s="1"/>
  <c r="B18" i="4" s="1"/>
  <c r="D65" i="4"/>
  <c r="C66" i="4"/>
  <c r="A22" i="4"/>
  <c r="B16" i="4"/>
  <c r="AV4" i="10"/>
  <c r="AW4" i="10" s="1"/>
  <c r="AV5" i="10"/>
  <c r="AW5" i="10" s="1"/>
  <c r="AV6" i="10"/>
  <c r="AV7" i="10"/>
  <c r="AW7" i="10" s="1"/>
  <c r="AV8" i="10"/>
  <c r="AX8" i="10" s="1"/>
  <c r="AV9" i="10"/>
  <c r="AW9" i="10" s="1"/>
  <c r="AV10" i="10"/>
  <c r="AX10" i="10" s="1"/>
  <c r="AV11" i="10"/>
  <c r="AW11" i="10" s="1"/>
  <c r="AV12" i="10"/>
  <c r="AX12" i="10" s="1"/>
  <c r="AV13" i="10"/>
  <c r="AX13" i="10" s="1"/>
  <c r="AV14" i="10"/>
  <c r="AX14" i="10" s="1"/>
  <c r="AV15" i="10"/>
  <c r="AX15" i="10" s="1"/>
  <c r="AV16" i="10"/>
  <c r="AX16" i="10" s="1"/>
  <c r="AV17" i="10"/>
  <c r="AX17" i="10" s="1"/>
  <c r="AV18" i="10"/>
  <c r="AX18" i="10" s="1"/>
  <c r="AV19" i="10"/>
  <c r="AX19" i="10" s="1"/>
  <c r="AV20" i="10"/>
  <c r="AW20" i="10" s="1"/>
  <c r="AV21" i="10"/>
  <c r="AW21" i="10" s="1"/>
  <c r="AV22" i="10"/>
  <c r="AX22" i="10" s="1"/>
  <c r="AV23" i="10"/>
  <c r="AX23" i="10" s="1"/>
  <c r="AV24" i="10"/>
  <c r="AW24" i="10" s="1"/>
  <c r="AV25" i="10"/>
  <c r="AX25" i="10" s="1"/>
  <c r="AV26" i="10"/>
  <c r="AV27" i="10"/>
  <c r="AX27" i="10" s="1"/>
  <c r="AV28" i="10"/>
  <c r="AX28" i="10" s="1"/>
  <c r="AV29" i="10"/>
  <c r="AW29" i="10" s="1"/>
  <c r="AV30" i="10"/>
  <c r="AW30" i="10" s="1"/>
  <c r="AV31" i="10"/>
  <c r="AX31" i="10" s="1"/>
  <c r="AV32" i="10"/>
  <c r="AW32" i="10" s="1"/>
  <c r="AV33" i="10"/>
  <c r="AX33" i="10" s="1"/>
  <c r="AV34" i="10"/>
  <c r="AX34" i="10" s="1"/>
  <c r="AV35" i="10"/>
  <c r="AW35" i="10" s="1"/>
  <c r="AV36" i="10"/>
  <c r="AW36" i="10" s="1"/>
  <c r="AV37" i="10"/>
  <c r="AW37" i="10" s="1"/>
  <c r="AV38" i="10"/>
  <c r="AW38" i="10" s="1"/>
  <c r="AV39" i="10"/>
  <c r="AW39" i="10" s="1"/>
  <c r="AV40" i="10"/>
  <c r="AW40" i="10" s="1"/>
  <c r="AV41" i="10"/>
  <c r="AX41" i="10" s="1"/>
  <c r="AV42" i="10"/>
  <c r="AX42" i="10" s="1"/>
  <c r="AV43" i="10"/>
  <c r="AW43" i="10" s="1"/>
  <c r="AV44" i="10"/>
  <c r="AW44" i="10" s="1"/>
  <c r="AV45" i="10"/>
  <c r="AX45" i="10" s="1"/>
  <c r="AV46" i="10"/>
  <c r="AX46" i="10" s="1"/>
  <c r="AV47" i="10"/>
  <c r="AV48" i="10"/>
  <c r="AW48" i="10" s="1"/>
  <c r="AV49" i="10"/>
  <c r="AX49" i="10" s="1"/>
  <c r="AV50" i="10"/>
  <c r="AX50" i="10" s="1"/>
  <c r="AV51" i="10"/>
  <c r="AX51" i="10" s="1"/>
  <c r="AV52" i="10"/>
  <c r="AV3" i="10"/>
  <c r="BO3" i="4" a="1"/>
  <c r="BO3" i="4" s="1"/>
  <c r="H18" i="4" s="1"/>
  <c r="B7" i="4"/>
  <c r="H6" i="4"/>
  <c r="AQ3" i="4" s="1" a="1"/>
  <c r="AQ3" i="4" s="1"/>
  <c r="I5" i="4"/>
  <c r="B5" i="15" s="1"/>
  <c r="B5" i="17" s="1"/>
  <c r="J6" i="4"/>
  <c r="BM3" i="4" a="1"/>
  <c r="BM3" i="4" s="1"/>
  <c r="BL3" i="4" a="1"/>
  <c r="BL3" i="4" s="1"/>
  <c r="J3" i="4"/>
  <c r="O3" i="4" s="1"/>
  <c r="L5" i="4" l="1"/>
  <c r="L6" i="4"/>
  <c r="N3" i="4"/>
  <c r="AX7" i="10"/>
  <c r="AX43" i="10"/>
  <c r="AW41" i="10"/>
  <c r="Y3" i="4" a="1"/>
  <c r="Y3" i="4" s="1"/>
  <c r="AB3" i="4" a="1"/>
  <c r="AB3" i="4" s="1"/>
  <c r="B29" i="4" s="1"/>
  <c r="AG3" i="4" a="1"/>
  <c r="AG3" i="4" s="1"/>
  <c r="BU3" i="4" s="1" a="1"/>
  <c r="BU3" i="4" s="1"/>
  <c r="AX44" i="10"/>
  <c r="AW19" i="10"/>
  <c r="AL3" i="4" a="1"/>
  <c r="AL3" i="4" s="1"/>
  <c r="AU3" i="4" a="1"/>
  <c r="AU3" i="4" s="1"/>
  <c r="H20" i="4" s="1"/>
  <c r="AV3" i="4" a="1"/>
  <c r="AV3" i="4" s="1"/>
  <c r="H21" i="4" s="1"/>
  <c r="AE3" i="4" a="1"/>
  <c r="AE3" i="4" s="1"/>
  <c r="AD3" i="4" a="1"/>
  <c r="AD3" i="4" s="1"/>
  <c r="Z3" i="4" a="1"/>
  <c r="Z3" i="4" s="1"/>
  <c r="AN3" i="4" a="1"/>
  <c r="AN3" i="4" s="1"/>
  <c r="C7" i="16"/>
  <c r="BI3" i="10"/>
  <c r="BI4" i="10" s="1"/>
  <c r="BI5" i="10" s="1"/>
  <c r="BI6" i="10" s="1"/>
  <c r="B4" i="15"/>
  <c r="B4" i="17" s="1"/>
  <c r="D5" i="17"/>
  <c r="AW33" i="10"/>
  <c r="AW16" i="10"/>
  <c r="AX32" i="10"/>
  <c r="B3" i="15"/>
  <c r="B3" i="16" s="1"/>
  <c r="AX29" i="10"/>
  <c r="AW25" i="10"/>
  <c r="B5" i="16"/>
  <c r="B2" i="17"/>
  <c r="AW51" i="10"/>
  <c r="AX35" i="10"/>
  <c r="E3" i="17"/>
  <c r="C3" i="16"/>
  <c r="CY3" i="10"/>
  <c r="Y4" i="10" s="1"/>
  <c r="AX5" i="10"/>
  <c r="AX24" i="10"/>
  <c r="AX37" i="10"/>
  <c r="AW46" i="10"/>
  <c r="AW28" i="10"/>
  <c r="AX48" i="10"/>
  <c r="AX40" i="10"/>
  <c r="C4" i="16"/>
  <c r="AX9" i="10"/>
  <c r="AW8" i="10"/>
  <c r="D3" i="16"/>
  <c r="AW49" i="10"/>
  <c r="C6" i="17"/>
  <c r="AW31" i="10"/>
  <c r="AW17" i="10"/>
  <c r="AW22" i="10"/>
  <c r="C5" i="16"/>
  <c r="AW18" i="10"/>
  <c r="AW42" i="10"/>
  <c r="AW45" i="10"/>
  <c r="AT3" i="4" a="1"/>
  <c r="AT3" i="4" s="1"/>
  <c r="H19" i="4" s="1"/>
  <c r="AX4" i="10"/>
  <c r="AZ16" i="10"/>
  <c r="AW14" i="10"/>
  <c r="AW50" i="10"/>
  <c r="AX38" i="10"/>
  <c r="AX21" i="10"/>
  <c r="AC3" i="4" a="1"/>
  <c r="AC3" i="4" s="1"/>
  <c r="AX11" i="10"/>
  <c r="AW10" i="10"/>
  <c r="AW15" i="10"/>
  <c r="AX30" i="10"/>
  <c r="AW23" i="10"/>
  <c r="AZ8" i="10"/>
  <c r="AY3" i="10"/>
  <c r="E3" i="10" s="1"/>
  <c r="AX20" i="10"/>
  <c r="Y3" i="10"/>
  <c r="AX3" i="10"/>
  <c r="AX39" i="10"/>
  <c r="AW3" i="10"/>
  <c r="AW27" i="10"/>
  <c r="D3" i="10"/>
  <c r="BC3" i="10"/>
  <c r="BC4" i="10" s="1"/>
  <c r="AZ3" i="10"/>
  <c r="AZ11" i="10"/>
  <c r="AZ4" i="10"/>
  <c r="E6" i="17"/>
  <c r="AW34" i="10"/>
  <c r="AZ5" i="10"/>
  <c r="BG3" i="10"/>
  <c r="BG4" i="10" s="1"/>
  <c r="AJ3" i="4" a="1"/>
  <c r="AJ3" i="4" s="1"/>
  <c r="AX36" i="10"/>
  <c r="AW13" i="10"/>
  <c r="X3" i="4" a="1"/>
  <c r="X3" i="4" s="1"/>
  <c r="AW26" i="10"/>
  <c r="AX26" i="10"/>
  <c r="AZ27" i="10"/>
  <c r="AZ43" i="10"/>
  <c r="AK3" i="4" a="1"/>
  <c r="AK3" i="4" s="1"/>
  <c r="AM3" i="4" a="1"/>
  <c r="AM3" i="4" s="1"/>
  <c r="AI3" i="4" a="1"/>
  <c r="AI3" i="4" s="1"/>
  <c r="AX52" i="10"/>
  <c r="AW52" i="10"/>
  <c r="AW47" i="10"/>
  <c r="AX47" i="10"/>
  <c r="AW6" i="10"/>
  <c r="AZ25" i="10"/>
  <c r="AZ41" i="10"/>
  <c r="AZ14" i="10"/>
  <c r="AZ35" i="10"/>
  <c r="AZ10" i="10"/>
  <c r="AZ13" i="10"/>
  <c r="AZ42" i="10"/>
  <c r="AZ28" i="10"/>
  <c r="AZ19" i="10"/>
  <c r="AZ7" i="10"/>
  <c r="AZ22" i="10"/>
  <c r="AZ21" i="10"/>
  <c r="AZ49" i="10"/>
  <c r="AZ31" i="10"/>
  <c r="AZ6" i="10"/>
  <c r="AZ18" i="10"/>
  <c r="AZ17" i="10"/>
  <c r="AZ30" i="10"/>
  <c r="AZ37" i="10"/>
  <c r="AZ48" i="10"/>
  <c r="AX6" i="10"/>
  <c r="AZ20" i="10"/>
  <c r="AZ12" i="10"/>
  <c r="AZ40" i="10"/>
  <c r="AZ33" i="10"/>
  <c r="AZ44" i="10"/>
  <c r="AZ46" i="10"/>
  <c r="AZ39" i="10"/>
  <c r="AZ47" i="10"/>
  <c r="AZ52" i="10"/>
  <c r="AZ51" i="10"/>
  <c r="AZ38" i="10"/>
  <c r="AZ23" i="10"/>
  <c r="AZ26" i="10"/>
  <c r="AZ9" i="10"/>
  <c r="AZ50" i="10"/>
  <c r="AZ32" i="10"/>
  <c r="AZ34" i="10"/>
  <c r="AZ36" i="10"/>
  <c r="AZ15" i="10"/>
  <c r="AZ24" i="10"/>
  <c r="AZ29" i="10"/>
  <c r="AZ45" i="10"/>
  <c r="AW12" i="10"/>
  <c r="C8" i="16"/>
  <c r="CY4" i="10" l="1"/>
  <c r="Y5" i="10" s="1"/>
  <c r="DC3" i="10"/>
  <c r="O4" i="4"/>
  <c r="N4" i="4"/>
  <c r="L7" i="4"/>
  <c r="BX3" i="4" a="1"/>
  <c r="BX3" i="4" s="1"/>
  <c r="AF3" i="4" a="1"/>
  <c r="AF3" i="4" s="1"/>
  <c r="AA3" i="4" a="1"/>
  <c r="AA3" i="4" s="1"/>
  <c r="BA3" i="4" a="1"/>
  <c r="BA3" i="4" s="1"/>
  <c r="BD3" i="4" s="1" a="1"/>
  <c r="BD3" i="4" s="1"/>
  <c r="AZ3" i="4" a="1"/>
  <c r="AZ3" i="4" s="1"/>
  <c r="BC3" i="4" s="1" a="1"/>
  <c r="BC3" i="4" s="1"/>
  <c r="B4" i="16"/>
  <c r="B3" i="17"/>
  <c r="CZ3" i="10"/>
  <c r="DA3" i="10" s="1"/>
  <c r="DB3" i="10" s="1"/>
  <c r="BB12" i="10"/>
  <c r="AW3" i="4" a="1"/>
  <c r="AW3" i="4" s="1"/>
  <c r="AX3" i="4" s="1" a="1"/>
  <c r="AX3" i="4" s="1"/>
  <c r="F14" i="10"/>
  <c r="B26" i="4"/>
  <c r="AH3" i="4" a="1"/>
  <c r="AH3" i="4" s="1"/>
  <c r="BR3" i="4" s="1" a="1"/>
  <c r="BR3" i="4" s="1"/>
  <c r="F17" i="10"/>
  <c r="BD3" i="10"/>
  <c r="BE3" i="10" s="1"/>
  <c r="BA3" i="10"/>
  <c r="BB22" i="10"/>
  <c r="F5" i="10"/>
  <c r="BJ3" i="10"/>
  <c r="F23" i="10"/>
  <c r="D4" i="10"/>
  <c r="F22" i="10"/>
  <c r="AY4" i="10"/>
  <c r="BJ4" i="10" s="1"/>
  <c r="BB24" i="10"/>
  <c r="BB13" i="10"/>
  <c r="BB5" i="10"/>
  <c r="F10" i="10"/>
  <c r="F30" i="10"/>
  <c r="BB26" i="10"/>
  <c r="F31" i="10"/>
  <c r="F12" i="10"/>
  <c r="BB51" i="10"/>
  <c r="BB9" i="10"/>
  <c r="BB45" i="10"/>
  <c r="BG5" i="10"/>
  <c r="BG6" i="10" s="1"/>
  <c r="BG7" i="10" s="1"/>
  <c r="BB48" i="10"/>
  <c r="BB41" i="10"/>
  <c r="BB7" i="10"/>
  <c r="G4" i="10"/>
  <c r="BH3" i="10"/>
  <c r="F4" i="10"/>
  <c r="BC5" i="10"/>
  <c r="BB11" i="10"/>
  <c r="BB37" i="10"/>
  <c r="F39" i="10"/>
  <c r="G3" i="10"/>
  <c r="F52" i="10"/>
  <c r="BK4" i="10"/>
  <c r="BM4" i="10" s="1"/>
  <c r="F50" i="10"/>
  <c r="BB46" i="10"/>
  <c r="F3" i="10"/>
  <c r="BB4" i="10"/>
  <c r="F45" i="10"/>
  <c r="BB3" i="10"/>
  <c r="BK3" i="10"/>
  <c r="BM3" i="10" s="1"/>
  <c r="F16" i="10"/>
  <c r="F26" i="10"/>
  <c r="BB21" i="10"/>
  <c r="F40" i="10"/>
  <c r="BB6" i="10"/>
  <c r="BI7" i="10"/>
  <c r="F47" i="10"/>
  <c r="F18" i="10"/>
  <c r="F28" i="10"/>
  <c r="BB30" i="10"/>
  <c r="BB19" i="10"/>
  <c r="BB8" i="10"/>
  <c r="BB34" i="10"/>
  <c r="BB15" i="10"/>
  <c r="BB27" i="10"/>
  <c r="BB52" i="10"/>
  <c r="BB18" i="10"/>
  <c r="BB50" i="10"/>
  <c r="BB16" i="10"/>
  <c r="BB47" i="10"/>
  <c r="F24" i="10"/>
  <c r="BB43" i="10"/>
  <c r="BB10" i="10"/>
  <c r="BB40" i="10"/>
  <c r="F34" i="10"/>
  <c r="BB49" i="10"/>
  <c r="BB44" i="10"/>
  <c r="BB42" i="10"/>
  <c r="F43" i="10"/>
  <c r="BB33" i="10"/>
  <c r="BB20" i="10"/>
  <c r="BB14" i="10"/>
  <c r="F49" i="10"/>
  <c r="BB31" i="10"/>
  <c r="BB17" i="10"/>
  <c r="BB28" i="10"/>
  <c r="F29" i="10"/>
  <c r="F7" i="10"/>
  <c r="BB32" i="10"/>
  <c r="BB36" i="10"/>
  <c r="BB29" i="10"/>
  <c r="F44" i="10"/>
  <c r="F51" i="10"/>
  <c r="F25" i="10"/>
  <c r="F46" i="10"/>
  <c r="F6" i="10"/>
  <c r="F15" i="10"/>
  <c r="F19" i="10"/>
  <c r="F33" i="10"/>
  <c r="F37" i="10"/>
  <c r="F11" i="10"/>
  <c r="F36" i="10"/>
  <c r="BB35" i="10"/>
  <c r="BB23" i="10"/>
  <c r="F13" i="10"/>
  <c r="F42" i="10"/>
  <c r="F9" i="10"/>
  <c r="F48" i="10"/>
  <c r="F21" i="10"/>
  <c r="F38" i="10"/>
  <c r="BB38" i="10"/>
  <c r="F8" i="10"/>
  <c r="F20" i="10"/>
  <c r="F27" i="10"/>
  <c r="F41" i="10"/>
  <c r="AY3" i="4" a="1"/>
  <c r="AY3" i="4" s="1"/>
  <c r="BB3" i="4" s="1" a="1"/>
  <c r="BB3" i="4" s="1"/>
  <c r="AO3" i="4" a="1"/>
  <c r="AO3" i="4" s="1"/>
  <c r="BB39" i="10"/>
  <c r="B20" i="4"/>
  <c r="D18" i="4"/>
  <c r="B19" i="4"/>
  <c r="B21" i="4"/>
  <c r="F35" i="10"/>
  <c r="BB25" i="10"/>
  <c r="F32" i="10"/>
  <c r="CY5" i="10" l="1"/>
  <c r="DD3" i="10"/>
  <c r="DC4" i="10"/>
  <c r="O12" i="4"/>
  <c r="B23" i="4"/>
  <c r="D23" i="4" s="1"/>
  <c r="BT3" i="4" a="1"/>
  <c r="BT3" i="4" s="1"/>
  <c r="BW3" i="4" s="1" a="1"/>
  <c r="BE3" i="4" a="1"/>
  <c r="BE3" i="4" s="1"/>
  <c r="B24" i="4" s="1"/>
  <c r="Z3" i="10"/>
  <c r="BH4" i="10"/>
  <c r="D5" i="10"/>
  <c r="AY5" i="10"/>
  <c r="BJ5" i="10" s="1"/>
  <c r="E4" i="10"/>
  <c r="BA4" i="10"/>
  <c r="G5" i="10"/>
  <c r="CZ4" i="10"/>
  <c r="DA4" i="10" s="1"/>
  <c r="DB4" i="10" s="1"/>
  <c r="J4" i="10"/>
  <c r="BD4" i="10"/>
  <c r="B22" i="4"/>
  <c r="C18" i="4" s="1"/>
  <c r="BF3" i="10"/>
  <c r="L3" i="10"/>
  <c r="H3" i="10" s="1"/>
  <c r="BC6" i="10"/>
  <c r="BK6" i="10" s="1"/>
  <c r="BL3" i="10"/>
  <c r="CA3" i="10" s="1"/>
  <c r="N3" i="10"/>
  <c r="BV3" i="10"/>
  <c r="BW3" i="10" s="1"/>
  <c r="BZ3" i="10" s="1"/>
  <c r="BK5" i="10"/>
  <c r="J5" i="10" s="1"/>
  <c r="J3" i="10"/>
  <c r="D21" i="4"/>
  <c r="BR4" i="10"/>
  <c r="Y6" i="10"/>
  <c r="DC5" i="10"/>
  <c r="CY6" i="10"/>
  <c r="F18" i="4"/>
  <c r="D20" i="4"/>
  <c r="BI8" i="10"/>
  <c r="D19" i="4"/>
  <c r="BR3" i="10"/>
  <c r="BG8" i="10"/>
  <c r="Z4" i="10" l="1"/>
  <c r="B25" i="4"/>
  <c r="C25" i="4" s="1"/>
  <c r="BW3" i="4"/>
  <c r="M12" i="4"/>
  <c r="BZ43" i="4"/>
  <c r="BV3" i="4" a="1"/>
  <c r="BZ7" i="4"/>
  <c r="BZ19" i="4"/>
  <c r="BZ31" i="4"/>
  <c r="BZ50" i="4"/>
  <c r="BZ10" i="4"/>
  <c r="BZ22" i="4"/>
  <c r="BZ24" i="4"/>
  <c r="BZ36" i="4"/>
  <c r="BZ48" i="4"/>
  <c r="BZ38" i="4"/>
  <c r="BZ16" i="4"/>
  <c r="BZ28" i="4"/>
  <c r="BZ40" i="4"/>
  <c r="BA5" i="10"/>
  <c r="D24" i="4"/>
  <c r="F24" i="4" s="1"/>
  <c r="G24" i="4" s="1"/>
  <c r="B28" i="4"/>
  <c r="BF3" i="4" a="1"/>
  <c r="BF3" i="4" s="1"/>
  <c r="BG3" i="4" s="1" a="1"/>
  <c r="BG3" i="4" s="1"/>
  <c r="BH5" i="10"/>
  <c r="CZ5" i="10"/>
  <c r="DA5" i="10" s="1"/>
  <c r="DB5" i="10" s="1"/>
  <c r="Z5" i="10" s="1"/>
  <c r="AY6" i="10"/>
  <c r="BH6" i="10" s="1"/>
  <c r="BV4" i="10"/>
  <c r="BW4" i="10" s="1"/>
  <c r="BZ4" i="10" s="1"/>
  <c r="BD5" i="10"/>
  <c r="E5" i="10"/>
  <c r="D6" i="10"/>
  <c r="DD4" i="10"/>
  <c r="BS3" i="10"/>
  <c r="BM5" i="10"/>
  <c r="BR5" i="10" s="1"/>
  <c r="N4" i="10"/>
  <c r="BF4" i="10"/>
  <c r="BE4" i="10"/>
  <c r="L4" i="10"/>
  <c r="H4" i="10" s="1"/>
  <c r="C19" i="4"/>
  <c r="BL4" i="10"/>
  <c r="G6" i="10"/>
  <c r="BC7" i="10"/>
  <c r="BK7" i="10" s="1"/>
  <c r="BN3" i="10"/>
  <c r="BT3" i="10" s="1"/>
  <c r="C23" i="4"/>
  <c r="B27" i="4"/>
  <c r="B35" i="4" s="1"/>
  <c r="C35" i="4" s="1"/>
  <c r="C21" i="4"/>
  <c r="C24" i="4"/>
  <c r="C22" i="4"/>
  <c r="D22" i="4"/>
  <c r="F22" i="4" s="1"/>
  <c r="G22" i="4" s="1"/>
  <c r="C20" i="4"/>
  <c r="BX3" i="10"/>
  <c r="K3" i="10" s="1"/>
  <c r="M3" i="10"/>
  <c r="BO3" i="10"/>
  <c r="BP3" i="10" s="1"/>
  <c r="O3" i="10"/>
  <c r="R3" i="10" s="1"/>
  <c r="BG9" i="10"/>
  <c r="F19" i="4"/>
  <c r="G19" i="4" s="1"/>
  <c r="BI9" i="10"/>
  <c r="F20" i="4"/>
  <c r="G20" i="4" s="1"/>
  <c r="G18" i="4"/>
  <c r="A13" i="4"/>
  <c r="B33" i="4" s="1"/>
  <c r="DC6" i="10"/>
  <c r="Y7" i="10"/>
  <c r="CY7" i="10"/>
  <c r="BM6" i="10"/>
  <c r="J6" i="10"/>
  <c r="F23" i="4"/>
  <c r="G23" i="4" s="1"/>
  <c r="F21" i="4"/>
  <c r="G21" i="4" s="1"/>
  <c r="D29" i="4" l="1"/>
  <c r="D25" i="4"/>
  <c r="F25" i="4" s="1"/>
  <c r="G25" i="4" s="1"/>
  <c r="BV3" i="4"/>
  <c r="N12" i="4"/>
  <c r="N5" i="10"/>
  <c r="BZ39" i="4"/>
  <c r="BZ12" i="4"/>
  <c r="BZ33" i="4"/>
  <c r="BZ30" i="4"/>
  <c r="BZ42" i="4"/>
  <c r="BZ27" i="4"/>
  <c r="BZ26" i="4"/>
  <c r="BZ21" i="4"/>
  <c r="BZ18" i="4"/>
  <c r="BZ15" i="4"/>
  <c r="BZ47" i="4"/>
  <c r="BZ9" i="4"/>
  <c r="BZ6" i="4"/>
  <c r="BZ14" i="4"/>
  <c r="BZ35" i="4"/>
  <c r="BZ44" i="4"/>
  <c r="BZ41" i="4"/>
  <c r="BZ49" i="4"/>
  <c r="BZ23" i="4"/>
  <c r="BZ32" i="4"/>
  <c r="BZ29" i="4"/>
  <c r="BZ51" i="4"/>
  <c r="BZ37" i="4"/>
  <c r="BZ11" i="4"/>
  <c r="BZ20" i="4"/>
  <c r="BZ17" i="4"/>
  <c r="BZ45" i="4"/>
  <c r="BZ25" i="4"/>
  <c r="BZ46" i="4"/>
  <c r="BZ8" i="4"/>
  <c r="BZ5" i="4"/>
  <c r="BZ52" i="4"/>
  <c r="BZ13" i="4"/>
  <c r="BZ34" i="4"/>
  <c r="BZ4" i="4"/>
  <c r="D28" i="4"/>
  <c r="G29" i="4" s="1"/>
  <c r="BD6" i="10"/>
  <c r="BF6" i="10" s="1"/>
  <c r="AY7" i="10"/>
  <c r="CZ7" i="10" s="1"/>
  <c r="DA7" i="10" s="1"/>
  <c r="DB7" i="10" s="1"/>
  <c r="E6" i="10"/>
  <c r="DD5" i="10"/>
  <c r="BJ6" i="10"/>
  <c r="BA6" i="10"/>
  <c r="D7" i="10"/>
  <c r="CZ6" i="10"/>
  <c r="DA6" i="10" s="1"/>
  <c r="DB6" i="10" s="1"/>
  <c r="DD6" i="10" s="1"/>
  <c r="M4" i="10"/>
  <c r="BH3" i="4" a="1"/>
  <c r="BH3" i="4" s="1"/>
  <c r="BI3" i="4" s="1" a="1"/>
  <c r="BI3" i="4" s="1"/>
  <c r="L5" i="10"/>
  <c r="H5" i="10" s="1"/>
  <c r="BX4" i="10"/>
  <c r="K4" i="10" s="1"/>
  <c r="AA4" i="10" s="1"/>
  <c r="AB4" i="10" s="1"/>
  <c r="BL5" i="10"/>
  <c r="BN5" i="10" s="1"/>
  <c r="BT5" i="10" s="1"/>
  <c r="BF5" i="10"/>
  <c r="BE5" i="10"/>
  <c r="BV5" i="10"/>
  <c r="CB3" i="10"/>
  <c r="CO3" i="10" s="1"/>
  <c r="BQ3" i="10"/>
  <c r="BC8" i="10"/>
  <c r="BC9" i="10" s="1"/>
  <c r="G7" i="10"/>
  <c r="C29" i="4"/>
  <c r="BY3" i="10"/>
  <c r="B67" i="4"/>
  <c r="D27" i="4"/>
  <c r="BS4" i="10"/>
  <c r="CA4" i="10"/>
  <c r="O4" i="10"/>
  <c r="R4" i="10" s="1"/>
  <c r="BO4" i="10"/>
  <c r="BN4" i="10"/>
  <c r="BT4" i="10" s="1"/>
  <c r="E35" i="4"/>
  <c r="D67" i="4" s="1"/>
  <c r="Q3" i="10"/>
  <c r="P3" i="10"/>
  <c r="BG10" i="10"/>
  <c r="J7" i="10"/>
  <c r="BM7" i="10"/>
  <c r="D35" i="4"/>
  <c r="B73" i="4" s="1"/>
  <c r="C67" i="4"/>
  <c r="BR6" i="10"/>
  <c r="I3" i="10"/>
  <c r="X3" i="10"/>
  <c r="AA3" i="10"/>
  <c r="AB3" i="10" s="1"/>
  <c r="U3" i="10"/>
  <c r="Y8" i="10"/>
  <c r="DC7" i="10"/>
  <c r="CY8" i="10"/>
  <c r="C33" i="4"/>
  <c r="B65" i="4"/>
  <c r="E34" i="4"/>
  <c r="BI10" i="10"/>
  <c r="F29" i="4"/>
  <c r="BE6" i="10" l="1"/>
  <c r="D8" i="10"/>
  <c r="BJ7" i="10"/>
  <c r="BH7" i="10"/>
  <c r="AY8" i="10"/>
  <c r="BJ8" i="10" s="1"/>
  <c r="F28" i="4"/>
  <c r="G28" i="4" s="1"/>
  <c r="E25" i="4"/>
  <c r="BA7" i="10"/>
  <c r="BD7" i="10"/>
  <c r="BE7" i="10" s="1"/>
  <c r="E7" i="10"/>
  <c r="L6" i="10"/>
  <c r="H6" i="10" s="1"/>
  <c r="N6" i="10"/>
  <c r="BV6" i="10"/>
  <c r="BX6" i="10" s="1"/>
  <c r="K6" i="10" s="1"/>
  <c r="U6" i="10" s="1"/>
  <c r="Z6" i="10"/>
  <c r="BL6" i="10"/>
  <c r="BS6" i="10" s="1"/>
  <c r="BO5" i="10"/>
  <c r="Q5" i="10" s="1"/>
  <c r="BY4" i="10"/>
  <c r="U4" i="10"/>
  <c r="I4" i="10"/>
  <c r="CL3" i="10"/>
  <c r="CT3" i="10"/>
  <c r="M5" i="10"/>
  <c r="CE3" i="10"/>
  <c r="BS5" i="10"/>
  <c r="CA5" i="10"/>
  <c r="BX5" i="10"/>
  <c r="BY5" i="10" s="1"/>
  <c r="BW5" i="10"/>
  <c r="BZ5" i="10" s="1"/>
  <c r="O5" i="10"/>
  <c r="R5" i="10" s="1"/>
  <c r="CQ3" i="10"/>
  <c r="CC3" i="10"/>
  <c r="CH3" i="10"/>
  <c r="CG3" i="10"/>
  <c r="CF3" i="10"/>
  <c r="G8" i="10"/>
  <c r="CP3" i="10"/>
  <c r="CU3" i="10"/>
  <c r="CN3" i="10"/>
  <c r="CJ3" i="10"/>
  <c r="CM3" i="10"/>
  <c r="CK3" i="10"/>
  <c r="CS3" i="10"/>
  <c r="CI3" i="10"/>
  <c r="CR3" i="10"/>
  <c r="CD3" i="10"/>
  <c r="CV3" i="10"/>
  <c r="E22" i="4"/>
  <c r="E23" i="4"/>
  <c r="X4" i="10"/>
  <c r="E28" i="4"/>
  <c r="F35" i="4"/>
  <c r="C73" i="4" s="1"/>
  <c r="BK8" i="10"/>
  <c r="BM8" i="10" s="1"/>
  <c r="E18" i="4"/>
  <c r="E24" i="4"/>
  <c r="F27" i="4"/>
  <c r="G27" i="4" s="1"/>
  <c r="E19" i="4"/>
  <c r="BP4" i="10"/>
  <c r="CB4" i="10"/>
  <c r="P4" i="10"/>
  <c r="Q4" i="10"/>
  <c r="BQ4" i="10"/>
  <c r="E20" i="4"/>
  <c r="E21" i="4"/>
  <c r="BK9" i="10"/>
  <c r="BC10" i="10"/>
  <c r="G9" i="10"/>
  <c r="BI11" i="10"/>
  <c r="D66" i="4"/>
  <c r="F34" i="4"/>
  <c r="C72" i="4" s="1"/>
  <c r="DD7" i="10"/>
  <c r="Z7" i="10"/>
  <c r="D9" i="10"/>
  <c r="V4" i="10"/>
  <c r="W4" i="10" s="1"/>
  <c r="V3" i="10"/>
  <c r="W3" i="10" s="1"/>
  <c r="D33" i="4"/>
  <c r="B71" i="4" s="1"/>
  <c r="C65" i="4"/>
  <c r="AC3" i="10"/>
  <c r="AD3" i="10" s="1"/>
  <c r="AC4" i="10"/>
  <c r="AD4" i="10" s="1"/>
  <c r="CY9" i="10"/>
  <c r="Y9" i="10"/>
  <c r="DC8" i="10"/>
  <c r="BR7" i="10"/>
  <c r="BG11" i="10"/>
  <c r="BD8" i="10" l="1"/>
  <c r="BE8" i="10" s="1"/>
  <c r="CZ8" i="10"/>
  <c r="DA8" i="10" s="1"/>
  <c r="DB8" i="10" s="1"/>
  <c r="DD8" i="10" s="1"/>
  <c r="BH8" i="10"/>
  <c r="BA8" i="10"/>
  <c r="L7" i="10"/>
  <c r="H7" i="10" s="1"/>
  <c r="CB5" i="10"/>
  <c r="CV5" i="10" s="1"/>
  <c r="BF7" i="10"/>
  <c r="BV7" i="10"/>
  <c r="BX7" i="10" s="1"/>
  <c r="K7" i="10" s="1"/>
  <c r="U7" i="10" s="1"/>
  <c r="V7" i="10" s="1"/>
  <c r="E8" i="10"/>
  <c r="AY9" i="10"/>
  <c r="BD9" i="10" s="1"/>
  <c r="BE9" i="10" s="1"/>
  <c r="BP5" i="10"/>
  <c r="BL7" i="10"/>
  <c r="BS7" i="10" s="1"/>
  <c r="M6" i="10"/>
  <c r="BW6" i="10"/>
  <c r="BZ6" i="10" s="1"/>
  <c r="N7" i="10"/>
  <c r="BO6" i="10"/>
  <c r="BP6" i="10" s="1"/>
  <c r="P5" i="10"/>
  <c r="BY6" i="10"/>
  <c r="I6" i="10"/>
  <c r="O6" i="10"/>
  <c r="R6" i="10" s="1"/>
  <c r="CA6" i="10"/>
  <c r="AA6" i="10"/>
  <c r="AB6" i="10" s="1"/>
  <c r="BN6" i="10"/>
  <c r="BT6" i="10" s="1"/>
  <c r="K5" i="10"/>
  <c r="X5" i="10" s="1"/>
  <c r="BQ5" i="10"/>
  <c r="CW3" i="10"/>
  <c r="S3" i="10"/>
  <c r="T3" i="10" s="1"/>
  <c r="J8" i="10"/>
  <c r="E29" i="4"/>
  <c r="N8" i="10"/>
  <c r="BF8" i="10"/>
  <c r="E27" i="4"/>
  <c r="CO4" i="10"/>
  <c r="CF4" i="10"/>
  <c r="CI4" i="10"/>
  <c r="CD4" i="10"/>
  <c r="CS4" i="10"/>
  <c r="CP4" i="10"/>
  <c r="CL4" i="10"/>
  <c r="CN4" i="10"/>
  <c r="CQ4" i="10"/>
  <c r="CJ4" i="10"/>
  <c r="CG4" i="10"/>
  <c r="CK4" i="10"/>
  <c r="CV4" i="10"/>
  <c r="CH4" i="10"/>
  <c r="CE4" i="10"/>
  <c r="CT4" i="10"/>
  <c r="CR4" i="10"/>
  <c r="CC4" i="10"/>
  <c r="CU4" i="10"/>
  <c r="CM4" i="10"/>
  <c r="BL8" i="10"/>
  <c r="CA8" i="10" s="1"/>
  <c r="BG12" i="10"/>
  <c r="BR8" i="10"/>
  <c r="G10" i="10"/>
  <c r="BC11" i="10"/>
  <c r="BK10" i="10"/>
  <c r="D10" i="10"/>
  <c r="AY10" i="10"/>
  <c r="BD10" i="10" s="1"/>
  <c r="BM9" i="10"/>
  <c r="J9" i="10"/>
  <c r="CY10" i="10"/>
  <c r="Y10" i="10"/>
  <c r="DC9" i="10"/>
  <c r="L8" i="10"/>
  <c r="H8" i="10" s="1"/>
  <c r="BV8" i="10"/>
  <c r="BI12" i="10"/>
  <c r="CZ9" i="10" l="1"/>
  <c r="DA9" i="10" s="1"/>
  <c r="DB9" i="10" s="1"/>
  <c r="BH9" i="10"/>
  <c r="BJ9" i="10"/>
  <c r="E9" i="10"/>
  <c r="BA9" i="10"/>
  <c r="Z8" i="10"/>
  <c r="CO5" i="10"/>
  <c r="CU5" i="10"/>
  <c r="CG5" i="10"/>
  <c r="CR5" i="10"/>
  <c r="AA7" i="10"/>
  <c r="AB7" i="10" s="1"/>
  <c r="AC7" i="10" s="1"/>
  <c r="AD7" i="10" s="1"/>
  <c r="CJ5" i="10"/>
  <c r="CS5" i="10"/>
  <c r="CI5" i="10"/>
  <c r="CN5" i="10"/>
  <c r="CL5" i="10"/>
  <c r="CP5" i="10"/>
  <c r="CF5" i="10"/>
  <c r="CD5" i="10"/>
  <c r="CH5" i="10"/>
  <c r="CM5" i="10"/>
  <c r="CT5" i="10"/>
  <c r="CE5" i="10"/>
  <c r="CC5" i="10"/>
  <c r="CQ5" i="10"/>
  <c r="CK5" i="10"/>
  <c r="Q6" i="10"/>
  <c r="BF9" i="10"/>
  <c r="M7" i="10"/>
  <c r="X6" i="10"/>
  <c r="I7" i="10"/>
  <c r="BW7" i="10"/>
  <c r="BZ7" i="10" s="1"/>
  <c r="BN7" i="10"/>
  <c r="BT7" i="10" s="1"/>
  <c r="BY7" i="10"/>
  <c r="O7" i="10"/>
  <c r="R7" i="10" s="1"/>
  <c r="BO7" i="10"/>
  <c r="P7" i="10" s="1"/>
  <c r="CA7" i="10"/>
  <c r="BQ6" i="10"/>
  <c r="P6" i="10"/>
  <c r="CB6" i="10"/>
  <c r="CC6" i="10" s="1"/>
  <c r="I5" i="10"/>
  <c r="AA5" i="10"/>
  <c r="AB5" i="10" s="1"/>
  <c r="AC6" i="10" s="1"/>
  <c r="AD6" i="10" s="1"/>
  <c r="U5" i="10"/>
  <c r="V6" i="10" s="1"/>
  <c r="W6" i="10" s="1"/>
  <c r="N9" i="10"/>
  <c r="BN8" i="10"/>
  <c r="BT8" i="10" s="1"/>
  <c r="BS8" i="10"/>
  <c r="S4" i="10"/>
  <c r="T4" i="10" s="1"/>
  <c r="CW4" i="10"/>
  <c r="M8" i="10"/>
  <c r="BW8" i="10"/>
  <c r="BZ8" i="10" s="1"/>
  <c r="BX8" i="10"/>
  <c r="BI13" i="10"/>
  <c r="BL9" i="10"/>
  <c r="CY11" i="10"/>
  <c r="CZ10" i="10"/>
  <c r="DA10" i="10" s="1"/>
  <c r="DB10" i="10" s="1"/>
  <c r="Y11" i="10"/>
  <c r="DC10" i="10"/>
  <c r="L9" i="10"/>
  <c r="H9" i="10" s="1"/>
  <c r="DD9" i="10"/>
  <c r="Z9" i="10"/>
  <c r="BR9" i="10"/>
  <c r="AY11" i="10"/>
  <c r="D11" i="10"/>
  <c r="BA10" i="10"/>
  <c r="E10" i="10"/>
  <c r="BJ10" i="10"/>
  <c r="BH10" i="10"/>
  <c r="BG13" i="10"/>
  <c r="BE10" i="10"/>
  <c r="BF10" i="10"/>
  <c r="J10" i="10"/>
  <c r="BM10" i="10"/>
  <c r="O8" i="10"/>
  <c r="R8" i="10" s="1"/>
  <c r="G11" i="10"/>
  <c r="BC12" i="10"/>
  <c r="BK11" i="10"/>
  <c r="BO8" i="10"/>
  <c r="BV9" i="10" l="1"/>
  <c r="BW9" i="10" s="1"/>
  <c r="BZ9" i="10" s="1"/>
  <c r="CO6" i="10"/>
  <c r="S5" i="10"/>
  <c r="T5" i="10" s="1"/>
  <c r="CW5" i="10"/>
  <c r="BQ7" i="10"/>
  <c r="X7" i="10"/>
  <c r="CB7" i="10"/>
  <c r="CU7" i="10" s="1"/>
  <c r="CJ6" i="10"/>
  <c r="CH6" i="10"/>
  <c r="Q7" i="10"/>
  <c r="CK6" i="10"/>
  <c r="W7" i="10"/>
  <c r="CF6" i="10"/>
  <c r="CR6" i="10"/>
  <c r="BP7" i="10"/>
  <c r="CP6" i="10"/>
  <c r="CN6" i="10"/>
  <c r="CS6" i="10"/>
  <c r="CT6" i="10"/>
  <c r="CL6" i="10"/>
  <c r="CQ6" i="10"/>
  <c r="CV6" i="10"/>
  <c r="CU6" i="10"/>
  <c r="CE6" i="10"/>
  <c r="AC5" i="10"/>
  <c r="AD5" i="10" s="1"/>
  <c r="V5" i="10"/>
  <c r="W5" i="10" s="1"/>
  <c r="CG6" i="10"/>
  <c r="CM6" i="10"/>
  <c r="CD6" i="10"/>
  <c r="CI6" i="10"/>
  <c r="BV10" i="10"/>
  <c r="M10" i="10" s="1"/>
  <c r="BX9" i="10"/>
  <c r="K9" i="10" s="1"/>
  <c r="M9" i="10"/>
  <c r="BL10" i="10"/>
  <c r="N10" i="10"/>
  <c r="BR10" i="10"/>
  <c r="L10" i="10"/>
  <c r="H10" i="10" s="1"/>
  <c r="CB8" i="10"/>
  <c r="BQ8" i="10"/>
  <c r="P8" i="10"/>
  <c r="Q8" i="10"/>
  <c r="BP8" i="10"/>
  <c r="E11" i="10"/>
  <c r="AY12" i="10"/>
  <c r="BA11" i="10"/>
  <c r="D12" i="10"/>
  <c r="BH11" i="10"/>
  <c r="BJ11" i="10"/>
  <c r="CZ11" i="10"/>
  <c r="DA11" i="10" s="1"/>
  <c r="DB11" i="10" s="1"/>
  <c r="Y12" i="10"/>
  <c r="DC11" i="10"/>
  <c r="CY12" i="10"/>
  <c r="BM11" i="10"/>
  <c r="J11" i="10"/>
  <c r="DD10" i="10"/>
  <c r="Z10" i="10"/>
  <c r="BG14" i="10"/>
  <c r="BO9" i="10"/>
  <c r="O9" i="10"/>
  <c r="R9" i="10" s="1"/>
  <c r="CA9" i="10"/>
  <c r="BN9" i="10"/>
  <c r="BT9" i="10" s="1"/>
  <c r="BS9" i="10"/>
  <c r="BI14" i="10"/>
  <c r="BY8" i="10"/>
  <c r="K8" i="10"/>
  <c r="BD11" i="10"/>
  <c r="BC13" i="10"/>
  <c r="BK12" i="10"/>
  <c r="G12" i="10"/>
  <c r="CK7" i="10" l="1"/>
  <c r="CD7" i="10"/>
  <c r="CI7" i="10"/>
  <c r="CG7" i="10"/>
  <c r="CL7" i="10"/>
  <c r="CS7" i="10"/>
  <c r="CV7" i="10"/>
  <c r="CN7" i="10"/>
  <c r="CH7" i="10"/>
  <c r="CJ7" i="10"/>
  <c r="CT7" i="10"/>
  <c r="CF7" i="10"/>
  <c r="CR7" i="10"/>
  <c r="CC7" i="10"/>
  <c r="CQ7" i="10"/>
  <c r="CE7" i="10"/>
  <c r="CM7" i="10"/>
  <c r="CO7" i="10"/>
  <c r="CP7" i="10"/>
  <c r="CW6" i="10"/>
  <c r="S6" i="10"/>
  <c r="T6" i="10" s="1"/>
  <c r="BW10" i="10"/>
  <c r="BZ10" i="10" s="1"/>
  <c r="BX10" i="10"/>
  <c r="BY10" i="10" s="1"/>
  <c r="BY9" i="10"/>
  <c r="U8" i="10"/>
  <c r="X8" i="10"/>
  <c r="AA8" i="10"/>
  <c r="AB8" i="10" s="1"/>
  <c r="I8" i="10"/>
  <c r="Y13" i="10"/>
  <c r="DC12" i="10"/>
  <c r="CY13" i="10"/>
  <c r="CZ12" i="10"/>
  <c r="DA12" i="10" s="1"/>
  <c r="DB12" i="10" s="1"/>
  <c r="DD11" i="10"/>
  <c r="Z11" i="10"/>
  <c r="BI15" i="10"/>
  <c r="O10" i="10"/>
  <c r="R10" i="10" s="1"/>
  <c r="BO10" i="10"/>
  <c r="BN10" i="10"/>
  <c r="BT10" i="10" s="1"/>
  <c r="CA10" i="10"/>
  <c r="BS10" i="10"/>
  <c r="BM12" i="10"/>
  <c r="J12" i="10"/>
  <c r="BQ9" i="10"/>
  <c r="Q9" i="10"/>
  <c r="CB9" i="10"/>
  <c r="P9" i="10"/>
  <c r="BP9" i="10"/>
  <c r="BR11" i="10"/>
  <c r="BC14" i="10"/>
  <c r="BK13" i="10"/>
  <c r="G13" i="10"/>
  <c r="CI8" i="10"/>
  <c r="CO8" i="10"/>
  <c r="CH8" i="10"/>
  <c r="CT8" i="10"/>
  <c r="CU8" i="10"/>
  <c r="CR8" i="10"/>
  <c r="CG8" i="10"/>
  <c r="CC8" i="10"/>
  <c r="CF8" i="10"/>
  <c r="CV8" i="10"/>
  <c r="CN8" i="10"/>
  <c r="CP8" i="10"/>
  <c r="CJ8" i="10"/>
  <c r="CQ8" i="10"/>
  <c r="CE8" i="10"/>
  <c r="CM8" i="10"/>
  <c r="CS8" i="10"/>
  <c r="CD8" i="10"/>
  <c r="CL8" i="10"/>
  <c r="CK8" i="10"/>
  <c r="BL11" i="10"/>
  <c r="BV11" i="10"/>
  <c r="L11" i="10"/>
  <c r="H11" i="10" s="1"/>
  <c r="N11" i="10"/>
  <c r="BE11" i="10"/>
  <c r="BF11" i="10"/>
  <c r="AY13" i="10"/>
  <c r="BD13" i="10" s="1"/>
  <c r="BE13" i="10" s="1"/>
  <c r="E12" i="10"/>
  <c r="BA12" i="10"/>
  <c r="D13" i="10"/>
  <c r="BH12" i="10"/>
  <c r="BJ12" i="10"/>
  <c r="BG15" i="10"/>
  <c r="BD12" i="10"/>
  <c r="U9" i="10"/>
  <c r="I9" i="10"/>
  <c r="X9" i="10"/>
  <c r="AA9" i="10"/>
  <c r="AB9" i="10" s="1"/>
  <c r="CW7" i="10" l="1"/>
  <c r="S7" i="10"/>
  <c r="T7" i="10" s="1"/>
  <c r="K10" i="10"/>
  <c r="U10" i="10" s="1"/>
  <c r="BN11" i="10"/>
  <c r="BT11" i="10" s="1"/>
  <c r="O11" i="10"/>
  <c r="R11" i="10" s="1"/>
  <c r="BO11" i="10"/>
  <c r="CA11" i="10"/>
  <c r="BS11" i="10"/>
  <c r="CE9" i="10"/>
  <c r="CR9" i="10"/>
  <c r="CK9" i="10"/>
  <c r="CU9" i="10"/>
  <c r="CS9" i="10"/>
  <c r="CO9" i="10"/>
  <c r="CL9" i="10"/>
  <c r="CH9" i="10"/>
  <c r="CP9" i="10"/>
  <c r="CC9" i="10"/>
  <c r="CG9" i="10"/>
  <c r="CD9" i="10"/>
  <c r="CT9" i="10"/>
  <c r="CN9" i="10"/>
  <c r="CI9" i="10"/>
  <c r="CV9" i="10"/>
  <c r="CF9" i="10"/>
  <c r="CM9" i="10"/>
  <c r="CQ9" i="10"/>
  <c r="CJ9" i="10"/>
  <c r="BC15" i="10"/>
  <c r="G14" i="10"/>
  <c r="BK14" i="10"/>
  <c r="BR12" i="10"/>
  <c r="E13" i="10"/>
  <c r="BA13" i="10"/>
  <c r="AY14" i="10"/>
  <c r="BD14" i="10" s="1"/>
  <c r="D14" i="10"/>
  <c r="BH13" i="10"/>
  <c r="BJ13" i="10"/>
  <c r="S8" i="10"/>
  <c r="T8" i="10" s="1"/>
  <c r="CW8" i="10"/>
  <c r="DD12" i="10"/>
  <c r="Z12" i="10"/>
  <c r="AC9" i="10"/>
  <c r="AD9" i="10" s="1"/>
  <c r="AC8" i="10"/>
  <c r="AD8" i="10" s="1"/>
  <c r="N12" i="10"/>
  <c r="L12" i="10"/>
  <c r="H12" i="10" s="1"/>
  <c r="BV12" i="10"/>
  <c r="BL12" i="10"/>
  <c r="BF12" i="10"/>
  <c r="BE12" i="10"/>
  <c r="J13" i="10"/>
  <c r="BM13" i="10"/>
  <c r="P10" i="10"/>
  <c r="CB10" i="10"/>
  <c r="BQ10" i="10"/>
  <c r="Q10" i="10"/>
  <c r="BP10" i="10"/>
  <c r="BI16" i="10"/>
  <c r="DC13" i="10"/>
  <c r="CY14" i="10"/>
  <c r="Y14" i="10"/>
  <c r="CZ13" i="10"/>
  <c r="DA13" i="10" s="1"/>
  <c r="DB13" i="10" s="1"/>
  <c r="BG16" i="10"/>
  <c r="BW11" i="10"/>
  <c r="BZ11" i="10" s="1"/>
  <c r="M11" i="10"/>
  <c r="BX11" i="10"/>
  <c r="BF13" i="10"/>
  <c r="V9" i="10"/>
  <c r="W9" i="10" s="1"/>
  <c r="V8" i="10"/>
  <c r="W8" i="10" s="1"/>
  <c r="I10" i="10" l="1"/>
  <c r="X10" i="10"/>
  <c r="AA10" i="10"/>
  <c r="AB10" i="10" s="1"/>
  <c r="AC10" i="10" s="1"/>
  <c r="AD10" i="10" s="1"/>
  <c r="N13" i="10"/>
  <c r="BV13" i="10"/>
  <c r="M13" i="10" s="1"/>
  <c r="BL13" i="10"/>
  <c r="CA13" i="10" s="1"/>
  <c r="L13" i="10"/>
  <c r="H13" i="10" s="1"/>
  <c r="BF14" i="10"/>
  <c r="BE14" i="10"/>
  <c r="BN12" i="10"/>
  <c r="BT12" i="10" s="1"/>
  <c r="BO12" i="10"/>
  <c r="CA12" i="10"/>
  <c r="O12" i="10"/>
  <c r="R12" i="10" s="1"/>
  <c r="BS12" i="10"/>
  <c r="CC10" i="10"/>
  <c r="CK10" i="10"/>
  <c r="CD10" i="10"/>
  <c r="CE10" i="10"/>
  <c r="CV10" i="10"/>
  <c r="CO10" i="10"/>
  <c r="CL10" i="10"/>
  <c r="CN10" i="10"/>
  <c r="CJ10" i="10"/>
  <c r="CQ10" i="10"/>
  <c r="CM10" i="10"/>
  <c r="CS10" i="10"/>
  <c r="CP10" i="10"/>
  <c r="CF10" i="10"/>
  <c r="CH10" i="10"/>
  <c r="CI10" i="10"/>
  <c r="CR10" i="10"/>
  <c r="CG10" i="10"/>
  <c r="CT10" i="10"/>
  <c r="CU10" i="10"/>
  <c r="Y15" i="10"/>
  <c r="CZ14" i="10"/>
  <c r="DA14" i="10" s="1"/>
  <c r="DB14" i="10" s="1"/>
  <c r="CY15" i="10"/>
  <c r="DC14" i="10"/>
  <c r="K11" i="10"/>
  <c r="BY11" i="10"/>
  <c r="BG17" i="10"/>
  <c r="BI17" i="10"/>
  <c r="CW9" i="10"/>
  <c r="S9" i="10"/>
  <c r="T9" i="10" s="1"/>
  <c r="CB11" i="10"/>
  <c r="BQ11" i="10"/>
  <c r="Q11" i="10"/>
  <c r="P11" i="10"/>
  <c r="BP11" i="10"/>
  <c r="J14" i="10"/>
  <c r="BM14" i="10"/>
  <c r="Z13" i="10"/>
  <c r="DD13" i="10"/>
  <c r="BA14" i="10"/>
  <c r="AY15" i="10"/>
  <c r="BD15" i="10" s="1"/>
  <c r="D15" i="10"/>
  <c r="E14" i="10"/>
  <c r="BH14" i="10"/>
  <c r="BJ14" i="10"/>
  <c r="BC16" i="10"/>
  <c r="G15" i="10"/>
  <c r="BK15" i="10"/>
  <c r="V10" i="10"/>
  <c r="W10" i="10" s="1"/>
  <c r="M12" i="10"/>
  <c r="BW12" i="10"/>
  <c r="BZ12" i="10" s="1"/>
  <c r="BX12" i="10"/>
  <c r="BR13" i="10"/>
  <c r="BN13" i="10" l="1"/>
  <c r="BT13" i="10" s="1"/>
  <c r="BO13" i="10"/>
  <c r="CB13" i="10" s="1"/>
  <c r="BX13" i="10"/>
  <c r="K13" i="10" s="1"/>
  <c r="BW13" i="10"/>
  <c r="BZ13" i="10" s="1"/>
  <c r="BS13" i="10"/>
  <c r="O13" i="10"/>
  <c r="R13" i="10" s="1"/>
  <c r="BV14" i="10"/>
  <c r="M14" i="10" s="1"/>
  <c r="BR14" i="10"/>
  <c r="I11" i="10"/>
  <c r="U11" i="10"/>
  <c r="AA11" i="10"/>
  <c r="AB11" i="10" s="1"/>
  <c r="X11" i="10"/>
  <c r="BC17" i="10"/>
  <c r="BK16" i="10"/>
  <c r="G16" i="10"/>
  <c r="K12" i="10"/>
  <c r="BY12" i="10"/>
  <c r="S10" i="10"/>
  <c r="T10" i="10" s="1"/>
  <c r="CW10" i="10"/>
  <c r="BI18" i="10"/>
  <c r="BG18" i="10"/>
  <c r="Z14" i="10"/>
  <c r="DD14" i="10"/>
  <c r="BE15" i="10"/>
  <c r="CH11" i="10"/>
  <c r="CS11" i="10"/>
  <c r="CT11" i="10"/>
  <c r="CU11" i="10"/>
  <c r="CP11" i="10"/>
  <c r="CV11" i="10"/>
  <c r="CD11" i="10"/>
  <c r="CK11" i="10"/>
  <c r="CG11" i="10"/>
  <c r="CJ11" i="10"/>
  <c r="CF11" i="10"/>
  <c r="CM11" i="10"/>
  <c r="CR11" i="10"/>
  <c r="CC11" i="10"/>
  <c r="CI11" i="10"/>
  <c r="CN11" i="10"/>
  <c r="CO11" i="10"/>
  <c r="CQ11" i="10"/>
  <c r="CL11" i="10"/>
  <c r="CE11" i="10"/>
  <c r="CZ15" i="10"/>
  <c r="DA15" i="10" s="1"/>
  <c r="DB15" i="10" s="1"/>
  <c r="DC15" i="10"/>
  <c r="CY16" i="10"/>
  <c r="Y16" i="10"/>
  <c r="BL14" i="10"/>
  <c r="L14" i="10"/>
  <c r="H14" i="10" s="1"/>
  <c r="E15" i="10"/>
  <c r="AY16" i="10"/>
  <c r="BD16" i="10" s="1"/>
  <c r="D16" i="10"/>
  <c r="BA15" i="10"/>
  <c r="BJ15" i="10"/>
  <c r="BH15" i="10"/>
  <c r="BF15" i="10"/>
  <c r="N14" i="10"/>
  <c r="BM15" i="10"/>
  <c r="J15" i="10"/>
  <c r="CB12" i="10"/>
  <c r="P12" i="10"/>
  <c r="Q12" i="10"/>
  <c r="BQ12" i="10"/>
  <c r="BP12" i="10"/>
  <c r="L15" i="10" l="1"/>
  <c r="H15" i="10" s="1"/>
  <c r="BY13" i="10"/>
  <c r="BP13" i="10"/>
  <c r="P13" i="10"/>
  <c r="Q13" i="10"/>
  <c r="BQ13" i="10"/>
  <c r="BX14" i="10"/>
  <c r="BY14" i="10" s="1"/>
  <c r="BW14" i="10"/>
  <c r="BZ14" i="10" s="1"/>
  <c r="BC18" i="10"/>
  <c r="BK17" i="10"/>
  <c r="G17" i="10"/>
  <c r="BF16" i="10"/>
  <c r="CE12" i="10"/>
  <c r="CI12" i="10"/>
  <c r="CT12" i="10"/>
  <c r="CJ12" i="10"/>
  <c r="CU12" i="10"/>
  <c r="CL12" i="10"/>
  <c r="CK12" i="10"/>
  <c r="CH12" i="10"/>
  <c r="CD12" i="10"/>
  <c r="CO12" i="10"/>
  <c r="CG12" i="10"/>
  <c r="CQ12" i="10"/>
  <c r="CP12" i="10"/>
  <c r="CN12" i="10"/>
  <c r="CR12" i="10"/>
  <c r="CM12" i="10"/>
  <c r="CV12" i="10"/>
  <c r="CF12" i="10"/>
  <c r="CS12" i="10"/>
  <c r="CC12" i="10"/>
  <c r="BL15" i="10"/>
  <c r="I13" i="10"/>
  <c r="X13" i="10"/>
  <c r="AA13" i="10"/>
  <c r="AB13" i="10" s="1"/>
  <c r="U13" i="10"/>
  <c r="BI19" i="10"/>
  <c r="BV15" i="10"/>
  <c r="BE16" i="10"/>
  <c r="CJ13" i="10"/>
  <c r="CL13" i="10"/>
  <c r="CT13" i="10"/>
  <c r="CU13" i="10"/>
  <c r="CR13" i="10"/>
  <c r="CH13" i="10"/>
  <c r="CS13" i="10"/>
  <c r="CK13" i="10"/>
  <c r="CE13" i="10"/>
  <c r="CF13" i="10"/>
  <c r="CO13" i="10"/>
  <c r="CM13" i="10"/>
  <c r="CN13" i="10"/>
  <c r="CD13" i="10"/>
  <c r="CI13" i="10"/>
  <c r="CG13" i="10"/>
  <c r="CQ13" i="10"/>
  <c r="CV13" i="10"/>
  <c r="CC13" i="10"/>
  <c r="CP13" i="10"/>
  <c r="O14" i="10"/>
  <c r="R14" i="10" s="1"/>
  <c r="BN14" i="10"/>
  <c r="BT14" i="10" s="1"/>
  <c r="BO14" i="10"/>
  <c r="CA14" i="10"/>
  <c r="BS14" i="10"/>
  <c r="AC11" i="10"/>
  <c r="AD11" i="10" s="1"/>
  <c r="CY17" i="10"/>
  <c r="Y17" i="10"/>
  <c r="CZ16" i="10"/>
  <c r="DA16" i="10" s="1"/>
  <c r="DB16" i="10" s="1"/>
  <c r="DC16" i="10"/>
  <c r="V11" i="10"/>
  <c r="W11" i="10" s="1"/>
  <c r="BG19" i="10"/>
  <c r="N15" i="10"/>
  <c r="D17" i="10"/>
  <c r="AY17" i="10"/>
  <c r="E16" i="10"/>
  <c r="BA16" i="10"/>
  <c r="BJ16" i="10"/>
  <c r="BH16" i="10"/>
  <c r="S11" i="10"/>
  <c r="T11" i="10" s="1"/>
  <c r="CW11" i="10"/>
  <c r="U12" i="10"/>
  <c r="V12" i="10" s="1"/>
  <c r="W12" i="10" s="1"/>
  <c r="AA12" i="10"/>
  <c r="AB12" i="10" s="1"/>
  <c r="AC12" i="10" s="1"/>
  <c r="AD12" i="10" s="1"/>
  <c r="X12" i="10"/>
  <c r="I12" i="10"/>
  <c r="BR15" i="10"/>
  <c r="DD15" i="10"/>
  <c r="Z15" i="10"/>
  <c r="BM16" i="10"/>
  <c r="J16" i="10"/>
  <c r="K14" i="10" l="1"/>
  <c r="U14" i="10" s="1"/>
  <c r="N16" i="10"/>
  <c r="Z16" i="10"/>
  <c r="DD16" i="10"/>
  <c r="CA15" i="10"/>
  <c r="O15" i="10"/>
  <c r="R15" i="10" s="1"/>
  <c r="BO15" i="10"/>
  <c r="BN15" i="10"/>
  <c r="BT15" i="10" s="1"/>
  <c r="BS15" i="10"/>
  <c r="BV16" i="10"/>
  <c r="AY18" i="10"/>
  <c r="BD18" i="10" s="1"/>
  <c r="BE18" i="10" s="1"/>
  <c r="E17" i="10"/>
  <c r="D18" i="10"/>
  <c r="BA17" i="10"/>
  <c r="BH17" i="10"/>
  <c r="BJ17" i="10"/>
  <c r="BR16" i="10"/>
  <c r="BW15" i="10"/>
  <c r="BZ15" i="10" s="1"/>
  <c r="M15" i="10"/>
  <c r="BX15" i="10"/>
  <c r="CW13" i="10"/>
  <c r="S13" i="10"/>
  <c r="T13" i="10" s="1"/>
  <c r="BL16" i="10"/>
  <c r="CY18" i="10"/>
  <c r="DC17" i="10"/>
  <c r="Y18" i="10"/>
  <c r="CZ17" i="10"/>
  <c r="DA17" i="10" s="1"/>
  <c r="DB17" i="10" s="1"/>
  <c r="BD17" i="10"/>
  <c r="Q14" i="10"/>
  <c r="BQ14" i="10"/>
  <c r="P14" i="10"/>
  <c r="CB14" i="10"/>
  <c r="BP14" i="10"/>
  <c r="AC13" i="10"/>
  <c r="AD13" i="10" s="1"/>
  <c r="BG20" i="10"/>
  <c r="BM17" i="10"/>
  <c r="J17" i="10"/>
  <c r="L16" i="10"/>
  <c r="H16" i="10" s="1"/>
  <c r="CW12" i="10"/>
  <c r="S12" i="10"/>
  <c r="T12" i="10" s="1"/>
  <c r="V13" i="10"/>
  <c r="W13" i="10" s="1"/>
  <c r="BI20" i="10"/>
  <c r="BK18" i="10"/>
  <c r="G18" i="10"/>
  <c r="BC19" i="10"/>
  <c r="AA14" i="10" l="1"/>
  <c r="AB14" i="10" s="1"/>
  <c r="AC14" i="10" s="1"/>
  <c r="AD14" i="10" s="1"/>
  <c r="I14" i="10"/>
  <c r="BF18" i="10"/>
  <c r="X14" i="10"/>
  <c r="BC20" i="10"/>
  <c r="BK19" i="10"/>
  <c r="G19" i="10"/>
  <c r="BR17" i="10"/>
  <c r="BG21" i="10"/>
  <c r="CV14" i="10"/>
  <c r="CC14" i="10"/>
  <c r="CP14" i="10"/>
  <c r="CG14" i="10"/>
  <c r="CJ14" i="10"/>
  <c r="CQ14" i="10"/>
  <c r="CT14" i="10"/>
  <c r="CD14" i="10"/>
  <c r="CN14" i="10"/>
  <c r="CF14" i="10"/>
  <c r="CM14" i="10"/>
  <c r="CO14" i="10"/>
  <c r="CU14" i="10"/>
  <c r="CR14" i="10"/>
  <c r="CI14" i="10"/>
  <c r="CL14" i="10"/>
  <c r="CS14" i="10"/>
  <c r="CE14" i="10"/>
  <c r="CH14" i="10"/>
  <c r="CK14" i="10"/>
  <c r="V14" i="10"/>
  <c r="W14" i="10" s="1"/>
  <c r="L17" i="10"/>
  <c r="H17" i="10" s="1"/>
  <c r="N17" i="10"/>
  <c r="BV17" i="10"/>
  <c r="BL17" i="10"/>
  <c r="BE17" i="10"/>
  <c r="BF17" i="10"/>
  <c r="CB15" i="10"/>
  <c r="P15" i="10"/>
  <c r="Q15" i="10"/>
  <c r="BQ15" i="10"/>
  <c r="BP15" i="10"/>
  <c r="Z17" i="10"/>
  <c r="DD17" i="10"/>
  <c r="BW16" i="10"/>
  <c r="BZ16" i="10" s="1"/>
  <c r="M16" i="10"/>
  <c r="BX16" i="10"/>
  <c r="BM18" i="10"/>
  <c r="J18" i="10"/>
  <c r="CZ18" i="10"/>
  <c r="DA18" i="10" s="1"/>
  <c r="DB18" i="10" s="1"/>
  <c r="Y19" i="10"/>
  <c r="CY19" i="10"/>
  <c r="DC18" i="10"/>
  <c r="O16" i="10"/>
  <c r="R16" i="10" s="1"/>
  <c r="BN16" i="10"/>
  <c r="BT16" i="10" s="1"/>
  <c r="BO16" i="10"/>
  <c r="CA16" i="10"/>
  <c r="BS16" i="10"/>
  <c r="BI21" i="10"/>
  <c r="BY15" i="10"/>
  <c r="K15" i="10"/>
  <c r="E18" i="10"/>
  <c r="BA18" i="10"/>
  <c r="AY19" i="10"/>
  <c r="D19" i="10"/>
  <c r="BJ18" i="10"/>
  <c r="BH18" i="10"/>
  <c r="N18" i="10" l="1"/>
  <c r="BL18" i="10"/>
  <c r="BS18" i="10" s="1"/>
  <c r="CO15" i="10"/>
  <c r="CC15" i="10"/>
  <c r="CK15" i="10"/>
  <c r="CQ15" i="10"/>
  <c r="CU15" i="10"/>
  <c r="CS15" i="10"/>
  <c r="CI15" i="10"/>
  <c r="CL15" i="10"/>
  <c r="CJ15" i="10"/>
  <c r="CG15" i="10"/>
  <c r="CN15" i="10"/>
  <c r="CH15" i="10"/>
  <c r="CV15" i="10"/>
  <c r="CF15" i="10"/>
  <c r="CE15" i="10"/>
  <c r="CP15" i="10"/>
  <c r="CT15" i="10"/>
  <c r="CR15" i="10"/>
  <c r="CD15" i="10"/>
  <c r="CM15" i="10"/>
  <c r="CA17" i="10"/>
  <c r="BO17" i="10"/>
  <c r="O17" i="10"/>
  <c r="R17" i="10" s="1"/>
  <c r="BN17" i="10"/>
  <c r="BT17" i="10" s="1"/>
  <c r="BS17" i="10"/>
  <c r="BQ16" i="10"/>
  <c r="P16" i="10"/>
  <c r="CB16" i="10"/>
  <c r="Q16" i="10"/>
  <c r="BP16" i="10"/>
  <c r="J19" i="10"/>
  <c r="BM19" i="10"/>
  <c r="D20" i="10"/>
  <c r="E19" i="10"/>
  <c r="AY20" i="10"/>
  <c r="BA19" i="10"/>
  <c r="BJ19" i="10"/>
  <c r="BH19" i="10"/>
  <c r="BV18" i="10"/>
  <c r="M17" i="10"/>
  <c r="BW17" i="10"/>
  <c r="BZ17" i="10" s="1"/>
  <c r="BX17" i="10"/>
  <c r="Z18" i="10"/>
  <c r="DD18" i="10"/>
  <c r="L18" i="10"/>
  <c r="H18" i="10" s="1"/>
  <c r="BI22" i="10"/>
  <c r="BR18" i="10"/>
  <c r="BY16" i="10"/>
  <c r="K16" i="10"/>
  <c r="CW14" i="10"/>
  <c r="S14" i="10"/>
  <c r="T14" i="10" s="1"/>
  <c r="BG22" i="10"/>
  <c r="BD19" i="10"/>
  <c r="Y20" i="10"/>
  <c r="CY20" i="10"/>
  <c r="DC19" i="10"/>
  <c r="CZ19" i="10"/>
  <c r="DA19" i="10" s="1"/>
  <c r="DB19" i="10" s="1"/>
  <c r="X15" i="10"/>
  <c r="I15" i="10"/>
  <c r="AA15" i="10"/>
  <c r="AB15" i="10" s="1"/>
  <c r="U15" i="10"/>
  <c r="BC21" i="10"/>
  <c r="BK20" i="10"/>
  <c r="G20" i="10"/>
  <c r="CA18" i="10" l="1"/>
  <c r="BN18" i="10"/>
  <c r="BT18" i="10" s="1"/>
  <c r="O18" i="10"/>
  <c r="R18" i="10" s="1"/>
  <c r="AC15" i="10"/>
  <c r="AD15" i="10" s="1"/>
  <c r="BM20" i="10"/>
  <c r="J20" i="10"/>
  <c r="BI23" i="10"/>
  <c r="BA20" i="10"/>
  <c r="AY21" i="10"/>
  <c r="E20" i="10"/>
  <c r="D21" i="10"/>
  <c r="BJ20" i="10"/>
  <c r="BH20" i="10"/>
  <c r="BQ17" i="10"/>
  <c r="CB17" i="10"/>
  <c r="P17" i="10"/>
  <c r="Q17" i="10"/>
  <c r="BP17" i="10"/>
  <c r="CY21" i="10"/>
  <c r="Y21" i="10"/>
  <c r="CZ20" i="10"/>
  <c r="DA20" i="10" s="1"/>
  <c r="DB20" i="10" s="1"/>
  <c r="DC20" i="10"/>
  <c r="BG23" i="10"/>
  <c r="BR19" i="10"/>
  <c r="BW18" i="10"/>
  <c r="BZ18" i="10" s="1"/>
  <c r="M18" i="10"/>
  <c r="BX18" i="10"/>
  <c r="DD19" i="10"/>
  <c r="Z19" i="10"/>
  <c r="CM16" i="10"/>
  <c r="CU16" i="10"/>
  <c r="CP16" i="10"/>
  <c r="CJ16" i="10"/>
  <c r="CO16" i="10"/>
  <c r="CG16" i="10"/>
  <c r="CT16" i="10"/>
  <c r="CE16" i="10"/>
  <c r="CH16" i="10"/>
  <c r="CC16" i="10"/>
  <c r="CK16" i="10"/>
  <c r="CI16" i="10"/>
  <c r="CS16" i="10"/>
  <c r="CL16" i="10"/>
  <c r="CN16" i="10"/>
  <c r="CQ16" i="10"/>
  <c r="CV16" i="10"/>
  <c r="CD16" i="10"/>
  <c r="CF16" i="10"/>
  <c r="CR16" i="10"/>
  <c r="BL19" i="10"/>
  <c r="BV19" i="10"/>
  <c r="N19" i="10"/>
  <c r="L19" i="10"/>
  <c r="H19" i="10" s="1"/>
  <c r="BF19" i="10"/>
  <c r="BE19" i="10"/>
  <c r="BO18" i="10"/>
  <c r="CW15" i="10"/>
  <c r="S15" i="10"/>
  <c r="T15" i="10" s="1"/>
  <c r="AA16" i="10"/>
  <c r="AB16" i="10" s="1"/>
  <c r="X16" i="10"/>
  <c r="I16" i="10"/>
  <c r="U16" i="10"/>
  <c r="V16" i="10" s="1"/>
  <c r="W16" i="10" s="1"/>
  <c r="BY17" i="10"/>
  <c r="K17" i="10"/>
  <c r="BK21" i="10"/>
  <c r="BC22" i="10"/>
  <c r="G21" i="10"/>
  <c r="BD20" i="10"/>
  <c r="V15" i="10"/>
  <c r="W15" i="10" s="1"/>
  <c r="BO19" i="10" l="1"/>
  <c r="CA19" i="10"/>
  <c r="BN19" i="10"/>
  <c r="BT19" i="10" s="1"/>
  <c r="O19" i="10"/>
  <c r="R19" i="10" s="1"/>
  <c r="BS19" i="10"/>
  <c r="BY18" i="10"/>
  <c r="K18" i="10"/>
  <c r="BW19" i="10"/>
  <c r="BZ19" i="10" s="1"/>
  <c r="M19" i="10"/>
  <c r="BX19" i="10"/>
  <c r="Y22" i="10"/>
  <c r="DC21" i="10"/>
  <c r="CZ21" i="10"/>
  <c r="DA21" i="10" s="1"/>
  <c r="DB21" i="10" s="1"/>
  <c r="CY22" i="10"/>
  <c r="L20" i="10"/>
  <c r="H20" i="10" s="1"/>
  <c r="BL20" i="10"/>
  <c r="BV20" i="10"/>
  <c r="N20" i="10"/>
  <c r="BF20" i="10"/>
  <c r="BE20" i="10"/>
  <c r="BG24" i="10"/>
  <c r="DD20" i="10"/>
  <c r="Z20" i="10"/>
  <c r="S16" i="10"/>
  <c r="T16" i="10" s="1"/>
  <c r="CW16" i="10"/>
  <c r="CH17" i="10"/>
  <c r="CD17" i="10"/>
  <c r="CR17" i="10"/>
  <c r="CI17" i="10"/>
  <c r="CU17" i="10"/>
  <c r="CF17" i="10"/>
  <c r="CQ17" i="10"/>
  <c r="CJ17" i="10"/>
  <c r="CP17" i="10"/>
  <c r="CN17" i="10"/>
  <c r="CO17" i="10"/>
  <c r="CE17" i="10"/>
  <c r="CL17" i="10"/>
  <c r="CS17" i="10"/>
  <c r="CC17" i="10"/>
  <c r="CK17" i="10"/>
  <c r="CT17" i="10"/>
  <c r="CG17" i="10"/>
  <c r="CM17" i="10"/>
  <c r="CV17" i="10"/>
  <c r="BR20" i="10"/>
  <c r="G22" i="10"/>
  <c r="BK22" i="10"/>
  <c r="BC23" i="10"/>
  <c r="J21" i="10"/>
  <c r="BM21" i="10"/>
  <c r="U17" i="10"/>
  <c r="V17" i="10" s="1"/>
  <c r="W17" i="10" s="1"/>
  <c r="I17" i="10"/>
  <c r="X17" i="10"/>
  <c r="AA17" i="10"/>
  <c r="AB17" i="10" s="1"/>
  <c r="AC17" i="10" s="1"/>
  <c r="AD17" i="10" s="1"/>
  <c r="AY22" i="10"/>
  <c r="BD22" i="10" s="1"/>
  <c r="E21" i="10"/>
  <c r="D22" i="10"/>
  <c r="BA21" i="10"/>
  <c r="BH21" i="10"/>
  <c r="BJ21" i="10"/>
  <c r="BI24" i="10"/>
  <c r="BQ18" i="10"/>
  <c r="P18" i="10"/>
  <c r="Q18" i="10"/>
  <c r="CB18" i="10"/>
  <c r="BP18" i="10"/>
  <c r="BD21" i="10"/>
  <c r="AC16" i="10"/>
  <c r="AD16" i="10" s="1"/>
  <c r="BF22" i="10" l="1"/>
  <c r="BE22" i="10"/>
  <c r="K19" i="10"/>
  <c r="BY19" i="10"/>
  <c r="J22" i="10"/>
  <c r="BM22" i="10"/>
  <c r="CW17" i="10"/>
  <c r="S17" i="10"/>
  <c r="T17" i="10" s="1"/>
  <c r="I18" i="10"/>
  <c r="U18" i="10"/>
  <c r="AA18" i="10"/>
  <c r="AB18" i="10" s="1"/>
  <c r="AC18" i="10" s="1"/>
  <c r="AD18" i="10" s="1"/>
  <c r="X18" i="10"/>
  <c r="N21" i="10"/>
  <c r="L21" i="10"/>
  <c r="H21" i="10" s="1"/>
  <c r="BL21" i="10"/>
  <c r="BV21" i="10"/>
  <c r="BE21" i="10"/>
  <c r="BF21" i="10"/>
  <c r="CO18" i="10"/>
  <c r="CS18" i="10"/>
  <c r="CE18" i="10"/>
  <c r="CJ18" i="10"/>
  <c r="CT18" i="10"/>
  <c r="CH18" i="10"/>
  <c r="CQ18" i="10"/>
  <c r="CF18" i="10"/>
  <c r="CU18" i="10"/>
  <c r="CD18" i="10"/>
  <c r="CN18" i="10"/>
  <c r="CR18" i="10"/>
  <c r="CP18" i="10"/>
  <c r="CK18" i="10"/>
  <c r="CM18" i="10"/>
  <c r="CG18" i="10"/>
  <c r="CV18" i="10"/>
  <c r="CL18" i="10"/>
  <c r="CC18" i="10"/>
  <c r="CI18" i="10"/>
  <c r="M20" i="10"/>
  <c r="BW20" i="10"/>
  <c r="BZ20" i="10" s="1"/>
  <c r="BX20" i="10"/>
  <c r="BO20" i="10"/>
  <c r="CA20" i="10"/>
  <c r="BN20" i="10"/>
  <c r="BT20" i="10" s="1"/>
  <c r="O20" i="10"/>
  <c r="R20" i="10" s="1"/>
  <c r="BS20" i="10"/>
  <c r="BC24" i="10"/>
  <c r="G23" i="10"/>
  <c r="BK23" i="10"/>
  <c r="CY23" i="10"/>
  <c r="CZ22" i="10"/>
  <c r="DA22" i="10" s="1"/>
  <c r="DB22" i="10" s="1"/>
  <c r="DC22" i="10"/>
  <c r="Y23" i="10"/>
  <c r="BG25" i="10"/>
  <c r="E22" i="10"/>
  <c r="D23" i="10"/>
  <c r="BA22" i="10"/>
  <c r="AY23" i="10"/>
  <c r="BD23" i="10" s="1"/>
  <c r="BH22" i="10"/>
  <c r="BJ22" i="10"/>
  <c r="BI25" i="10"/>
  <c r="BR21" i="10"/>
  <c r="Z21" i="10"/>
  <c r="DD21" i="10"/>
  <c r="BQ19" i="10"/>
  <c r="CB19" i="10"/>
  <c r="P19" i="10"/>
  <c r="Q19" i="10"/>
  <c r="BP19" i="10"/>
  <c r="N22" i="10" l="1"/>
  <c r="BE23" i="10"/>
  <c r="BF23" i="10"/>
  <c r="BW21" i="10"/>
  <c r="BZ21" i="10" s="1"/>
  <c r="M21" i="10"/>
  <c r="BX21" i="10"/>
  <c r="BG26" i="10"/>
  <c r="L22" i="10"/>
  <c r="H22" i="10" s="1"/>
  <c r="BL22" i="10"/>
  <c r="BM23" i="10"/>
  <c r="J23" i="10"/>
  <c r="BO21" i="10"/>
  <c r="CA21" i="10"/>
  <c r="BN21" i="10"/>
  <c r="BT21" i="10" s="1"/>
  <c r="O21" i="10"/>
  <c r="R21" i="10" s="1"/>
  <c r="BS21" i="10"/>
  <c r="S18" i="10"/>
  <c r="T18" i="10" s="1"/>
  <c r="CW18" i="10"/>
  <c r="I19" i="10"/>
  <c r="AA19" i="10"/>
  <c r="AB19" i="10" s="1"/>
  <c r="AC19" i="10" s="1"/>
  <c r="AD19" i="10" s="1"/>
  <c r="X19" i="10"/>
  <c r="U19" i="10"/>
  <c r="V19" i="10" s="1"/>
  <c r="W19" i="10" s="1"/>
  <c r="Z22" i="10"/>
  <c r="DD22" i="10"/>
  <c r="BI26" i="10"/>
  <c r="CY24" i="10"/>
  <c r="Y24" i="10"/>
  <c r="CZ23" i="10"/>
  <c r="DA23" i="10" s="1"/>
  <c r="DB23" i="10" s="1"/>
  <c r="DC23" i="10"/>
  <c r="BQ20" i="10"/>
  <c r="CB20" i="10"/>
  <c r="P20" i="10"/>
  <c r="Q20" i="10"/>
  <c r="BP20" i="10"/>
  <c r="BV22" i="10"/>
  <c r="BR22" i="10"/>
  <c r="CD19" i="10"/>
  <c r="CE19" i="10"/>
  <c r="CO19" i="10"/>
  <c r="CV19" i="10"/>
  <c r="CT19" i="10"/>
  <c r="CF19" i="10"/>
  <c r="CN19" i="10"/>
  <c r="CP19" i="10"/>
  <c r="CM19" i="10"/>
  <c r="CK19" i="10"/>
  <c r="CH19" i="10"/>
  <c r="CL19" i="10"/>
  <c r="CR19" i="10"/>
  <c r="CI19" i="10"/>
  <c r="CS19" i="10"/>
  <c r="CC19" i="10"/>
  <c r="CJ19" i="10"/>
  <c r="CQ19" i="10"/>
  <c r="CG19" i="10"/>
  <c r="CU19" i="10"/>
  <c r="AY24" i="10"/>
  <c r="BD24" i="10" s="1"/>
  <c r="D24" i="10"/>
  <c r="BA23" i="10"/>
  <c r="E23" i="10"/>
  <c r="BJ23" i="10"/>
  <c r="BH23" i="10"/>
  <c r="BK24" i="10"/>
  <c r="G24" i="10"/>
  <c r="BC25" i="10"/>
  <c r="V18" i="10"/>
  <c r="W18" i="10" s="1"/>
  <c r="BY20" i="10"/>
  <c r="K20" i="10"/>
  <c r="BV23" i="10" l="1"/>
  <c r="M23" i="10" s="1"/>
  <c r="N23" i="10"/>
  <c r="L23" i="10"/>
  <c r="H23" i="10" s="1"/>
  <c r="BF24" i="10"/>
  <c r="BE24" i="10"/>
  <c r="K21" i="10"/>
  <c r="BY21" i="10"/>
  <c r="BR23" i="10"/>
  <c r="BA24" i="10"/>
  <c r="AY25" i="10"/>
  <c r="BD25" i="10" s="1"/>
  <c r="BE25" i="10" s="1"/>
  <c r="E24" i="10"/>
  <c r="D25" i="10"/>
  <c r="BJ24" i="10"/>
  <c r="BH24" i="10"/>
  <c r="BW22" i="10"/>
  <c r="BZ22" i="10" s="1"/>
  <c r="M22" i="10"/>
  <c r="BX22" i="10"/>
  <c r="Q21" i="10"/>
  <c r="P21" i="10"/>
  <c r="BQ21" i="10"/>
  <c r="CB21" i="10"/>
  <c r="BP21" i="10"/>
  <c r="U20" i="10"/>
  <c r="X20" i="10"/>
  <c r="AA20" i="10"/>
  <c r="AB20" i="10" s="1"/>
  <c r="I20" i="10"/>
  <c r="BI27" i="10"/>
  <c r="S19" i="10"/>
  <c r="T19" i="10" s="1"/>
  <c r="CW19" i="10"/>
  <c r="CV20" i="10"/>
  <c r="CQ20" i="10"/>
  <c r="CM20" i="10"/>
  <c r="CE20" i="10"/>
  <c r="CK20" i="10"/>
  <c r="CJ20" i="10"/>
  <c r="CF20" i="10"/>
  <c r="CH20" i="10"/>
  <c r="CD20" i="10"/>
  <c r="CN20" i="10"/>
  <c r="CC20" i="10"/>
  <c r="CL20" i="10"/>
  <c r="CR20" i="10"/>
  <c r="CU20" i="10"/>
  <c r="CG20" i="10"/>
  <c r="CI20" i="10"/>
  <c r="CP20" i="10"/>
  <c r="CT20" i="10"/>
  <c r="CO20" i="10"/>
  <c r="CS20" i="10"/>
  <c r="Z23" i="10"/>
  <c r="DD23" i="10"/>
  <c r="BL23" i="10"/>
  <c r="CZ24" i="10"/>
  <c r="DA24" i="10" s="1"/>
  <c r="DB24" i="10" s="1"/>
  <c r="DC24" i="10"/>
  <c r="Y25" i="10"/>
  <c r="CY25" i="10"/>
  <c r="BC26" i="10"/>
  <c r="G25" i="10"/>
  <c r="BK25" i="10"/>
  <c r="J24" i="10"/>
  <c r="BM24" i="10"/>
  <c r="BN22" i="10"/>
  <c r="BT22" i="10" s="1"/>
  <c r="BO22" i="10"/>
  <c r="O22" i="10"/>
  <c r="R22" i="10" s="1"/>
  <c r="CA22" i="10"/>
  <c r="BS22" i="10"/>
  <c r="BG27" i="10"/>
  <c r="BW23" i="10" l="1"/>
  <c r="BZ23" i="10" s="1"/>
  <c r="BX23" i="10"/>
  <c r="K23" i="10" s="1"/>
  <c r="L24" i="10"/>
  <c r="H24" i="10" s="1"/>
  <c r="BG28" i="10"/>
  <c r="K22" i="10"/>
  <c r="BY22" i="10"/>
  <c r="BV24" i="10"/>
  <c r="BM25" i="10"/>
  <c r="J25" i="10"/>
  <c r="BF25" i="10"/>
  <c r="P22" i="10"/>
  <c r="CB22" i="10"/>
  <c r="Q22" i="10"/>
  <c r="BQ22" i="10"/>
  <c r="BP22" i="10"/>
  <c r="E25" i="10"/>
  <c r="D26" i="10"/>
  <c r="BA25" i="10"/>
  <c r="AY26" i="10"/>
  <c r="BD26" i="10" s="1"/>
  <c r="BH25" i="10"/>
  <c r="BJ25" i="10"/>
  <c r="BL24" i="10"/>
  <c r="BC27" i="10"/>
  <c r="BK26" i="10"/>
  <c r="G26" i="10"/>
  <c r="DC25" i="10"/>
  <c r="CZ25" i="10"/>
  <c r="DA25" i="10" s="1"/>
  <c r="DB25" i="10" s="1"/>
  <c r="CY26" i="10"/>
  <c r="Y26" i="10"/>
  <c r="CP21" i="10"/>
  <c r="CD21" i="10"/>
  <c r="CT21" i="10"/>
  <c r="CG21" i="10"/>
  <c r="CI21" i="10"/>
  <c r="CN21" i="10"/>
  <c r="CJ21" i="10"/>
  <c r="CR21" i="10"/>
  <c r="CF21" i="10"/>
  <c r="CQ21" i="10"/>
  <c r="CU21" i="10"/>
  <c r="CK21" i="10"/>
  <c r="CE21" i="10"/>
  <c r="CM21" i="10"/>
  <c r="CH21" i="10"/>
  <c r="CL21" i="10"/>
  <c r="CS21" i="10"/>
  <c r="CV21" i="10"/>
  <c r="CO21" i="10"/>
  <c r="CC21" i="10"/>
  <c r="AA21" i="10"/>
  <c r="AB21" i="10" s="1"/>
  <c r="U21" i="10"/>
  <c r="V21" i="10" s="1"/>
  <c r="W21" i="10" s="1"/>
  <c r="I21" i="10"/>
  <c r="X21" i="10"/>
  <c r="V20" i="10"/>
  <c r="W20" i="10" s="1"/>
  <c r="N24" i="10"/>
  <c r="DD24" i="10"/>
  <c r="Z24" i="10"/>
  <c r="BR24" i="10"/>
  <c r="BN23" i="10"/>
  <c r="BT23" i="10" s="1"/>
  <c r="BO23" i="10"/>
  <c r="CA23" i="10"/>
  <c r="O23" i="10"/>
  <c r="R23" i="10" s="1"/>
  <c r="BS23" i="10"/>
  <c r="CW20" i="10"/>
  <c r="S20" i="10"/>
  <c r="T20" i="10" s="1"/>
  <c r="AC20" i="10"/>
  <c r="AD20" i="10" s="1"/>
  <c r="BI28" i="10"/>
  <c r="BY23" i="10" l="1"/>
  <c r="BV25" i="10"/>
  <c r="BW25" i="10" s="1"/>
  <c r="BZ25" i="10" s="1"/>
  <c r="BL25" i="10"/>
  <c r="BN25" i="10" s="1"/>
  <c r="BT25" i="10" s="1"/>
  <c r="BF26" i="10"/>
  <c r="BE26" i="10"/>
  <c r="M24" i="10"/>
  <c r="BW24" i="10"/>
  <c r="BZ24" i="10" s="1"/>
  <c r="BX24" i="10"/>
  <c r="AC21" i="10"/>
  <c r="AD21" i="10" s="1"/>
  <c r="BI29" i="10"/>
  <c r="L25" i="10"/>
  <c r="H25" i="10" s="1"/>
  <c r="N25" i="10"/>
  <c r="Z25" i="10"/>
  <c r="DD25" i="10"/>
  <c r="S21" i="10"/>
  <c r="T21" i="10" s="1"/>
  <c r="CW21" i="10"/>
  <c r="P23" i="10"/>
  <c r="CB23" i="10"/>
  <c r="BQ23" i="10"/>
  <c r="Q23" i="10"/>
  <c r="BP23" i="10"/>
  <c r="BK27" i="10"/>
  <c r="BC28" i="10"/>
  <c r="G27" i="10"/>
  <c r="CM22" i="10"/>
  <c r="CF22" i="10"/>
  <c r="CV22" i="10"/>
  <c r="CU22" i="10"/>
  <c r="CK22" i="10"/>
  <c r="CN22" i="10"/>
  <c r="CP22" i="10"/>
  <c r="CC22" i="10"/>
  <c r="CO22" i="10"/>
  <c r="CE22" i="10"/>
  <c r="CT22" i="10"/>
  <c r="CR22" i="10"/>
  <c r="CS22" i="10"/>
  <c r="CL22" i="10"/>
  <c r="CJ22" i="10"/>
  <c r="CG22" i="10"/>
  <c r="CD22" i="10"/>
  <c r="CQ22" i="10"/>
  <c r="CH22" i="10"/>
  <c r="CI22" i="10"/>
  <c r="BG29" i="10"/>
  <c r="CA24" i="10"/>
  <c r="BO24" i="10"/>
  <c r="O24" i="10"/>
  <c r="R24" i="10" s="1"/>
  <c r="BN24" i="10"/>
  <c r="BT24" i="10" s="1"/>
  <c r="BS24" i="10"/>
  <c r="DC26" i="10"/>
  <c r="CZ26" i="10"/>
  <c r="DA26" i="10" s="1"/>
  <c r="DB26" i="10" s="1"/>
  <c r="CY27" i="10"/>
  <c r="Y27" i="10"/>
  <c r="E26" i="10"/>
  <c r="BA26" i="10"/>
  <c r="D27" i="10"/>
  <c r="AY27" i="10"/>
  <c r="BH26" i="10"/>
  <c r="BJ26" i="10"/>
  <c r="BR25" i="10"/>
  <c r="J26" i="10"/>
  <c r="BM26" i="10"/>
  <c r="X22" i="10"/>
  <c r="U22" i="10"/>
  <c r="V22" i="10" s="1"/>
  <c r="W22" i="10" s="1"/>
  <c r="I22" i="10"/>
  <c r="AA22" i="10"/>
  <c r="AB22" i="10" s="1"/>
  <c r="AA23" i="10"/>
  <c r="AB23" i="10" s="1"/>
  <c r="I23" i="10"/>
  <c r="U23" i="10"/>
  <c r="X23" i="10"/>
  <c r="N26" i="10" l="1"/>
  <c r="M25" i="10"/>
  <c r="BX25" i="10"/>
  <c r="K25" i="10" s="1"/>
  <c r="L26" i="10"/>
  <c r="H26" i="10" s="1"/>
  <c r="BV26" i="10"/>
  <c r="M26" i="10" s="1"/>
  <c r="O25" i="10"/>
  <c r="R25" i="10" s="1"/>
  <c r="BO25" i="10"/>
  <c r="BP25" i="10" s="1"/>
  <c r="BS25" i="10"/>
  <c r="CA25" i="10"/>
  <c r="BL26" i="10"/>
  <c r="BN26" i="10" s="1"/>
  <c r="BT26" i="10" s="1"/>
  <c r="AC23" i="10"/>
  <c r="AD23" i="10" s="1"/>
  <c r="BR26" i="10"/>
  <c r="BI30" i="10"/>
  <c r="DC27" i="10"/>
  <c r="Y28" i="10"/>
  <c r="CY28" i="10"/>
  <c r="CZ27" i="10"/>
  <c r="DA27" i="10" s="1"/>
  <c r="DB27" i="10" s="1"/>
  <c r="DD26" i="10"/>
  <c r="Z26" i="10"/>
  <c r="CM23" i="10"/>
  <c r="CD23" i="10"/>
  <c r="CK23" i="10"/>
  <c r="CV23" i="10"/>
  <c r="CT23" i="10"/>
  <c r="CC23" i="10"/>
  <c r="CN23" i="10"/>
  <c r="CO23" i="10"/>
  <c r="CG23" i="10"/>
  <c r="CE23" i="10"/>
  <c r="CU23" i="10"/>
  <c r="CH23" i="10"/>
  <c r="CF23" i="10"/>
  <c r="CI23" i="10"/>
  <c r="CJ23" i="10"/>
  <c r="CP23" i="10"/>
  <c r="CS23" i="10"/>
  <c r="CQ23" i="10"/>
  <c r="CR23" i="10"/>
  <c r="CL23" i="10"/>
  <c r="CW22" i="10"/>
  <c r="S22" i="10"/>
  <c r="T22" i="10" s="1"/>
  <c r="BY24" i="10"/>
  <c r="K24" i="10"/>
  <c r="Q24" i="10"/>
  <c r="P24" i="10"/>
  <c r="CB24" i="10"/>
  <c r="BQ24" i="10"/>
  <c r="BP24" i="10"/>
  <c r="AC22" i="10"/>
  <c r="AD22" i="10" s="1"/>
  <c r="V23" i="10"/>
  <c r="W23" i="10" s="1"/>
  <c r="AY28" i="10"/>
  <c r="BD28" i="10" s="1"/>
  <c r="BA27" i="10"/>
  <c r="E27" i="10"/>
  <c r="D28" i="10"/>
  <c r="BH27" i="10"/>
  <c r="BJ27" i="10"/>
  <c r="BK28" i="10"/>
  <c r="G28" i="10"/>
  <c r="BC29" i="10"/>
  <c r="J27" i="10"/>
  <c r="BM27" i="10"/>
  <c r="BG30" i="10"/>
  <c r="BD27" i="10"/>
  <c r="BY25" i="10" l="1"/>
  <c r="BW26" i="10"/>
  <c r="BZ26" i="10" s="1"/>
  <c r="CB25" i="10"/>
  <c r="CO25" i="10" s="1"/>
  <c r="P25" i="10"/>
  <c r="Q25" i="10"/>
  <c r="BQ25" i="10"/>
  <c r="BX26" i="10"/>
  <c r="K26" i="10" s="1"/>
  <c r="BS26" i="10"/>
  <c r="BO26" i="10"/>
  <c r="BP26" i="10" s="1"/>
  <c r="BE28" i="10"/>
  <c r="BF28" i="10"/>
  <c r="CA26" i="10"/>
  <c r="O26" i="10"/>
  <c r="R26" i="10" s="1"/>
  <c r="BV27" i="10"/>
  <c r="L27" i="10"/>
  <c r="H27" i="10" s="1"/>
  <c r="N27" i="10"/>
  <c r="BL27" i="10"/>
  <c r="BF27" i="10"/>
  <c r="BE27" i="10"/>
  <c r="BG31" i="10"/>
  <c r="U24" i="10"/>
  <c r="X24" i="10"/>
  <c r="AA24" i="10"/>
  <c r="AB24" i="10" s="1"/>
  <c r="I24" i="10"/>
  <c r="CW23" i="10"/>
  <c r="S23" i="10"/>
  <c r="T23" i="10" s="1"/>
  <c r="BI31" i="10"/>
  <c r="BM28" i="10"/>
  <c r="J28" i="10"/>
  <c r="BR27" i="10"/>
  <c r="BC30" i="10"/>
  <c r="BK29" i="10"/>
  <c r="G29" i="10"/>
  <c r="CY29" i="10"/>
  <c r="CZ28" i="10"/>
  <c r="DA28" i="10" s="1"/>
  <c r="DB28" i="10" s="1"/>
  <c r="DC28" i="10"/>
  <c r="Y29" i="10"/>
  <c r="Z27" i="10"/>
  <c r="DD27" i="10"/>
  <c r="E28" i="10"/>
  <c r="AY29" i="10"/>
  <c r="BD29" i="10" s="1"/>
  <c r="BF29" i="10" s="1"/>
  <c r="D29" i="10"/>
  <c r="BA28" i="10"/>
  <c r="BJ28" i="10"/>
  <c r="BH28" i="10"/>
  <c r="I25" i="10"/>
  <c r="U25" i="10"/>
  <c r="X25" i="10"/>
  <c r="AA25" i="10"/>
  <c r="AB25" i="10" s="1"/>
  <c r="CL24" i="10"/>
  <c r="CG24" i="10"/>
  <c r="CQ24" i="10"/>
  <c r="CI24" i="10"/>
  <c r="CP24" i="10"/>
  <c r="CJ24" i="10"/>
  <c r="CC24" i="10"/>
  <c r="CK24" i="10"/>
  <c r="CF24" i="10"/>
  <c r="CU24" i="10"/>
  <c r="CV24" i="10"/>
  <c r="CS24" i="10"/>
  <c r="CR24" i="10"/>
  <c r="CD24" i="10"/>
  <c r="CH24" i="10"/>
  <c r="CO24" i="10"/>
  <c r="CN24" i="10"/>
  <c r="CM24" i="10"/>
  <c r="CE24" i="10"/>
  <c r="CT24" i="10"/>
  <c r="CL25" i="10" l="1"/>
  <c r="CR25" i="10"/>
  <c r="CQ25" i="10"/>
  <c r="CJ25" i="10"/>
  <c r="CV25" i="10"/>
  <c r="CG25" i="10"/>
  <c r="BY26" i="10"/>
  <c r="BV28" i="10"/>
  <c r="BX28" i="10" s="1"/>
  <c r="CN25" i="10"/>
  <c r="CM25" i="10"/>
  <c r="CF25" i="10"/>
  <c r="CP25" i="10"/>
  <c r="CD25" i="10"/>
  <c r="CE25" i="10"/>
  <c r="CT25" i="10"/>
  <c r="CC25" i="10"/>
  <c r="CU25" i="10"/>
  <c r="CH25" i="10"/>
  <c r="CI25" i="10"/>
  <c r="CK25" i="10"/>
  <c r="CS25" i="10"/>
  <c r="P26" i="10"/>
  <c r="CB26" i="10"/>
  <c r="CM26" i="10" s="1"/>
  <c r="Q26" i="10"/>
  <c r="BQ26" i="10"/>
  <c r="BL28" i="10"/>
  <c r="N28" i="10"/>
  <c r="L28" i="10"/>
  <c r="H28" i="10" s="1"/>
  <c r="BC31" i="10"/>
  <c r="BK30" i="10"/>
  <c r="G30" i="10"/>
  <c r="DD28" i="10"/>
  <c r="Z28" i="10"/>
  <c r="BR28" i="10"/>
  <c r="DC29" i="10"/>
  <c r="CY30" i="10"/>
  <c r="CZ29" i="10"/>
  <c r="DA29" i="10" s="1"/>
  <c r="DB29" i="10" s="1"/>
  <c r="Y30" i="10"/>
  <c r="S24" i="10"/>
  <c r="T24" i="10" s="1"/>
  <c r="CW24" i="10"/>
  <c r="V25" i="10"/>
  <c r="W25" i="10" s="1"/>
  <c r="V24" i="10"/>
  <c r="W24" i="10" s="1"/>
  <c r="BG32" i="10"/>
  <c r="D30" i="10"/>
  <c r="BA29" i="10"/>
  <c r="AY30" i="10"/>
  <c r="BD30" i="10" s="1"/>
  <c r="E29" i="10"/>
  <c r="BH29" i="10"/>
  <c r="BJ29" i="10"/>
  <c r="BI32" i="10"/>
  <c r="BN27" i="10"/>
  <c r="BT27" i="10" s="1"/>
  <c r="CA27" i="10"/>
  <c r="BO27" i="10"/>
  <c r="O27" i="10"/>
  <c r="R27" i="10" s="1"/>
  <c r="BS27" i="10"/>
  <c r="AC25" i="10"/>
  <c r="AD25" i="10" s="1"/>
  <c r="AC24" i="10"/>
  <c r="AD24" i="10" s="1"/>
  <c r="M27" i="10"/>
  <c r="BW27" i="10"/>
  <c r="BZ27" i="10" s="1"/>
  <c r="BX27" i="10"/>
  <c r="BM29" i="10"/>
  <c r="J29" i="10"/>
  <c r="U26" i="10"/>
  <c r="AA26" i="10"/>
  <c r="AB26" i="10" s="1"/>
  <c r="X26" i="10"/>
  <c r="I26" i="10"/>
  <c r="BE29" i="10"/>
  <c r="BW28" i="10" l="1"/>
  <c r="BZ28" i="10" s="1"/>
  <c r="M28" i="10"/>
  <c r="O28" i="10"/>
  <c r="R28" i="10" s="1"/>
  <c r="CI26" i="10"/>
  <c r="CN26" i="10"/>
  <c r="CW25" i="10"/>
  <c r="S25" i="10"/>
  <c r="T25" i="10" s="1"/>
  <c r="BO28" i="10"/>
  <c r="BP28" i="10" s="1"/>
  <c r="CK26" i="10"/>
  <c r="CA28" i="10"/>
  <c r="BS28" i="10"/>
  <c r="BN28" i="10"/>
  <c r="BT28" i="10" s="1"/>
  <c r="CT26" i="10"/>
  <c r="CJ26" i="10"/>
  <c r="CS26" i="10"/>
  <c r="CQ26" i="10"/>
  <c r="CR26" i="10"/>
  <c r="CE26" i="10"/>
  <c r="CF26" i="10"/>
  <c r="CU26" i="10"/>
  <c r="CD26" i="10"/>
  <c r="CL26" i="10"/>
  <c r="CC26" i="10"/>
  <c r="CV26" i="10"/>
  <c r="CO26" i="10"/>
  <c r="CP26" i="10"/>
  <c r="CG26" i="10"/>
  <c r="CH26" i="10"/>
  <c r="BV29" i="10"/>
  <c r="M29" i="10" s="1"/>
  <c r="BE30" i="10"/>
  <c r="BF30" i="10"/>
  <c r="BG33" i="10"/>
  <c r="BM30" i="10"/>
  <c r="J30" i="10"/>
  <c r="BY27" i="10"/>
  <c r="K27" i="10"/>
  <c r="DC30" i="10"/>
  <c r="Y31" i="10"/>
  <c r="CZ30" i="10"/>
  <c r="DA30" i="10" s="1"/>
  <c r="DB30" i="10" s="1"/>
  <c r="CY31" i="10"/>
  <c r="BQ27" i="10"/>
  <c r="CB27" i="10"/>
  <c r="Q27" i="10"/>
  <c r="P27" i="10"/>
  <c r="BP27" i="10"/>
  <c r="BC32" i="10"/>
  <c r="BK31" i="10"/>
  <c r="G31" i="10"/>
  <c r="Z29" i="10"/>
  <c r="DD29" i="10"/>
  <c r="N29" i="10"/>
  <c r="BL29" i="10"/>
  <c r="V26" i="10"/>
  <c r="W26" i="10" s="1"/>
  <c r="BY28" i="10"/>
  <c r="K28" i="10"/>
  <c r="L29" i="10"/>
  <c r="H29" i="10" s="1"/>
  <c r="E30" i="10"/>
  <c r="D31" i="10"/>
  <c r="BA30" i="10"/>
  <c r="AY31" i="10"/>
  <c r="BD31" i="10" s="1"/>
  <c r="BH30" i="10"/>
  <c r="BJ30" i="10"/>
  <c r="BR29" i="10"/>
  <c r="AC26" i="10"/>
  <c r="AD26" i="10" s="1"/>
  <c r="BI33" i="10"/>
  <c r="Q28" i="10" l="1"/>
  <c r="P28" i="10"/>
  <c r="BQ28" i="10"/>
  <c r="CB28" i="10"/>
  <c r="CO28" i="10" s="1"/>
  <c r="BW29" i="10"/>
  <c r="BZ29" i="10" s="1"/>
  <c r="BX29" i="10"/>
  <c r="BY29" i="10" s="1"/>
  <c r="L30" i="10"/>
  <c r="H30" i="10" s="1"/>
  <c r="CW26" i="10"/>
  <c r="S26" i="10"/>
  <c r="T26" i="10" s="1"/>
  <c r="BV30" i="10"/>
  <c r="M30" i="10" s="1"/>
  <c r="BE31" i="10"/>
  <c r="BF31" i="10"/>
  <c r="BL30" i="10"/>
  <c r="BS30" i="10" s="1"/>
  <c r="N30" i="10"/>
  <c r="BG34" i="10"/>
  <c r="Z30" i="10"/>
  <c r="DD30" i="10"/>
  <c r="BK32" i="10"/>
  <c r="G32" i="10"/>
  <c r="BC33" i="10"/>
  <c r="AA27" i="10"/>
  <c r="AB27" i="10" s="1"/>
  <c r="X27" i="10"/>
  <c r="I27" i="10"/>
  <c r="U27" i="10"/>
  <c r="Y32" i="10"/>
  <c r="DC31" i="10"/>
  <c r="CY32" i="10"/>
  <c r="CZ31" i="10"/>
  <c r="DA31" i="10" s="1"/>
  <c r="DB31" i="10" s="1"/>
  <c r="J31" i="10"/>
  <c r="BM31" i="10"/>
  <c r="X28" i="10"/>
  <c r="AA28" i="10"/>
  <c r="AB28" i="10" s="1"/>
  <c r="U28" i="10"/>
  <c r="I28" i="10"/>
  <c r="BN29" i="10"/>
  <c r="BT29" i="10" s="1"/>
  <c r="O29" i="10"/>
  <c r="R29" i="10" s="1"/>
  <c r="CA29" i="10"/>
  <c r="BO29" i="10"/>
  <c r="BS29" i="10"/>
  <c r="BR30" i="10"/>
  <c r="CQ28" i="10"/>
  <c r="BI34" i="10"/>
  <c r="E31" i="10"/>
  <c r="BA31" i="10"/>
  <c r="AY32" i="10"/>
  <c r="BD32" i="10" s="1"/>
  <c r="D32" i="10"/>
  <c r="BJ31" i="10"/>
  <c r="BH31" i="10"/>
  <c r="CE27" i="10"/>
  <c r="CI27" i="10"/>
  <c r="CR27" i="10"/>
  <c r="CN27" i="10"/>
  <c r="CK27" i="10"/>
  <c r="CD27" i="10"/>
  <c r="CL27" i="10"/>
  <c r="CU27" i="10"/>
  <c r="CJ27" i="10"/>
  <c r="CQ27" i="10"/>
  <c r="CC27" i="10"/>
  <c r="CM27" i="10"/>
  <c r="CT27" i="10"/>
  <c r="CF27" i="10"/>
  <c r="CO27" i="10"/>
  <c r="CH27" i="10"/>
  <c r="CS27" i="10"/>
  <c r="CG27" i="10"/>
  <c r="CP27" i="10"/>
  <c r="CV27" i="10"/>
  <c r="CL28" i="10" l="1"/>
  <c r="CJ28" i="10"/>
  <c r="CD28" i="10"/>
  <c r="CC28" i="10"/>
  <c r="CN28" i="10"/>
  <c r="K29" i="10"/>
  <c r="U29" i="10" s="1"/>
  <c r="CM28" i="10"/>
  <c r="CV28" i="10"/>
  <c r="CI28" i="10"/>
  <c r="CR28" i="10"/>
  <c r="CU28" i="10"/>
  <c r="CS28" i="10"/>
  <c r="CE28" i="10"/>
  <c r="CT28" i="10"/>
  <c r="CG28" i="10"/>
  <c r="CK28" i="10"/>
  <c r="CP28" i="10"/>
  <c r="CF28" i="10"/>
  <c r="CH28" i="10"/>
  <c r="N31" i="10"/>
  <c r="CA30" i="10"/>
  <c r="BX30" i="10"/>
  <c r="BY30" i="10" s="1"/>
  <c r="BN30" i="10"/>
  <c r="BT30" i="10" s="1"/>
  <c r="BW30" i="10"/>
  <c r="BZ30" i="10" s="1"/>
  <c r="O30" i="10"/>
  <c r="R30" i="10" s="1"/>
  <c r="BO30" i="10"/>
  <c r="BP30" i="10" s="1"/>
  <c r="L31" i="10"/>
  <c r="H31" i="10" s="1"/>
  <c r="BE32" i="10"/>
  <c r="BF32" i="10"/>
  <c r="BR31" i="10"/>
  <c r="BV31" i="10"/>
  <c r="BI35" i="10"/>
  <c r="BL31" i="10"/>
  <c r="V28" i="10"/>
  <c r="W28" i="10" s="1"/>
  <c r="V27" i="10"/>
  <c r="W27" i="10" s="1"/>
  <c r="G33" i="10"/>
  <c r="BK33" i="10"/>
  <c r="BC34" i="10"/>
  <c r="CY33" i="10"/>
  <c r="DC32" i="10"/>
  <c r="Y33" i="10"/>
  <c r="CZ32" i="10"/>
  <c r="DA32" i="10" s="1"/>
  <c r="DB32" i="10" s="1"/>
  <c r="BG35" i="10"/>
  <c r="AC28" i="10"/>
  <c r="AD28" i="10" s="1"/>
  <c r="AC27" i="10"/>
  <c r="AD27" i="10" s="1"/>
  <c r="BQ29" i="10"/>
  <c r="Q29" i="10"/>
  <c r="P29" i="10"/>
  <c r="CB29" i="10"/>
  <c r="BP29" i="10"/>
  <c r="CW27" i="10"/>
  <c r="S27" i="10"/>
  <c r="T27" i="10" s="1"/>
  <c r="J32" i="10"/>
  <c r="BM32" i="10"/>
  <c r="AY33" i="10"/>
  <c r="BD33" i="10" s="1"/>
  <c r="BF33" i="10" s="1"/>
  <c r="D33" i="10"/>
  <c r="BA32" i="10"/>
  <c r="E32" i="10"/>
  <c r="BH32" i="10"/>
  <c r="BJ32" i="10"/>
  <c r="DD31" i="10"/>
  <c r="Z31" i="10"/>
  <c r="AA29" i="10" l="1"/>
  <c r="AB29" i="10" s="1"/>
  <c r="AC29" i="10" s="1"/>
  <c r="AD29" i="10" s="1"/>
  <c r="I29" i="10"/>
  <c r="X29" i="10"/>
  <c r="CW28" i="10"/>
  <c r="S28" i="10"/>
  <c r="T28" i="10" s="1"/>
  <c r="K30" i="10"/>
  <c r="AA30" i="10" s="1"/>
  <c r="AB30" i="10" s="1"/>
  <c r="Q30" i="10"/>
  <c r="CB30" i="10"/>
  <c r="CG30" i="10" s="1"/>
  <c r="BQ30" i="10"/>
  <c r="P30" i="10"/>
  <c r="BL32" i="10"/>
  <c r="BS32" i="10" s="1"/>
  <c r="BE33" i="10"/>
  <c r="CM29" i="10"/>
  <c r="CV29" i="10"/>
  <c r="CQ29" i="10"/>
  <c r="CO29" i="10"/>
  <c r="CP29" i="10"/>
  <c r="CR29" i="10"/>
  <c r="CE29" i="10"/>
  <c r="CI29" i="10"/>
  <c r="CF29" i="10"/>
  <c r="CD29" i="10"/>
  <c r="CN29" i="10"/>
  <c r="CH29" i="10"/>
  <c r="CS29" i="10"/>
  <c r="CT29" i="10"/>
  <c r="CU29" i="10"/>
  <c r="CK29" i="10"/>
  <c r="CC29" i="10"/>
  <c r="CL29" i="10"/>
  <c r="CG29" i="10"/>
  <c r="CJ29" i="10"/>
  <c r="BW31" i="10"/>
  <c r="BZ31" i="10" s="1"/>
  <c r="M31" i="10"/>
  <c r="BX31" i="10"/>
  <c r="E33" i="10"/>
  <c r="AY34" i="10"/>
  <c r="BD34" i="10" s="1"/>
  <c r="BA33" i="10"/>
  <c r="D34" i="10"/>
  <c r="BH33" i="10"/>
  <c r="BJ33" i="10"/>
  <c r="DD32" i="10"/>
  <c r="Z32" i="10"/>
  <c r="O31" i="10"/>
  <c r="R31" i="10" s="1"/>
  <c r="BO31" i="10"/>
  <c r="BN31" i="10"/>
  <c r="BT31" i="10" s="1"/>
  <c r="CA31" i="10"/>
  <c r="BS31" i="10"/>
  <c r="J33" i="10"/>
  <c r="BM33" i="10"/>
  <c r="BI36" i="10"/>
  <c r="N32" i="10"/>
  <c r="BG36" i="10"/>
  <c r="CZ33" i="10"/>
  <c r="DA33" i="10" s="1"/>
  <c r="DB33" i="10" s="1"/>
  <c r="Y34" i="10"/>
  <c r="DC33" i="10"/>
  <c r="CY34" i="10"/>
  <c r="BV32" i="10"/>
  <c r="L32" i="10"/>
  <c r="H32" i="10" s="1"/>
  <c r="BR32" i="10"/>
  <c r="BC35" i="10"/>
  <c r="G34" i="10"/>
  <c r="BK34" i="10"/>
  <c r="V29" i="10"/>
  <c r="W29" i="10" s="1"/>
  <c r="AC30" i="10" l="1"/>
  <c r="AD30" i="10" s="1"/>
  <c r="X30" i="10"/>
  <c r="U30" i="10"/>
  <c r="V30" i="10" s="1"/>
  <c r="W30" i="10" s="1"/>
  <c r="I30" i="10"/>
  <c r="CN30" i="10"/>
  <c r="CI30" i="10"/>
  <c r="CM30" i="10"/>
  <c r="CH30" i="10"/>
  <c r="CL30" i="10"/>
  <c r="CE30" i="10"/>
  <c r="CK30" i="10"/>
  <c r="CO30" i="10"/>
  <c r="CD30" i="10"/>
  <c r="CP30" i="10"/>
  <c r="BL33" i="10"/>
  <c r="CA33" i="10" s="1"/>
  <c r="CQ30" i="10"/>
  <c r="CS30" i="10"/>
  <c r="CT30" i="10"/>
  <c r="CF30" i="10"/>
  <c r="CV30" i="10"/>
  <c r="CJ30" i="10"/>
  <c r="CC30" i="10"/>
  <c r="CU30" i="10"/>
  <c r="CR30" i="10"/>
  <c r="CA32" i="10"/>
  <c r="BN32" i="10"/>
  <c r="BT32" i="10" s="1"/>
  <c r="BO32" i="10"/>
  <c r="BP32" i="10" s="1"/>
  <c r="BV33" i="10"/>
  <c r="L33" i="10"/>
  <c r="H33" i="10" s="1"/>
  <c r="N33" i="10"/>
  <c r="O32" i="10"/>
  <c r="R32" i="10" s="1"/>
  <c r="DD33" i="10"/>
  <c r="Z33" i="10"/>
  <c r="BA34" i="10"/>
  <c r="AY35" i="10"/>
  <c r="BD35" i="10" s="1"/>
  <c r="D35" i="10"/>
  <c r="E34" i="10"/>
  <c r="BH34" i="10"/>
  <c r="BJ34" i="10"/>
  <c r="CB31" i="10"/>
  <c r="P31" i="10"/>
  <c r="BQ31" i="10"/>
  <c r="Q31" i="10"/>
  <c r="BP31" i="10"/>
  <c r="BI37" i="10"/>
  <c r="BE34" i="10"/>
  <c r="BF34" i="10"/>
  <c r="BG37" i="10"/>
  <c r="BR33" i="10"/>
  <c r="BC36" i="10"/>
  <c r="G35" i="10"/>
  <c r="BK35" i="10"/>
  <c r="CW29" i="10"/>
  <c r="S29" i="10"/>
  <c r="T29" i="10" s="1"/>
  <c r="BY31" i="10"/>
  <c r="K31" i="10"/>
  <c r="BW32" i="10"/>
  <c r="BZ32" i="10" s="1"/>
  <c r="M32" i="10"/>
  <c r="BX32" i="10"/>
  <c r="BM34" i="10"/>
  <c r="J34" i="10"/>
  <c r="CZ34" i="10"/>
  <c r="DA34" i="10" s="1"/>
  <c r="DB34" i="10" s="1"/>
  <c r="CY35" i="10"/>
  <c r="Y35" i="10"/>
  <c r="DC34" i="10"/>
  <c r="BN33" i="10" l="1"/>
  <c r="BT33" i="10" s="1"/>
  <c r="BS33" i="10"/>
  <c r="BO33" i="10"/>
  <c r="BP33" i="10" s="1"/>
  <c r="S30" i="10"/>
  <c r="T30" i="10" s="1"/>
  <c r="P32" i="10"/>
  <c r="L34" i="10"/>
  <c r="H34" i="10" s="1"/>
  <c r="CW30" i="10"/>
  <c r="N34" i="10"/>
  <c r="O33" i="10"/>
  <c r="R33" i="10" s="1"/>
  <c r="Q32" i="10"/>
  <c r="BX33" i="10"/>
  <c r="K33" i="10" s="1"/>
  <c r="CB32" i="10"/>
  <c r="CK32" i="10" s="1"/>
  <c r="M33" i="10"/>
  <c r="BW33" i="10"/>
  <c r="BZ33" i="10" s="1"/>
  <c r="BL34" i="10"/>
  <c r="BN34" i="10" s="1"/>
  <c r="BT34" i="10" s="1"/>
  <c r="BE35" i="10"/>
  <c r="BF35" i="10"/>
  <c r="BC37" i="10"/>
  <c r="G36" i="10"/>
  <c r="BK36" i="10"/>
  <c r="DD34" i="10"/>
  <c r="Z34" i="10"/>
  <c r="AA31" i="10"/>
  <c r="AB31" i="10" s="1"/>
  <c r="U31" i="10"/>
  <c r="I31" i="10"/>
  <c r="X31" i="10"/>
  <c r="CI31" i="10"/>
  <c r="CK31" i="10"/>
  <c r="CR31" i="10"/>
  <c r="CG31" i="10"/>
  <c r="CL31" i="10"/>
  <c r="CT31" i="10"/>
  <c r="CM31" i="10"/>
  <c r="CH31" i="10"/>
  <c r="CQ31" i="10"/>
  <c r="CN31" i="10"/>
  <c r="CD31" i="10"/>
  <c r="CP31" i="10"/>
  <c r="CU31" i="10"/>
  <c r="CO31" i="10"/>
  <c r="CE31" i="10"/>
  <c r="CF31" i="10"/>
  <c r="CC31" i="10"/>
  <c r="CV31" i="10"/>
  <c r="CJ31" i="10"/>
  <c r="CS31" i="10"/>
  <c r="CY36" i="10"/>
  <c r="CZ35" i="10"/>
  <c r="DA35" i="10" s="1"/>
  <c r="DB35" i="10" s="1"/>
  <c r="DC35" i="10"/>
  <c r="Y36" i="10"/>
  <c r="BV34" i="10"/>
  <c r="BR34" i="10"/>
  <c r="D36" i="10"/>
  <c r="AY36" i="10"/>
  <c r="BD36" i="10" s="1"/>
  <c r="E35" i="10"/>
  <c r="BA35" i="10"/>
  <c r="BH35" i="10"/>
  <c r="BJ35" i="10"/>
  <c r="BY32" i="10"/>
  <c r="K32" i="10"/>
  <c r="BM35" i="10"/>
  <c r="J35" i="10"/>
  <c r="BI38" i="10"/>
  <c r="BQ32" i="10"/>
  <c r="BG38" i="10"/>
  <c r="P33" i="10" l="1"/>
  <c r="Q33" i="10"/>
  <c r="CB33" i="10"/>
  <c r="CC33" i="10" s="1"/>
  <c r="CI32" i="10"/>
  <c r="CG32" i="10"/>
  <c r="CD32" i="10"/>
  <c r="BY33" i="10"/>
  <c r="CP32" i="10"/>
  <c r="CL32" i="10"/>
  <c r="CH32" i="10"/>
  <c r="O34" i="10"/>
  <c r="R34" i="10" s="1"/>
  <c r="CV32" i="10"/>
  <c r="CS32" i="10"/>
  <c r="CU32" i="10"/>
  <c r="CT32" i="10"/>
  <c r="CN32" i="10"/>
  <c r="CJ32" i="10"/>
  <c r="CC32" i="10"/>
  <c r="CE32" i="10"/>
  <c r="CQ32" i="10"/>
  <c r="CF32" i="10"/>
  <c r="CR32" i="10"/>
  <c r="CM32" i="10"/>
  <c r="CO32" i="10"/>
  <c r="BQ33" i="10"/>
  <c r="BS34" i="10"/>
  <c r="CA34" i="10"/>
  <c r="BO34" i="10"/>
  <c r="CB34" i="10" s="1"/>
  <c r="N35" i="10"/>
  <c r="CZ36" i="10"/>
  <c r="DA36" i="10" s="1"/>
  <c r="DB36" i="10" s="1"/>
  <c r="CY37" i="10"/>
  <c r="DC36" i="10"/>
  <c r="Y37" i="10"/>
  <c r="DD35" i="10"/>
  <c r="Z35" i="10"/>
  <c r="V31" i="10"/>
  <c r="W31" i="10" s="1"/>
  <c r="J36" i="10"/>
  <c r="BM36" i="10"/>
  <c r="CL33" i="10"/>
  <c r="BI39" i="10"/>
  <c r="AC31" i="10"/>
  <c r="AD31" i="10" s="1"/>
  <c r="S31" i="10"/>
  <c r="T31" i="10" s="1"/>
  <c r="CW31" i="10"/>
  <c r="BG39" i="10"/>
  <c r="L35" i="10"/>
  <c r="H35" i="10" s="1"/>
  <c r="U32" i="10"/>
  <c r="X32" i="10"/>
  <c r="I32" i="10"/>
  <c r="AA32" i="10"/>
  <c r="AB32" i="10" s="1"/>
  <c r="AC32" i="10" s="1"/>
  <c r="AD32" i="10" s="1"/>
  <c r="M34" i="10"/>
  <c r="BW34" i="10"/>
  <c r="BZ34" i="10" s="1"/>
  <c r="BX34" i="10"/>
  <c r="BC38" i="10"/>
  <c r="BK37" i="10"/>
  <c r="G37" i="10"/>
  <c r="BL35" i="10"/>
  <c r="X33" i="10"/>
  <c r="U33" i="10"/>
  <c r="I33" i="10"/>
  <c r="AA33" i="10"/>
  <c r="AB33" i="10" s="1"/>
  <c r="E36" i="10"/>
  <c r="BA36" i="10"/>
  <c r="D37" i="10"/>
  <c r="AY37" i="10"/>
  <c r="BD37" i="10" s="1"/>
  <c r="BH36" i="10"/>
  <c r="BJ36" i="10"/>
  <c r="BR35" i="10"/>
  <c r="BV35" i="10"/>
  <c r="BF36" i="10"/>
  <c r="BE36" i="10"/>
  <c r="CM33" i="10" l="1"/>
  <c r="CN33" i="10"/>
  <c r="CR33" i="10"/>
  <c r="CJ33" i="10"/>
  <c r="CO33" i="10"/>
  <c r="CV33" i="10"/>
  <c r="CQ33" i="10"/>
  <c r="CG33" i="10"/>
  <c r="CK33" i="10"/>
  <c r="CS33" i="10"/>
  <c r="CD33" i="10"/>
  <c r="CF33" i="10"/>
  <c r="CE33" i="10"/>
  <c r="CI33" i="10"/>
  <c r="CH33" i="10"/>
  <c r="CT33" i="10"/>
  <c r="CP33" i="10"/>
  <c r="CU33" i="10"/>
  <c r="P34" i="10"/>
  <c r="S32" i="10"/>
  <c r="T32" i="10" s="1"/>
  <c r="BP34" i="10"/>
  <c r="CW32" i="10"/>
  <c r="Q34" i="10"/>
  <c r="BL36" i="10"/>
  <c r="N36" i="10"/>
  <c r="BV36" i="10"/>
  <c r="BW36" i="10" s="1"/>
  <c r="BZ36" i="10" s="1"/>
  <c r="L36" i="10"/>
  <c r="H36" i="10" s="1"/>
  <c r="BR36" i="10"/>
  <c r="BN35" i="10"/>
  <c r="BT35" i="10" s="1"/>
  <c r="O35" i="10"/>
  <c r="R35" i="10" s="1"/>
  <c r="BO35" i="10"/>
  <c r="CA35" i="10"/>
  <c r="BS35" i="10"/>
  <c r="Z36" i="10"/>
  <c r="DD36" i="10"/>
  <c r="BC39" i="10"/>
  <c r="BK38" i="10"/>
  <c r="G38" i="10"/>
  <c r="BI40" i="10"/>
  <c r="AC33" i="10"/>
  <c r="AD33" i="10" s="1"/>
  <c r="BF37" i="10"/>
  <c r="BG40" i="10"/>
  <c r="M35" i="10"/>
  <c r="BW35" i="10"/>
  <c r="BZ35" i="10" s="1"/>
  <c r="BX35" i="10"/>
  <c r="BY34" i="10"/>
  <c r="K34" i="10"/>
  <c r="CP34" i="10"/>
  <c r="CS34" i="10"/>
  <c r="CI34" i="10"/>
  <c r="CO34" i="10"/>
  <c r="CV34" i="10"/>
  <c r="CQ34" i="10"/>
  <c r="CF34" i="10"/>
  <c r="CJ34" i="10"/>
  <c r="CG34" i="10"/>
  <c r="CU34" i="10"/>
  <c r="CH34" i="10"/>
  <c r="CN34" i="10"/>
  <c r="CC34" i="10"/>
  <c r="CD34" i="10"/>
  <c r="CT34" i="10"/>
  <c r="CR34" i="10"/>
  <c r="CL34" i="10"/>
  <c r="CM34" i="10"/>
  <c r="CK34" i="10"/>
  <c r="CE34" i="10"/>
  <c r="BQ34" i="10"/>
  <c r="V33" i="10"/>
  <c r="W33" i="10" s="1"/>
  <c r="DC37" i="10"/>
  <c r="Y38" i="10"/>
  <c r="CY38" i="10"/>
  <c r="CZ37" i="10"/>
  <c r="DA37" i="10" s="1"/>
  <c r="DB37" i="10" s="1"/>
  <c r="BE37" i="10"/>
  <c r="E37" i="10"/>
  <c r="D38" i="10"/>
  <c r="AY38" i="10"/>
  <c r="BD38" i="10" s="1"/>
  <c r="BE38" i="10" s="1"/>
  <c r="BA37" i="10"/>
  <c r="BH37" i="10"/>
  <c r="BJ37" i="10"/>
  <c r="BM37" i="10"/>
  <c r="J37" i="10"/>
  <c r="V32" i="10"/>
  <c r="W32" i="10" s="1"/>
  <c r="S33" i="10" l="1"/>
  <c r="T33" i="10" s="1"/>
  <c r="CW33" i="10"/>
  <c r="BL37" i="10"/>
  <c r="BS37" i="10" s="1"/>
  <c r="BO36" i="10"/>
  <c r="BQ36" i="10" s="1"/>
  <c r="BS36" i="10"/>
  <c r="CA36" i="10"/>
  <c r="BN36" i="10"/>
  <c r="BT36" i="10" s="1"/>
  <c r="BX36" i="10"/>
  <c r="K36" i="10" s="1"/>
  <c r="M36" i="10"/>
  <c r="O36" i="10"/>
  <c r="R36" i="10" s="1"/>
  <c r="N37" i="10"/>
  <c r="BV37" i="10"/>
  <c r="BX37" i="10" s="1"/>
  <c r="K37" i="10" s="1"/>
  <c r="L37" i="10"/>
  <c r="H37" i="10" s="1"/>
  <c r="BQ35" i="10"/>
  <c r="CB35" i="10"/>
  <c r="Q35" i="10"/>
  <c r="P35" i="10"/>
  <c r="BP35" i="10"/>
  <c r="BG41" i="10"/>
  <c r="DC38" i="10"/>
  <c r="CY39" i="10"/>
  <c r="Y39" i="10"/>
  <c r="CZ38" i="10"/>
  <c r="DA38" i="10" s="1"/>
  <c r="DB38" i="10" s="1"/>
  <c r="BR37" i="10"/>
  <c r="CW34" i="10"/>
  <c r="S34" i="10"/>
  <c r="T34" i="10" s="1"/>
  <c r="Z37" i="10"/>
  <c r="DD37" i="10"/>
  <c r="AA34" i="10"/>
  <c r="AB34" i="10" s="1"/>
  <c r="X34" i="10"/>
  <c r="I34" i="10"/>
  <c r="U34" i="10"/>
  <c r="K35" i="10"/>
  <c r="BY35" i="10"/>
  <c r="J38" i="10"/>
  <c r="BM38" i="10"/>
  <c r="BI41" i="10"/>
  <c r="BF38" i="10"/>
  <c r="E38" i="10"/>
  <c r="AY39" i="10"/>
  <c r="BA38" i="10"/>
  <c r="D39" i="10"/>
  <c r="BH38" i="10"/>
  <c r="BJ38" i="10"/>
  <c r="BK39" i="10"/>
  <c r="G39" i="10"/>
  <c r="BC40" i="10"/>
  <c r="BP36" i="10" l="1"/>
  <c r="BN37" i="10"/>
  <c r="BT37" i="10" s="1"/>
  <c r="CA37" i="10"/>
  <c r="Q36" i="10"/>
  <c r="P36" i="10"/>
  <c r="CB36" i="10"/>
  <c r="CR36" i="10" s="1"/>
  <c r="BY36" i="10"/>
  <c r="BY37" i="10"/>
  <c r="M37" i="10"/>
  <c r="BW37" i="10"/>
  <c r="BZ37" i="10" s="1"/>
  <c r="O37" i="10"/>
  <c r="R37" i="10" s="1"/>
  <c r="BO37" i="10"/>
  <c r="BP37" i="10" s="1"/>
  <c r="N38" i="10"/>
  <c r="BV38" i="10"/>
  <c r="M38" i="10" s="1"/>
  <c r="BL38" i="10"/>
  <c r="BN38" i="10" s="1"/>
  <c r="BT38" i="10" s="1"/>
  <c r="AY40" i="10"/>
  <c r="BD40" i="10" s="1"/>
  <c r="BF40" i="10" s="1"/>
  <c r="BA39" i="10"/>
  <c r="E39" i="10"/>
  <c r="D40" i="10"/>
  <c r="BJ39" i="10"/>
  <c r="BH39" i="10"/>
  <c r="Z38" i="10"/>
  <c r="DD38" i="10"/>
  <c r="BR38" i="10"/>
  <c r="AA37" i="10"/>
  <c r="AB37" i="10" s="1"/>
  <c r="I37" i="10"/>
  <c r="U37" i="10"/>
  <c r="J39" i="10"/>
  <c r="BM39" i="10"/>
  <c r="L38" i="10"/>
  <c r="H38" i="10" s="1"/>
  <c r="CY40" i="10"/>
  <c r="DC39" i="10"/>
  <c r="CZ39" i="10"/>
  <c r="DA39" i="10" s="1"/>
  <c r="DB39" i="10" s="1"/>
  <c r="Y40" i="10"/>
  <c r="AC34" i="10"/>
  <c r="AD34" i="10" s="1"/>
  <c r="BG42" i="10"/>
  <c r="V34" i="10"/>
  <c r="W34" i="10" s="1"/>
  <c r="BC41" i="10"/>
  <c r="BK40" i="10"/>
  <c r="G40" i="10"/>
  <c r="BI42" i="10"/>
  <c r="X35" i="10"/>
  <c r="AA35" i="10"/>
  <c r="AB35" i="10" s="1"/>
  <c r="U35" i="10"/>
  <c r="I35" i="10"/>
  <c r="BD39" i="10"/>
  <c r="I36" i="10"/>
  <c r="X36" i="10"/>
  <c r="AA36" i="10"/>
  <c r="AB36" i="10" s="1"/>
  <c r="U36" i="10"/>
  <c r="CM35" i="10"/>
  <c r="CK35" i="10"/>
  <c r="CF35" i="10"/>
  <c r="CJ35" i="10"/>
  <c r="CC35" i="10"/>
  <c r="CO35" i="10"/>
  <c r="CH35" i="10"/>
  <c r="CV35" i="10"/>
  <c r="CP35" i="10"/>
  <c r="CN35" i="10"/>
  <c r="CD35" i="10"/>
  <c r="CL35" i="10"/>
  <c r="CT35" i="10"/>
  <c r="CI35" i="10"/>
  <c r="CR35" i="10"/>
  <c r="CQ35" i="10"/>
  <c r="CG35" i="10"/>
  <c r="CU35" i="10"/>
  <c r="CE35" i="10"/>
  <c r="CS35" i="10"/>
  <c r="CC36" i="10" l="1"/>
  <c r="CE36" i="10"/>
  <c r="CI36" i="10"/>
  <c r="CU36" i="10"/>
  <c r="CF36" i="10"/>
  <c r="CJ36" i="10"/>
  <c r="CS36" i="10"/>
  <c r="CQ36" i="10"/>
  <c r="CV36" i="10"/>
  <c r="CG36" i="10"/>
  <c r="CN36" i="10"/>
  <c r="CM36" i="10"/>
  <c r="CT36" i="10"/>
  <c r="CP36" i="10"/>
  <c r="CD36" i="10"/>
  <c r="CH36" i="10"/>
  <c r="CO36" i="10"/>
  <c r="CK36" i="10"/>
  <c r="CL36" i="10"/>
  <c r="CB37" i="10"/>
  <c r="CG37" i="10" s="1"/>
  <c r="BS38" i="10"/>
  <c r="BQ37" i="10"/>
  <c r="CA38" i="10"/>
  <c r="P37" i="10"/>
  <c r="Q37" i="10"/>
  <c r="BW38" i="10"/>
  <c r="BZ38" i="10" s="1"/>
  <c r="O38" i="10"/>
  <c r="R38" i="10" s="1"/>
  <c r="BX38" i="10"/>
  <c r="BY38" i="10" s="1"/>
  <c r="X37" i="10"/>
  <c r="BO38" i="10"/>
  <c r="BP38" i="10" s="1"/>
  <c r="AC37" i="10"/>
  <c r="AD37" i="10" s="1"/>
  <c r="V36" i="10"/>
  <c r="W36" i="10" s="1"/>
  <c r="BG43" i="10"/>
  <c r="BK41" i="10"/>
  <c r="BC42" i="10"/>
  <c r="G41" i="10"/>
  <c r="BV39" i="10"/>
  <c r="N39" i="10"/>
  <c r="L39" i="10"/>
  <c r="H39" i="10" s="1"/>
  <c r="BL39" i="10"/>
  <c r="BE39" i="10"/>
  <c r="BF39" i="10"/>
  <c r="V35" i="10"/>
  <c r="W35" i="10" s="1"/>
  <c r="AC36" i="10"/>
  <c r="AD36" i="10" s="1"/>
  <c r="BA40" i="10"/>
  <c r="AY41" i="10"/>
  <c r="E40" i="10"/>
  <c r="D41" i="10"/>
  <c r="BJ40" i="10"/>
  <c r="BH40" i="10"/>
  <c r="V37" i="10"/>
  <c r="W37" i="10" s="1"/>
  <c r="BI43" i="10"/>
  <c r="AC35" i="10"/>
  <c r="AD35" i="10" s="1"/>
  <c r="J40" i="10"/>
  <c r="BM40" i="10"/>
  <c r="DD39" i="10"/>
  <c r="Z39" i="10"/>
  <c r="BR39" i="10"/>
  <c r="S35" i="10"/>
  <c r="T35" i="10" s="1"/>
  <c r="CW35" i="10"/>
  <c r="BE40" i="10"/>
  <c r="CZ40" i="10"/>
  <c r="DA40" i="10" s="1"/>
  <c r="DB40" i="10" s="1"/>
  <c r="CY41" i="10"/>
  <c r="Y41" i="10"/>
  <c r="DC40" i="10"/>
  <c r="S36" i="10" l="1"/>
  <c r="T36" i="10" s="1"/>
  <c r="CW36" i="10"/>
  <c r="CE37" i="10"/>
  <c r="CU37" i="10"/>
  <c r="CV37" i="10"/>
  <c r="CN37" i="10"/>
  <c r="CR37" i="10"/>
  <c r="CO37" i="10"/>
  <c r="CL37" i="10"/>
  <c r="CC37" i="10"/>
  <c r="CF37" i="10"/>
  <c r="CH37" i="10"/>
  <c r="CS37" i="10"/>
  <c r="CI37" i="10"/>
  <c r="CT37" i="10"/>
  <c r="CQ37" i="10"/>
  <c r="CP37" i="10"/>
  <c r="CK37" i="10"/>
  <c r="CD37" i="10"/>
  <c r="CM37" i="10"/>
  <c r="CJ37" i="10"/>
  <c r="Q38" i="10"/>
  <c r="CB38" i="10"/>
  <c r="CL38" i="10" s="1"/>
  <c r="BQ38" i="10"/>
  <c r="N40" i="10"/>
  <c r="P38" i="10"/>
  <c r="K38" i="10"/>
  <c r="I38" i="10" s="1"/>
  <c r="BR40" i="10"/>
  <c r="E41" i="10"/>
  <c r="D42" i="10"/>
  <c r="AY42" i="10"/>
  <c r="BD42" i="10" s="1"/>
  <c r="BA41" i="10"/>
  <c r="BH41" i="10"/>
  <c r="BJ41" i="10"/>
  <c r="BK42" i="10"/>
  <c r="BC43" i="10"/>
  <c r="G42" i="10"/>
  <c r="Z40" i="10"/>
  <c r="DD40" i="10"/>
  <c r="BL40" i="10"/>
  <c r="L40" i="10"/>
  <c r="H40" i="10" s="1"/>
  <c r="BM41" i="10"/>
  <c r="J41" i="10"/>
  <c r="M39" i="10"/>
  <c r="BW39" i="10"/>
  <c r="BZ39" i="10" s="1"/>
  <c r="BX39" i="10"/>
  <c r="CY42" i="10"/>
  <c r="Y42" i="10"/>
  <c r="DC41" i="10"/>
  <c r="CZ41" i="10"/>
  <c r="DA41" i="10" s="1"/>
  <c r="DB41" i="10" s="1"/>
  <c r="BV40" i="10"/>
  <c r="BI44" i="10"/>
  <c r="BD41" i="10"/>
  <c r="BG44" i="10"/>
  <c r="CA39" i="10"/>
  <c r="O39" i="10"/>
  <c r="R39" i="10" s="1"/>
  <c r="BO39" i="10"/>
  <c r="BN39" i="10"/>
  <c r="BT39" i="10" s="1"/>
  <c r="BS39" i="10"/>
  <c r="CO38" i="10" l="1"/>
  <c r="CW37" i="10"/>
  <c r="CC38" i="10"/>
  <c r="CK38" i="10"/>
  <c r="CQ38" i="10"/>
  <c r="CH38" i="10"/>
  <c r="CR38" i="10"/>
  <c r="CJ38" i="10"/>
  <c r="CM38" i="10"/>
  <c r="S37" i="10"/>
  <c r="T37" i="10" s="1"/>
  <c r="CS38" i="10"/>
  <c r="CT38" i="10"/>
  <c r="CE38" i="10"/>
  <c r="CN38" i="10"/>
  <c r="CP38" i="10"/>
  <c r="CF38" i="10"/>
  <c r="CG38" i="10"/>
  <c r="CV38" i="10"/>
  <c r="CD38" i="10"/>
  <c r="CU38" i="10"/>
  <c r="CI38" i="10"/>
  <c r="AA38" i="10"/>
  <c r="AB38" i="10" s="1"/>
  <c r="AC38" i="10" s="1"/>
  <c r="AD38" i="10" s="1"/>
  <c r="U38" i="10"/>
  <c r="V38" i="10" s="1"/>
  <c r="W38" i="10" s="1"/>
  <c r="X38" i="10"/>
  <c r="BE42" i="10"/>
  <c r="BF42" i="10"/>
  <c r="BR41" i="10"/>
  <c r="BV41" i="10"/>
  <c r="BL41" i="10"/>
  <c r="N41" i="10"/>
  <c r="L41" i="10"/>
  <c r="H41" i="10" s="1"/>
  <c r="BE41" i="10"/>
  <c r="BF41" i="10"/>
  <c r="DD41" i="10"/>
  <c r="Z41" i="10"/>
  <c r="BM42" i="10"/>
  <c r="J42" i="10"/>
  <c r="O40" i="10"/>
  <c r="R40" i="10" s="1"/>
  <c r="CA40" i="10"/>
  <c r="BN40" i="10"/>
  <c r="BT40" i="10" s="1"/>
  <c r="BO40" i="10"/>
  <c r="BS40" i="10"/>
  <c r="BI45" i="10"/>
  <c r="M40" i="10"/>
  <c r="BW40" i="10"/>
  <c r="BZ40" i="10" s="1"/>
  <c r="BX40" i="10"/>
  <c r="Q39" i="10"/>
  <c r="BQ39" i="10"/>
  <c r="P39" i="10"/>
  <c r="CB39" i="10"/>
  <c r="BP39" i="10"/>
  <c r="K39" i="10"/>
  <c r="BY39" i="10"/>
  <c r="BG45" i="10"/>
  <c r="E42" i="10"/>
  <c r="BA42" i="10"/>
  <c r="D43" i="10"/>
  <c r="AY43" i="10"/>
  <c r="BH42" i="10"/>
  <c r="BJ42" i="10"/>
  <c r="CY43" i="10"/>
  <c r="Y43" i="10"/>
  <c r="DC42" i="10"/>
  <c r="CZ42" i="10"/>
  <c r="DA42" i="10" s="1"/>
  <c r="DB42" i="10" s="1"/>
  <c r="G43" i="10"/>
  <c r="BC44" i="10"/>
  <c r="BK43" i="10"/>
  <c r="S38" i="10" l="1"/>
  <c r="T38" i="10" s="1"/>
  <c r="CW38" i="10"/>
  <c r="BV42" i="10"/>
  <c r="M42" i="10" s="1"/>
  <c r="L42" i="10"/>
  <c r="H42" i="10" s="1"/>
  <c r="N42" i="10"/>
  <c r="BG46" i="10"/>
  <c r="BW41" i="10"/>
  <c r="BZ41" i="10" s="1"/>
  <c r="M41" i="10"/>
  <c r="BX41" i="10"/>
  <c r="DD42" i="10"/>
  <c r="Z42" i="10"/>
  <c r="BI46" i="10"/>
  <c r="Y44" i="10"/>
  <c r="CY44" i="10"/>
  <c r="DC43" i="10"/>
  <c r="CZ43" i="10"/>
  <c r="DA43" i="10" s="1"/>
  <c r="DB43" i="10" s="1"/>
  <c r="I39" i="10"/>
  <c r="AA39" i="10"/>
  <c r="AB39" i="10" s="1"/>
  <c r="U39" i="10"/>
  <c r="X39" i="10"/>
  <c r="K40" i="10"/>
  <c r="BY40" i="10"/>
  <c r="O41" i="10"/>
  <c r="R41" i="10" s="1"/>
  <c r="CA41" i="10"/>
  <c r="BO41" i="10"/>
  <c r="BN41" i="10"/>
  <c r="BT41" i="10" s="1"/>
  <c r="BS41" i="10"/>
  <c r="BR42" i="10"/>
  <c r="BM43" i="10"/>
  <c r="J43" i="10"/>
  <c r="D44" i="10"/>
  <c r="E43" i="10"/>
  <c r="AY44" i="10"/>
  <c r="BD44" i="10" s="1"/>
  <c r="BA43" i="10"/>
  <c r="BJ43" i="10"/>
  <c r="BH43" i="10"/>
  <c r="CM39" i="10"/>
  <c r="CD39" i="10"/>
  <c r="CG39" i="10"/>
  <c r="CC39" i="10"/>
  <c r="CQ39" i="10"/>
  <c r="CF39" i="10"/>
  <c r="CJ39" i="10"/>
  <c r="CS39" i="10"/>
  <c r="CK39" i="10"/>
  <c r="CI39" i="10"/>
  <c r="CT39" i="10"/>
  <c r="CN39" i="10"/>
  <c r="CR39" i="10"/>
  <c r="CU39" i="10"/>
  <c r="CL39" i="10"/>
  <c r="CE39" i="10"/>
  <c r="CH39" i="10"/>
  <c r="CV39" i="10"/>
  <c r="CP39" i="10"/>
  <c r="CO39" i="10"/>
  <c r="CB40" i="10"/>
  <c r="P40" i="10"/>
  <c r="Q40" i="10"/>
  <c r="BQ40" i="10"/>
  <c r="BP40" i="10"/>
  <c r="G44" i="10"/>
  <c r="BK44" i="10"/>
  <c r="BC45" i="10"/>
  <c r="BL42" i="10"/>
  <c r="BD43" i="10"/>
  <c r="BX42" i="10" l="1"/>
  <c r="BW42" i="10"/>
  <c r="BZ42" i="10" s="1"/>
  <c r="BE44" i="10"/>
  <c r="BF44" i="10"/>
  <c r="J44" i="10"/>
  <c r="BM44" i="10"/>
  <c r="BY41" i="10"/>
  <c r="K41" i="10"/>
  <c r="V39" i="10"/>
  <c r="W39" i="10" s="1"/>
  <c r="AC39" i="10"/>
  <c r="AD39" i="10" s="1"/>
  <c r="BC46" i="10"/>
  <c r="G45" i="10"/>
  <c r="BK45" i="10"/>
  <c r="I40" i="10"/>
  <c r="AA40" i="10"/>
  <c r="AB40" i="10" s="1"/>
  <c r="X40" i="10"/>
  <c r="U40" i="10"/>
  <c r="BG47" i="10"/>
  <c r="K42" i="10"/>
  <c r="BY42" i="10"/>
  <c r="CT40" i="10"/>
  <c r="CN40" i="10"/>
  <c r="CI40" i="10"/>
  <c r="CK40" i="10"/>
  <c r="CP40" i="10"/>
  <c r="CO40" i="10"/>
  <c r="CV40" i="10"/>
  <c r="CH40" i="10"/>
  <c r="CR40" i="10"/>
  <c r="CG40" i="10"/>
  <c r="CM40" i="10"/>
  <c r="CD40" i="10"/>
  <c r="CE40" i="10"/>
  <c r="CU40" i="10"/>
  <c r="CC40" i="10"/>
  <c r="CS40" i="10"/>
  <c r="CJ40" i="10"/>
  <c r="CF40" i="10"/>
  <c r="CL40" i="10"/>
  <c r="CQ40" i="10"/>
  <c r="E44" i="10"/>
  <c r="D45" i="10"/>
  <c r="BA44" i="10"/>
  <c r="AY45" i="10"/>
  <c r="BD45" i="10" s="1"/>
  <c r="BF45" i="10" s="1"/>
  <c r="BJ44" i="10"/>
  <c r="BH44" i="10"/>
  <c r="CZ44" i="10"/>
  <c r="DA44" i="10" s="1"/>
  <c r="DB44" i="10" s="1"/>
  <c r="Y45" i="10"/>
  <c r="CY45" i="10"/>
  <c r="DC44" i="10"/>
  <c r="BI47" i="10"/>
  <c r="CW39" i="10"/>
  <c r="S39" i="10"/>
  <c r="T39" i="10" s="1"/>
  <c r="BR43" i="10"/>
  <c r="BV43" i="10"/>
  <c r="BL43" i="10"/>
  <c r="L43" i="10"/>
  <c r="H43" i="10" s="1"/>
  <c r="N43" i="10"/>
  <c r="BF43" i="10"/>
  <c r="BE43" i="10"/>
  <c r="Z43" i="10"/>
  <c r="DD43" i="10"/>
  <c r="O42" i="10"/>
  <c r="R42" i="10" s="1"/>
  <c r="BO42" i="10"/>
  <c r="BN42" i="10"/>
  <c r="BT42" i="10" s="1"/>
  <c r="CA42" i="10"/>
  <c r="BS42" i="10"/>
  <c r="P41" i="10"/>
  <c r="Q41" i="10"/>
  <c r="BQ41" i="10"/>
  <c r="CB41" i="10"/>
  <c r="BP41" i="10"/>
  <c r="BV44" i="10" l="1"/>
  <c r="M44" i="10" s="1"/>
  <c r="BL44" i="10"/>
  <c r="N44" i="10"/>
  <c r="CU41" i="10"/>
  <c r="CG41" i="10"/>
  <c r="CK41" i="10"/>
  <c r="CO41" i="10"/>
  <c r="CL41" i="10"/>
  <c r="CC41" i="10"/>
  <c r="CV41" i="10"/>
  <c r="CF41" i="10"/>
  <c r="CH41" i="10"/>
  <c r="CR41" i="10"/>
  <c r="CQ41" i="10"/>
  <c r="CT41" i="10"/>
  <c r="CP41" i="10"/>
  <c r="CI41" i="10"/>
  <c r="CJ41" i="10"/>
  <c r="CE41" i="10"/>
  <c r="CM41" i="10"/>
  <c r="CD41" i="10"/>
  <c r="CN41" i="10"/>
  <c r="CS41" i="10"/>
  <c r="BI48" i="10"/>
  <c r="AC40" i="10"/>
  <c r="AD40" i="10" s="1"/>
  <c r="S40" i="10"/>
  <c r="T40" i="10" s="1"/>
  <c r="CW40" i="10"/>
  <c r="J45" i="10"/>
  <c r="BM45" i="10"/>
  <c r="BO43" i="10"/>
  <c r="BN43" i="10"/>
  <c r="BT43" i="10" s="1"/>
  <c r="CA43" i="10"/>
  <c r="O43" i="10"/>
  <c r="R43" i="10" s="1"/>
  <c r="BS43" i="10"/>
  <c r="M43" i="10"/>
  <c r="BW43" i="10"/>
  <c r="BZ43" i="10" s="1"/>
  <c r="BX43" i="10"/>
  <c r="I41" i="10"/>
  <c r="X41" i="10"/>
  <c r="AA41" i="10"/>
  <c r="AB41" i="10" s="1"/>
  <c r="AC41" i="10" s="1"/>
  <c r="AD41" i="10" s="1"/>
  <c r="U41" i="10"/>
  <c r="V41" i="10" s="1"/>
  <c r="W41" i="10" s="1"/>
  <c r="D46" i="10"/>
  <c r="BA45" i="10"/>
  <c r="E45" i="10"/>
  <c r="AY46" i="10"/>
  <c r="BD46" i="10" s="1"/>
  <c r="BE46" i="10" s="1"/>
  <c r="BJ45" i="10"/>
  <c r="BH45" i="10"/>
  <c r="BE45" i="10"/>
  <c r="BR44" i="10"/>
  <c r="I42" i="10"/>
  <c r="X42" i="10"/>
  <c r="U42" i="10"/>
  <c r="AA42" i="10"/>
  <c r="AB42" i="10" s="1"/>
  <c r="BC47" i="10"/>
  <c r="BK46" i="10"/>
  <c r="G46" i="10"/>
  <c r="Z44" i="10"/>
  <c r="DD44" i="10"/>
  <c r="P42" i="10"/>
  <c r="BQ42" i="10"/>
  <c r="CB42" i="10"/>
  <c r="Q42" i="10"/>
  <c r="BP42" i="10"/>
  <c r="BG48" i="10"/>
  <c r="L44" i="10"/>
  <c r="H44" i="10" s="1"/>
  <c r="DC45" i="10"/>
  <c r="CZ45" i="10"/>
  <c r="DA45" i="10" s="1"/>
  <c r="DB45" i="10" s="1"/>
  <c r="CY46" i="10"/>
  <c r="Y46" i="10"/>
  <c r="V40" i="10"/>
  <c r="W40" i="10" s="1"/>
  <c r="BX44" i="10" l="1"/>
  <c r="K44" i="10" s="1"/>
  <c r="BW44" i="10"/>
  <c r="BZ44" i="10" s="1"/>
  <c r="BO44" i="10"/>
  <c r="P44" i="10" s="1"/>
  <c r="L45" i="10"/>
  <c r="H45" i="10" s="1"/>
  <c r="N45" i="10"/>
  <c r="BN44" i="10"/>
  <c r="BT44" i="10" s="1"/>
  <c r="CA44" i="10"/>
  <c r="BL45" i="10"/>
  <c r="BN45" i="10" s="1"/>
  <c r="BT45" i="10" s="1"/>
  <c r="BS44" i="10"/>
  <c r="BV45" i="10"/>
  <c r="BX45" i="10" s="1"/>
  <c r="K45" i="10" s="1"/>
  <c r="O44" i="10"/>
  <c r="R44" i="10" s="1"/>
  <c r="CC42" i="10"/>
  <c r="CR42" i="10"/>
  <c r="CV42" i="10"/>
  <c r="CS42" i="10"/>
  <c r="CO42" i="10"/>
  <c r="CE42" i="10"/>
  <c r="CG42" i="10"/>
  <c r="CM42" i="10"/>
  <c r="CI42" i="10"/>
  <c r="CK42" i="10"/>
  <c r="CU42" i="10"/>
  <c r="CF42" i="10"/>
  <c r="CN42" i="10"/>
  <c r="CQ42" i="10"/>
  <c r="CP42" i="10"/>
  <c r="CH42" i="10"/>
  <c r="CJ42" i="10"/>
  <c r="CL42" i="10"/>
  <c r="CD42" i="10"/>
  <c r="CT42" i="10"/>
  <c r="BR45" i="10"/>
  <c r="BK47" i="10"/>
  <c r="G47" i="10"/>
  <c r="BC48" i="10"/>
  <c r="AY47" i="10"/>
  <c r="BD47" i="10" s="1"/>
  <c r="BA46" i="10"/>
  <c r="E46" i="10"/>
  <c r="D47" i="10"/>
  <c r="BH46" i="10"/>
  <c r="BJ46" i="10"/>
  <c r="DC46" i="10"/>
  <c r="CY47" i="10"/>
  <c r="Y47" i="10"/>
  <c r="CZ46" i="10"/>
  <c r="DA46" i="10" s="1"/>
  <c r="DB46" i="10" s="1"/>
  <c r="CW41" i="10"/>
  <c r="S41" i="10"/>
  <c r="T41" i="10" s="1"/>
  <c r="DD45" i="10"/>
  <c r="Z45" i="10"/>
  <c r="BY43" i="10"/>
  <c r="K43" i="10"/>
  <c r="BF46" i="10"/>
  <c r="J46" i="10"/>
  <c r="BM46" i="10"/>
  <c r="V42" i="10"/>
  <c r="W42" i="10" s="1"/>
  <c r="P43" i="10"/>
  <c r="BQ43" i="10"/>
  <c r="CB43" i="10"/>
  <c r="Q43" i="10"/>
  <c r="BP43" i="10"/>
  <c r="BG49" i="10"/>
  <c r="AC42" i="10"/>
  <c r="AD42" i="10" s="1"/>
  <c r="BI49" i="10"/>
  <c r="CB44" i="10" l="1"/>
  <c r="CL44" i="10" s="1"/>
  <c r="BQ44" i="10"/>
  <c r="Q44" i="10"/>
  <c r="BP44" i="10"/>
  <c r="BY44" i="10"/>
  <c r="M45" i="10"/>
  <c r="BO45" i="10"/>
  <c r="BP45" i="10" s="1"/>
  <c r="BS45" i="10"/>
  <c r="CA45" i="10"/>
  <c r="O45" i="10"/>
  <c r="R45" i="10" s="1"/>
  <c r="BY45" i="10"/>
  <c r="BW45" i="10"/>
  <c r="BZ45" i="10" s="1"/>
  <c r="L46" i="10"/>
  <c r="H46" i="10" s="1"/>
  <c r="N46" i="10"/>
  <c r="BL46" i="10"/>
  <c r="BS46" i="10" s="1"/>
  <c r="BV46" i="10"/>
  <c r="BX46" i="10" s="1"/>
  <c r="BE47" i="10"/>
  <c r="BF47" i="10"/>
  <c r="BI50" i="10"/>
  <c r="BG50" i="10"/>
  <c r="AY48" i="10"/>
  <c r="BA47" i="10"/>
  <c r="D48" i="10"/>
  <c r="E47" i="10"/>
  <c r="BJ47" i="10"/>
  <c r="BH47" i="10"/>
  <c r="BK48" i="10"/>
  <c r="G48" i="10"/>
  <c r="BC49" i="10"/>
  <c r="CF43" i="10"/>
  <c r="CK43" i="10"/>
  <c r="CL43" i="10"/>
  <c r="CC43" i="10"/>
  <c r="CT43" i="10"/>
  <c r="CN43" i="10"/>
  <c r="CM43" i="10"/>
  <c r="CO43" i="10"/>
  <c r="CU43" i="10"/>
  <c r="CI43" i="10"/>
  <c r="CH43" i="10"/>
  <c r="CJ43" i="10"/>
  <c r="CE43" i="10"/>
  <c r="CQ43" i="10"/>
  <c r="CV43" i="10"/>
  <c r="CR43" i="10"/>
  <c r="CP43" i="10"/>
  <c r="CD43" i="10"/>
  <c r="CS43" i="10"/>
  <c r="CG43" i="10"/>
  <c r="CZ47" i="10"/>
  <c r="DA47" i="10" s="1"/>
  <c r="DB47" i="10" s="1"/>
  <c r="Y48" i="10"/>
  <c r="DC47" i="10"/>
  <c r="CY48" i="10"/>
  <c r="U43" i="10"/>
  <c r="X43" i="10"/>
  <c r="AA43" i="10"/>
  <c r="AB43" i="10" s="1"/>
  <c r="I43" i="10"/>
  <c r="DD46" i="10"/>
  <c r="Z46" i="10"/>
  <c r="U44" i="10"/>
  <c r="AA44" i="10"/>
  <c r="AB44" i="10" s="1"/>
  <c r="I44" i="10"/>
  <c r="X44" i="10"/>
  <c r="BR46" i="10"/>
  <c r="J47" i="10"/>
  <c r="BM47" i="10"/>
  <c r="CW42" i="10"/>
  <c r="S42" i="10"/>
  <c r="T42" i="10" s="1"/>
  <c r="CI44" i="10"/>
  <c r="CM44" i="10"/>
  <c r="CE44" i="10"/>
  <c r="CT44" i="10"/>
  <c r="CV44" i="10"/>
  <c r="CF44" i="10"/>
  <c r="CU44" i="10"/>
  <c r="CD44" i="10"/>
  <c r="CG44" i="10"/>
  <c r="I45" i="10"/>
  <c r="AA45" i="10"/>
  <c r="AB45" i="10" s="1"/>
  <c r="U45" i="10"/>
  <c r="CC44" i="10" l="1"/>
  <c r="CP44" i="10"/>
  <c r="CH44" i="10"/>
  <c r="CS44" i="10"/>
  <c r="CQ44" i="10"/>
  <c r="CO44" i="10"/>
  <c r="CN44" i="10"/>
  <c r="CR44" i="10"/>
  <c r="CK44" i="10"/>
  <c r="CJ44" i="10"/>
  <c r="P45" i="10"/>
  <c r="Q45" i="10"/>
  <c r="CB45" i="10"/>
  <c r="CI45" i="10" s="1"/>
  <c r="X45" i="10"/>
  <c r="CA46" i="10"/>
  <c r="O46" i="10"/>
  <c r="R46" i="10" s="1"/>
  <c r="BQ45" i="10"/>
  <c r="BN46" i="10"/>
  <c r="BT46" i="10" s="1"/>
  <c r="M46" i="10"/>
  <c r="BW46" i="10"/>
  <c r="BZ46" i="10" s="1"/>
  <c r="BO46" i="10"/>
  <c r="BP46" i="10" s="1"/>
  <c r="AC45" i="10"/>
  <c r="AD45" i="10" s="1"/>
  <c r="BL47" i="10"/>
  <c r="CA47" i="10" s="1"/>
  <c r="BI51" i="10"/>
  <c r="V45" i="10"/>
  <c r="W45" i="10" s="1"/>
  <c r="J48" i="10"/>
  <c r="BM48" i="10"/>
  <c r="AY49" i="10"/>
  <c r="D49" i="10"/>
  <c r="BA48" i="10"/>
  <c r="E48" i="10"/>
  <c r="BJ48" i="10"/>
  <c r="BH48" i="10"/>
  <c r="BG51" i="10"/>
  <c r="V44" i="10"/>
  <c r="W44" i="10" s="1"/>
  <c r="V43" i="10"/>
  <c r="W43" i="10" s="1"/>
  <c r="Y49" i="10"/>
  <c r="CY49" i="10"/>
  <c r="DC48" i="10"/>
  <c r="CZ48" i="10"/>
  <c r="DA48" i="10" s="1"/>
  <c r="DB48" i="10" s="1"/>
  <c r="Z47" i="10"/>
  <c r="DD47" i="10"/>
  <c r="BD48" i="10"/>
  <c r="BY46" i="10"/>
  <c r="K46" i="10"/>
  <c r="BV47" i="10"/>
  <c r="CW43" i="10"/>
  <c r="S43" i="10"/>
  <c r="T43" i="10" s="1"/>
  <c r="N47" i="10"/>
  <c r="BK49" i="10"/>
  <c r="G49" i="10"/>
  <c r="BC50" i="10"/>
  <c r="BR47" i="10"/>
  <c r="L47" i="10"/>
  <c r="H47" i="10" s="1"/>
  <c r="AC44" i="10"/>
  <c r="AD44" i="10" s="1"/>
  <c r="AC43" i="10"/>
  <c r="AD43" i="10" s="1"/>
  <c r="S44" i="10" l="1"/>
  <c r="T44" i="10" s="1"/>
  <c r="CW44" i="10"/>
  <c r="CC45" i="10"/>
  <c r="CP45" i="10"/>
  <c r="CU45" i="10"/>
  <c r="CR45" i="10"/>
  <c r="CG45" i="10"/>
  <c r="CL45" i="10"/>
  <c r="CE45" i="10"/>
  <c r="CH45" i="10"/>
  <c r="CS45" i="10"/>
  <c r="CF45" i="10"/>
  <c r="CN45" i="10"/>
  <c r="CJ45" i="10"/>
  <c r="CO45" i="10"/>
  <c r="CQ45" i="10"/>
  <c r="CM45" i="10"/>
  <c r="CK45" i="10"/>
  <c r="CD45" i="10"/>
  <c r="CT45" i="10"/>
  <c r="CV45" i="10"/>
  <c r="BN47" i="10"/>
  <c r="BT47" i="10" s="1"/>
  <c r="P46" i="10"/>
  <c r="Q46" i="10"/>
  <c r="BQ46" i="10"/>
  <c r="BS47" i="10"/>
  <c r="O47" i="10"/>
  <c r="R47" i="10" s="1"/>
  <c r="CB46" i="10"/>
  <c r="CR46" i="10" s="1"/>
  <c r="BO47" i="10"/>
  <c r="CB47" i="10" s="1"/>
  <c r="X46" i="10"/>
  <c r="U46" i="10"/>
  <c r="AA46" i="10"/>
  <c r="AB46" i="10" s="1"/>
  <c r="I46" i="10"/>
  <c r="BA49" i="10"/>
  <c r="AY50" i="10"/>
  <c r="D50" i="10"/>
  <c r="E49" i="10"/>
  <c r="BJ49" i="10"/>
  <c r="BH49" i="10"/>
  <c r="BC51" i="10"/>
  <c r="BK50" i="10"/>
  <c r="G50" i="10"/>
  <c r="J49" i="10"/>
  <c r="BM49" i="10"/>
  <c r="BG52" i="10"/>
  <c r="BI52" i="10"/>
  <c r="BR48" i="10"/>
  <c r="BD49" i="10"/>
  <c r="CZ49" i="10"/>
  <c r="DA49" i="10" s="1"/>
  <c r="DB49" i="10" s="1"/>
  <c r="DC49" i="10"/>
  <c r="CY50" i="10"/>
  <c r="Y50" i="10"/>
  <c r="BL48" i="10"/>
  <c r="BV48" i="10"/>
  <c r="N48" i="10"/>
  <c r="L48" i="10"/>
  <c r="H48" i="10" s="1"/>
  <c r="BE48" i="10"/>
  <c r="BF48" i="10"/>
  <c r="DD48" i="10"/>
  <c r="Z48" i="10"/>
  <c r="M47" i="10"/>
  <c r="BW47" i="10"/>
  <c r="BZ47" i="10" s="1"/>
  <c r="BX47" i="10"/>
  <c r="S45" i="10" l="1"/>
  <c r="T45" i="10" s="1"/>
  <c r="CW45" i="10"/>
  <c r="CQ46" i="10"/>
  <c r="CM46" i="10"/>
  <c r="CN46" i="10"/>
  <c r="CC46" i="10"/>
  <c r="CI46" i="10"/>
  <c r="CU46" i="10"/>
  <c r="CL46" i="10"/>
  <c r="CF46" i="10"/>
  <c r="CS46" i="10"/>
  <c r="CE46" i="10"/>
  <c r="CV46" i="10"/>
  <c r="CD46" i="10"/>
  <c r="CO46" i="10"/>
  <c r="CT46" i="10"/>
  <c r="BP47" i="10"/>
  <c r="CP46" i="10"/>
  <c r="CG46" i="10"/>
  <c r="CH46" i="10"/>
  <c r="P47" i="10"/>
  <c r="CJ46" i="10"/>
  <c r="CK46" i="10"/>
  <c r="Q47" i="10"/>
  <c r="K47" i="10"/>
  <c r="BY47" i="10"/>
  <c r="Y51" i="10"/>
  <c r="CZ50" i="10"/>
  <c r="DA50" i="10" s="1"/>
  <c r="DB50" i="10" s="1"/>
  <c r="CY51" i="10"/>
  <c r="DC50" i="10"/>
  <c r="DD49" i="10"/>
  <c r="Z49" i="10"/>
  <c r="BR49" i="10"/>
  <c r="N49" i="10"/>
  <c r="BV49" i="10"/>
  <c r="L49" i="10"/>
  <c r="H49" i="10" s="1"/>
  <c r="BL49" i="10"/>
  <c r="BE49" i="10"/>
  <c r="BF49" i="10"/>
  <c r="D51" i="10"/>
  <c r="BA50" i="10"/>
  <c r="E50" i="10"/>
  <c r="AY51" i="10"/>
  <c r="BJ50" i="10"/>
  <c r="BH50" i="10"/>
  <c r="BD50" i="10"/>
  <c r="CK47" i="10"/>
  <c r="CH47" i="10"/>
  <c r="CC47" i="10"/>
  <c r="CF47" i="10"/>
  <c r="CR47" i="10"/>
  <c r="CU47" i="10"/>
  <c r="CQ47" i="10"/>
  <c r="CJ47" i="10"/>
  <c r="CD47" i="10"/>
  <c r="CL47" i="10"/>
  <c r="CO47" i="10"/>
  <c r="CV47" i="10"/>
  <c r="CI47" i="10"/>
  <c r="CN47" i="10"/>
  <c r="CS47" i="10"/>
  <c r="CM47" i="10"/>
  <c r="CP47" i="10"/>
  <c r="CG47" i="10"/>
  <c r="CE47" i="10"/>
  <c r="CT47" i="10"/>
  <c r="AC46" i="10"/>
  <c r="AD46" i="10" s="1"/>
  <c r="BQ47" i="10"/>
  <c r="V46" i="10"/>
  <c r="W46" i="10" s="1"/>
  <c r="BW48" i="10"/>
  <c r="BZ48" i="10" s="1"/>
  <c r="M48" i="10"/>
  <c r="BX48" i="10"/>
  <c r="BM50" i="10"/>
  <c r="J50" i="10"/>
  <c r="BO48" i="10"/>
  <c r="CA48" i="10"/>
  <c r="O48" i="10"/>
  <c r="R48" i="10" s="1"/>
  <c r="BN48" i="10"/>
  <c r="BT48" i="10" s="1"/>
  <c r="BS48" i="10"/>
  <c r="BK51" i="10"/>
  <c r="G51" i="10"/>
  <c r="BC52" i="10"/>
  <c r="S46" i="10" l="1"/>
  <c r="T46" i="10" s="1"/>
  <c r="CW46" i="10"/>
  <c r="BR50" i="10"/>
  <c r="BY48" i="10"/>
  <c r="K48" i="10"/>
  <c r="J51" i="10"/>
  <c r="BM51" i="10"/>
  <c r="Z50" i="10"/>
  <c r="DD50" i="10"/>
  <c r="O49" i="10"/>
  <c r="R49" i="10" s="1"/>
  <c r="BO49" i="10"/>
  <c r="CA49" i="10"/>
  <c r="BN49" i="10"/>
  <c r="BT49" i="10" s="1"/>
  <c r="BS49" i="10"/>
  <c r="P48" i="10"/>
  <c r="Q48" i="10"/>
  <c r="CB48" i="10"/>
  <c r="BQ48" i="10"/>
  <c r="BP48" i="10"/>
  <c r="BK52" i="10"/>
  <c r="G52" i="10"/>
  <c r="E51" i="10"/>
  <c r="D52" i="10"/>
  <c r="BA51" i="10"/>
  <c r="AY52" i="10"/>
  <c r="BD52" i="10" s="1"/>
  <c r="BE52" i="10" s="1"/>
  <c r="BJ51" i="10"/>
  <c r="BH51" i="10"/>
  <c r="S47" i="10"/>
  <c r="T47" i="10" s="1"/>
  <c r="CW47" i="10"/>
  <c r="DC51" i="10"/>
  <c r="Y52" i="10"/>
  <c r="CY52" i="10"/>
  <c r="CZ51" i="10"/>
  <c r="DA51" i="10" s="1"/>
  <c r="DB51" i="10" s="1"/>
  <c r="BV50" i="10"/>
  <c r="N50" i="10"/>
  <c r="BL50" i="10"/>
  <c r="L50" i="10"/>
  <c r="H50" i="10" s="1"/>
  <c r="BE50" i="10"/>
  <c r="BF50" i="10"/>
  <c r="BW49" i="10"/>
  <c r="BZ49" i="10" s="1"/>
  <c r="M49" i="10"/>
  <c r="BX49" i="10"/>
  <c r="BD51" i="10"/>
  <c r="U47" i="10"/>
  <c r="AA47" i="10"/>
  <c r="AB47" i="10" s="1"/>
  <c r="X47" i="10"/>
  <c r="I47" i="10"/>
  <c r="J52" i="10" l="1"/>
  <c r="BM52" i="10"/>
  <c r="BA52" i="10"/>
  <c r="E52" i="10"/>
  <c r="BJ52" i="10"/>
  <c r="BH52" i="10"/>
  <c r="I48" i="10"/>
  <c r="U48" i="10"/>
  <c r="V48" i="10" s="1"/>
  <c r="W48" i="10" s="1"/>
  <c r="AA48" i="10"/>
  <c r="AB48" i="10" s="1"/>
  <c r="X48" i="10"/>
  <c r="BR51" i="10"/>
  <c r="CO48" i="10"/>
  <c r="CD48" i="10"/>
  <c r="CH48" i="10"/>
  <c r="CF48" i="10"/>
  <c r="CK48" i="10"/>
  <c r="CG48" i="10"/>
  <c r="CL48" i="10"/>
  <c r="CC48" i="10"/>
  <c r="CE48" i="10"/>
  <c r="CI48" i="10"/>
  <c r="CU48" i="10"/>
  <c r="CT48" i="10"/>
  <c r="CN48" i="10"/>
  <c r="CV48" i="10"/>
  <c r="CM48" i="10"/>
  <c r="CP48" i="10"/>
  <c r="CS48" i="10"/>
  <c r="CR48" i="10"/>
  <c r="CJ48" i="10"/>
  <c r="CQ48" i="10"/>
  <c r="CA50" i="10"/>
  <c r="BO50" i="10"/>
  <c r="O50" i="10"/>
  <c r="R50" i="10" s="1"/>
  <c r="BN50" i="10"/>
  <c r="BT50" i="10" s="1"/>
  <c r="BS50" i="10"/>
  <c r="M50" i="10"/>
  <c r="BW50" i="10"/>
  <c r="BZ50" i="10" s="1"/>
  <c r="BX50" i="10"/>
  <c r="AC47" i="10"/>
  <c r="AD47" i="10" s="1"/>
  <c r="V47" i="10"/>
  <c r="W47" i="10" s="1"/>
  <c r="DC52" i="10"/>
  <c r="CZ52" i="10"/>
  <c r="DA52" i="10" s="1"/>
  <c r="DB52" i="10" s="1"/>
  <c r="N51" i="10"/>
  <c r="L51" i="10"/>
  <c r="H51" i="10" s="1"/>
  <c r="BV51" i="10"/>
  <c r="BL51" i="10"/>
  <c r="BF51" i="10"/>
  <c r="BE51" i="10"/>
  <c r="BF52" i="10"/>
  <c r="BQ49" i="10"/>
  <c r="CB49" i="10"/>
  <c r="P49" i="10"/>
  <c r="Q49" i="10"/>
  <c r="BP49" i="10"/>
  <c r="BY49" i="10"/>
  <c r="K49" i="10"/>
  <c r="Z51" i="10"/>
  <c r="DD51" i="10"/>
  <c r="L52" i="10" l="1"/>
  <c r="H52" i="10" s="1"/>
  <c r="S48" i="10"/>
  <c r="T48" i="10" s="1"/>
  <c r="CW48" i="10"/>
  <c r="K50" i="10"/>
  <c r="BY50" i="10"/>
  <c r="BO51" i="10"/>
  <c r="BN51" i="10"/>
  <c r="BT51" i="10" s="1"/>
  <c r="CA51" i="10"/>
  <c r="O51" i="10"/>
  <c r="R51" i="10" s="1"/>
  <c r="BS51" i="10"/>
  <c r="M51" i="10"/>
  <c r="BW51" i="10"/>
  <c r="BZ51" i="10" s="1"/>
  <c r="BX51" i="10"/>
  <c r="U49" i="10"/>
  <c r="V49" i="10" s="1"/>
  <c r="W49" i="10" s="1"/>
  <c r="I49" i="10"/>
  <c r="X49" i="10"/>
  <c r="AA49" i="10"/>
  <c r="AB49" i="10" s="1"/>
  <c r="BR52" i="10"/>
  <c r="Q50" i="10"/>
  <c r="P50" i="10"/>
  <c r="BQ50" i="10"/>
  <c r="CB50" i="10"/>
  <c r="BP50" i="10"/>
  <c r="DD52" i="10"/>
  <c r="Z52" i="10"/>
  <c r="BL52" i="10"/>
  <c r="CN49" i="10"/>
  <c r="CJ49" i="10"/>
  <c r="CV49" i="10"/>
  <c r="CD49" i="10"/>
  <c r="CQ49" i="10"/>
  <c r="CG49" i="10"/>
  <c r="CI49" i="10"/>
  <c r="CH49" i="10"/>
  <c r="CT49" i="10"/>
  <c r="CM49" i="10"/>
  <c r="CS49" i="10"/>
  <c r="CR49" i="10"/>
  <c r="CO49" i="10"/>
  <c r="CL49" i="10"/>
  <c r="CC49" i="10"/>
  <c r="CK49" i="10"/>
  <c r="CE49" i="10"/>
  <c r="CU49" i="10"/>
  <c r="CF49" i="10"/>
  <c r="CP49" i="10"/>
  <c r="N52" i="10"/>
  <c r="BV52" i="10"/>
  <c r="AC48" i="10"/>
  <c r="AD48" i="10" s="1"/>
  <c r="CE50" i="10" l="1"/>
  <c r="CP50" i="10"/>
  <c r="CS50" i="10"/>
  <c r="CQ50" i="10"/>
  <c r="CU50" i="10"/>
  <c r="CR50" i="10"/>
  <c r="CH50" i="10"/>
  <c r="CL50" i="10"/>
  <c r="CO50" i="10"/>
  <c r="CK50" i="10"/>
  <c r="CN50" i="10"/>
  <c r="CG50" i="10"/>
  <c r="CT50" i="10"/>
  <c r="CC50" i="10"/>
  <c r="CI50" i="10"/>
  <c r="CM50" i="10"/>
  <c r="CV50" i="10"/>
  <c r="CF50" i="10"/>
  <c r="CJ50" i="10"/>
  <c r="CD50" i="10"/>
  <c r="S49" i="10"/>
  <c r="T49" i="10" s="1"/>
  <c r="CW49" i="10"/>
  <c r="P51" i="10"/>
  <c r="CB51" i="10"/>
  <c r="Q51" i="10"/>
  <c r="BQ51" i="10"/>
  <c r="BP51" i="10"/>
  <c r="BY51" i="10"/>
  <c r="K51" i="10"/>
  <c r="BW52" i="10"/>
  <c r="BZ52" i="10" s="1"/>
  <c r="M52" i="10"/>
  <c r="BX52" i="10"/>
  <c r="BN52" i="10"/>
  <c r="BT52" i="10" s="1"/>
  <c r="O52" i="10"/>
  <c r="R52" i="10" s="1"/>
  <c r="CA52" i="10"/>
  <c r="BO52" i="10"/>
  <c r="BS52" i="10"/>
  <c r="I50" i="10"/>
  <c r="X50" i="10"/>
  <c r="AA50" i="10"/>
  <c r="AB50" i="10" s="1"/>
  <c r="AC50" i="10" s="1"/>
  <c r="AD50" i="10" s="1"/>
  <c r="U50" i="10"/>
  <c r="V50" i="10" s="1"/>
  <c r="W50" i="10" s="1"/>
  <c r="AC49" i="10"/>
  <c r="AD49" i="10" s="1"/>
  <c r="CB52" i="10" l="1"/>
  <c r="BQ52" i="10"/>
  <c r="Q52" i="10"/>
  <c r="P52" i="10"/>
  <c r="BP52" i="10"/>
  <c r="K52" i="10"/>
  <c r="BY52" i="10"/>
  <c r="AA51" i="10"/>
  <c r="AB51" i="10" s="1"/>
  <c r="U51" i="10"/>
  <c r="I51" i="10"/>
  <c r="X51" i="10"/>
  <c r="CK51" i="10"/>
  <c r="CI51" i="10"/>
  <c r="CT51" i="10"/>
  <c r="CG51" i="10"/>
  <c r="CM51" i="10"/>
  <c r="CL51" i="10"/>
  <c r="CC51" i="10"/>
  <c r="CH51" i="10"/>
  <c r="CP51" i="10"/>
  <c r="CF51" i="10"/>
  <c r="CQ51" i="10"/>
  <c r="CU51" i="10"/>
  <c r="CJ51" i="10"/>
  <c r="CV51" i="10"/>
  <c r="CN51" i="10"/>
  <c r="CR51" i="10"/>
  <c r="CO51" i="10"/>
  <c r="CE51" i="10"/>
  <c r="CS51" i="10"/>
  <c r="CD51" i="10"/>
  <c r="CW50" i="10"/>
  <c r="S50" i="10"/>
  <c r="T50" i="10" s="1"/>
  <c r="AC51" i="10" l="1"/>
  <c r="AD51" i="10" s="1"/>
  <c r="S51" i="10"/>
  <c r="T51" i="10" s="1"/>
  <c r="CW51" i="10"/>
  <c r="U52" i="10"/>
  <c r="V52" i="10" s="1"/>
  <c r="W52" i="10" s="1"/>
  <c r="X52" i="10"/>
  <c r="AA52" i="10"/>
  <c r="AB52" i="10" s="1"/>
  <c r="AC52" i="10" s="1"/>
  <c r="AD52" i="10" s="1"/>
  <c r="I52" i="10"/>
  <c r="CR52" i="10"/>
  <c r="CI52" i="10"/>
  <c r="CL52" i="10"/>
  <c r="CN52" i="10"/>
  <c r="CM52" i="10"/>
  <c r="CF52" i="10"/>
  <c r="CT52" i="10"/>
  <c r="CG52" i="10"/>
  <c r="CE52" i="10"/>
  <c r="CD52" i="10"/>
  <c r="CJ52" i="10"/>
  <c r="CP52" i="10"/>
  <c r="CC52" i="10"/>
  <c r="CH52" i="10"/>
  <c r="CV52" i="10"/>
  <c r="CQ52" i="10"/>
  <c r="CO52" i="10"/>
  <c r="CS52" i="10"/>
  <c r="CU52" i="10"/>
  <c r="CK52" i="10"/>
  <c r="V51" i="10"/>
  <c r="W51" i="10" s="1"/>
  <c r="S52" i="10" l="1"/>
  <c r="T52" i="10" s="1"/>
  <c r="CW5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PAOLO REFUTO</author>
    <author>tc={EC46812D-79D0-2D47-8CF3-9E9FCBD22A3F}</author>
    <author>tc={396489AD-0B2D-E645-9875-7599CACD886D}</author>
  </authors>
  <commentList>
    <comment ref="G3" authorId="0" shapeId="0" xr:uid="{AA44F863-8555-514B-8C9B-0E7D219B8613}">
      <text>
        <r>
          <rPr>
            <b/>
            <sz val="9"/>
            <color indexed="81"/>
            <rFont val="Tahoma"/>
            <charset val="1"/>
          </rPr>
          <t>PAOLO REFUTO:</t>
        </r>
        <r>
          <rPr>
            <sz val="9"/>
            <color indexed="81"/>
            <rFont val="Tahoma"/>
            <charset val="1"/>
          </rPr>
          <t xml:space="preserve">
Adattare a inflazione.
Se uguale a inflazione:
Aumento s. vs tasse su interessi. Se aumento uguale a inflazione ci dovrebbe comunque essere una perdita per tasse.
</t>
        </r>
      </text>
    </comment>
    <comment ref="J3" authorId="1" shapeId="0" xr:uid="{EC46812D-79D0-2D47-8CF3-9E9FCBD22A3F}">
      <text>
        <t>[Threaded comment]
Your version of Excel allows you to read this threaded comment; however, any edits to it will get removed if the file is opened in a newer version of Excel. Learn more: https://go.microsoft.com/fwlink/?linkid=870924
Comment:
    AGGIUNGERE GIAGENZA E +tax</t>
      </text>
    </comment>
    <comment ref="B5" authorId="0" shapeId="0" xr:uid="{0AF018B7-8EBC-4E4D-A6C1-6F0939E94483}">
      <text>
        <r>
          <rPr>
            <b/>
            <sz val="9"/>
            <color indexed="81"/>
            <rFont val="Tahoma"/>
            <family val="2"/>
          </rPr>
          <t>PAOLO REFUTO:</t>
        </r>
        <r>
          <rPr>
            <sz val="9"/>
            <color indexed="81"/>
            <rFont val="Tahoma"/>
            <family val="2"/>
          </rPr>
          <t xml:space="preserve">
Se uguale a inflazione: semplice adeguamento.
Se maggiore di inflazione:
aumento di stipendio</t>
        </r>
      </text>
    </comment>
    <comment ref="O8" authorId="0" shapeId="0" xr:uid="{3EBDC78D-A221-433F-B960-6CA6FE5A5029}">
      <text>
        <r>
          <rPr>
            <b/>
            <sz val="9"/>
            <color indexed="81"/>
            <rFont val="Tahoma"/>
            <family val="2"/>
          </rPr>
          <t>PAOLO REFUTO:</t>
        </r>
        <r>
          <rPr>
            <sz val="9"/>
            <color indexed="81"/>
            <rFont val="Tahoma"/>
            <family val="2"/>
          </rPr>
          <t xml:space="preserve">
adjusted to annual saving 
</t>
        </r>
      </text>
    </comment>
    <comment ref="A9" authorId="0" shapeId="0" xr:uid="{4EF8A99C-51EF-438F-9815-B5B9278BEDAA}">
      <text>
        <r>
          <rPr>
            <b/>
            <sz val="9"/>
            <color indexed="81"/>
            <rFont val="Tahoma"/>
            <family val="2"/>
          </rPr>
          <t>PAOLO REFUTO:</t>
        </r>
        <r>
          <rPr>
            <sz val="9"/>
            <color indexed="81"/>
            <rFont val="Tahoma"/>
            <family val="2"/>
          </rPr>
          <t xml:space="preserve">
(+pay rise)
</t>
        </r>
      </text>
    </comment>
    <comment ref="A12" authorId="0" shapeId="0" xr:uid="{D0D02844-72F4-405D-829B-3EC40599486B}">
      <text>
        <r>
          <rPr>
            <b/>
            <sz val="9"/>
            <color indexed="81"/>
            <rFont val="Tahoma"/>
            <family val="2"/>
          </rPr>
          <t>PAOLO REFUTO:</t>
        </r>
        <r>
          <rPr>
            <sz val="9"/>
            <color indexed="81"/>
            <rFont val="Tahoma"/>
            <family val="2"/>
          </rPr>
          <t xml:space="preserve">
(+pay rise)</t>
        </r>
      </text>
    </comment>
    <comment ref="O12" authorId="0" shapeId="0" xr:uid="{E356987B-373B-4B60-A1A1-765BACF7ED61}">
      <text>
        <r>
          <rPr>
            <b/>
            <sz val="9"/>
            <color indexed="81"/>
            <rFont val="Tahoma"/>
            <charset val="1"/>
          </rPr>
          <t>PAOLO REFUTO:</t>
        </r>
        <r>
          <rPr>
            <sz val="9"/>
            <color indexed="81"/>
            <rFont val="Tahoma"/>
            <charset val="1"/>
          </rPr>
          <t xml:space="preserve">
last year not considered because never invested
</t>
        </r>
      </text>
    </comment>
    <comment ref="B16" authorId="0" shapeId="0" xr:uid="{13F94F2A-3618-4924-87DA-178D117A37A0}">
      <text>
        <r>
          <rPr>
            <b/>
            <sz val="9"/>
            <color indexed="81"/>
            <rFont val="Tahoma"/>
            <family val="2"/>
          </rPr>
          <t>PAOLO REFUTO:</t>
        </r>
        <r>
          <rPr>
            <sz val="9"/>
            <color indexed="81"/>
            <rFont val="Tahoma"/>
            <family val="2"/>
          </rPr>
          <t xml:space="preserve">
Face value/par value
</t>
        </r>
      </text>
    </comment>
    <comment ref="D18" authorId="0" shapeId="0" xr:uid="{829AFBC6-E59A-4710-8E92-818611C6FF76}">
      <text>
        <r>
          <rPr>
            <b/>
            <sz val="9"/>
            <color indexed="81"/>
            <rFont val="Tahoma"/>
            <family val="2"/>
          </rPr>
          <t>PAOLO REFUTO:</t>
        </r>
        <r>
          <rPr>
            <sz val="9"/>
            <color indexed="81"/>
            <rFont val="Tahoma"/>
            <family val="2"/>
          </rPr>
          <t xml:space="preserve">
maybe wrong: correct with Capital inflation adjusted at T[t] year
</t>
        </r>
      </text>
    </comment>
    <comment ref="H18" authorId="0" shapeId="0" xr:uid="{2A326CB4-9806-4407-AD97-0FD5F74E521C}">
      <text>
        <r>
          <rPr>
            <b/>
            <sz val="9"/>
            <color indexed="81"/>
            <rFont val="Tahoma"/>
            <family val="2"/>
          </rPr>
          <t>PAOLO REFUTO:</t>
        </r>
        <r>
          <rPr>
            <sz val="9"/>
            <color indexed="81"/>
            <rFont val="Tahoma"/>
            <family val="2"/>
          </rPr>
          <t xml:space="preserve">
rapresent the real saving seen at year 0 (as if you would consume it as soon as you receive it)
</t>
        </r>
      </text>
    </comment>
    <comment ref="B26" authorId="0" shapeId="0" xr:uid="{C2F97DE2-82A6-C04D-ADAE-B9DF7B004E40}">
      <text>
        <r>
          <rPr>
            <b/>
            <sz val="9"/>
            <color indexed="81"/>
            <rFont val="Tahoma"/>
            <family val="2"/>
          </rPr>
          <t>PAOLO REFUTO:</t>
        </r>
        <r>
          <rPr>
            <sz val="9"/>
            <color indexed="81"/>
            <rFont val="Tahoma"/>
            <family val="2"/>
          </rPr>
          <t xml:space="preserve">
tot no infl (con tax)
minus
FULL
alternatives:
=SUM(B19:B23)*(1/(1+r_i)^(T_t)) -SUM(B19:B23)
=(SUMIFS(AD3#;T3:T37;"&lt;="&amp;T_t))*(1/(1+r_i)^T_t)-(SUMIFS(AD3#;T3:T37;"&lt;="&amp;T_t))</t>
        </r>
      </text>
    </comment>
    <comment ref="C26" authorId="0" shapeId="0" xr:uid="{9B3771DD-9086-5643-A717-4B3D44E16D52}">
      <text>
        <r>
          <rPr>
            <b/>
            <sz val="9"/>
            <color indexed="81"/>
            <rFont val="Tahoma"/>
            <family val="2"/>
          </rPr>
          <t>PAOLO REFUTO:</t>
        </r>
        <r>
          <rPr>
            <sz val="9"/>
            <color indexed="81"/>
            <rFont val="Tahoma"/>
            <family val="2"/>
          </rPr>
          <t xml:space="preserve">
una  percentuale di inflazione diversa perché tiene conto anhe dell'inflazione sulle tasse, mentre le altre in colonna a sinistra no</t>
        </r>
      </text>
    </comment>
    <comment ref="B27" authorId="2" shapeId="0" xr:uid="{396489AD-0B2D-E645-9875-7599CACD886D}">
      <text>
        <t>[Threaded comment]
Your version of Excel allows you to read this threaded comment; however, any edits to it will get removed if the file is opened in a newer version of Excel. Learn more: https://go.microsoft.com/fwlink/?linkid=870924
Comment:
    QUESTE QUATTRO CASELLE IN ITALIC SONO ADATTATE A INFLAZIONE (sottrazione) QUINDI NON VANNO TEORICAMENTE NON VANNO BENE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<sst xmlns="http://schemas.openxmlformats.org/spreadsheetml/2006/main" count="292" uniqueCount="243">
  <si>
    <t>SUM</t>
  </si>
  <si>
    <t>Column1</t>
  </si>
  <si>
    <t>Input</t>
  </si>
  <si>
    <t>Pillars</t>
  </si>
  <si>
    <t>Details</t>
  </si>
  <si>
    <t xml:space="preserve">Avr. Yeald </t>
  </si>
  <si>
    <t>TAX</t>
  </si>
  <si>
    <t xml:space="preserve">adjusted % </t>
  </si>
  <si>
    <t>Inflation</t>
  </si>
  <si>
    <t>Considered</t>
  </si>
  <si>
    <t>LISTE</t>
  </si>
  <si>
    <t>FULL</t>
  </si>
  <si>
    <t>back to r_i</t>
  </si>
  <si>
    <t>RISPARMIO TOT</t>
  </si>
  <si>
    <t>NO TAX (si infl) (???)(!!!)</t>
  </si>
  <si>
    <t>NO TAX NO INF</t>
  </si>
  <si>
    <t>TAX REAL (RISP-s-b-btp)-(NOTAXNOIFL)</t>
  </si>
  <si>
    <t>tax check</t>
  </si>
  <si>
    <t>inflazione check</t>
  </si>
  <si>
    <t>DEPOSITO</t>
  </si>
  <si>
    <t>risparmio real value aggiustato</t>
  </si>
  <si>
    <t>Annual savings</t>
  </si>
  <si>
    <t>Liquidity</t>
  </si>
  <si>
    <t>Bank account</t>
  </si>
  <si>
    <t>Cash flow</t>
  </si>
  <si>
    <t>no</t>
  </si>
  <si>
    <t>NO</t>
  </si>
  <si>
    <t>%4°pilastro</t>
  </si>
  <si>
    <t>Inflazione Long term</t>
  </si>
  <si>
    <t>Anni</t>
  </si>
  <si>
    <t>Tasso stipendio annuo</t>
  </si>
  <si>
    <t xml:space="preserve">Rendita </t>
  </si>
  <si>
    <t>t</t>
  </si>
  <si>
    <t>Stock</t>
  </si>
  <si>
    <t>Bond-btp</t>
  </si>
  <si>
    <t>btp</t>
  </si>
  <si>
    <t>SUM check</t>
  </si>
  <si>
    <t>NO inf. Stock</t>
  </si>
  <si>
    <t>NO inf. B-btp</t>
  </si>
  <si>
    <t>NO inf. Btp</t>
  </si>
  <si>
    <t>sum check</t>
  </si>
  <si>
    <t>NO inf. SUM</t>
  </si>
  <si>
    <t>add infl</t>
  </si>
  <si>
    <t>stock</t>
  </si>
  <si>
    <t>check</t>
  </si>
  <si>
    <t>bond(-btp)</t>
  </si>
  <si>
    <t>TOT notax</t>
  </si>
  <si>
    <t>Tax, nom.</t>
  </si>
  <si>
    <t>Tax, real</t>
  </si>
  <si>
    <t>unsum</t>
  </si>
  <si>
    <t>s_yeald</t>
  </si>
  <si>
    <t>b_yeald</t>
  </si>
  <si>
    <t>btp_yeald</t>
  </si>
  <si>
    <t>s_tax</t>
  </si>
  <si>
    <t>b_tax</t>
  </si>
  <si>
    <t>btp_tax</t>
  </si>
  <si>
    <t>TOT</t>
  </si>
  <si>
    <t>no infl (si tax)</t>
  </si>
  <si>
    <t>no infl, no tax</t>
  </si>
  <si>
    <t>new formula</t>
  </si>
  <si>
    <t>Years</t>
  </si>
  <si>
    <t>Emergenza</t>
  </si>
  <si>
    <t>Deposit</t>
  </si>
  <si>
    <t>yes</t>
  </si>
  <si>
    <t>~NO</t>
  </si>
  <si>
    <t xml:space="preserve">Inflation </t>
  </si>
  <si>
    <t>Foreseeable expenditure</t>
  </si>
  <si>
    <t>Bond (-btp)</t>
  </si>
  <si>
    <t>Pay rise</t>
  </si>
  <si>
    <t>Btp</t>
  </si>
  <si>
    <t>Long term (10/20+)</t>
  </si>
  <si>
    <t>Stocks</t>
  </si>
  <si>
    <t>From Budget: year</t>
  </si>
  <si>
    <t>Deposit, infl-adj return</t>
  </si>
  <si>
    <t>Bank account, infl-adj return</t>
  </si>
  <si>
    <t>Results</t>
  </si>
  <si>
    <t>-</t>
  </si>
  <si>
    <t>check calculations</t>
  </si>
  <si>
    <t>Comparison, all infl-adjusted</t>
  </si>
  <si>
    <r>
      <t xml:space="preserve">Compared to </t>
    </r>
    <r>
      <rPr>
        <b/>
        <sz val="11"/>
        <color theme="0"/>
        <rFont val="Calibri"/>
        <family val="2"/>
        <scheme val="minor"/>
      </rPr>
      <t>DEPOSIT</t>
    </r>
  </si>
  <si>
    <r>
      <t xml:space="preserve">Compared to </t>
    </r>
    <r>
      <rPr>
        <b/>
        <sz val="11"/>
        <color theme="0"/>
        <rFont val="Calibri"/>
        <family val="2"/>
        <scheme val="minor"/>
      </rPr>
      <t>BANK ACCOUNT</t>
    </r>
  </si>
  <si>
    <t>Abs. var.</t>
  </si>
  <si>
    <t>Var.%</t>
  </si>
  <si>
    <t>Var. %</t>
  </si>
  <si>
    <t>Invested</t>
  </si>
  <si>
    <t>Timeline</t>
  </si>
  <si>
    <t>TIME</t>
  </si>
  <si>
    <t>Nominal savings</t>
  </si>
  <si>
    <t>Real savings</t>
  </si>
  <si>
    <t>total N. savings</t>
  </si>
  <si>
    <t>total R. savings</t>
  </si>
  <si>
    <t>N.S. check</t>
  </si>
  <si>
    <t>Total N. savings check</t>
  </si>
  <si>
    <t>Nominal stock</t>
  </si>
  <si>
    <t>nominal bond</t>
  </si>
  <si>
    <t>nominal btp</t>
  </si>
  <si>
    <t>FUTURE VALUE</t>
  </si>
  <si>
    <t>REAL VALUE</t>
  </si>
  <si>
    <t>RESULTS</t>
  </si>
  <si>
    <t>nominal</t>
  </si>
  <si>
    <t>real</t>
  </si>
  <si>
    <t>CHECK</t>
  </si>
  <si>
    <t xml:space="preserve"> </t>
  </si>
  <si>
    <t>TOTAL SAV (NOM AND REAL)</t>
  </si>
  <si>
    <t>real sav. Adj</t>
  </si>
  <si>
    <t>TOT RISP R.</t>
  </si>
  <si>
    <t>Tax (real)</t>
  </si>
  <si>
    <t>Val inflation</t>
  </si>
  <si>
    <t>% infl. on Nominal Value</t>
  </si>
  <si>
    <t>TEST</t>
  </si>
  <si>
    <t>Capital gain</t>
  </si>
  <si>
    <t>Stock gain</t>
  </si>
  <si>
    <t xml:space="preserve"> Bond (-btp) gain</t>
  </si>
  <si>
    <t>btp gain</t>
  </si>
  <si>
    <t>Capital inflation adjusted at T[t] year</t>
  </si>
  <si>
    <t>Tax (Nominal)</t>
  </si>
  <si>
    <t>Net Capital gain</t>
  </si>
  <si>
    <t>Nominal                  %  on Gross return</t>
  </si>
  <si>
    <t>Net Capital Gain (Real)</t>
  </si>
  <si>
    <t>Savings</t>
  </si>
  <si>
    <t>Financial tool</t>
  </si>
  <si>
    <t>Values</t>
  </si>
  <si>
    <t>Capital Gain (Nominal)</t>
  </si>
  <si>
    <t>Net Capital gain(Real)</t>
  </si>
  <si>
    <t>Capital invested</t>
  </si>
  <si>
    <t>Capital gain (nominal)</t>
  </si>
  <si>
    <t>Capital gain (real)</t>
  </si>
  <si>
    <t>net capital gain real</t>
  </si>
  <si>
    <t>checkkk</t>
  </si>
  <si>
    <t>building Real Capital gain/Savings (adj. per year) (ROI)</t>
  </si>
  <si>
    <t>base</t>
  </si>
  <si>
    <t>Real Capital gain/Savings (adj. per year)</t>
  </si>
  <si>
    <t>+10% Net Gain/Savings (real, adj.)'</t>
  </si>
  <si>
    <t xml:space="preserve"> Net Present value (Real)</t>
  </si>
  <si>
    <t>Real % on Net        infl-adj. Capital gain</t>
  </si>
  <si>
    <t>Future value (Nominal)</t>
  </si>
  <si>
    <t>Real value          (year 0 value)</t>
  </si>
  <si>
    <t>Present value (Real)</t>
  </si>
  <si>
    <t>Net Present value (real)</t>
  </si>
  <si>
    <t>Real Capital gain/net PV</t>
  </si>
  <si>
    <t>Future value (nominal)</t>
  </si>
  <si>
    <t>Present value(real)</t>
  </si>
  <si>
    <t>Net FV nominal</t>
  </si>
  <si>
    <t>Net PV real</t>
  </si>
  <si>
    <t>outcome</t>
  </si>
  <si>
    <t>check 0</t>
  </si>
  <si>
    <t>sum check (right -&gt;)</t>
  </si>
  <si>
    <t>Savings per year</t>
  </si>
  <si>
    <t>Quantity</t>
  </si>
  <si>
    <t>Interest rate</t>
  </si>
  <si>
    <t>tax</t>
  </si>
  <si>
    <t>trans. Fees</t>
  </si>
  <si>
    <t xml:space="preserve">Deposit </t>
  </si>
  <si>
    <t xml:space="preserve">trans. fees </t>
  </si>
  <si>
    <t>deposit (real)</t>
  </si>
  <si>
    <t>Deposit (nominal)</t>
  </si>
  <si>
    <t>Check</t>
  </si>
  <si>
    <t>CHECK2</t>
  </si>
  <si>
    <t>Savings (Nominal)</t>
  </si>
  <si>
    <t>Savings (Real, adj. per year)</t>
  </si>
  <si>
    <t>Savings* (real, full inflation* max year)</t>
  </si>
  <si>
    <t>deposit surplus (nominal)</t>
  </si>
  <si>
    <t>deposit (nominal)</t>
  </si>
  <si>
    <t>tax (nominal)</t>
  </si>
  <si>
    <t>tax (real)</t>
  </si>
  <si>
    <t>Net deposit (real)</t>
  </si>
  <si>
    <t>Row Labels</t>
  </si>
  <si>
    <t>Grand Total</t>
  </si>
  <si>
    <t>Sum of Savings* (real, full inflation* max year)</t>
  </si>
  <si>
    <t>Sum of Savings (Real, adj. per year)</t>
  </si>
  <si>
    <t>Sum of Net Present value (real)</t>
  </si>
  <si>
    <t>Sum of Net deposit (real)</t>
  </si>
  <si>
    <t>(Multiple Items)</t>
  </si>
  <si>
    <t>Years Group</t>
  </si>
  <si>
    <t xml:space="preserve">Change name to refresh order lol </t>
  </si>
  <si>
    <t>REFRESH PIVOT EVERY CHANGE OF VARIABLES</t>
  </si>
  <si>
    <t>INSTEAD USE THIS LINK TO MAKE IT AUTOMATIC: https://www.excelcampus.com/vba/refresh-pivot-tables-automatically/</t>
  </si>
  <si>
    <t>add filter:</t>
  </si>
  <si>
    <t>https://trainingthestreet.com/resources/building-dynamic-charts-with-named-ranges/</t>
  </si>
  <si>
    <t>linea verde</t>
  </si>
  <si>
    <t>il valore del totale dei soldi che hai messo da parte visto da oggi (inflazionato rispetto all'anno in cui li hai messi da parte ogni versamento). Si potrebe intendere come l'utilità aggregata del consumo avvenuto in ogni anno precedente)</t>
  </si>
  <si>
    <t>linea rossa</t>
  </si>
  <si>
    <t>linea blu</t>
  </si>
  <si>
    <t xml:space="preserve">il valore dei soldi hei messo da parte tenuti sul conto fino a scadenza visto al valore di oggi (l'anno che si guarda rispetto ad oggi) </t>
  </si>
  <si>
    <t>il valore dei soldi messi su deposito fino a scadenza, visto al valore di oggi, al netto delle tasse</t>
  </si>
  <si>
    <t>il valore dei soldi messi nella combinazione di investimenti fino a scadenza, visti al valore di oggi, al netto delle tasse.</t>
  </si>
  <si>
    <t>il valore del surplus guadagnato, visto da oggi, al netto delle tasse</t>
  </si>
  <si>
    <t>valore dei soldi investiti visti da oggi, al netto delle tasse</t>
  </si>
  <si>
    <t>linea viola</t>
  </si>
  <si>
    <t>valore dei soldi investiti visti da oggi, pre tasse</t>
  </si>
  <si>
    <t>linea rossa tratteggiato</t>
  </si>
  <si>
    <t>valore delle tasse versate a scadenza, viste al valore di oggi</t>
  </si>
  <si>
    <t>il ritorno totale dei soldi investiti, pre tasse</t>
  </si>
  <si>
    <t>linea fuxia</t>
  </si>
  <si>
    <t>valore totale del guadagno sui soldi investiti</t>
  </si>
  <si>
    <t xml:space="preserve">il valore totale dei soldi investiti </t>
  </si>
  <si>
    <t>linea rosso tratteggiata</t>
  </si>
  <si>
    <t>il valore totale delle tasse</t>
  </si>
  <si>
    <t>risparmio totalmente inflazionato (come se stesse su un conto senza interessi</t>
  </si>
  <si>
    <t>Real Capital gain/Savings* (all inflation)</t>
  </si>
  <si>
    <t>lineagialla</t>
  </si>
  <si>
    <t>Pallini blu</t>
  </si>
  <si>
    <t>linea giall</t>
  </si>
  <si>
    <t>guadagno da investimento (linea viola - linea rossa)</t>
  </si>
  <si>
    <t>percentuale di guadagno su linea rossa (outcome inflazione)</t>
  </si>
  <si>
    <t>+10% Real capital gain/Savings'</t>
  </si>
  <si>
    <t>+10% Net Gain/Savings* (real full inflation*)'</t>
  </si>
  <si>
    <t>linea blu tratteggiata</t>
  </si>
  <si>
    <t>Column13</t>
  </si>
  <si>
    <t>Net gain on deposit/Deposit</t>
  </si>
  <si>
    <t>Net gain on deposit</t>
  </si>
  <si>
    <t>+10% Net gain on deposit/Net deposit '</t>
  </si>
  <si>
    <t>linea arancione puntini</t>
  </si>
  <si>
    <t>inflazione</t>
  </si>
  <si>
    <t>inflation on net future value</t>
  </si>
  <si>
    <t>Check3</t>
  </si>
  <si>
    <t>note interessantii</t>
  </si>
  <si>
    <t>fino a 20 anni l'accumulo riesce a generare un profitto che al più sta poco sopra l'inflazione</t>
  </si>
  <si>
    <t>note interessanti</t>
  </si>
  <si>
    <t>linea di Net capital gain e net gain on deposit, con gli intervalli percentuale</t>
  </si>
  <si>
    <t>inflazione totale</t>
  </si>
  <si>
    <t>total, NO INFLAZIONE (si tax)</t>
  </si>
  <si>
    <t>quella linea è lushit?</t>
  </si>
  <si>
    <t>andrebbe levata anche tax a gain per confrontare!</t>
  </si>
  <si>
    <t xml:space="preserve">NON HA SENSO IMHO, RIFLETTERE ALTREMENTI ELIMINARE E RIORDINARE IN SAVINGS </t>
  </si>
  <si>
    <t>ED ELIMINARE ANCHE STA LINEA TRATTEGGIATA</t>
  </si>
  <si>
    <t>pallini blu: percentuale del ricavo rispetto alla linea verde scuro (valore dell'utilitàaggrgata del consumo di quei soldi all'anno del versamento)</t>
  </si>
  <si>
    <t xml:space="preserve">Avg. Yeald </t>
  </si>
  <si>
    <t>RENDIEMNTO netto ANNUALIZZATO</t>
  </si>
  <si>
    <t>Rendimento netto</t>
  </si>
  <si>
    <t>Gain sum</t>
  </si>
  <si>
    <t>(tax!!)</t>
  </si>
  <si>
    <t>Avg. yeald annualized, adjusted. (OUTPUT)</t>
  </si>
  <si>
    <t>Avg. NET yeald annualized, adjusted. (OUTPUT)</t>
  </si>
  <si>
    <t>check last: all in STOCK</t>
  </si>
  <si>
    <t>gain sum NET (taxed)</t>
  </si>
  <si>
    <t>check tax%</t>
  </si>
  <si>
    <t>Avg. Tax</t>
  </si>
  <si>
    <t>avg. Tax (OUTPUT)</t>
  </si>
  <si>
    <t>Avg. NET yeald</t>
  </si>
  <si>
    <t>test</t>
  </si>
  <si>
    <t>equal input if 100% same inv. choice</t>
  </si>
  <si>
    <t>1 PER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</si>
</sst>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0\ &quot;€&quot;;[Red]\-#,##0\ &quot;€&quot;"/>
    <numFmt numFmtId="8" formatCode="#,##0.00\ &quot;€&quot;;[Red]\-#,##0.00\ &quot;€&quot;"/>
    <numFmt numFmtId="44" formatCode="_-* #,##0.00\ &quot;€&quot;_-;\-* #,##0.00\ &quot;€&quot;_-;_-* &quot;-&quot;??\ &quot;€&quot;_-;_-@_-"/>
    <numFmt numFmtId="164" formatCode="#,##0.00\ &quot;€&quot;"/>
    <numFmt numFmtId="165" formatCode="#,##0\ &quot;€&quot;"/>
    <numFmt numFmtId="166" formatCode="0.0%"/>
    <numFmt numFmtId="167" formatCode="0.000%"/>
    <numFmt numFmtId="168" formatCode="#,##0.0\ &quot;€&quot;"/>
    <numFmt numFmtId="169" formatCode="0.0000%"/>
  </numFmts>
  <fonts count="39" x14ac:knownFonts="1">
    <font>
      <sz val="11"/>
      <color theme="1"/>
      <name val="Calibri"/>
      <family val="2"/>
      <scheme val="minor"/>
    </font>
    <font>
      <b/>
      <sz val="11"/>
      <color theme="0"/>
      <name val="Calibri"/>
      <family val="2"/>
      <scheme val="minor"/>
    </font>
    <font>
      <sz val="11"/>
      <color theme="4"/>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sz val="11"/>
      <color theme="1"/>
      <name val="Calibri"/>
      <family val="2"/>
      <scheme val="minor"/>
    </font>
    <font>
      <sz val="9"/>
      <color indexed="81"/>
      <name val="Tahoma"/>
      <family val="2"/>
    </font>
    <font>
      <sz val="11"/>
      <color rgb="FFFF0000"/>
      <name val="Calibri"/>
      <family val="2"/>
      <scheme val="minor"/>
    </font>
    <font>
      <b/>
      <sz val="9"/>
      <color indexed="81"/>
      <name val="Tahoma"/>
      <family val="2"/>
    </font>
    <font>
      <sz val="11"/>
      <color theme="2" tint="-0.499984740745262"/>
      <name val="Calibri"/>
      <family val="2"/>
      <scheme val="minor"/>
    </font>
    <font>
      <sz val="9"/>
      <color indexed="81"/>
      <name val="Tahoma"/>
      <charset val="1"/>
    </font>
    <font>
      <b/>
      <sz val="9"/>
      <color indexed="81"/>
      <name val="Tahoma"/>
      <charset val="1"/>
    </font>
    <font>
      <sz val="11"/>
      <color rgb="FFC00000"/>
      <name val="Calibri"/>
      <family val="2"/>
      <scheme val="minor"/>
    </font>
    <font>
      <sz val="11"/>
      <color theme="1" tint="0.499984740745262"/>
      <name val="Calibri"/>
      <family val="2"/>
      <scheme val="minor"/>
    </font>
    <font>
      <sz val="11"/>
      <color theme="2" tint="-0.249977111117893"/>
      <name val="Calibri"/>
      <family val="2"/>
      <scheme val="minor"/>
    </font>
    <font>
      <sz val="11"/>
      <color theme="7" tint="-0.499984740745262"/>
      <name val="Calibri"/>
      <family val="2"/>
      <scheme val="minor"/>
    </font>
    <font>
      <sz val="11"/>
      <color theme="5"/>
      <name val="Calibri"/>
      <family val="2"/>
      <scheme val="minor"/>
    </font>
    <font>
      <sz val="11"/>
      <color theme="2" tint="-9.9978637043366805E-2"/>
      <name val="Calibri"/>
      <family val="2"/>
      <scheme val="minor"/>
    </font>
    <font>
      <b/>
      <sz val="11"/>
      <color theme="2" tint="-0.499984740745262"/>
      <name val="Calibri"/>
      <family val="2"/>
      <scheme val="minor"/>
    </font>
    <font>
      <b/>
      <sz val="11"/>
      <color theme="1" tint="0.499984740745262"/>
      <name val="Calibri"/>
      <family val="2"/>
      <scheme val="minor"/>
    </font>
    <font>
      <b/>
      <sz val="12"/>
      <color theme="2" tint="-0.499984740745262"/>
      <name val="Calibri"/>
      <family val="2"/>
      <scheme val="minor"/>
    </font>
    <font>
      <b/>
      <sz val="12"/>
      <color theme="1" tint="0.499984740745262"/>
      <name val="Calibri"/>
      <family val="2"/>
      <scheme val="minor"/>
    </font>
    <font>
      <i/>
      <sz val="11"/>
      <color theme="2" tint="-9.9978637043366805E-2"/>
      <name val="Calibri"/>
      <family val="2"/>
      <scheme val="minor"/>
    </font>
    <font>
      <b/>
      <u/>
      <sz val="11"/>
      <color theme="4"/>
      <name val="Calibri"/>
      <family val="2"/>
      <scheme val="minor"/>
    </font>
    <font>
      <i/>
      <sz val="11"/>
      <color theme="2" tint="-0.499984740745262"/>
      <name val="Calibri"/>
      <family val="2"/>
      <scheme val="minor"/>
    </font>
    <font>
      <u/>
      <sz val="11"/>
      <color theme="1"/>
      <name val="Calibri"/>
      <family val="2"/>
      <scheme val="minor"/>
    </font>
    <font>
      <sz val="11"/>
      <color theme="0" tint="-0.34998626667073579"/>
      <name val="Calibri"/>
      <family val="2"/>
      <scheme val="minor"/>
    </font>
    <font>
      <sz val="11"/>
      <color theme="4" tint="-0.249977111117893"/>
      <name val="Calibri"/>
      <family val="2"/>
      <scheme val="minor"/>
    </font>
    <font>
      <i/>
      <sz val="12"/>
      <color theme="0"/>
      <name val="Arial"/>
      <family val="2"/>
    </font>
    <font>
      <b/>
      <u/>
      <sz val="11"/>
      <color theme="1"/>
      <name val="Calibri"/>
      <family val="2"/>
      <scheme val="minor"/>
    </font>
    <font>
      <sz val="10"/>
      <color theme="5"/>
      <name val="Calibri"/>
      <family val="2"/>
      <scheme val="minor"/>
    </font>
    <font>
      <i/>
      <sz val="10"/>
      <color theme="5"/>
      <name val="Calibri"/>
      <family val="2"/>
      <scheme val="minor"/>
    </font>
    <font>
      <b/>
      <i/>
      <u/>
      <sz val="10"/>
      <color theme="1"/>
      <name val="Calibri"/>
      <family val="2"/>
      <scheme val="minor"/>
    </font>
    <font>
      <b/>
      <i/>
      <sz val="10"/>
      <color theme="1"/>
      <name val="Calibri"/>
      <family val="2"/>
      <scheme val="minor"/>
    </font>
    <font>
      <sz val="11"/>
      <color rgb="FF00B050"/>
      <name val="Calibri"/>
      <family val="2"/>
      <scheme val="minor"/>
    </font>
    <font>
      <i/>
      <sz val="11"/>
      <color theme="1"/>
      <name val="Calibri"/>
      <family val="2"/>
      <scheme val="minor"/>
    </font>
    <font>
      <b/>
      <u/>
      <sz val="11"/>
      <color theme="0"/>
      <name val="Calibri"/>
      <family val="2"/>
      <scheme val="minor"/>
    </font>
  </fonts>
  <fills count="37">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2" tint="-0.249977111117893"/>
        <bgColor indexed="64"/>
      </patternFill>
    </fill>
    <fill>
      <patternFill patternType="solid">
        <fgColor rgb="FFFFCCFF"/>
        <bgColor indexed="64"/>
      </patternFill>
    </fill>
    <fill>
      <patternFill patternType="solid">
        <fgColor rgb="FFFF000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rgb="FFFCE7FF"/>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9"/>
        <bgColor indexed="64"/>
      </patternFill>
    </fill>
    <fill>
      <patternFill patternType="solid">
        <fgColor rgb="FFC00000"/>
        <bgColor indexed="64"/>
      </patternFill>
    </fill>
    <fill>
      <patternFill patternType="solid">
        <fgColor rgb="FFCC00FF"/>
        <bgColor indexed="64"/>
      </patternFill>
    </fill>
    <fill>
      <patternFill patternType="solid">
        <fgColor theme="9" tint="-0.499984740745262"/>
        <bgColor indexed="64"/>
      </patternFill>
    </fill>
    <fill>
      <patternFill patternType="solid">
        <fgColor rgb="FF00B0F0"/>
        <bgColor indexed="64"/>
      </patternFill>
    </fill>
    <fill>
      <patternFill patternType="solid">
        <fgColor rgb="FFFFFF9F"/>
        <bgColor indexed="64"/>
      </patternFill>
    </fill>
    <fill>
      <patternFill patternType="solid">
        <fgColor theme="8" tint="0.59999389629810485"/>
        <bgColor indexed="64"/>
      </patternFill>
    </fill>
    <fill>
      <patternFill patternType="solid">
        <fgColor rgb="FFD9E2F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A3E7FF"/>
        <bgColor indexed="64"/>
      </patternFill>
    </fill>
    <fill>
      <patternFill patternType="solid">
        <fgColor rgb="FFC46EDC"/>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bgColor indexed="64"/>
      </patternFill>
    </fill>
    <fill>
      <patternFill patternType="solid">
        <fgColor theme="1"/>
        <bgColor indexed="64"/>
      </patternFill>
    </fill>
    <fill>
      <patternFill patternType="solid">
        <fgColor theme="7" tint="-0.249977111117893"/>
        <bgColor indexed="64"/>
      </patternFill>
    </fill>
    <fill>
      <patternFill patternType="solid">
        <fgColor rgb="FF002060"/>
        <bgColor indexed="64"/>
      </patternFill>
    </fill>
    <fill>
      <patternFill patternType="solid">
        <fgColor theme="9" tint="0.59999389629810485"/>
        <bgColor indexed="64"/>
      </patternFill>
    </fill>
    <fill>
      <patternFill patternType="solid">
        <fgColor rgb="FF7030A0"/>
        <bgColor indexed="64"/>
      </patternFill>
    </fill>
  </fills>
  <borders count="73">
    <border>
      <left/>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medium">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n">
        <color indexed="64"/>
      </top>
      <bottom/>
      <diagonal/>
    </border>
    <border>
      <left style="medium">
        <color indexed="64"/>
      </left>
      <right/>
      <top/>
      <bottom/>
      <diagonal/>
    </border>
    <border>
      <left style="thick">
        <color indexed="64"/>
      </left>
      <right/>
      <top/>
      <bottom/>
      <diagonal/>
    </border>
    <border>
      <left style="thin">
        <color indexed="64"/>
      </left>
      <right style="thick">
        <color indexed="64"/>
      </right>
      <top style="thin">
        <color indexed="64"/>
      </top>
      <bottom/>
      <diagonal/>
    </border>
    <border>
      <left style="thick">
        <color indexed="64"/>
      </left>
      <right style="thick">
        <color indexed="64"/>
      </right>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diagonal/>
    </border>
    <border>
      <left style="thin">
        <color indexed="64"/>
      </left>
      <right style="thick">
        <color indexed="64"/>
      </right>
      <top/>
      <bottom/>
      <diagonal/>
    </border>
    <border>
      <left style="thick">
        <color indexed="64"/>
      </left>
      <right style="thin">
        <color indexed="64"/>
      </right>
      <top/>
      <bottom/>
      <diagonal/>
    </border>
    <border>
      <left style="thin">
        <color indexed="64"/>
      </left>
      <right style="thick">
        <color indexed="64"/>
      </right>
      <top style="medium">
        <color indexed="64"/>
      </top>
      <bottom style="thin">
        <color indexed="64"/>
      </bottom>
      <diagonal/>
    </border>
    <border>
      <left style="thick">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thin">
        <color theme="0"/>
      </top>
      <bottom/>
      <diagonal/>
    </border>
    <border>
      <left/>
      <right/>
      <top/>
      <bottom style="thin">
        <color theme="0"/>
      </bottom>
      <diagonal/>
    </border>
  </borders>
  <cellStyleXfs count="3">
    <xf numFmtId="0" fontId="0" fillId="0" borderId="0"/>
    <xf numFmtId="9" fontId="7" fillId="0" borderId="0" applyFont="0" applyFill="0" applyBorder="0" applyAlignment="0" applyProtection="0"/>
    <xf numFmtId="44" fontId="7" fillId="0" borderId="0" applyFont="0" applyFill="0" applyBorder="0" applyAlignment="0" applyProtection="0"/>
  </cellStyleXfs>
  <cellXfs count="349">
    <xf numFmtId="0" fontId="0" fillId="0" borderId="0" xfId="0"/>
    <xf numFmtId="0" fontId="0" fillId="0" borderId="2" xfId="0" applyBorder="1"/>
    <xf numFmtId="0" fontId="0" fillId="0" borderId="5" xfId="0" applyBorder="1"/>
    <xf numFmtId="0" fontId="0" fillId="0" borderId="7" xfId="0" applyBorder="1"/>
    <xf numFmtId="0" fontId="3" fillId="0" borderId="0" xfId="0" applyFont="1"/>
    <xf numFmtId="0" fontId="0" fillId="3" borderId="0" xfId="0" applyFill="1"/>
    <xf numFmtId="0" fontId="0" fillId="6" borderId="9" xfId="0" applyFill="1" applyBorder="1"/>
    <xf numFmtId="0" fontId="0" fillId="0" borderId="14" xfId="0" applyBorder="1"/>
    <xf numFmtId="9" fontId="0" fillId="6" borderId="11" xfId="1" applyFont="1" applyFill="1" applyBorder="1"/>
    <xf numFmtId="9" fontId="0" fillId="6" borderId="13" xfId="1" applyFont="1" applyFill="1" applyBorder="1"/>
    <xf numFmtId="0" fontId="0" fillId="6" borderId="15" xfId="0" applyFill="1" applyBorder="1"/>
    <xf numFmtId="9" fontId="0" fillId="0" borderId="0" xfId="1" applyFont="1" applyFill="1" applyBorder="1"/>
    <xf numFmtId="0" fontId="0" fillId="0" borderId="9" xfId="0" applyBorder="1"/>
    <xf numFmtId="166" fontId="0" fillId="6" borderId="10" xfId="1" applyNumberFormat="1" applyFont="1" applyFill="1" applyBorder="1"/>
    <xf numFmtId="0" fontId="0" fillId="6" borderId="7" xfId="0" applyFill="1" applyBorder="1"/>
    <xf numFmtId="6" fontId="2" fillId="0" borderId="0" xfId="0" applyNumberFormat="1" applyFont="1"/>
    <xf numFmtId="0" fontId="0" fillId="0" borderId="17" xfId="0" applyBorder="1"/>
    <xf numFmtId="0" fontId="0" fillId="0" borderId="9" xfId="0" applyBorder="1" applyAlignment="1">
      <alignment horizontal="center"/>
    </xf>
    <xf numFmtId="165" fontId="4" fillId="9" borderId="9" xfId="0" applyNumberFormat="1" applyFont="1" applyFill="1" applyBorder="1" applyAlignment="1">
      <alignment horizontal="center"/>
    </xf>
    <xf numFmtId="165" fontId="1" fillId="10" borderId="9" xfId="0" applyNumberFormat="1" applyFont="1" applyFill="1" applyBorder="1" applyAlignment="1">
      <alignment horizontal="center"/>
    </xf>
    <xf numFmtId="0" fontId="0" fillId="0" borderId="14" xfId="0" applyBorder="1" applyAlignment="1">
      <alignment horizontal="center"/>
    </xf>
    <xf numFmtId="166" fontId="1" fillId="10" borderId="9" xfId="1" applyNumberFormat="1" applyFont="1" applyFill="1" applyBorder="1" applyAlignment="1">
      <alignment horizontal="center"/>
    </xf>
    <xf numFmtId="9" fontId="4" fillId="9" borderId="9" xfId="1" applyFont="1" applyFill="1" applyBorder="1" applyAlignment="1">
      <alignment horizontal="center"/>
    </xf>
    <xf numFmtId="165" fontId="4" fillId="8" borderId="18" xfId="0" applyNumberFormat="1" applyFont="1" applyFill="1" applyBorder="1" applyAlignment="1">
      <alignment horizontal="center"/>
    </xf>
    <xf numFmtId="166" fontId="4" fillId="8" borderId="18" xfId="1" applyNumberFormat="1" applyFont="1" applyFill="1" applyBorder="1" applyAlignment="1">
      <alignment horizontal="center"/>
    </xf>
    <xf numFmtId="0" fontId="4" fillId="8" borderId="18" xfId="0" applyFont="1" applyFill="1" applyBorder="1" applyAlignment="1">
      <alignment horizontal="center"/>
    </xf>
    <xf numFmtId="9" fontId="4" fillId="8" borderId="18" xfId="1" applyFont="1" applyFill="1" applyBorder="1" applyAlignment="1">
      <alignment horizontal="center"/>
    </xf>
    <xf numFmtId="166" fontId="4" fillId="9" borderId="9" xfId="1" applyNumberFormat="1" applyFont="1" applyFill="1" applyBorder="1" applyAlignment="1">
      <alignment horizontal="center"/>
    </xf>
    <xf numFmtId="0" fontId="9" fillId="0" borderId="5" xfId="0" applyFont="1" applyBorder="1" applyAlignment="1">
      <alignment horizontal="center"/>
    </xf>
    <xf numFmtId="0" fontId="9" fillId="0" borderId="7" xfId="0" applyFont="1" applyBorder="1" applyAlignment="1">
      <alignment horizontal="center"/>
    </xf>
    <xf numFmtId="165" fontId="4" fillId="9" borderId="19" xfId="0" applyNumberFormat="1" applyFont="1" applyFill="1" applyBorder="1" applyAlignment="1">
      <alignment horizontal="center"/>
    </xf>
    <xf numFmtId="165" fontId="4" fillId="8" borderId="19" xfId="0" applyNumberFormat="1" applyFont="1" applyFill="1" applyBorder="1" applyAlignment="1">
      <alignment horizontal="center"/>
    </xf>
    <xf numFmtId="165" fontId="4" fillId="8" borderId="8" xfId="0" applyNumberFormat="1" applyFont="1" applyFill="1" applyBorder="1" applyAlignment="1">
      <alignment horizontal="center"/>
    </xf>
    <xf numFmtId="165" fontId="4" fillId="9" borderId="8" xfId="0" applyNumberFormat="1" applyFont="1" applyFill="1" applyBorder="1" applyAlignment="1">
      <alignment horizontal="center"/>
    </xf>
    <xf numFmtId="9" fontId="0" fillId="6" borderId="12" xfId="1" applyFont="1" applyFill="1" applyBorder="1"/>
    <xf numFmtId="0" fontId="0" fillId="6" borderId="10" xfId="0" applyFill="1" applyBorder="1"/>
    <xf numFmtId="0" fontId="0" fillId="6" borderId="3" xfId="0" applyFill="1" applyBorder="1"/>
    <xf numFmtId="0" fontId="11" fillId="0" borderId="18" xfId="0" applyFont="1" applyBorder="1" applyAlignment="1">
      <alignment horizontal="left"/>
    </xf>
    <xf numFmtId="166" fontId="0" fillId="0" borderId="9" xfId="0" applyNumberFormat="1" applyBorder="1"/>
    <xf numFmtId="0" fontId="0" fillId="6" borderId="11" xfId="0" applyFill="1" applyBorder="1"/>
    <xf numFmtId="0" fontId="0" fillId="0" borderId="5" xfId="0" applyBorder="1" applyAlignment="1">
      <alignment horizontal="center"/>
    </xf>
    <xf numFmtId="0" fontId="0" fillId="0" borderId="7" xfId="0" applyBorder="1" applyAlignment="1">
      <alignment horizontal="center"/>
    </xf>
    <xf numFmtId="0" fontId="0" fillId="13" borderId="9" xfId="0" applyFill="1" applyBorder="1" applyAlignment="1">
      <alignment horizontal="center"/>
    </xf>
    <xf numFmtId="0" fontId="0" fillId="13" borderId="18" xfId="0" applyFill="1" applyBorder="1"/>
    <xf numFmtId="0" fontId="0" fillId="13" borderId="12" xfId="0" applyFill="1" applyBorder="1"/>
    <xf numFmtId="9" fontId="2" fillId="0" borderId="0" xfId="0" applyNumberFormat="1" applyFont="1"/>
    <xf numFmtId="0" fontId="0" fillId="15" borderId="13" xfId="0" applyFill="1" applyBorder="1"/>
    <xf numFmtId="0" fontId="0" fillId="15" borderId="12" xfId="0" applyFill="1" applyBorder="1"/>
    <xf numFmtId="166" fontId="2" fillId="7" borderId="14" xfId="0" applyNumberFormat="1" applyFont="1" applyFill="1" applyBorder="1"/>
    <xf numFmtId="9" fontId="2" fillId="14" borderId="26" xfId="0" applyNumberFormat="1" applyFont="1" applyFill="1" applyBorder="1"/>
    <xf numFmtId="0" fontId="14" fillId="7" borderId="16" xfId="0" applyFont="1" applyFill="1" applyBorder="1"/>
    <xf numFmtId="166" fontId="14" fillId="7" borderId="16" xfId="0" applyNumberFormat="1" applyFont="1" applyFill="1" applyBorder="1"/>
    <xf numFmtId="166" fontId="14" fillId="7" borderId="23" xfId="0" applyNumberFormat="1" applyFont="1" applyFill="1" applyBorder="1"/>
    <xf numFmtId="166" fontId="14" fillId="7" borderId="27" xfId="0" applyNumberFormat="1" applyFont="1" applyFill="1" applyBorder="1"/>
    <xf numFmtId="166" fontId="14" fillId="7" borderId="28" xfId="0" applyNumberFormat="1" applyFont="1" applyFill="1" applyBorder="1"/>
    <xf numFmtId="166" fontId="14" fillId="7" borderId="29" xfId="0" applyNumberFormat="1" applyFont="1" applyFill="1" applyBorder="1"/>
    <xf numFmtId="9" fontId="14" fillId="7" borderId="25" xfId="0" applyNumberFormat="1" applyFont="1" applyFill="1" applyBorder="1"/>
    <xf numFmtId="0" fontId="0" fillId="4" borderId="9" xfId="0" applyFill="1" applyBorder="1"/>
    <xf numFmtId="166" fontId="14" fillId="7" borderId="24" xfId="0" applyNumberFormat="1" applyFont="1" applyFill="1" applyBorder="1"/>
    <xf numFmtId="166" fontId="2" fillId="14" borderId="8" xfId="1" applyNumberFormat="1" applyFont="1" applyFill="1" applyBorder="1"/>
    <xf numFmtId="0" fontId="0" fillId="6" borderId="12" xfId="0" applyFill="1" applyBorder="1" applyAlignment="1">
      <alignment horizontal="center"/>
    </xf>
    <xf numFmtId="0" fontId="0" fillId="6" borderId="7" xfId="0" applyFill="1" applyBorder="1" applyAlignment="1">
      <alignment horizontal="center"/>
    </xf>
    <xf numFmtId="0" fontId="0" fillId="6" borderId="7" xfId="0" applyFill="1" applyBorder="1" applyAlignment="1">
      <alignment horizontal="left" vertical="center"/>
    </xf>
    <xf numFmtId="165" fontId="0" fillId="0" borderId="0" xfId="0" applyNumberFormat="1"/>
    <xf numFmtId="0" fontId="0" fillId="0" borderId="15" xfId="0" applyBorder="1"/>
    <xf numFmtId="8" fontId="0" fillId="0" borderId="0" xfId="0" applyNumberFormat="1"/>
    <xf numFmtId="168" fontId="0" fillId="0" borderId="0" xfId="0" applyNumberFormat="1"/>
    <xf numFmtId="165" fontId="16" fillId="0" borderId="0" xfId="0" applyNumberFormat="1" applyFont="1"/>
    <xf numFmtId="165" fontId="3" fillId="0" borderId="0" xfId="0" applyNumberFormat="1" applyFont="1"/>
    <xf numFmtId="165" fontId="0" fillId="0" borderId="4" xfId="0" applyNumberFormat="1" applyBorder="1"/>
    <xf numFmtId="165" fontId="17" fillId="0" borderId="0" xfId="0" applyNumberFormat="1" applyFont="1"/>
    <xf numFmtId="165" fontId="17" fillId="0" borderId="4" xfId="0" applyNumberFormat="1" applyFont="1" applyBorder="1"/>
    <xf numFmtId="165" fontId="11" fillId="0" borderId="0" xfId="0" applyNumberFormat="1" applyFont="1"/>
    <xf numFmtId="165" fontId="0" fillId="0" borderId="0" xfId="2" applyNumberFormat="1" applyFont="1"/>
    <xf numFmtId="168" fontId="0" fillId="18" borderId="0" xfId="0" applyNumberFormat="1" applyFill="1"/>
    <xf numFmtId="165" fontId="3" fillId="0" borderId="0" xfId="0" applyNumberFormat="1" applyFont="1" applyAlignment="1">
      <alignment horizontal="center"/>
    </xf>
    <xf numFmtId="165" fontId="1" fillId="16" borderId="0" xfId="0" applyNumberFormat="1" applyFont="1" applyFill="1"/>
    <xf numFmtId="165" fontId="11" fillId="0" borderId="0" xfId="2" applyNumberFormat="1" applyFont="1" applyFill="1" applyBorder="1"/>
    <xf numFmtId="165" fontId="0" fillId="17" borderId="4" xfId="0" applyNumberFormat="1" applyFill="1" applyBorder="1"/>
    <xf numFmtId="165" fontId="0" fillId="17" borderId="0" xfId="0" applyNumberFormat="1" applyFill="1"/>
    <xf numFmtId="165" fontId="0" fillId="19" borderId="0" xfId="0" applyNumberFormat="1" applyFill="1"/>
    <xf numFmtId="165" fontId="11" fillId="0" borderId="0" xfId="2" applyNumberFormat="1" applyFont="1"/>
    <xf numFmtId="165" fontId="0" fillId="0" borderId="0" xfId="0" applyNumberFormat="1" applyAlignment="1">
      <alignment horizontal="center"/>
    </xf>
    <xf numFmtId="165" fontId="2" fillId="20" borderId="8" xfId="0" applyNumberFormat="1" applyFont="1" applyFill="1" applyBorder="1"/>
    <xf numFmtId="166" fontId="15" fillId="3" borderId="9" xfId="1" applyNumberFormat="1" applyFont="1" applyFill="1" applyBorder="1" applyAlignment="1">
      <alignment horizontal="center"/>
    </xf>
    <xf numFmtId="166" fontId="15" fillId="25" borderId="9" xfId="1" applyNumberFormat="1" applyFont="1" applyFill="1" applyBorder="1" applyAlignment="1">
      <alignment horizontal="center"/>
    </xf>
    <xf numFmtId="166" fontId="19" fillId="0" borderId="9" xfId="1" applyNumberFormat="1" applyFont="1" applyFill="1" applyBorder="1" applyAlignment="1">
      <alignment horizontal="center"/>
    </xf>
    <xf numFmtId="166" fontId="15" fillId="26" borderId="9" xfId="1" applyNumberFormat="1" applyFont="1" applyFill="1" applyBorder="1" applyAlignment="1">
      <alignment horizontal="center"/>
    </xf>
    <xf numFmtId="165" fontId="16" fillId="0" borderId="9" xfId="0" applyNumberFormat="1" applyFont="1" applyBorder="1" applyAlignment="1">
      <alignment horizontal="right"/>
    </xf>
    <xf numFmtId="9" fontId="16" fillId="0" borderId="9" xfId="1" applyFont="1" applyBorder="1" applyAlignment="1">
      <alignment horizontal="right"/>
    </xf>
    <xf numFmtId="165" fontId="11" fillId="0" borderId="10" xfId="0" applyNumberFormat="1" applyFont="1" applyBorder="1"/>
    <xf numFmtId="10" fontId="15" fillId="0" borderId="42" xfId="1" applyNumberFormat="1" applyFont="1" applyFill="1" applyBorder="1" applyAlignment="1">
      <alignment horizontal="center"/>
    </xf>
    <xf numFmtId="165" fontId="16" fillId="0" borderId="18" xfId="0" applyNumberFormat="1" applyFont="1" applyBorder="1" applyAlignment="1">
      <alignment horizontal="right"/>
    </xf>
    <xf numFmtId="9" fontId="16" fillId="0" borderId="18" xfId="1" applyFont="1" applyBorder="1" applyAlignment="1">
      <alignment horizontal="right"/>
    </xf>
    <xf numFmtId="165" fontId="11" fillId="0" borderId="41" xfId="0" applyNumberFormat="1" applyFont="1" applyBorder="1"/>
    <xf numFmtId="165" fontId="18" fillId="0" borderId="47" xfId="0" applyNumberFormat="1" applyFont="1" applyBorder="1" applyAlignment="1">
      <alignment horizontal="left" indent="8"/>
    </xf>
    <xf numFmtId="165" fontId="18" fillId="0" borderId="44" xfId="0" applyNumberFormat="1" applyFont="1" applyBorder="1" applyAlignment="1">
      <alignment horizontal="left" indent="8"/>
    </xf>
    <xf numFmtId="165" fontId="11" fillId="3" borderId="10" xfId="0" applyNumberFormat="1" applyFont="1" applyFill="1" applyBorder="1"/>
    <xf numFmtId="165" fontId="11" fillId="24" borderId="10" xfId="0" applyNumberFormat="1" applyFont="1" applyFill="1" applyBorder="1"/>
    <xf numFmtId="165" fontId="11" fillId="0" borderId="7" xfId="0" applyNumberFormat="1" applyFont="1" applyBorder="1" applyAlignment="1">
      <alignment horizontal="left" indent="8"/>
    </xf>
    <xf numFmtId="165" fontId="22" fillId="28" borderId="10" xfId="0" applyNumberFormat="1" applyFont="1" applyFill="1" applyBorder="1"/>
    <xf numFmtId="166" fontId="23" fillId="28" borderId="9" xfId="1" applyNumberFormat="1" applyFont="1" applyFill="1" applyBorder="1" applyAlignment="1">
      <alignment horizontal="center"/>
    </xf>
    <xf numFmtId="165" fontId="22" fillId="27" borderId="10" xfId="0" applyNumberFormat="1" applyFont="1" applyFill="1" applyBorder="1"/>
    <xf numFmtId="166" fontId="23" fillId="27" borderId="9" xfId="1" applyNumberFormat="1" applyFont="1" applyFill="1" applyBorder="1" applyAlignment="1">
      <alignment horizontal="center"/>
    </xf>
    <xf numFmtId="0" fontId="1" fillId="10" borderId="9" xfId="0" applyFont="1" applyFill="1" applyBorder="1" applyAlignment="1">
      <alignment horizontal="center"/>
    </xf>
    <xf numFmtId="0" fontId="0" fillId="0" borderId="0" xfId="0" applyAlignment="1">
      <alignment vertical="top" wrapText="1"/>
    </xf>
    <xf numFmtId="0" fontId="0" fillId="6" borderId="14" xfId="0" applyFill="1" applyBorder="1"/>
    <xf numFmtId="167" fontId="24" fillId="0" borderId="0" xfId="0" applyNumberFormat="1" applyFont="1"/>
    <xf numFmtId="165" fontId="20" fillId="22" borderId="10" xfId="0" applyNumberFormat="1" applyFont="1" applyFill="1" applyBorder="1"/>
    <xf numFmtId="166" fontId="21" fillId="22" borderId="9" xfId="1" applyNumberFormat="1" applyFont="1" applyFill="1" applyBorder="1" applyAlignment="1">
      <alignment horizontal="center"/>
    </xf>
    <xf numFmtId="0" fontId="2" fillId="20" borderId="10" xfId="0" applyFont="1" applyFill="1" applyBorder="1"/>
    <xf numFmtId="0" fontId="28" fillId="0" borderId="0" xfId="0" applyFont="1"/>
    <xf numFmtId="165" fontId="28" fillId="0" borderId="0" xfId="0" applyNumberFormat="1" applyFont="1"/>
    <xf numFmtId="165" fontId="27" fillId="0" borderId="0" xfId="0" applyNumberFormat="1" applyFont="1"/>
    <xf numFmtId="165" fontId="29" fillId="0" borderId="0" xfId="0" applyNumberFormat="1" applyFont="1"/>
    <xf numFmtId="165" fontId="0" fillId="29" borderId="0" xfId="0" applyNumberFormat="1" applyFill="1"/>
    <xf numFmtId="0" fontId="0" fillId="2" borderId="0" xfId="0" applyFill="1"/>
    <xf numFmtId="165" fontId="0" fillId="30" borderId="0" xfId="0" applyNumberFormat="1" applyFill="1"/>
    <xf numFmtId="0" fontId="27" fillId="0" borderId="36" xfId="0" applyFont="1" applyBorder="1"/>
    <xf numFmtId="165" fontId="27" fillId="31" borderId="51" xfId="0" applyNumberFormat="1" applyFont="1" applyFill="1" applyBorder="1"/>
    <xf numFmtId="165" fontId="27" fillId="31" borderId="37" xfId="0" applyNumberFormat="1" applyFont="1" applyFill="1" applyBorder="1"/>
    <xf numFmtId="0" fontId="0" fillId="17" borderId="0" xfId="0" applyFill="1"/>
    <xf numFmtId="165" fontId="0" fillId="5" borderId="43" xfId="0" applyNumberFormat="1" applyFill="1" applyBorder="1" applyAlignment="1">
      <alignment horizontal="right"/>
    </xf>
    <xf numFmtId="165" fontId="0" fillId="0" borderId="45" xfId="0" applyNumberFormat="1" applyBorder="1"/>
    <xf numFmtId="0" fontId="0" fillId="0" borderId="0" xfId="0" applyAlignment="1">
      <alignment wrapText="1"/>
    </xf>
    <xf numFmtId="0" fontId="0" fillId="21" borderId="0" xfId="0" applyFill="1" applyAlignment="1">
      <alignment horizontal="center"/>
    </xf>
    <xf numFmtId="165" fontId="27" fillId="21" borderId="51" xfId="0" applyNumberFormat="1" applyFont="1" applyFill="1" applyBorder="1"/>
    <xf numFmtId="0" fontId="27" fillId="21" borderId="0" xfId="0" applyFont="1" applyFill="1"/>
    <xf numFmtId="165" fontId="27" fillId="21" borderId="0" xfId="0" applyNumberFormat="1" applyFont="1" applyFill="1"/>
    <xf numFmtId="165" fontId="4" fillId="0" borderId="0" xfId="0" applyNumberFormat="1" applyFont="1" applyAlignment="1">
      <alignment horizontal="center"/>
    </xf>
    <xf numFmtId="0" fontId="4" fillId="0" borderId="0" xfId="0" applyFont="1" applyAlignment="1">
      <alignment vertical="center"/>
    </xf>
    <xf numFmtId="0" fontId="4" fillId="11" borderId="0" xfId="0" applyFont="1" applyFill="1" applyAlignment="1">
      <alignment vertical="center"/>
    </xf>
    <xf numFmtId="165" fontId="4" fillId="9" borderId="0" xfId="0" applyNumberFormat="1" applyFont="1" applyFill="1"/>
    <xf numFmtId="165" fontId="4" fillId="8" borderId="0" xfId="0" applyNumberFormat="1" applyFont="1" applyFill="1"/>
    <xf numFmtId="0" fontId="4" fillId="8" borderId="0" xfId="0" applyFont="1" applyFill="1" applyAlignment="1">
      <alignment horizontal="center"/>
    </xf>
    <xf numFmtId="165" fontId="4" fillId="8" borderId="0" xfId="0" applyNumberFormat="1" applyFont="1" applyFill="1" applyAlignment="1">
      <alignment horizontal="center"/>
    </xf>
    <xf numFmtId="165" fontId="4" fillId="9" borderId="0" xfId="0" applyNumberFormat="1" applyFont="1" applyFill="1" applyAlignment="1">
      <alignment horizontal="center"/>
    </xf>
    <xf numFmtId="0" fontId="1" fillId="10" borderId="0" xfId="0" applyFont="1" applyFill="1" applyAlignment="1">
      <alignment horizontal="center"/>
    </xf>
    <xf numFmtId="165" fontId="1" fillId="10" borderId="0" xfId="0" applyNumberFormat="1" applyFont="1" applyFill="1" applyAlignment="1">
      <alignment horizontal="center"/>
    </xf>
    <xf numFmtId="166" fontId="4" fillId="8" borderId="0" xfId="1" applyNumberFormat="1" applyFont="1" applyFill="1" applyBorder="1" applyAlignment="1">
      <alignment horizontal="center"/>
    </xf>
    <xf numFmtId="9" fontId="4" fillId="8" borderId="0" xfId="1" applyFont="1" applyFill="1" applyBorder="1" applyAlignment="1">
      <alignment horizontal="center"/>
    </xf>
    <xf numFmtId="9" fontId="4" fillId="9" borderId="0" xfId="1" applyFont="1" applyFill="1" applyBorder="1" applyAlignment="1">
      <alignment horizontal="center"/>
    </xf>
    <xf numFmtId="166" fontId="4" fillId="9" borderId="0" xfId="1" applyNumberFormat="1" applyFont="1" applyFill="1" applyBorder="1" applyAlignment="1">
      <alignment horizontal="center"/>
    </xf>
    <xf numFmtId="166" fontId="1" fillId="10" borderId="0" xfId="1" applyNumberFormat="1" applyFont="1" applyFill="1" applyBorder="1" applyAlignment="1">
      <alignment horizontal="center"/>
    </xf>
    <xf numFmtId="0" fontId="4" fillId="32" borderId="0" xfId="0" applyFont="1" applyFill="1"/>
    <xf numFmtId="9" fontId="0" fillId="0" borderId="0" xfId="1" applyFont="1"/>
    <xf numFmtId="0" fontId="15" fillId="0" borderId="0" xfId="0" applyFont="1"/>
    <xf numFmtId="9" fontId="15" fillId="0" borderId="0" xfId="1" applyFont="1"/>
    <xf numFmtId="0" fontId="0" fillId="0" borderId="0" xfId="0" quotePrefix="1"/>
    <xf numFmtId="0" fontId="27" fillId="4" borderId="0" xfId="0" applyFont="1" applyFill="1"/>
    <xf numFmtId="165" fontId="27" fillId="4" borderId="0" xfId="0" applyNumberFormat="1" applyFont="1" applyFill="1"/>
    <xf numFmtId="165" fontId="11" fillId="26" borderId="3" xfId="0" applyNumberFormat="1" applyFont="1" applyFill="1" applyBorder="1"/>
    <xf numFmtId="0" fontId="3" fillId="5" borderId="45" xfId="0" applyFont="1" applyFill="1" applyBorder="1" applyAlignment="1">
      <alignment horizontal="left"/>
    </xf>
    <xf numFmtId="0" fontId="11" fillId="0" borderId="45" xfId="0" applyFont="1" applyBorder="1" applyAlignment="1">
      <alignment horizontal="right"/>
    </xf>
    <xf numFmtId="166" fontId="3" fillId="5" borderId="44" xfId="1" applyNumberFormat="1" applyFont="1" applyFill="1" applyBorder="1" applyAlignment="1">
      <alignment horizontal="center"/>
    </xf>
    <xf numFmtId="10" fontId="14" fillId="0" borderId="57" xfId="1" applyNumberFormat="1" applyFont="1" applyFill="1" applyBorder="1" applyAlignment="1">
      <alignment horizontal="center"/>
    </xf>
    <xf numFmtId="165" fontId="3" fillId="29" borderId="48" xfId="0" applyNumberFormat="1" applyFont="1" applyFill="1" applyBorder="1"/>
    <xf numFmtId="10" fontId="3" fillId="29" borderId="49" xfId="0" applyNumberFormat="1" applyFont="1" applyFill="1" applyBorder="1" applyAlignment="1">
      <alignment horizontal="center"/>
    </xf>
    <xf numFmtId="165" fontId="3" fillId="29" borderId="41" xfId="0" applyNumberFormat="1" applyFont="1" applyFill="1" applyBorder="1"/>
    <xf numFmtId="10" fontId="3" fillId="29" borderId="42" xfId="0" applyNumberFormat="1" applyFont="1" applyFill="1" applyBorder="1" applyAlignment="1">
      <alignment horizontal="center"/>
    </xf>
    <xf numFmtId="165" fontId="14" fillId="0" borderId="52" xfId="0" applyNumberFormat="1" applyFont="1" applyBorder="1"/>
    <xf numFmtId="165" fontId="31" fillId="33" borderId="41" xfId="0" applyNumberFormat="1" applyFont="1" applyFill="1" applyBorder="1"/>
    <xf numFmtId="166" fontId="31" fillId="33" borderId="42" xfId="1" applyNumberFormat="1" applyFont="1" applyFill="1" applyBorder="1" applyAlignment="1">
      <alignment horizontal="center"/>
    </xf>
    <xf numFmtId="165" fontId="3" fillId="21" borderId="48" xfId="0" applyNumberFormat="1" applyFont="1" applyFill="1" applyBorder="1"/>
    <xf numFmtId="166" fontId="3" fillId="21" borderId="49" xfId="1" applyNumberFormat="1" applyFont="1" applyFill="1" applyBorder="1" applyAlignment="1">
      <alignment horizontal="center"/>
    </xf>
    <xf numFmtId="165" fontId="32" fillId="0" borderId="7" xfId="0" applyNumberFormat="1" applyFont="1" applyBorder="1"/>
    <xf numFmtId="10" fontId="33" fillId="12" borderId="6" xfId="1" applyNumberFormat="1" applyFont="1" applyFill="1" applyBorder="1" applyAlignment="1">
      <alignment horizontal="center"/>
    </xf>
    <xf numFmtId="165" fontId="34" fillId="33" borderId="10" xfId="0" applyNumberFormat="1" applyFont="1" applyFill="1" applyBorder="1" applyAlignment="1">
      <alignment horizontal="right"/>
    </xf>
    <xf numFmtId="166" fontId="34" fillId="33" borderId="15" xfId="1" applyNumberFormat="1" applyFont="1" applyFill="1" applyBorder="1" applyAlignment="1">
      <alignment horizontal="center"/>
    </xf>
    <xf numFmtId="165" fontId="35" fillId="21" borderId="10" xfId="0" applyNumberFormat="1" applyFont="1" applyFill="1" applyBorder="1" applyAlignment="1">
      <alignment horizontal="right"/>
    </xf>
    <xf numFmtId="166" fontId="35" fillId="21" borderId="15" xfId="1" applyNumberFormat="1" applyFont="1" applyFill="1" applyBorder="1" applyAlignment="1">
      <alignment horizontal="center"/>
    </xf>
    <xf numFmtId="0" fontId="31" fillId="33" borderId="50" xfId="0" applyFont="1" applyFill="1" applyBorder="1" applyAlignment="1">
      <alignment horizontal="right"/>
    </xf>
    <xf numFmtId="0" fontId="3" fillId="21" borderId="46" xfId="0" applyFont="1" applyFill="1" applyBorder="1" applyAlignment="1">
      <alignment horizontal="right"/>
    </xf>
    <xf numFmtId="0" fontId="0" fillId="23" borderId="45" xfId="0" applyFill="1" applyBorder="1"/>
    <xf numFmtId="165" fontId="0" fillId="4" borderId="56" xfId="0" applyNumberFormat="1" applyFill="1" applyBorder="1"/>
    <xf numFmtId="10" fontId="7" fillId="4" borderId="53" xfId="1" applyNumberFormat="1" applyFont="1" applyFill="1" applyBorder="1" applyAlignment="1">
      <alignment horizontal="center"/>
    </xf>
    <xf numFmtId="165" fontId="14" fillId="0" borderId="58" xfId="0" applyNumberFormat="1" applyFont="1" applyBorder="1"/>
    <xf numFmtId="10" fontId="0" fillId="23" borderId="59" xfId="1" applyNumberFormat="1" applyFont="1" applyFill="1" applyBorder="1" applyAlignment="1">
      <alignment horizontal="center"/>
    </xf>
    <xf numFmtId="165" fontId="0" fillId="23" borderId="60" xfId="0" applyNumberFormat="1" applyFill="1" applyBorder="1"/>
    <xf numFmtId="0" fontId="3" fillId="29" borderId="45" xfId="0" applyFont="1" applyFill="1" applyBorder="1"/>
    <xf numFmtId="0" fontId="6" fillId="0" borderId="0" xfId="0" applyFont="1" applyAlignment="1">
      <alignment vertical="center" wrapText="1"/>
    </xf>
    <xf numFmtId="165" fontId="26" fillId="0" borderId="0" xfId="0" applyNumberFormat="1" applyFont="1"/>
    <xf numFmtId="166" fontId="15" fillId="0" borderId="9" xfId="0" applyNumberFormat="1" applyFont="1" applyBorder="1" applyAlignment="1">
      <alignment horizontal="left" indent="8"/>
    </xf>
    <xf numFmtId="0" fontId="0" fillId="0" borderId="12" xfId="0" applyBorder="1"/>
    <xf numFmtId="165" fontId="0" fillId="0" borderId="12" xfId="0" applyNumberFormat="1" applyBorder="1"/>
    <xf numFmtId="9" fontId="15" fillId="0" borderId="12" xfId="1" applyFont="1" applyBorder="1"/>
    <xf numFmtId="9" fontId="0" fillId="0" borderId="12" xfId="1" applyFont="1" applyBorder="1"/>
    <xf numFmtId="165" fontId="28" fillId="0" borderId="12" xfId="0" applyNumberFormat="1" applyFont="1" applyBorder="1"/>
    <xf numFmtId="165" fontId="29" fillId="0" borderId="12" xfId="0" applyNumberFormat="1" applyFont="1" applyBorder="1"/>
    <xf numFmtId="165" fontId="27" fillId="31" borderId="61" xfId="0" applyNumberFormat="1" applyFont="1" applyFill="1" applyBorder="1"/>
    <xf numFmtId="165" fontId="27" fillId="21" borderId="61" xfId="0" applyNumberFormat="1" applyFont="1" applyFill="1" applyBorder="1"/>
    <xf numFmtId="165" fontId="27" fillId="31" borderId="62" xfId="0" applyNumberFormat="1" applyFont="1" applyFill="1" applyBorder="1"/>
    <xf numFmtId="165" fontId="27" fillId="0" borderId="12" xfId="0" applyNumberFormat="1" applyFont="1" applyBorder="1"/>
    <xf numFmtId="0" fontId="0" fillId="0" borderId="12" xfId="0" applyBorder="1" applyAlignment="1">
      <alignment wrapText="1"/>
    </xf>
    <xf numFmtId="165" fontId="0" fillId="3" borderId="0" xfId="0" applyNumberFormat="1" applyFill="1"/>
    <xf numFmtId="165" fontId="0" fillId="3" borderId="12" xfId="0" applyNumberFormat="1" applyFill="1" applyBorder="1"/>
    <xf numFmtId="165" fontId="19" fillId="0" borderId="0" xfId="0" applyNumberFormat="1" applyFont="1"/>
    <xf numFmtId="165" fontId="26" fillId="5" borderId="43" xfId="0" applyNumberFormat="1" applyFont="1" applyFill="1" applyBorder="1" applyAlignment="1">
      <alignment horizontal="right"/>
    </xf>
    <xf numFmtId="165" fontId="11" fillId="29" borderId="0" xfId="0" applyNumberFormat="1" applyFont="1" applyFill="1"/>
    <xf numFmtId="0" fontId="11" fillId="0" borderId="0" xfId="0" applyFont="1"/>
    <xf numFmtId="0" fontId="30" fillId="0" borderId="0" xfId="0" applyFont="1" applyAlignment="1">
      <alignment vertical="center" wrapText="1"/>
    </xf>
    <xf numFmtId="0" fontId="0" fillId="4" borderId="45" xfId="0" quotePrefix="1" applyFill="1" applyBorder="1" applyAlignment="1">
      <alignment horizontal="left"/>
    </xf>
    <xf numFmtId="10" fontId="26" fillId="5" borderId="44" xfId="1" applyNumberFormat="1" applyFont="1" applyFill="1" applyBorder="1" applyAlignment="1">
      <alignment horizontal="center"/>
    </xf>
    <xf numFmtId="0" fontId="4" fillId="11" borderId="0" xfId="0" applyFont="1" applyFill="1" applyAlignment="1">
      <alignment horizontal="center" vertical="center"/>
    </xf>
    <xf numFmtId="10" fontId="3" fillId="4" borderId="0" xfId="1" applyNumberFormat="1" applyFont="1" applyFill="1"/>
    <xf numFmtId="0" fontId="37" fillId="0" borderId="0" xfId="0" applyFont="1" applyAlignment="1">
      <alignment horizontal="right"/>
    </xf>
    <xf numFmtId="166" fontId="37" fillId="0" borderId="0" xfId="1" applyNumberFormat="1" applyFont="1" applyAlignment="1">
      <alignment horizontal="center"/>
    </xf>
    <xf numFmtId="0" fontId="14" fillId="0" borderId="0" xfId="0" applyFont="1"/>
    <xf numFmtId="9" fontId="14" fillId="0" borderId="0" xfId="1" applyFont="1" applyFill="1"/>
    <xf numFmtId="0" fontId="0" fillId="4" borderId="0" xfId="0" applyFill="1"/>
    <xf numFmtId="0" fontId="0" fillId="0" borderId="2" xfId="0" applyBorder="1" applyAlignment="1">
      <alignment horizontal="right"/>
    </xf>
    <xf numFmtId="9" fontId="0" fillId="0" borderId="13" xfId="1" applyFont="1" applyBorder="1"/>
    <xf numFmtId="166" fontId="0" fillId="0" borderId="13" xfId="1" applyNumberFormat="1" applyFont="1" applyBorder="1"/>
    <xf numFmtId="0" fontId="0" fillId="0" borderId="4" xfId="0" applyBorder="1" applyAlignment="1">
      <alignment horizontal="right"/>
    </xf>
    <xf numFmtId="9" fontId="0" fillId="0" borderId="0" xfId="1" applyFont="1" applyBorder="1"/>
    <xf numFmtId="166" fontId="0" fillId="0" borderId="0" xfId="1" applyNumberFormat="1" applyFont="1" applyBorder="1"/>
    <xf numFmtId="0" fontId="0" fillId="0" borderId="6" xfId="0" applyBorder="1" applyAlignment="1">
      <alignment horizontal="right"/>
    </xf>
    <xf numFmtId="166" fontId="0" fillId="0" borderId="12" xfId="1" applyNumberFormat="1" applyFont="1" applyBorder="1"/>
    <xf numFmtId="0" fontId="0" fillId="0" borderId="13" xfId="0" applyBorder="1" applyAlignment="1">
      <alignment horizontal="center"/>
    </xf>
    <xf numFmtId="0" fontId="0" fillId="0" borderId="3" xfId="0" applyBorder="1" applyAlignment="1">
      <alignment horizontal="right"/>
    </xf>
    <xf numFmtId="0" fontId="2" fillId="0" borderId="4" xfId="0" applyFont="1" applyBorder="1"/>
    <xf numFmtId="0" fontId="2" fillId="0" borderId="0" xfId="0" applyFont="1" applyAlignment="1">
      <alignment horizontal="center"/>
    </xf>
    <xf numFmtId="0" fontId="14" fillId="0" borderId="4" xfId="0" applyFont="1" applyBorder="1" applyAlignment="1">
      <alignment horizontal="right"/>
    </xf>
    <xf numFmtId="166" fontId="14" fillId="0" borderId="0" xfId="1" applyNumberFormat="1" applyFont="1" applyBorder="1" applyAlignment="1">
      <alignment horizontal="center"/>
    </xf>
    <xf numFmtId="0" fontId="36" fillId="0" borderId="6" xfId="0" applyFont="1" applyBorder="1" applyAlignment="1">
      <alignment horizontal="right"/>
    </xf>
    <xf numFmtId="166" fontId="36" fillId="0" borderId="12" xfId="1" applyNumberFormat="1" applyFont="1" applyBorder="1" applyAlignment="1">
      <alignment horizontal="center"/>
    </xf>
    <xf numFmtId="0" fontId="37" fillId="0" borderId="15" xfId="0" applyFont="1" applyBorder="1" applyAlignment="1">
      <alignment horizontal="right"/>
    </xf>
    <xf numFmtId="9" fontId="0" fillId="0" borderId="11" xfId="0" applyNumberFormat="1" applyBorder="1"/>
    <xf numFmtId="166" fontId="37" fillId="0" borderId="11" xfId="1" applyNumberFormat="1" applyFont="1" applyBorder="1" applyAlignment="1">
      <alignment horizontal="center"/>
    </xf>
    <xf numFmtId="166" fontId="14" fillId="14" borderId="8" xfId="1" applyNumberFormat="1" applyFont="1" applyFill="1" applyBorder="1" applyAlignment="1">
      <alignment horizontal="center"/>
    </xf>
    <xf numFmtId="166" fontId="0" fillId="0" borderId="10" xfId="0" applyNumberFormat="1" applyBorder="1"/>
    <xf numFmtId="0" fontId="0" fillId="0" borderId="0" xfId="0" pivotButton="1"/>
    <xf numFmtId="0" fontId="0" fillId="0" borderId="0" xfId="0" applyAlignment="1">
      <alignment horizontal="left"/>
    </xf>
    <xf numFmtId="166" fontId="0" fillId="0" borderId="5" xfId="0" applyNumberFormat="1" applyBorder="1"/>
    <xf numFmtId="9" fontId="0" fillId="0" borderId="0" xfId="0" applyNumberFormat="1"/>
    <xf numFmtId="165" fontId="14" fillId="0" borderId="0" xfId="1" applyNumberFormat="1" applyFont="1" applyFill="1"/>
    <xf numFmtId="0" fontId="37" fillId="0" borderId="0" xfId="0" applyFont="1"/>
    <xf numFmtId="0" fontId="14" fillId="0" borderId="0" xfId="0" quotePrefix="1" applyFont="1"/>
    <xf numFmtId="9" fontId="36" fillId="0" borderId="0" xfId="1" applyFont="1"/>
    <xf numFmtId="0" fontId="36" fillId="0" borderId="0" xfId="0" applyFont="1"/>
    <xf numFmtId="0" fontId="36" fillId="0" borderId="0" xfId="0" quotePrefix="1" applyFont="1"/>
    <xf numFmtId="9" fontId="36" fillId="0" borderId="0" xfId="1" applyFont="1" applyFill="1"/>
    <xf numFmtId="165" fontId="36" fillId="0" borderId="0" xfId="1" applyNumberFormat="1" applyFont="1" applyFill="1"/>
    <xf numFmtId="165" fontId="36" fillId="0" borderId="0" xfId="0" applyNumberFormat="1" applyFont="1"/>
    <xf numFmtId="10" fontId="0" fillId="0" borderId="0" xfId="1" applyNumberFormat="1" applyFont="1"/>
    <xf numFmtId="0" fontId="18" fillId="0" borderId="54" xfId="0" applyFont="1" applyBorder="1" applyAlignment="1">
      <alignment horizontal="center"/>
    </xf>
    <xf numFmtId="0" fontId="14" fillId="0" borderId="56" xfId="0" applyFont="1" applyBorder="1" applyAlignment="1">
      <alignment horizontal="center"/>
    </xf>
    <xf numFmtId="166" fontId="14" fillId="4" borderId="38" xfId="1" applyNumberFormat="1" applyFont="1" applyFill="1" applyBorder="1"/>
    <xf numFmtId="10" fontId="25" fillId="4" borderId="17" xfId="0" applyNumberFormat="1" applyFont="1" applyFill="1" applyBorder="1" applyAlignment="1">
      <alignment horizontal="center" vertical="center"/>
    </xf>
    <xf numFmtId="9" fontId="25" fillId="4" borderId="65" xfId="0" applyNumberFormat="1" applyFont="1" applyFill="1" applyBorder="1" applyAlignment="1">
      <alignment horizontal="center" vertical="center"/>
    </xf>
    <xf numFmtId="9" fontId="25" fillId="4" borderId="67" xfId="0" applyNumberFormat="1" applyFont="1" applyFill="1" applyBorder="1" applyAlignment="1">
      <alignment horizontal="center" vertical="center"/>
    </xf>
    <xf numFmtId="9" fontId="25" fillId="4" borderId="69" xfId="0" applyNumberFormat="1" applyFont="1" applyFill="1" applyBorder="1" applyAlignment="1">
      <alignment horizontal="center" vertical="center"/>
    </xf>
    <xf numFmtId="166" fontId="14" fillId="7" borderId="70" xfId="0" applyNumberFormat="1" applyFont="1" applyFill="1" applyBorder="1"/>
    <xf numFmtId="165" fontId="3" fillId="23" borderId="0" xfId="0" applyNumberFormat="1" applyFont="1" applyFill="1"/>
    <xf numFmtId="165" fontId="0" fillId="35" borderId="0" xfId="0" applyNumberFormat="1" applyFill="1"/>
    <xf numFmtId="165" fontId="3" fillId="4" borderId="0" xfId="0" applyNumberFormat="1" applyFont="1" applyFill="1"/>
    <xf numFmtId="166" fontId="0" fillId="0" borderId="0" xfId="1" applyNumberFormat="1" applyFont="1"/>
    <xf numFmtId="166" fontId="0" fillId="0" borderId="0" xfId="1" applyNumberFormat="1" applyFont="1" applyAlignment="1">
      <alignment horizontal="center" wrapText="1"/>
    </xf>
    <xf numFmtId="0" fontId="0" fillId="4" borderId="9" xfId="0" applyFill="1" applyBorder="1" applyAlignment="1">
      <alignment horizontal="center"/>
    </xf>
    <xf numFmtId="10" fontId="38" fillId="36" borderId="71" xfId="1" applyNumberFormat="1" applyFont="1" applyFill="1" applyBorder="1" applyAlignment="1">
      <alignment horizontal="center" vertical="center"/>
    </xf>
    <xf numFmtId="10" fontId="38" fillId="34" borderId="71" xfId="1" applyNumberFormat="1" applyFont="1" applyFill="1" applyBorder="1" applyAlignment="1">
      <alignment horizontal="center" vertical="center"/>
    </xf>
    <xf numFmtId="10" fontId="0" fillId="0" borderId="0" xfId="1" applyNumberFormat="1" applyFont="1" applyAlignment="1">
      <alignment horizontal="center"/>
    </xf>
    <xf numFmtId="164" fontId="0" fillId="0" borderId="0" xfId="0" applyNumberFormat="1"/>
    <xf numFmtId="169" fontId="0" fillId="0" borderId="0" xfId="0" applyNumberFormat="1"/>
    <xf numFmtId="166" fontId="0" fillId="6" borderId="11" xfId="0" applyNumberFormat="1" applyFill="1" applyBorder="1"/>
    <xf numFmtId="10" fontId="0" fillId="0" borderId="0" xfId="1" applyNumberFormat="1" applyFont="1" applyAlignment="1">
      <alignment horizontal="center" wrapText="1"/>
    </xf>
    <xf numFmtId="0" fontId="15" fillId="0" borderId="9" xfId="0" applyFont="1" applyBorder="1" applyAlignment="1">
      <alignment horizontal="center" vertical="center" wrapText="1"/>
    </xf>
    <xf numFmtId="165" fontId="0" fillId="8" borderId="4" xfId="0" applyNumberFormat="1" applyFill="1" applyBorder="1" applyAlignment="1">
      <alignment horizontal="center"/>
    </xf>
    <xf numFmtId="165" fontId="0" fillId="8" borderId="0" xfId="0" applyNumberFormat="1" applyFill="1" applyAlignment="1">
      <alignment horizontal="center"/>
    </xf>
    <xf numFmtId="165" fontId="0" fillId="0" borderId="0" xfId="0" applyNumberFormat="1" applyAlignment="1">
      <alignment horizontal="center"/>
    </xf>
    <xf numFmtId="0" fontId="6" fillId="5" borderId="9" xfId="0" applyFont="1" applyFill="1" applyBorder="1" applyAlignment="1">
      <alignment horizontal="center" vertical="center" wrapText="1"/>
    </xf>
    <xf numFmtId="10" fontId="25" fillId="4" borderId="66" xfId="0" applyNumberFormat="1" applyFont="1" applyFill="1" applyBorder="1" applyAlignment="1">
      <alignment horizontal="center" vertical="center"/>
    </xf>
    <xf numFmtId="10" fontId="25" fillId="4" borderId="68" xfId="0" applyNumberFormat="1" applyFont="1" applyFill="1" applyBorder="1" applyAlignment="1">
      <alignment horizontal="center" vertical="center"/>
    </xf>
    <xf numFmtId="10" fontId="25" fillId="4" borderId="24" xfId="0" applyNumberFormat="1" applyFont="1" applyFill="1" applyBorder="1" applyAlignment="1">
      <alignment horizontal="center" vertical="center"/>
    </xf>
    <xf numFmtId="165" fontId="0" fillId="0" borderId="0" xfId="0" applyNumberFormat="1" applyAlignment="1">
      <alignment horizontal="center" wrapText="1"/>
    </xf>
    <xf numFmtId="10" fontId="0" fillId="0" borderId="0" xfId="1" applyNumberFormat="1" applyFont="1" applyAlignment="1">
      <alignment horizontal="center" vertical="center"/>
    </xf>
    <xf numFmtId="0" fontId="0" fillId="0" borderId="0" xfId="0" applyAlignment="1">
      <alignment horizontal="center" wrapText="1"/>
    </xf>
    <xf numFmtId="0" fontId="4" fillId="36" borderId="0" xfId="0" applyFont="1" applyFill="1" applyAlignment="1">
      <alignment horizontal="center" wrapText="1"/>
    </xf>
    <xf numFmtId="0" fontId="4" fillId="36" borderId="72" xfId="0" applyFont="1" applyFill="1" applyBorder="1" applyAlignment="1">
      <alignment horizontal="center" wrapText="1"/>
    </xf>
    <xf numFmtId="0" fontId="4" fillId="34" borderId="0" xfId="0" applyFont="1" applyFill="1" applyAlignment="1">
      <alignment horizontal="center" wrapText="1"/>
    </xf>
    <xf numFmtId="0" fontId="4" fillId="34" borderId="72" xfId="0" applyFont="1" applyFill="1" applyBorder="1" applyAlignment="1">
      <alignment horizontal="center" wrapText="1"/>
    </xf>
    <xf numFmtId="10" fontId="2" fillId="30" borderId="66" xfId="0" applyNumberFormat="1" applyFont="1" applyFill="1" applyBorder="1" applyAlignment="1">
      <alignment horizontal="center" vertical="center"/>
    </xf>
    <xf numFmtId="10" fontId="2" fillId="30" borderId="68" xfId="0" applyNumberFormat="1" applyFont="1" applyFill="1" applyBorder="1" applyAlignment="1">
      <alignment horizontal="center" vertical="center"/>
    </xf>
    <xf numFmtId="10" fontId="2" fillId="30" borderId="24" xfId="0" applyNumberFormat="1" applyFont="1" applyFill="1" applyBorder="1" applyAlignment="1">
      <alignment horizontal="center" vertical="center"/>
    </xf>
    <xf numFmtId="0" fontId="4" fillId="36" borderId="0" xfId="0" applyFont="1" applyFill="1" applyAlignment="1">
      <alignment horizontal="center" vertical="center" wrapText="1"/>
    </xf>
    <xf numFmtId="0" fontId="4" fillId="36" borderId="72" xfId="0" applyFont="1" applyFill="1" applyBorder="1" applyAlignment="1">
      <alignment horizontal="center" vertical="center" wrapText="1"/>
    </xf>
    <xf numFmtId="165" fontId="4" fillId="9" borderId="19" xfId="0" applyNumberFormat="1" applyFont="1" applyFill="1" applyBorder="1" applyAlignment="1">
      <alignment horizontal="center"/>
    </xf>
    <xf numFmtId="165" fontId="4" fillId="9" borderId="20" xfId="0" applyNumberFormat="1" applyFont="1" applyFill="1" applyBorder="1" applyAlignment="1">
      <alignment horizontal="center"/>
    </xf>
    <xf numFmtId="165" fontId="4" fillId="8" borderId="19" xfId="0" applyNumberFormat="1" applyFont="1" applyFill="1" applyBorder="1" applyAlignment="1">
      <alignment horizontal="center"/>
    </xf>
    <xf numFmtId="165" fontId="4" fillId="8" borderId="20" xfId="0" applyNumberFormat="1" applyFont="1" applyFill="1" applyBorder="1" applyAlignment="1">
      <alignment horizontal="center"/>
    </xf>
    <xf numFmtId="0" fontId="11" fillId="0" borderId="10" xfId="0" applyFont="1" applyBorder="1" applyAlignment="1">
      <alignment horizontal="center" vertical="center"/>
    </xf>
    <xf numFmtId="0" fontId="4" fillId="11" borderId="0" xfId="0" applyFont="1" applyFill="1" applyAlignment="1">
      <alignment horizontal="center" vertical="center"/>
    </xf>
    <xf numFmtId="0" fontId="4" fillId="11" borderId="1" xfId="0" applyFont="1" applyFill="1" applyBorder="1" applyAlignment="1">
      <alignment horizontal="center" vertical="center"/>
    </xf>
    <xf numFmtId="0" fontId="4" fillId="11" borderId="21" xfId="0" applyFont="1" applyFill="1" applyBorder="1" applyAlignment="1">
      <alignment horizontal="center" vertical="center"/>
    </xf>
    <xf numFmtId="0" fontId="4" fillId="11" borderId="22" xfId="0" applyFont="1" applyFill="1" applyBorder="1" applyAlignment="1">
      <alignment horizontal="center" vertical="center"/>
    </xf>
    <xf numFmtId="0" fontId="3" fillId="0" borderId="39" xfId="0" applyFont="1" applyBorder="1" applyAlignment="1">
      <alignment horizontal="center" vertical="center" wrapText="1"/>
    </xf>
    <xf numFmtId="0" fontId="0" fillId="0" borderId="41" xfId="0" applyBorder="1" applyAlignment="1">
      <alignment horizontal="center" vertical="center" wrapText="1"/>
    </xf>
    <xf numFmtId="0" fontId="0" fillId="0" borderId="40" xfId="0" applyBorder="1" applyAlignment="1">
      <alignment horizontal="center" vertical="center" wrapText="1"/>
    </xf>
    <xf numFmtId="0" fontId="0" fillId="0" borderId="42" xfId="0" applyBorder="1" applyAlignment="1">
      <alignment horizontal="center" vertical="center" wrapText="1"/>
    </xf>
    <xf numFmtId="165" fontId="4" fillId="0" borderId="0" xfId="0" applyNumberFormat="1"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6" borderId="4" xfId="0" applyFill="1" applyBorder="1" applyAlignment="1">
      <alignment horizontal="center"/>
    </xf>
    <xf numFmtId="0" fontId="0" fillId="6" borderId="0" xfId="0" applyFill="1" applyAlignment="1">
      <alignment horizontal="center"/>
    </xf>
    <xf numFmtId="0" fontId="0" fillId="6" borderId="5" xfId="0" applyFill="1" applyBorder="1" applyAlignment="1">
      <alignment horizontal="center"/>
    </xf>
    <xf numFmtId="165" fontId="0" fillId="4" borderId="4" xfId="0" applyNumberFormat="1" applyFill="1" applyBorder="1" applyAlignment="1">
      <alignment horizontal="center"/>
    </xf>
    <xf numFmtId="165" fontId="0" fillId="4" borderId="0" xfId="0" applyNumberFormat="1" applyFill="1" applyAlignment="1">
      <alignment horizontal="center"/>
    </xf>
    <xf numFmtId="165" fontId="0" fillId="0" borderId="4" xfId="0" applyNumberFormat="1" applyBorder="1" applyAlignment="1">
      <alignment horizontal="center"/>
    </xf>
    <xf numFmtId="165" fontId="0" fillId="17" borderId="4" xfId="0" applyNumberFormat="1" applyFill="1" applyBorder="1" applyAlignment="1">
      <alignment horizontal="center"/>
    </xf>
    <xf numFmtId="165" fontId="0" fillId="17" borderId="0" xfId="0" applyNumberFormat="1" applyFill="1" applyAlignment="1">
      <alignment horizontal="center"/>
    </xf>
    <xf numFmtId="165" fontId="0" fillId="17" borderId="5" xfId="0" applyNumberFormat="1" applyFill="1" applyBorder="1" applyAlignment="1">
      <alignment horizontal="center"/>
    </xf>
    <xf numFmtId="165" fontId="0" fillId="0" borderId="5" xfId="0" applyNumberFormat="1" applyBorder="1" applyAlignment="1">
      <alignment horizontal="center"/>
    </xf>
    <xf numFmtId="10" fontId="14" fillId="7" borderId="63" xfId="0" applyNumberFormat="1" applyFont="1" applyFill="1" applyBorder="1" applyAlignment="1">
      <alignment horizontal="center" vertical="center"/>
    </xf>
    <xf numFmtId="10" fontId="14" fillId="7" borderId="51" xfId="0" applyNumberFormat="1" applyFont="1" applyFill="1" applyBorder="1" applyAlignment="1">
      <alignment horizontal="center" vertical="center"/>
    </xf>
    <xf numFmtId="10" fontId="14" fillId="7" borderId="64" xfId="0" applyNumberFormat="1" applyFont="1" applyFill="1" applyBorder="1" applyAlignment="1">
      <alignment horizontal="center" vertical="center"/>
    </xf>
    <xf numFmtId="9" fontId="2" fillId="14" borderId="30" xfId="0" applyNumberFormat="1" applyFont="1" applyFill="1" applyBorder="1" applyAlignment="1">
      <alignment horizontal="left" indent="8"/>
    </xf>
    <xf numFmtId="9" fontId="2" fillId="14" borderId="31" xfId="0" applyNumberFormat="1" applyFont="1" applyFill="1" applyBorder="1" applyAlignment="1">
      <alignment horizontal="left" indent="8"/>
    </xf>
    <xf numFmtId="0" fontId="0" fillId="0" borderId="34" xfId="0" applyBorder="1" applyAlignment="1">
      <alignment horizontal="center"/>
    </xf>
    <xf numFmtId="0" fontId="0" fillId="0" borderId="35" xfId="0" applyBorder="1" applyAlignment="1">
      <alignment horizontal="center"/>
    </xf>
    <xf numFmtId="0" fontId="0" fillId="15" borderId="14" xfId="0" applyFill="1" applyBorder="1" applyAlignment="1">
      <alignment horizontal="center" vertical="center"/>
    </xf>
    <xf numFmtId="0" fontId="0" fillId="15" borderId="18" xfId="0" applyFill="1" applyBorder="1" applyAlignment="1">
      <alignment horizontal="center" vertical="center"/>
    </xf>
    <xf numFmtId="0" fontId="0" fillId="15" borderId="14" xfId="0" applyFill="1" applyBorder="1" applyAlignment="1">
      <alignment horizontal="left" vertical="center" wrapText="1"/>
    </xf>
    <xf numFmtId="0" fontId="0" fillId="15" borderId="18" xfId="0" applyFill="1" applyBorder="1" applyAlignment="1">
      <alignment horizontal="left" vertical="center" wrapText="1"/>
    </xf>
    <xf numFmtId="165" fontId="0" fillId="5" borderId="9" xfId="0" applyNumberFormat="1" applyFill="1" applyBorder="1" applyAlignment="1">
      <alignment horizontal="center"/>
    </xf>
    <xf numFmtId="0" fontId="0" fillId="0" borderId="55" xfId="0" applyBorder="1" applyAlignment="1">
      <alignment horizontal="center" vertical="center"/>
    </xf>
    <xf numFmtId="0" fontId="0" fillId="0" borderId="45" xfId="0" applyBorder="1" applyAlignment="1">
      <alignment horizontal="center" vertical="center"/>
    </xf>
    <xf numFmtId="0" fontId="3" fillId="0" borderId="41" xfId="0" applyFont="1" applyBorder="1" applyAlignment="1">
      <alignment horizontal="center" vertical="center" wrapText="1"/>
    </xf>
    <xf numFmtId="165" fontId="4" fillId="8" borderId="15" xfId="2" applyNumberFormat="1" applyFont="1" applyFill="1" applyBorder="1" applyAlignment="1">
      <alignment horizontal="center"/>
    </xf>
    <xf numFmtId="165" fontId="4" fillId="8" borderId="3" xfId="2" applyNumberFormat="1" applyFont="1" applyFill="1" applyBorder="1" applyAlignment="1">
      <alignment horizontal="center"/>
    </xf>
    <xf numFmtId="9" fontId="14" fillId="7" borderId="32" xfId="0" applyNumberFormat="1" applyFont="1" applyFill="1" applyBorder="1" applyAlignment="1">
      <alignment horizontal="center" vertical="center"/>
    </xf>
    <xf numFmtId="9" fontId="14" fillId="7" borderId="33" xfId="0" applyNumberFormat="1" applyFont="1" applyFill="1" applyBorder="1" applyAlignment="1">
      <alignment horizontal="center" vertical="center"/>
    </xf>
    <xf numFmtId="0" fontId="4" fillId="9" borderId="15" xfId="0" applyFont="1" applyFill="1" applyBorder="1" applyAlignment="1">
      <alignment horizontal="center"/>
    </xf>
    <xf numFmtId="0" fontId="4" fillId="9" borderId="10" xfId="0" applyFont="1" applyFill="1" applyBorder="1" applyAlignment="1">
      <alignment horizontal="center"/>
    </xf>
    <xf numFmtId="165" fontId="0" fillId="9" borderId="15" xfId="0" applyNumberFormat="1" applyFill="1" applyBorder="1" applyAlignment="1">
      <alignment horizontal="center"/>
    </xf>
    <xf numFmtId="165" fontId="4" fillId="9" borderId="10" xfId="0" applyNumberFormat="1" applyFont="1" applyFill="1" applyBorder="1" applyAlignment="1">
      <alignment horizontal="center"/>
    </xf>
    <xf numFmtId="0" fontId="4" fillId="8" borderId="15" xfId="0" applyFont="1" applyFill="1" applyBorder="1" applyAlignment="1">
      <alignment horizontal="center"/>
    </xf>
    <xf numFmtId="0" fontId="4" fillId="8" borderId="10" xfId="0" applyFont="1" applyFill="1" applyBorder="1" applyAlignment="1">
      <alignment horizontal="center"/>
    </xf>
    <xf numFmtId="9" fontId="0" fillId="0" borderId="13" xfId="1" applyFont="1" applyBorder="1" applyAlignment="1">
      <alignment horizontal="right" vertical="center"/>
    </xf>
    <xf numFmtId="9" fontId="0" fillId="0" borderId="0" xfId="1" applyFont="1" applyBorder="1" applyAlignment="1">
      <alignment horizontal="right" vertical="center"/>
    </xf>
    <xf numFmtId="166" fontId="0" fillId="0" borderId="3" xfId="1" applyNumberFormat="1" applyFont="1" applyBorder="1" applyAlignment="1">
      <alignment horizontal="right" vertical="center"/>
    </xf>
    <xf numFmtId="166" fontId="0" fillId="0" borderId="5" xfId="1" applyNumberFormat="1" applyFont="1" applyBorder="1" applyAlignment="1">
      <alignment horizontal="right" vertical="center"/>
    </xf>
    <xf numFmtId="166" fontId="0" fillId="0" borderId="7" xfId="1" applyNumberFormat="1" applyFont="1" applyBorder="1" applyAlignment="1">
      <alignment horizontal="right" vertical="center"/>
    </xf>
    <xf numFmtId="0" fontId="9" fillId="0" borderId="0" xfId="0" applyFont="1" applyAlignment="1">
      <alignment horizontal="center"/>
    </xf>
    <xf numFmtId="0" fontId="0" fillId="17" borderId="0" xfId="0" applyFill="1" applyAlignment="1">
      <alignment horizontal="center"/>
    </xf>
    <xf numFmtId="0" fontId="0" fillId="0" borderId="0" xfId="0" applyAlignment="1">
      <alignment horizontal="center"/>
    </xf>
    <xf numFmtId="0" fontId="0" fillId="18" borderId="0" xfId="0" applyFill="1" applyAlignment="1">
      <alignment horizontal="center"/>
    </xf>
    <xf numFmtId="0" fontId="0" fillId="4" borderId="0" xfId="0" applyFill="1" applyAlignment="1">
      <alignment horizontal="center"/>
    </xf>
  </cellXfs>
  <cellStyles count="3">
    <cellStyle name="Currency" xfId="2" builtinId="4"/>
    <cellStyle name="Normal" xfId="0" builtinId="0"/>
    <cellStyle name="Percent" xfId="1" builtinId="5"/>
  </cellStyles>
  <dxfs count="64">
    <dxf>
      <numFmt numFmtId="165" formatCode="#,##0\ &quot;€&quot;"/>
    </dxf>
    <dxf>
      <numFmt numFmtId="165" formatCode="#,##0\ &quot;€&quot;"/>
    </dxf>
    <dxf>
      <font>
        <strike val="0"/>
        <outline val="0"/>
        <shadow val="0"/>
        <u val="none"/>
        <vertAlign val="baseline"/>
        <sz val="11"/>
        <color rgb="FF00B050"/>
        <name val="Calibri"/>
        <family val="2"/>
        <scheme val="minor"/>
      </font>
      <numFmt numFmtId="165" formatCode="#,##0\ &quot;€&quo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numFmt numFmtId="165" formatCode="#,##0\ &quot;€&quot;"/>
    </dxf>
    <dxf>
      <numFmt numFmtId="165" formatCode="#,##0\ &quot;€&quot;"/>
    </dxf>
    <dxf>
      <numFmt numFmtId="165" formatCode="#,##0\ &quot;€&quot;"/>
    </dxf>
    <dxf>
      <numFmt numFmtId="165" formatCode="#,##0\ &quot;€&quot;"/>
    </dxf>
    <dxf>
      <font>
        <b val="0"/>
        <i val="0"/>
        <strike val="0"/>
        <condense val="0"/>
        <extend val="0"/>
        <outline val="0"/>
        <shadow val="0"/>
        <u val="none"/>
        <vertAlign val="baseline"/>
        <sz val="11"/>
        <color rgb="FFC00000"/>
        <name val="Calibri"/>
        <family val="2"/>
        <scheme val="minor"/>
      </font>
      <numFmt numFmtId="165" formatCode="#,##0\ &quot;€&quot;"/>
      <fill>
        <patternFill patternType="none">
          <fgColor indexed="64"/>
          <bgColor indexed="65"/>
        </patternFill>
      </fill>
    </dxf>
    <dxf>
      <font>
        <b val="0"/>
        <i val="0"/>
        <strike val="0"/>
        <condense val="0"/>
        <extend val="0"/>
        <outline val="0"/>
        <shadow val="0"/>
        <u val="none"/>
        <vertAlign val="baseline"/>
        <sz val="11"/>
        <color rgb="FFC00000"/>
        <name val="Calibri"/>
        <family val="2"/>
        <scheme val="minor"/>
      </font>
      <fill>
        <patternFill patternType="none">
          <fgColor indexed="64"/>
          <bgColor indexed="65"/>
        </patternFill>
      </fill>
    </dxf>
    <dxf>
      <font>
        <b val="0"/>
        <i val="0"/>
        <strike val="0"/>
        <condense val="0"/>
        <extend val="0"/>
        <outline val="0"/>
        <shadow val="0"/>
        <u val="none"/>
        <vertAlign val="baseline"/>
        <sz val="11"/>
        <color rgb="FFC00000"/>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numFmt numFmtId="165" formatCode="#,##0\ &quot;€&quo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tint="0.499984740745262"/>
        <name val="Calibri"/>
        <family val="2"/>
        <scheme val="minor"/>
      </fon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numFmt numFmtId="165" formatCode="#,##0\ &quot;€&quot;"/>
    </dxf>
    <dxf>
      <fill>
        <patternFill patternType="solid">
          <fgColor indexed="64"/>
          <bgColor theme="2" tint="-0.249977111117893"/>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2" tint="-0.249977111117893"/>
        </patternFill>
      </fill>
    </dxf>
    <dxf>
      <border outline="0">
        <bottom style="thin">
          <color indexed="64"/>
        </bottom>
      </border>
    </dxf>
    <dxf>
      <fill>
        <patternFill patternType="solid">
          <fgColor indexed="64"/>
          <bgColor theme="2" tint="-0.249977111117893"/>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fill>
        <patternFill patternType="solid">
          <fgColor indexed="64"/>
          <bgColor theme="2" tint="-0.249977111117893"/>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166" formatCode="0.0%"/>
    </dxf>
    <dxf>
      <border outline="0">
        <bottom style="thin">
          <color indexed="64"/>
        </bottom>
      </border>
    </dxf>
    <dxf>
      <fill>
        <patternFill patternType="solid">
          <fgColor indexed="64"/>
          <bgColor theme="2"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3" formatCode="0%"/>
      <fill>
        <patternFill patternType="solid">
          <fgColor indexed="64"/>
          <bgColor theme="2" tint="-0.249977111117893"/>
        </patternFill>
      </fill>
      <border diagonalUp="0" diagonalDown="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fill>
        <patternFill patternType="solid">
          <fgColor indexed="64"/>
          <bgColor theme="2" tint="-0.249977111117893"/>
        </patternFill>
      </fill>
    </dxf>
    <dxf>
      <border outline="0">
        <bottom style="thin">
          <color indexed="64"/>
        </bottom>
      </border>
    </dxf>
    <dxf>
      <fill>
        <patternFill patternType="solid">
          <fgColor indexed="64"/>
          <bgColor theme="2"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2" tint="-0.249977111117893"/>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0.249977111117893"/>
        </patternFill>
      </fill>
    </dxf>
    <dxf>
      <border outline="0">
        <bottom style="thin">
          <color indexed="64"/>
        </bottom>
      </border>
    </dxf>
    <dxf>
      <fill>
        <patternFill patternType="solid">
          <fgColor indexed="64"/>
          <bgColor theme="2" tint="-0.249977111117893"/>
        </patternFill>
      </fill>
      <alignment horizontal="center" vertical="bottom" textRotation="0" wrapText="0" indent="0" justifyLastLine="0" shrinkToFit="0" readingOrder="0"/>
    </dxf>
    <dxf>
      <numFmt numFmtId="166" formatCode="0.0%"/>
      <fill>
        <patternFill patternType="solid">
          <fgColor indexed="64"/>
          <bgColor theme="2" tint="-0.249977111117893"/>
        </patternFill>
      </fill>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166" formatCode="0.0%"/>
      <fill>
        <patternFill patternType="solid">
          <fgColor indexed="64"/>
          <bgColor theme="2" tint="-0.249977111117893"/>
        </patternFill>
      </fill>
    </dxf>
    <dxf>
      <border outline="0">
        <bottom style="thin">
          <color indexed="64"/>
        </bottom>
      </border>
    </dxf>
    <dxf>
      <fill>
        <patternFill patternType="solid">
          <fgColor indexed="64"/>
          <bgColor theme="2" tint="-0.249977111117893"/>
        </patternFill>
      </fill>
      <alignment horizontal="center" vertical="bottom" textRotation="0" wrapText="0" indent="0" justifyLastLine="0" shrinkToFit="0" readingOrder="0"/>
    </dxf>
    <dxf>
      <fill>
        <patternFill patternType="solid">
          <fgColor indexed="64"/>
          <bgColor theme="2"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2" tint="-0.249977111117893"/>
        </patternFill>
      </fill>
    </dxf>
    <dxf>
      <border outline="0">
        <bottom style="thin">
          <color indexed="64"/>
        </bottom>
      </border>
    </dxf>
    <dxf>
      <fill>
        <patternFill patternType="solid">
          <fgColor indexed="64"/>
          <bgColor theme="2" tint="-0.249977111117893"/>
        </patternFill>
      </fill>
      <alignment horizontal="center" vertical="bottom" textRotation="0" wrapText="0" indent="0" justifyLastLine="0" shrinkToFit="0" readingOrder="0"/>
    </dxf>
  </dxfs>
  <tableStyles count="0" defaultTableStyle="TableStyleMedium2" defaultPivotStyle="PivotStyleLight16"/>
  <colors>
    <mruColors>
      <color rgb="FF7F2498"/>
      <color rgb="FFCD83E1"/>
      <color rgb="FFE6AF00"/>
      <color rgb="FFC46EDC"/>
      <color rgb="FFA3E7FF"/>
      <color rgb="FFD9E2F3"/>
      <color rgb="FF79DCFF"/>
      <color rgb="FFFFFF9F"/>
      <color rgb="FFCC00FF"/>
      <color rgb="FFFF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chartsheet" Target="chartsheets/sheet2.xml"/><Relationship Id="rId7" Type="http://schemas.openxmlformats.org/officeDocument/2006/relationships/worksheet" Target="worksheets/sheet5.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chartsheet" Target="chartsheets/sheet1.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pivotCacheDefinition" Target="pivotCache/pivotCacheDefinition1.xml"/><Relationship Id="rId5" Type="http://schemas.openxmlformats.org/officeDocument/2006/relationships/worksheet" Target="worksheets/sheet3.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2.xml"/><Relationship Id="rId9" Type="http://schemas.openxmlformats.org/officeDocument/2006/relationships/worksheet" Target="worksheets/sheet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Absolute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81240001075514"/>
          <c:y val="0.15150339725807099"/>
          <c:w val="0.8398420169931301"/>
          <c:h val="0.60832044512368111"/>
        </c:manualLayout>
      </c:layout>
      <c:barChart>
        <c:barDir val="col"/>
        <c:grouping val="clustered"/>
        <c:varyColors val="0"/>
        <c:ser>
          <c:idx val="0"/>
          <c:order val="0"/>
          <c:tx>
            <c:strRef>
              <c:f>'Savings(Yearly)'!$A$65</c:f>
              <c:strCache>
                <c:ptCount val="1"/>
                <c:pt idx="0">
                  <c:v>Bank account</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'Savings(Yearly)'!$B$64:$D$64</c:f>
              <c:strCache>
                <c:ptCount val="3"/>
                <c:pt idx="0">
                  <c:v>outcome</c:v>
                </c:pt>
                <c:pt idx="1">
                  <c:v>Compared to DEPOSIT</c:v>
                </c:pt>
                <c:pt idx="2">
                  <c:v>Compared to BANK ACCOUNT</c:v>
                </c:pt>
              </c:strCache>
            </c:strRef>
          </c:cat>
          <c:val>
            <c:numRef>
              <c:f>'Savings(Yearly)'!$B$65:$D$65</c:f>
              <c:numCache>
                <c:formatCode>#,##0\ "€"</c:formatCode>
                <c:ptCount val="3"/>
                <c:pt idx="0">
                  <c:v>134917.49623044048</c:v>
                </c:pt>
                <c:pt idx="1">
                  <c:v>-19073.458360063494</c:v>
                </c:pt>
                <c:pt idx="2">
                  <c:v>0</c:v>
                </c:pt>
              </c:numCache>
            </c:numRef>
          </c:val>
          <c:extLst>
            <c:ext xmlns:c16="http://schemas.microsoft.com/office/drawing/2014/chart" uri="{C3380CC4-5D6E-409C-BE32-E72D297353CC}">
              <c16:uniqueId val="{00000000-F142-4A98-B9D6-9EB4F0E22C20}"/>
            </c:ext>
          </c:extLst>
        </c:ser>
        <c:ser>
          <c:idx val="1"/>
          <c:order val="1"/>
          <c:tx>
            <c:strRef>
              <c:f>'Savings(Yearly)'!$A$66</c:f>
              <c:strCache>
                <c:ptCount val="1"/>
                <c:pt idx="0">
                  <c:v>Deposit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'Savings(Yearly)'!$B$64:$D$64</c:f>
              <c:strCache>
                <c:ptCount val="3"/>
                <c:pt idx="0">
                  <c:v>outcome</c:v>
                </c:pt>
                <c:pt idx="1">
                  <c:v>Compared to DEPOSIT</c:v>
                </c:pt>
                <c:pt idx="2">
                  <c:v>Compared to BANK ACCOUNT</c:v>
                </c:pt>
              </c:strCache>
            </c:strRef>
          </c:cat>
          <c:val>
            <c:numRef>
              <c:f>'Savings(Yearly)'!$B$66:$D$66</c:f>
              <c:numCache>
                <c:formatCode>#,##0\ "€"</c:formatCode>
                <c:ptCount val="3"/>
                <c:pt idx="0">
                  <c:v>153990.95459050397</c:v>
                </c:pt>
                <c:pt idx="1">
                  <c:v>0</c:v>
                </c:pt>
                <c:pt idx="2">
                  <c:v>19073.458360063494</c:v>
                </c:pt>
              </c:numCache>
            </c:numRef>
          </c:val>
          <c:extLst>
            <c:ext xmlns:c16="http://schemas.microsoft.com/office/drawing/2014/chart" uri="{C3380CC4-5D6E-409C-BE32-E72D297353CC}">
              <c16:uniqueId val="{00000001-F142-4A98-B9D6-9EB4F0E22C20}"/>
            </c:ext>
          </c:extLst>
        </c:ser>
        <c:ser>
          <c:idx val="2"/>
          <c:order val="2"/>
          <c:tx>
            <c:strRef>
              <c:f>'Savings(Yearly)'!$A$67</c:f>
              <c:strCache>
                <c:ptCount val="1"/>
                <c:pt idx="0">
                  <c:v>Invested</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'Savings(Yearly)'!$B$64:$D$64</c:f>
              <c:strCache>
                <c:ptCount val="3"/>
                <c:pt idx="0">
                  <c:v>outcome</c:v>
                </c:pt>
                <c:pt idx="1">
                  <c:v>Compared to DEPOSIT</c:v>
                </c:pt>
                <c:pt idx="2">
                  <c:v>Compared to BANK ACCOUNT</c:v>
                </c:pt>
              </c:strCache>
            </c:strRef>
          </c:cat>
          <c:val>
            <c:numRef>
              <c:f>'Savings(Yearly)'!$B$67:$D$67</c:f>
              <c:numCache>
                <c:formatCode>#,##0\ "€"</c:formatCode>
                <c:ptCount val="3"/>
                <c:pt idx="0">
                  <c:v>179729.54065857283</c:v>
                </c:pt>
                <c:pt idx="1">
                  <c:v>25738.586068068864</c:v>
                </c:pt>
                <c:pt idx="2">
                  <c:v>44812.044428132358</c:v>
                </c:pt>
              </c:numCache>
            </c:numRef>
          </c:val>
          <c:extLst>
            <c:ext xmlns:c16="http://schemas.microsoft.com/office/drawing/2014/chart" uri="{C3380CC4-5D6E-409C-BE32-E72D297353CC}">
              <c16:uniqueId val="{00000002-F142-4A98-B9D6-9EB4F0E22C20}"/>
            </c:ext>
          </c:extLst>
        </c:ser>
        <c:dLbls>
          <c:dLblPos val="outEnd"/>
          <c:showLegendKey val="0"/>
          <c:showVal val="1"/>
          <c:showCatName val="0"/>
          <c:showSerName val="0"/>
          <c:showPercent val="0"/>
          <c:showBubbleSize val="0"/>
        </c:dLbls>
        <c:gapWidth val="219"/>
        <c:overlap val="-27"/>
        <c:axId val="1278658608"/>
        <c:axId val="649474911"/>
      </c:barChart>
      <c:catAx>
        <c:axId val="127865860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474911"/>
        <c:crosses val="autoZero"/>
        <c:auto val="0"/>
        <c:lblAlgn val="ctr"/>
        <c:lblOffset val="300"/>
        <c:noMultiLvlLbl val="0"/>
      </c:catAx>
      <c:valAx>
        <c:axId val="649474911"/>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65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Relative</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996589061461533"/>
          <c:y val="0.15869582135783383"/>
          <c:w val="0.8610916826468088"/>
          <c:h val="0.60566340757890358"/>
        </c:manualLayout>
      </c:layout>
      <c:barChart>
        <c:barDir val="col"/>
        <c:grouping val="clustered"/>
        <c:varyColors val="0"/>
        <c:ser>
          <c:idx val="0"/>
          <c:order val="0"/>
          <c:tx>
            <c:strRef>
              <c:f>'Savings(Yearly)'!$A$71</c:f>
              <c:strCache>
                <c:ptCount val="1"/>
                <c:pt idx="0">
                  <c:v>Bank account</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'Savings(Yearly)'!$B$70:$C$70</c:f>
              <c:strCache>
                <c:ptCount val="2"/>
                <c:pt idx="0">
                  <c:v>Compared to DEPOSIT</c:v>
                </c:pt>
                <c:pt idx="1">
                  <c:v>Compared to BANK ACCOUNT</c:v>
                </c:pt>
              </c:strCache>
            </c:strRef>
          </c:cat>
          <c:val>
            <c:numRef>
              <c:f>'Savings(Yearly)'!$B$71:$C$71</c:f>
              <c:numCache>
                <c:formatCode>0%</c:formatCode>
                <c:ptCount val="2"/>
                <c:pt idx="0" formatCode="0.0%">
                  <c:v>-0.1238609008612489</c:v>
                </c:pt>
                <c:pt idx="1">
                  <c:v>0</c:v>
                </c:pt>
              </c:numCache>
            </c:numRef>
          </c:val>
          <c:extLst>
            <c:ext xmlns:c16="http://schemas.microsoft.com/office/drawing/2014/chart" uri="{C3380CC4-5D6E-409C-BE32-E72D297353CC}">
              <c16:uniqueId val="{00000000-D355-4B25-A792-34E5B723C30C}"/>
            </c:ext>
          </c:extLst>
        </c:ser>
        <c:ser>
          <c:idx val="1"/>
          <c:order val="1"/>
          <c:tx>
            <c:strRef>
              <c:f>'Savings(Yearly)'!$A$72</c:f>
              <c:strCache>
                <c:ptCount val="1"/>
                <c:pt idx="0">
                  <c:v>Deposit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'Savings(Yearly)'!$B$70:$C$70</c:f>
              <c:strCache>
                <c:ptCount val="2"/>
                <c:pt idx="0">
                  <c:v>Compared to DEPOSIT</c:v>
                </c:pt>
                <c:pt idx="1">
                  <c:v>Compared to BANK ACCOUNT</c:v>
                </c:pt>
              </c:strCache>
            </c:strRef>
          </c:cat>
          <c:val>
            <c:numRef>
              <c:f>'Savings(Yearly)'!$B$72:$C$72</c:f>
              <c:numCache>
                <c:formatCode>0.0%</c:formatCode>
                <c:ptCount val="2"/>
                <c:pt idx="0" formatCode="0%">
                  <c:v>0</c:v>
                </c:pt>
                <c:pt idx="1">
                  <c:v>0.14137127424515669</c:v>
                </c:pt>
              </c:numCache>
            </c:numRef>
          </c:val>
          <c:extLst>
            <c:ext xmlns:c16="http://schemas.microsoft.com/office/drawing/2014/chart" uri="{C3380CC4-5D6E-409C-BE32-E72D297353CC}">
              <c16:uniqueId val="{00000001-D355-4B25-A792-34E5B723C30C}"/>
            </c:ext>
          </c:extLst>
        </c:ser>
        <c:ser>
          <c:idx val="2"/>
          <c:order val="2"/>
          <c:tx>
            <c:strRef>
              <c:f>'Savings(Yearly)'!$A$73</c:f>
              <c:strCache>
                <c:ptCount val="1"/>
                <c:pt idx="0">
                  <c:v>Invested</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'Savings(Yearly)'!$B$70:$C$70</c:f>
              <c:strCache>
                <c:ptCount val="2"/>
                <c:pt idx="0">
                  <c:v>Compared to DEPOSIT</c:v>
                </c:pt>
                <c:pt idx="1">
                  <c:v>Compared to BANK ACCOUNT</c:v>
                </c:pt>
              </c:strCache>
            </c:strRef>
          </c:cat>
          <c:val>
            <c:numRef>
              <c:f>'Savings(Yearly)'!$B$73:$C$73</c:f>
              <c:numCache>
                <c:formatCode>0.0%</c:formatCode>
                <c:ptCount val="2"/>
                <c:pt idx="0">
                  <c:v>0.16714349317798219</c:v>
                </c:pt>
                <c:pt idx="1">
                  <c:v>0.33214405603549685</c:v>
                </c:pt>
              </c:numCache>
            </c:numRef>
          </c:val>
          <c:extLst>
            <c:ext xmlns:c16="http://schemas.microsoft.com/office/drawing/2014/chart" uri="{C3380CC4-5D6E-409C-BE32-E72D297353CC}">
              <c16:uniqueId val="{00000002-D355-4B25-A792-34E5B723C30C}"/>
            </c:ext>
          </c:extLst>
        </c:ser>
        <c:dLbls>
          <c:dLblPos val="outEnd"/>
          <c:showLegendKey val="0"/>
          <c:showVal val="1"/>
          <c:showCatName val="0"/>
          <c:showSerName val="0"/>
          <c:showPercent val="0"/>
          <c:showBubbleSize val="0"/>
        </c:dLbls>
        <c:gapWidth val="219"/>
        <c:overlap val="-27"/>
        <c:axId val="1278658608"/>
        <c:axId val="649474911"/>
      </c:barChart>
      <c:catAx>
        <c:axId val="127865860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474911"/>
        <c:crosses val="autoZero"/>
        <c:auto val="1"/>
        <c:lblAlgn val="ctr"/>
        <c:lblOffset val="100"/>
        <c:noMultiLvlLbl val="0"/>
      </c:catAx>
      <c:valAx>
        <c:axId val="64947491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65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033195762855883E-2"/>
          <c:y val="3.0184534023825257E-2"/>
          <c:w val="0.89807255516472162"/>
          <c:h val="0.84338785851426412"/>
        </c:manualLayout>
      </c:layout>
      <c:lineChart>
        <c:grouping val="standard"/>
        <c:varyColors val="0"/>
        <c:ser>
          <c:idx val="0"/>
          <c:order val="0"/>
          <c:tx>
            <c:strRef>
              <c:f>'Graph, Data'!$D$2</c:f>
              <c:strCache>
                <c:ptCount val="1"/>
                <c:pt idx="0">
                  <c:v>Savings (Nominal)</c:v>
                </c:pt>
              </c:strCache>
            </c:strRef>
          </c:tx>
          <c:spPr>
            <a:ln w="28575" cap="rnd">
              <a:solidFill>
                <a:srgbClr val="00B050"/>
              </a:solidFill>
              <a:prstDash val="solid"/>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Data'!$D$3:$D$52</c:f>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00-8BAE-4CB0-AC11-F15ECBD14F9A}"/>
            </c:ext>
          </c:extLst>
        </c:ser>
        <c:ser>
          <c:idx val="7"/>
          <c:order val="2"/>
          <c:tx>
            <c:strRef>
              <c:f>'Graph, Data'!$G$2</c:f>
              <c:strCache>
                <c:ptCount val="1"/>
                <c:pt idx="0">
                  <c:v>Future value (Nominal)</c:v>
                </c:pt>
              </c:strCache>
            </c:strRef>
          </c:tx>
          <c:spPr>
            <a:ln w="28575" cap="rnd">
              <a:solidFill>
                <a:schemeClr val="accent1"/>
              </a:solidFill>
              <a:prstDash val="solid"/>
              <a:round/>
            </a:ln>
            <a:effectLst/>
          </c:spPr>
          <c:marker>
            <c:symbol val="none"/>
          </c:marker>
          <c:dPt>
            <c:idx val="1"/>
            <c:marker>
              <c:symbol val="none"/>
            </c:marker>
            <c:bubble3D val="0"/>
            <c:extLst>
              <c:ext xmlns:c16="http://schemas.microsoft.com/office/drawing/2014/chart" uri="{C3380CC4-5D6E-409C-BE32-E72D297353CC}">
                <c16:uniqueId val="{00000002-8BAE-4CB0-AC11-F15ECBD14F9A}"/>
              </c:ext>
            </c:extLst>
          </c:dPt>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Data'!$G$3:$G$52</c:f>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c:ext xmlns:c16="http://schemas.microsoft.com/office/drawing/2014/chart" uri="{C3380CC4-5D6E-409C-BE32-E72D297353CC}">
              <c16:uniqueId val="{00000003-8BAE-4CB0-AC11-F15ECBD14F9A}"/>
            </c:ext>
          </c:extLst>
        </c:ser>
        <c:ser>
          <c:idx val="6"/>
          <c:order val="3"/>
          <c:tx>
            <c:strRef>
              <c:f>'Graph, Data'!$L$2</c:f>
              <c:strCache>
                <c:ptCount val="1"/>
                <c:pt idx="0">
                  <c:v>Tax (Nominal)</c:v>
                </c:pt>
              </c:strCache>
            </c:strRef>
          </c:tx>
          <c:spPr>
            <a:ln w="28575" cap="rnd">
              <a:solidFill>
                <a:srgbClr val="C00000"/>
              </a:solidFill>
              <a:prstDash val="dash"/>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Data'!$L$3:$L$52</c:f>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c:ext xmlns:c16="http://schemas.microsoft.com/office/drawing/2014/chart" uri="{C3380CC4-5D6E-409C-BE32-E72D297353CC}">
              <c16:uniqueId val="{00000004-8BAE-4CB0-AC11-F15ECBD14F9A}"/>
            </c:ext>
          </c:extLst>
        </c:ser>
        <c:ser>
          <c:idx val="1"/>
          <c:order val="4"/>
          <c:tx>
            <c:strRef>
              <c:f>'Graph, Data'!#REF!</c:f>
              <c:strCache>
                <c:ptCount val="1"/>
                <c:pt idx="0">
                  <c:v>#RIF!</c:v>
                </c:pt>
              </c:strCache>
            </c:strRef>
          </c:tx>
          <c:spPr>
            <a:ln w="28575" cap="rnd">
              <a:solidFill>
                <a:schemeClr val="accent2"/>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5-8BAE-4CB0-AC11-F15ECBD14F9A}"/>
            </c:ext>
          </c:extLst>
        </c:ser>
        <c:ser>
          <c:idx val="2"/>
          <c:order val="7"/>
          <c:tx>
            <c:strRef>
              <c:f>'Graph, Data'!#REF!</c:f>
              <c:strCache>
                <c:ptCount val="1"/>
                <c:pt idx="0">
                  <c:v>#RIF!</c:v>
                </c:pt>
              </c:strCache>
            </c:strRef>
          </c:tx>
          <c:spPr>
            <a:ln w="28575" cap="rnd">
              <a:solidFill>
                <a:schemeClr val="accent3"/>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8-8BAE-4CB0-AC11-F15ECBD14F9A}"/>
            </c:ext>
          </c:extLst>
        </c:ser>
        <c:ser>
          <c:idx val="3"/>
          <c:order val="8"/>
          <c:tx>
            <c:strRef>
              <c:f>'Graph, Data'!#REF!</c:f>
              <c:strCache>
                <c:ptCount val="1"/>
                <c:pt idx="0">
                  <c:v>#RIF!</c:v>
                </c:pt>
              </c:strCache>
            </c:strRef>
          </c:tx>
          <c:spPr>
            <a:ln w="28575" cap="rnd">
              <a:solidFill>
                <a:schemeClr val="accent4"/>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9-8BAE-4CB0-AC11-F15ECBD14F9A}"/>
            </c:ext>
          </c:extLst>
        </c:ser>
        <c:ser>
          <c:idx val="11"/>
          <c:order val="11"/>
          <c:tx>
            <c:strRef>
              <c:f>'Graph, Data'!$N$2</c:f>
              <c:strCache>
                <c:ptCount val="1"/>
                <c:pt idx="0">
                  <c:v>Capital Gain (Nominal)</c:v>
                </c:pt>
              </c:strCache>
            </c:strRef>
          </c:tx>
          <c:spPr>
            <a:ln w="28575" cap="rnd">
              <a:solidFill>
                <a:srgbClr val="CD83E1"/>
              </a:solidFill>
              <a:prstDash val="dash"/>
              <a:round/>
            </a:ln>
            <a:effectLst/>
          </c:spPr>
          <c:marker>
            <c:symbol val="none"/>
          </c:marker>
          <c:val>
            <c:numRef>
              <c:f>'Graph, Data'!$N$3:$N$52</c:f>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c:ext xmlns:c16="http://schemas.microsoft.com/office/drawing/2014/chart" uri="{C3380CC4-5D6E-409C-BE32-E72D297353CC}">
              <c16:uniqueId val="{0000000C-8BAE-4CB0-AC11-F15ECBD14F9A}"/>
            </c:ext>
          </c:extLst>
        </c:ser>
        <c:dLbls>
          <c:showLegendKey val="0"/>
          <c:showVal val="0"/>
          <c:showCatName val="0"/>
          <c:showSerName val="0"/>
          <c:showPercent val="0"/>
          <c:showBubbleSize val="0"/>
        </c:dLbls>
        <c:smooth val="0"/>
        <c:axId val="1885874191"/>
        <c:axId val="1760485823"/>
        <c:extLst>
          <c:ext xmlns:c15="http://schemas.microsoft.com/office/drawing/2012/chart" uri="{02D57815-91ED-43cb-92C2-25804820EDAC}">
            <c15:filteredLineSeries>
              <c15:ser>
                <c:idx val="4"/>
                <c:order val="1"/>
                <c:tx>
                  <c:strRef>
                    <c:extLst>
                      <c:ext uri="{02D57815-91ED-43cb-92C2-25804820EDAC}">
                        <c15:formulaRef>
                          <c15:sqref>'Graph, Data'!$E$2</c15:sqref>
                        </c15:formulaRef>
                      </c:ext>
                    </c:extLst>
                    <c:strCache>
                      <c:ptCount val="1"/>
                      <c:pt idx="0">
                        <c:v>Savings* (real, full inflation* max year)</c:v>
                      </c:pt>
                    </c:strCache>
                  </c:strRef>
                </c:tx>
                <c:spPr>
                  <a:ln w="28575" cap="rnd">
                    <a:solidFill>
                      <a:schemeClr val="accent5"/>
                    </a:solidFill>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Data'!$E$4:$E$52</c15:sqref>
                        </c15:formulaRef>
                      </c:ext>
                    </c:extLst>
                    <c:numCache>
                      <c:formatCode>#,##0\ "€"</c:formatCode>
                      <c:ptCount val="49"/>
                      <c:pt idx="0">
                        <c:v>12292.682926829269</c:v>
                      </c:pt>
                      <c:pt idx="1">
                        <c:v>18903.033908387864</c:v>
                      </c:pt>
                      <c:pt idx="2">
                        <c:v>25857.779196471329</c:v>
                      </c:pt>
                      <c:pt idx="3">
                        <c:v>33185.515689401916</c:v>
                      </c:pt>
                      <c:pt idx="4">
                        <c:v>40916.849880137204</c:v>
                      </c:pt>
                      <c:pt idx="5">
                        <c:v>49084.546920788329</c:v>
                      </c:pt>
                      <c:pt idx="6">
                        <c:v>57723.690545005069</c:v>
                      </c:pt>
                      <c:pt idx="7">
                        <c:v>66871.854643908388</c:v>
                      </c:pt>
                      <c:pt idx="8">
                        <c:v>76569.287349441758</c:v>
                      </c:pt>
                      <c:pt idx="9">
                        <c:v>86859.108541462585</c:v>
                      </c:pt>
                      <c:pt idx="10">
                        <c:v>97787.521761915341</c:v>
                      </c:pt>
                      <c:pt idx="11">
                        <c:v>109404.04159135175</c:v>
                      </c:pt>
                      <c:pt idx="12">
                        <c:v>121761.73762025248</c:v>
                      </c:pt>
                      <c:pt idx="13">
                        <c:v>134917.49623044051</c:v>
                      </c:pt>
                      <c:pt idx="14">
                        <c:v>148932.30149077493</c:v>
                      </c:pt>
                      <c:pt idx="15">
                        <c:v>163871.53656671837</c:v>
                      </c:pt>
                      <c:pt idx="16">
                        <c:v>179805.30714575507</c:v>
                      </c:pt>
                      <c:pt idx="17">
                        <c:v>196808.7884905152</c:v>
                      </c:pt>
                      <c:pt idx="18">
                        <c:v>214962.59784937862</c:v>
                      </c:pt>
                      <c:pt idx="19">
                        <c:v>234353.19408087642</c:v>
                      </c:pt>
                      <c:pt idx="20">
                        <c:v>255073.30648401671</c:v>
                      </c:pt>
                      <c:pt idx="21">
                        <c:v>277222.39497240388</c:v>
                      </c:pt>
                      <c:pt idx="22">
                        <c:v>300907.14388643048</c:v>
                      </c:pt>
                      <c:pt idx="23">
                        <c:v>326241.99190567265</c:v>
                      </c:pt>
                      <c:pt idx="24">
                        <c:v>353349.7007037591</c:v>
                      </c:pt>
                      <c:pt idx="25">
                        <c:v>382361.96518129832</c:v>
                      </c:pt>
                      <c:pt idx="26">
                        <c:v>413420.06831991393</c:v>
                      </c:pt>
                      <c:pt idx="27">
                        <c:v>446675.58392308059</c:v>
                      </c:pt>
                      <c:pt idx="28">
                        <c:v>482291.13074838847</c:v>
                      </c:pt>
                      <c:pt idx="29">
                        <c:v>520441.18179228337</c:v>
                      </c:pt>
                      <c:pt idx="30">
                        <c:v>561312.93276350957</c:v>
                      </c:pt>
                      <c:pt idx="31">
                        <c:v>605107.23407680483</c:v>
                      </c:pt>
                      <c:pt idx="32">
                        <c:v>652039.59101531154</c:v>
                      </c:pt>
                      <c:pt idx="33">
                        <c:v>702341.2370503014</c:v>
                      </c:pt>
                      <c:pt idx="34">
                        <c:v>756260.2856717963</c:v>
                      </c:pt>
                      <c:pt idx="35">
                        <c:v>814062.96647539304</c:v>
                      </c:pt>
                      <c:pt idx="36">
                        <c:v>876034.95167096541</c:v>
                      </c:pt>
                      <c:pt idx="37">
                        <c:v>942482.77963004948</c:v>
                      </c:pt>
                      <c:pt idx="38">
                        <c:v>1013735.3825728676</c:v>
                      </c:pt>
                      <c:pt idx="39">
                        <c:v>1090145.7260155084</c:v>
                      </c:pt>
                      <c:pt idx="40">
                        <c:v>1172092.568155362</c:v>
                      </c:pt>
                      <c:pt idx="41">
                        <c:v>1259982.3479713099</c:v>
                      </c:pt>
                      <c:pt idx="42">
                        <c:v>1354251.2114573198</c:v>
                      </c:pt>
                      <c:pt idx="43">
                        <c:v>1455367.1860972662</c:v>
                      </c:pt>
                      <c:pt idx="44">
                        <c:v>1563832.5144283765</c:v>
                      </c:pt>
                      <c:pt idx="45">
                        <c:v>1680186.1583344084</c:v>
                      </c:pt>
                      <c:pt idx="46">
                        <c:v>1805006.4865614276</c:v>
                      </c:pt>
                      <c:pt idx="47">
                        <c:v>1938914.1588631754</c:v>
                      </c:pt>
                      <c:pt idx="48">
                        <c:v>2082575.2211639886</c:v>
                      </c:pt>
                    </c:numCache>
                  </c:numRef>
                </c:val>
                <c:smooth val="0"/>
                <c:extLst>
                  <c:ext xmlns:c16="http://schemas.microsoft.com/office/drawing/2014/chart" uri="{C3380CC4-5D6E-409C-BE32-E72D297353CC}">
                    <c16:uniqueId val="{00000001-8BAE-4CB0-AC11-F15ECBD14F9A}"/>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'Graph, Data'!$J$2</c15:sqref>
                        </c15:formulaRef>
                      </c:ext>
                    </c:extLst>
                    <c:strCache>
                      <c:ptCount val="1"/>
                      <c:pt idx="0">
                        <c:v>Present value (Real)</c:v>
                      </c:pt>
                    </c:strCache>
                  </c:strRef>
                </c:tx>
                <c:spPr>
                  <a:ln w="28575" cap="rnd">
                    <a:solidFill>
                      <a:srgbClr val="E6AF00"/>
                    </a:solidFill>
                    <a:prstDash val="solid"/>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Data'!$J$3:$J$52</c15:sqref>
                        </c15:formulaRef>
                      </c:ext>
                    </c:extLst>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xmlns:c15="http://schemas.microsoft.com/office/drawing/2012/chart">
                  <c:ext xmlns:c16="http://schemas.microsoft.com/office/drawing/2014/chart" uri="{C3380CC4-5D6E-409C-BE32-E72D297353CC}">
                    <c16:uniqueId val="{00000006-8BAE-4CB0-AC11-F15ECBD14F9A}"/>
                  </c:ext>
                </c:extLst>
              </c15:ser>
            </c15:filteredLineSeries>
            <c15:filteredLineSeries>
              <c15:ser>
                <c:idx val="10"/>
                <c:order val="6"/>
                <c:tx>
                  <c:strRef>
                    <c:extLst xmlns:c15="http://schemas.microsoft.com/office/drawing/2012/chart">
                      <c:ext xmlns:c15="http://schemas.microsoft.com/office/drawing/2012/chart" uri="{02D57815-91ED-43cb-92C2-25804820EDAC}">
                        <c15:formulaRef>
                          <c15:sqref>'Graph, Data'!$F$2</c15:sqref>
                        </c15:formulaRef>
                      </c:ext>
                    </c:extLst>
                    <c:strCache>
                      <c:ptCount val="1"/>
                      <c:pt idx="0">
                        <c:v>Savings (Real, adj. per year)</c:v>
                      </c:pt>
                    </c:strCache>
                  </c:strRef>
                </c:tx>
                <c:spPr>
                  <a:ln w="28575" cap="rnd">
                    <a:solidFill>
                      <a:schemeClr val="accent6">
                        <a:lumMod val="75000"/>
                      </a:schemeClr>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Data'!$F$3:$F$52</c15:sqref>
                        </c15:formulaRef>
                      </c:ext>
                    </c:extLst>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xmlns:c15="http://schemas.microsoft.com/office/drawing/2012/chart">
                  <c:ext xmlns:c16="http://schemas.microsoft.com/office/drawing/2014/chart" uri="{C3380CC4-5D6E-409C-BE32-E72D297353CC}">
                    <c16:uniqueId val="{00000007-8BAE-4CB0-AC11-F15ECBD14F9A}"/>
                  </c:ext>
                </c:extLst>
              </c15:ser>
            </c15:filteredLineSeries>
            <c15:filteredLineSeries>
              <c15:ser>
                <c:idx val="8"/>
                <c:order val="9"/>
                <c:tx>
                  <c:strRef>
                    <c:extLst xmlns:c15="http://schemas.microsoft.com/office/drawing/2012/chart">
                      <c:ext xmlns:c15="http://schemas.microsoft.com/office/drawing/2012/chart" uri="{02D57815-91ED-43cb-92C2-25804820EDAC}">
                        <c15:formulaRef>
                          <c15:sqref>'Graph, Data'!$K$2</c15:sqref>
                        </c15:formulaRef>
                      </c:ext>
                    </c:extLst>
                    <c:strCache>
                      <c:ptCount val="1"/>
                      <c:pt idx="0">
                        <c:v>Net Present value (real)</c:v>
                      </c:pt>
                    </c:strCache>
                  </c:strRef>
                </c:tx>
                <c:spPr>
                  <a:ln w="28575" cap="rnd">
                    <a:solidFill>
                      <a:schemeClr val="accent4">
                        <a:lumMod val="50000"/>
                      </a:schemeClr>
                    </a:solidFill>
                    <a:prstDash val="solid"/>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Data'!$K$3:$K$52</c15:sqref>
                        </c15:formulaRef>
                      </c:ext>
                    </c:extLst>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xmlns:c15="http://schemas.microsoft.com/office/drawing/2012/chart">
                  <c:ext xmlns:c16="http://schemas.microsoft.com/office/drawing/2014/chart" uri="{C3380CC4-5D6E-409C-BE32-E72D297353CC}">
                    <c16:uniqueId val="{0000000A-8BAE-4CB0-AC11-F15ECBD14F9A}"/>
                  </c:ext>
                </c:extLst>
              </c15:ser>
            </c15:filteredLineSeries>
            <c15:filteredLineSeries>
              <c15:ser>
                <c:idx val="9"/>
                <c:order val="10"/>
                <c:tx>
                  <c:strRef>
                    <c:extLst xmlns:c15="http://schemas.microsoft.com/office/drawing/2012/chart">
                      <c:ext xmlns:c15="http://schemas.microsoft.com/office/drawing/2012/chart" uri="{02D57815-91ED-43cb-92C2-25804820EDAC}">
                        <c15:formulaRef>
                          <c15:sqref>'Graph, Data'!$M$2</c15:sqref>
                        </c15:formulaRef>
                      </c:ext>
                    </c:extLst>
                    <c:strCache>
                      <c:ptCount val="1"/>
                      <c:pt idx="0">
                        <c:v>Tax (real)</c:v>
                      </c:pt>
                    </c:strCache>
                  </c:strRef>
                </c:tx>
                <c:spPr>
                  <a:ln w="28575" cap="rnd">
                    <a:solidFill>
                      <a:srgbClr val="C00000"/>
                    </a:solidFill>
                    <a:prstDash val="solid"/>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Data'!$M$3:$M$52</c15:sqref>
                        </c15:formulaRef>
                      </c:ext>
                    </c:extLst>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xmlns:c15="http://schemas.microsoft.com/office/drawing/2012/chart">
                  <c:ext xmlns:c16="http://schemas.microsoft.com/office/drawing/2014/chart" uri="{C3380CC4-5D6E-409C-BE32-E72D297353CC}">
                    <c16:uniqueId val="{0000000B-8BAE-4CB0-AC11-F15ECBD14F9A}"/>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'Graph, Data'!$O$2</c15:sqref>
                        </c15:formulaRef>
                      </c:ext>
                    </c:extLst>
                    <c:strCache>
                      <c:ptCount val="1"/>
                      <c:pt idx="0">
                        <c:v>Net Capital gain(Real)</c:v>
                      </c:pt>
                    </c:strCache>
                  </c:strRef>
                </c:tx>
                <c:spPr>
                  <a:ln w="28575" cap="rnd">
                    <a:solidFill>
                      <a:schemeClr val="accent1">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'Graph, Data'!$O$3:$O$52</c15:sqref>
                        </c15:formulaRef>
                      </c:ext>
                    </c:extLst>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xmlns:c15="http://schemas.microsoft.com/office/drawing/2012/chart">
                  <c:ext xmlns:c16="http://schemas.microsoft.com/office/drawing/2014/chart" uri="{C3380CC4-5D6E-409C-BE32-E72D297353CC}">
                    <c16:uniqueId val="{0000000D-8BAE-4CB0-AC11-F15ECBD14F9A}"/>
                  </c:ext>
                </c:extLst>
              </c15:ser>
            </c15:filteredLineSeries>
          </c:ext>
        </c:extLst>
      </c:line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209152181617051E-2"/>
          <c:y val="3.6445397204930528E-2"/>
          <c:w val="0.89807255516472162"/>
          <c:h val="0.84338785851426412"/>
        </c:manualLayout>
      </c:layout>
      <c:lineChart>
        <c:grouping val="standard"/>
        <c:varyColors val="0"/>
        <c:ser>
          <c:idx val="1"/>
          <c:order val="4"/>
          <c:tx>
            <c:strRef>
              <c:f>'Graph, Data'!#REF!</c:f>
              <c:strCache>
                <c:ptCount val="1"/>
                <c:pt idx="0">
                  <c:v>#RIF!</c:v>
                </c:pt>
              </c:strCache>
            </c:strRef>
          </c:tx>
          <c:spPr>
            <a:ln w="28575" cap="rnd">
              <a:solidFill>
                <a:schemeClr val="accent2"/>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5-5082-48F1-8D15-CCDB055CB4D0}"/>
            </c:ext>
          </c:extLst>
        </c:ser>
        <c:ser>
          <c:idx val="2"/>
          <c:order val="7"/>
          <c:tx>
            <c:strRef>
              <c:f>'Graph, Data'!#REF!</c:f>
              <c:strCache>
                <c:ptCount val="1"/>
                <c:pt idx="0">
                  <c:v>#RIF!</c:v>
                </c:pt>
              </c:strCache>
            </c:strRef>
          </c:tx>
          <c:spPr>
            <a:ln w="28575" cap="rnd">
              <a:solidFill>
                <a:schemeClr val="accent3"/>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8-5082-48F1-8D15-CCDB055CB4D0}"/>
            </c:ext>
          </c:extLst>
        </c:ser>
        <c:ser>
          <c:idx val="3"/>
          <c:order val="8"/>
          <c:tx>
            <c:strRef>
              <c:f>'Graph, Data'!#REF!</c:f>
              <c:strCache>
                <c:ptCount val="1"/>
                <c:pt idx="0">
                  <c:v>#RIF!</c:v>
                </c:pt>
              </c:strCache>
            </c:strRef>
          </c:tx>
          <c:spPr>
            <a:ln w="28575" cap="rnd">
              <a:solidFill>
                <a:schemeClr val="accent4"/>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Data'!#REF!</c:f>
              <c:numCache>
                <c:formatCode>General</c:formatCode>
                <c:ptCount val="1"/>
                <c:pt idx="0">
                  <c:v>1</c:v>
                </c:pt>
              </c:numCache>
            </c:numRef>
          </c:val>
          <c:smooth val="0"/>
          <c:extLst>
            <c:ext xmlns:c16="http://schemas.microsoft.com/office/drawing/2014/chart" uri="{C3380CC4-5D6E-409C-BE32-E72D297353CC}">
              <c16:uniqueId val="{00000009-5082-48F1-8D15-CCDB055CB4D0}"/>
            </c:ext>
          </c:extLst>
        </c:ser>
        <c:dLbls>
          <c:showLegendKey val="0"/>
          <c:showVal val="0"/>
          <c:showCatName val="0"/>
          <c:showSerName val="0"/>
          <c:showPercent val="0"/>
          <c:showBubbleSize val="0"/>
        </c:dLbls>
        <c:marker val="1"/>
        <c:smooth val="0"/>
        <c:axId val="1885874191"/>
        <c:axId val="1760485823"/>
        <c:extLst/>
      </c:lineChart>
      <c:lineChart>
        <c:grouping val="standard"/>
        <c:varyColors val="0"/>
        <c:ser>
          <c:idx val="5"/>
          <c:order val="5"/>
          <c:tx>
            <c:strRef>
              <c:f>'Graph, Data'!$J$2</c:f>
              <c:strCache>
                <c:ptCount val="1"/>
                <c:pt idx="0">
                  <c:v>Present value (Real)</c:v>
                </c:pt>
              </c:strCache>
            </c:strRef>
          </c:tx>
          <c:spPr>
            <a:ln w="19050" cap="rnd">
              <a:solidFill>
                <a:srgbClr val="E6AF00"/>
              </a:solidFill>
              <a:prstDash val="lgDashDot"/>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Data'!$J$3:$J$52</c:f>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c:ext xmlns:c16="http://schemas.microsoft.com/office/drawing/2014/chart" uri="{C3380CC4-5D6E-409C-BE32-E72D297353CC}">
              <c16:uniqueId val="{00000006-5082-48F1-8D15-CCDB055CB4D0}"/>
            </c:ext>
          </c:extLst>
        </c:ser>
        <c:ser>
          <c:idx val="10"/>
          <c:order val="6"/>
          <c:tx>
            <c:strRef>
              <c:f>'Graph, Data'!$F$2</c:f>
              <c:strCache>
                <c:ptCount val="1"/>
                <c:pt idx="0">
                  <c:v>Savings (Real, adj. per year)</c:v>
                </c:pt>
              </c:strCache>
            </c:strRef>
          </c:tx>
          <c:spPr>
            <a:ln w="28575" cap="rnd">
              <a:solidFill>
                <a:schemeClr val="accent6">
                  <a:lumMod val="75000"/>
                </a:schemeClr>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Data'!$F$3:$F$52</c:f>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c:ext xmlns:c16="http://schemas.microsoft.com/office/drawing/2014/chart" uri="{C3380CC4-5D6E-409C-BE32-E72D297353CC}">
              <c16:uniqueId val="{00000007-5082-48F1-8D15-CCDB055CB4D0}"/>
            </c:ext>
          </c:extLst>
        </c:ser>
        <c:ser>
          <c:idx val="8"/>
          <c:order val="9"/>
          <c:tx>
            <c:strRef>
              <c:f>'Graph, Data'!$K$2</c:f>
              <c:strCache>
                <c:ptCount val="1"/>
                <c:pt idx="0">
                  <c:v>Net Present value (real)</c:v>
                </c:pt>
              </c:strCache>
            </c:strRef>
          </c:tx>
          <c:spPr>
            <a:ln w="28575" cap="rnd">
              <a:solidFill>
                <a:schemeClr val="accent4">
                  <a:lumMod val="50000"/>
                </a:schemeClr>
              </a:solidFill>
              <a:prstDash val="solid"/>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Data'!$K$3:$K$52</c:f>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c:ext xmlns:c16="http://schemas.microsoft.com/office/drawing/2014/chart" uri="{C3380CC4-5D6E-409C-BE32-E72D297353CC}">
              <c16:uniqueId val="{0000000A-5082-48F1-8D15-CCDB055CB4D0}"/>
            </c:ext>
          </c:extLst>
        </c:ser>
        <c:ser>
          <c:idx val="9"/>
          <c:order val="10"/>
          <c:tx>
            <c:strRef>
              <c:f>'Graph, Data'!$M$2</c:f>
              <c:strCache>
                <c:ptCount val="1"/>
                <c:pt idx="0">
                  <c:v>Tax (real)</c:v>
                </c:pt>
              </c:strCache>
            </c:strRef>
          </c:tx>
          <c:spPr>
            <a:ln w="28575" cap="rnd">
              <a:solidFill>
                <a:srgbClr val="C00000"/>
              </a:solidFill>
              <a:prstDash val="sysDot"/>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Data'!$M$3:$M$52</c:f>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c:ext xmlns:c16="http://schemas.microsoft.com/office/drawing/2014/chart" uri="{C3380CC4-5D6E-409C-BE32-E72D297353CC}">
              <c16:uniqueId val="{0000000B-5082-48F1-8D15-CCDB055CB4D0}"/>
            </c:ext>
          </c:extLst>
        </c:ser>
        <c:ser>
          <c:idx val="12"/>
          <c:order val="12"/>
          <c:tx>
            <c:strRef>
              <c:f>'Graph, Data'!$O$2</c:f>
              <c:strCache>
                <c:ptCount val="1"/>
                <c:pt idx="0">
                  <c:v>Net Capital gain(Real)</c:v>
                </c:pt>
              </c:strCache>
            </c:strRef>
          </c:tx>
          <c:spPr>
            <a:ln w="28575" cap="rnd">
              <a:solidFill>
                <a:schemeClr val="accent1">
                  <a:lumMod val="80000"/>
                  <a:lumOff val="20000"/>
                </a:schemeClr>
              </a:solidFill>
              <a:prstDash val="dash"/>
              <a:round/>
            </a:ln>
            <a:effectLst/>
          </c:spPr>
          <c:marker>
            <c:symbol val="none"/>
          </c:marker>
          <c:val>
            <c:numRef>
              <c:f>'Graph, Data'!$O$3:$O$52</c:f>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c:ext xmlns:c16="http://schemas.microsoft.com/office/drawing/2014/chart" uri="{C3380CC4-5D6E-409C-BE32-E72D297353CC}">
              <c16:uniqueId val="{0000000D-5082-48F1-8D15-CCDB055CB4D0}"/>
            </c:ext>
          </c:extLst>
        </c:ser>
        <c:dLbls>
          <c:showLegendKey val="0"/>
          <c:showVal val="0"/>
          <c:showCatName val="0"/>
          <c:showSerName val="0"/>
          <c:showPercent val="0"/>
          <c:showBubbleSize val="0"/>
        </c:dLbls>
        <c:marker val="1"/>
        <c:smooth val="0"/>
        <c:axId val="1885874191"/>
        <c:axId val="1760485823"/>
        <c:extLst>
          <c:ext xmlns:c15="http://schemas.microsoft.com/office/drawing/2012/chart" uri="{02D57815-91ED-43cb-92C2-25804820EDAC}">
            <c15:filteredLineSeries>
              <c15:ser>
                <c:idx val="0"/>
                <c:order val="0"/>
                <c:tx>
                  <c:strRef>
                    <c:extLst>
                      <c:ext uri="{02D57815-91ED-43cb-92C2-25804820EDAC}">
                        <c15:formulaRef>
                          <c15:sqref>'Graph, Data'!$D$2</c15:sqref>
                        </c15:formulaRef>
                      </c:ext>
                    </c:extLst>
                    <c:strCache>
                      <c:ptCount val="1"/>
                      <c:pt idx="0">
                        <c:v>Savings (Nominal)</c:v>
                      </c:pt>
                    </c:strCache>
                  </c:strRef>
                </c:tx>
                <c:spPr>
                  <a:ln w="28575" cap="rnd">
                    <a:solidFill>
                      <a:schemeClr val="accent6">
                        <a:lumMod val="75000"/>
                      </a:schemeClr>
                    </a:solidFill>
                    <a:prstDash val="dash"/>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Data'!$D$3:$D$52</c15:sqref>
                        </c15:formulaRef>
                      </c:ext>
                    </c:extLst>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00-5082-48F1-8D15-CCDB055CB4D0}"/>
                  </c:ext>
                </c:extLst>
              </c15:ser>
            </c15:filteredLineSeries>
            <c15:filteredLineSeries>
              <c15:ser>
                <c:idx val="7"/>
                <c:order val="2"/>
                <c:tx>
                  <c:strRef>
                    <c:extLst xmlns:c15="http://schemas.microsoft.com/office/drawing/2012/chart">
                      <c:ext xmlns:c15="http://schemas.microsoft.com/office/drawing/2012/chart" uri="{02D57815-91ED-43cb-92C2-25804820EDAC}">
                        <c15:formulaRef>
                          <c15:sqref>'Graph, Data'!$G$2</c15:sqref>
                        </c15:formulaRef>
                      </c:ext>
                    </c:extLst>
                    <c:strCache>
                      <c:ptCount val="1"/>
                      <c:pt idx="0">
                        <c:v>Future value (Nominal)</c:v>
                      </c:pt>
                    </c:strCache>
                  </c:strRef>
                </c:tx>
                <c:spPr>
                  <a:ln w="28575" cap="rnd">
                    <a:solidFill>
                      <a:schemeClr val="accent1"/>
                    </a:solidFill>
                    <a:prstDash val="dash"/>
                    <a:round/>
                  </a:ln>
                  <a:effectLst/>
                </c:spPr>
                <c:marker>
                  <c:symbol val="none"/>
                </c:marker>
                <c:dPt>
                  <c:idx val="1"/>
                  <c:marker>
                    <c:symbol val="none"/>
                  </c:marker>
                  <c:bubble3D val="0"/>
                  <c:extLst xmlns:c15="http://schemas.microsoft.com/office/drawing/2012/chart">
                    <c:ext xmlns:c16="http://schemas.microsoft.com/office/drawing/2014/chart" uri="{C3380CC4-5D6E-409C-BE32-E72D297353CC}">
                      <c16:uniqueId val="{00000002-5082-48F1-8D15-CCDB055CB4D0}"/>
                    </c:ext>
                  </c:extLst>
                </c:dPt>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Data'!$G$3:$G$52</c15:sqref>
                        </c15:formulaRef>
                      </c:ext>
                    </c:extLst>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xmlns:c15="http://schemas.microsoft.com/office/drawing/2012/chart">
                  <c:ext xmlns:c16="http://schemas.microsoft.com/office/drawing/2014/chart" uri="{C3380CC4-5D6E-409C-BE32-E72D297353CC}">
                    <c16:uniqueId val="{00000003-5082-48F1-8D15-CCDB055CB4D0}"/>
                  </c:ext>
                </c:extLst>
              </c15:ser>
            </c15:filteredLineSeries>
            <c15:filteredLineSeries>
              <c15:ser>
                <c:idx val="6"/>
                <c:order val="3"/>
                <c:tx>
                  <c:strRef>
                    <c:extLst xmlns:c15="http://schemas.microsoft.com/office/drawing/2012/chart">
                      <c:ext xmlns:c15="http://schemas.microsoft.com/office/drawing/2012/chart" uri="{02D57815-91ED-43cb-92C2-25804820EDAC}">
                        <c15:formulaRef>
                          <c15:sqref>'Graph, Data'!$L$2</c15:sqref>
                        </c15:formulaRef>
                      </c:ext>
                    </c:extLst>
                    <c:strCache>
                      <c:ptCount val="1"/>
                      <c:pt idx="0">
                        <c:v>Tax (Nominal)</c:v>
                      </c:pt>
                    </c:strCache>
                  </c:strRef>
                </c:tx>
                <c:spPr>
                  <a:ln w="28575" cap="rnd">
                    <a:solidFill>
                      <a:srgbClr val="C00000"/>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Data'!$L$3:$L$52</c15:sqref>
                        </c15:formulaRef>
                      </c:ext>
                    </c:extLst>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xmlns:c15="http://schemas.microsoft.com/office/drawing/2012/chart">
                  <c:ext xmlns:c16="http://schemas.microsoft.com/office/drawing/2014/chart" uri="{C3380CC4-5D6E-409C-BE32-E72D297353CC}">
                    <c16:uniqueId val="{00000004-5082-48F1-8D15-CCDB055CB4D0}"/>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'Graph, Data'!$N$2</c15:sqref>
                        </c15:formulaRef>
                      </c:ext>
                    </c:extLst>
                    <c:strCache>
                      <c:ptCount val="1"/>
                      <c:pt idx="0">
                        <c:v>Capital Gain (Nominal)</c:v>
                      </c:pt>
                    </c:strCache>
                  </c:strRef>
                </c:tx>
                <c:spPr>
                  <a:ln w="28575" cap="rnd">
                    <a:solidFill>
                      <a:schemeClr val="accent6">
                        <a:lumMod val="60000"/>
                      </a:schemeClr>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'Graph, Data'!$N$3:$N$52</c15:sqref>
                        </c15:formulaRef>
                      </c:ext>
                    </c:extLst>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xmlns:c15="http://schemas.microsoft.com/office/drawing/2012/chart">
                  <c:ext xmlns:c16="http://schemas.microsoft.com/office/drawing/2014/chart" uri="{C3380CC4-5D6E-409C-BE32-E72D297353CC}">
                    <c16:uniqueId val="{0000000C-5082-48F1-8D15-CCDB055CB4D0}"/>
                  </c:ext>
                </c:extLst>
              </c15:ser>
            </c15:filteredLineSeries>
          </c:ext>
        </c:extLst>
      </c:lineChart>
      <c:lineChart>
        <c:grouping val="stacked"/>
        <c:varyColors val="0"/>
        <c:dLbls>
          <c:showLegendKey val="0"/>
          <c:showVal val="0"/>
          <c:showCatName val="0"/>
          <c:showSerName val="0"/>
          <c:showPercent val="0"/>
          <c:showBubbleSize val="0"/>
        </c:dLbls>
        <c:marker val="1"/>
        <c:smooth val="0"/>
        <c:axId val="1885874191"/>
        <c:axId val="1760485823"/>
        <c:extLst>
          <c:ext xmlns:c15="http://schemas.microsoft.com/office/drawing/2012/chart" uri="{02D57815-91ED-43cb-92C2-25804820EDAC}">
            <c15:filteredLineSeries>
              <c15:ser>
                <c:idx val="4"/>
                <c:order val="1"/>
                <c:tx>
                  <c:strRef>
                    <c:extLst>
                      <c:ext uri="{02D57815-91ED-43cb-92C2-25804820EDAC}">
                        <c15:formulaRef>
                          <c15:sqref>'Graph, Data'!$E$2</c15:sqref>
                        </c15:formulaRef>
                      </c:ext>
                    </c:extLst>
                    <c:strCache>
                      <c:ptCount val="1"/>
                      <c:pt idx="0">
                        <c:v>Savings* (real, full inflation* max year)</c:v>
                      </c:pt>
                    </c:strCache>
                  </c:strRef>
                </c:tx>
                <c:spPr>
                  <a:ln w="28575" cap="rnd">
                    <a:solidFill>
                      <a:schemeClr val="accent5"/>
                    </a:solidFill>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Data'!$E$4:$E$52</c15:sqref>
                        </c15:formulaRef>
                      </c:ext>
                    </c:extLst>
                    <c:numCache>
                      <c:formatCode>#,##0\ "€"</c:formatCode>
                      <c:ptCount val="49"/>
                      <c:pt idx="0">
                        <c:v>12292.682926829269</c:v>
                      </c:pt>
                      <c:pt idx="1">
                        <c:v>18903.033908387864</c:v>
                      </c:pt>
                      <c:pt idx="2">
                        <c:v>25857.779196471329</c:v>
                      </c:pt>
                      <c:pt idx="3">
                        <c:v>33185.515689401916</c:v>
                      </c:pt>
                      <c:pt idx="4">
                        <c:v>40916.849880137204</c:v>
                      </c:pt>
                      <c:pt idx="5">
                        <c:v>49084.546920788329</c:v>
                      </c:pt>
                      <c:pt idx="6">
                        <c:v>57723.690545005069</c:v>
                      </c:pt>
                      <c:pt idx="7">
                        <c:v>66871.854643908388</c:v>
                      </c:pt>
                      <c:pt idx="8">
                        <c:v>76569.287349441758</c:v>
                      </c:pt>
                      <c:pt idx="9">
                        <c:v>86859.108541462585</c:v>
                      </c:pt>
                      <c:pt idx="10">
                        <c:v>97787.521761915341</c:v>
                      </c:pt>
                      <c:pt idx="11">
                        <c:v>109404.04159135175</c:v>
                      </c:pt>
                      <c:pt idx="12">
                        <c:v>121761.73762025248</c:v>
                      </c:pt>
                      <c:pt idx="13">
                        <c:v>134917.49623044051</c:v>
                      </c:pt>
                      <c:pt idx="14">
                        <c:v>148932.30149077493</c:v>
                      </c:pt>
                      <c:pt idx="15">
                        <c:v>163871.53656671837</c:v>
                      </c:pt>
                      <c:pt idx="16">
                        <c:v>179805.30714575507</c:v>
                      </c:pt>
                      <c:pt idx="17">
                        <c:v>196808.7884905152</c:v>
                      </c:pt>
                      <c:pt idx="18">
                        <c:v>214962.59784937862</c:v>
                      </c:pt>
                      <c:pt idx="19">
                        <c:v>234353.19408087642</c:v>
                      </c:pt>
                      <c:pt idx="20">
                        <c:v>255073.30648401671</c:v>
                      </c:pt>
                      <c:pt idx="21">
                        <c:v>277222.39497240388</c:v>
                      </c:pt>
                      <c:pt idx="22">
                        <c:v>300907.14388643048</c:v>
                      </c:pt>
                      <c:pt idx="23">
                        <c:v>326241.99190567265</c:v>
                      </c:pt>
                      <c:pt idx="24">
                        <c:v>353349.7007037591</c:v>
                      </c:pt>
                      <c:pt idx="25">
                        <c:v>382361.96518129832</c:v>
                      </c:pt>
                      <c:pt idx="26">
                        <c:v>413420.06831991393</c:v>
                      </c:pt>
                      <c:pt idx="27">
                        <c:v>446675.58392308059</c:v>
                      </c:pt>
                      <c:pt idx="28">
                        <c:v>482291.13074838847</c:v>
                      </c:pt>
                      <c:pt idx="29">
                        <c:v>520441.18179228337</c:v>
                      </c:pt>
                      <c:pt idx="30">
                        <c:v>561312.93276350957</c:v>
                      </c:pt>
                      <c:pt idx="31">
                        <c:v>605107.23407680483</c:v>
                      </c:pt>
                      <c:pt idx="32">
                        <c:v>652039.59101531154</c:v>
                      </c:pt>
                      <c:pt idx="33">
                        <c:v>702341.2370503014</c:v>
                      </c:pt>
                      <c:pt idx="34">
                        <c:v>756260.2856717963</c:v>
                      </c:pt>
                      <c:pt idx="35">
                        <c:v>814062.96647539304</c:v>
                      </c:pt>
                      <c:pt idx="36">
                        <c:v>876034.95167096541</c:v>
                      </c:pt>
                      <c:pt idx="37">
                        <c:v>942482.77963004948</c:v>
                      </c:pt>
                      <c:pt idx="38">
                        <c:v>1013735.3825728676</c:v>
                      </c:pt>
                      <c:pt idx="39">
                        <c:v>1090145.7260155084</c:v>
                      </c:pt>
                      <c:pt idx="40">
                        <c:v>1172092.568155362</c:v>
                      </c:pt>
                      <c:pt idx="41">
                        <c:v>1259982.3479713099</c:v>
                      </c:pt>
                      <c:pt idx="42">
                        <c:v>1354251.2114573198</c:v>
                      </c:pt>
                      <c:pt idx="43">
                        <c:v>1455367.1860972662</c:v>
                      </c:pt>
                      <c:pt idx="44">
                        <c:v>1563832.5144283765</c:v>
                      </c:pt>
                      <c:pt idx="45">
                        <c:v>1680186.1583344084</c:v>
                      </c:pt>
                      <c:pt idx="46">
                        <c:v>1805006.4865614276</c:v>
                      </c:pt>
                      <c:pt idx="47">
                        <c:v>1938914.1588631754</c:v>
                      </c:pt>
                      <c:pt idx="48">
                        <c:v>2082575.2211639886</c:v>
                      </c:pt>
                    </c:numCache>
                  </c:numRef>
                </c:val>
                <c:smooth val="0"/>
                <c:extLst>
                  <c:ext xmlns:c16="http://schemas.microsoft.com/office/drawing/2014/chart" uri="{C3380CC4-5D6E-409C-BE32-E72D297353CC}">
                    <c16:uniqueId val="{00000001-5082-48F1-8D15-CCDB055CB4D0}"/>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'Graph, Data'!$Q$2</c15:sqref>
                        </c15:formulaRef>
                      </c:ext>
                    </c:extLst>
                    <c:strCache>
                      <c:ptCount val="1"/>
                      <c:pt idx="0">
                        <c:v>Real Capital gain/Savings (adj. per year)</c:v>
                      </c:pt>
                    </c:strCache>
                  </c:strRef>
                </c:tx>
                <c:spPr>
                  <a:ln w="28575" cap="rnd">
                    <a:solidFill>
                      <a:schemeClr val="accent3">
                        <a:lumMod val="80000"/>
                        <a:lumOff val="20000"/>
                      </a:schemeClr>
                    </a:solidFill>
                    <a:prstDash val="sysDash"/>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val>
                  <c:numRef>
                    <c:extLst xmlns:c15="http://schemas.microsoft.com/office/drawing/2012/chart">
                      <c:ext xmlns:c15="http://schemas.microsoft.com/office/drawing/2012/chart" uri="{02D57815-91ED-43cb-92C2-25804820EDAC}">
                        <c15:formulaRef>
                          <c15:sqref>'Graph, Data'!$Q$3:$Q$52</c15:sqref>
                        </c15:formulaRef>
                      </c:ext>
                    </c:extLst>
                    <c:numCache>
                      <c:formatCode>0%</c:formatCode>
                      <c:ptCount val="50"/>
                      <c:pt idx="0">
                        <c:v>0</c:v>
                      </c:pt>
                      <c:pt idx="1">
                        <c:v>1.7551058822118475E-2</c:v>
                      </c:pt>
                      <c:pt idx="2">
                        <c:v>3.5511350966620787E-2</c:v>
                      </c:pt>
                      <c:pt idx="3">
                        <c:v>5.3900051823008624E-2</c:v>
                      </c:pt>
                      <c:pt idx="4">
                        <c:v>7.2736433532668274E-2</c:v>
                      </c:pt>
                      <c:pt idx="5">
                        <c:v>9.2039863291634355E-2</c:v>
                      </c:pt>
                      <c:pt idx="6">
                        <c:v>0.11182980223571361</c:v>
                      </c:pt>
                      <c:pt idx="7">
                        <c:v>0.13212580495804521</c:v>
                      </c:pt>
                      <c:pt idx="8">
                        <c:v>0.15294751970545414</c:v>
                      </c:pt>
                      <c:pt idx="9">
                        <c:v>0.17431468929561858</c:v>
                      </c:pt>
                      <c:pt idx="10">
                        <c:v>0.19624715279244956</c:v>
                      </c:pt>
                      <c:pt idx="11">
                        <c:v>0.21876484797224136</c:v>
                      </c:pt>
                      <c:pt idx="12">
                        <c:v>0.24188781460816253</c:v>
                      </c:pt>
                      <c:pt idx="13">
                        <c:v>0.26563619859558479</c:v>
                      </c:pt>
                      <c:pt idx="14">
                        <c:v>0.29003025693563678</c:v>
                      </c:pt>
                      <c:pt idx="15">
                        <c:v>0.31509036358929177</c:v>
                      </c:pt>
                      <c:pt idx="16">
                        <c:v>0.34083701620930584</c:v>
                      </c:pt>
                      <c:pt idx="17">
                        <c:v>0.36729084375246007</c:v>
                      </c:pt>
                      <c:pt idx="18">
                        <c:v>0.39447261496989294</c:v>
                      </c:pt>
                      <c:pt idx="19">
                        <c:v>0.42240324776886529</c:v>
                      </c:pt>
                      <c:pt idx="20">
                        <c:v>0.45110381943512928</c:v>
                      </c:pt>
                      <c:pt idx="21">
                        <c:v>0.48059557770120903</c:v>
                      </c:pt>
                      <c:pt idx="22">
                        <c:v>0.51089995264236976</c:v>
                      </c:pt>
                      <c:pt idx="23">
                        <c:v>0.54203856937888328</c:v>
                      </c:pt>
                      <c:pt idx="24">
                        <c:v>0.57403326156039769</c:v>
                      </c:pt>
                      <c:pt idx="25">
                        <c:v>0.6069060856058216</c:v>
                      </c:pt>
                      <c:pt idx="26">
                        <c:v>0.64067933567011193</c:v>
                      </c:pt>
                      <c:pt idx="27">
                        <c:v>0.67537555930774895</c:v>
                      </c:pt>
                      <c:pt idx="28">
                        <c:v>0.71101757380145381</c:v>
                      </c:pt>
                      <c:pt idx="29">
                        <c:v>0.74762848312386865</c:v>
                      </c:pt>
                      <c:pt idx="30">
                        <c:v>0.78523169549945582</c:v>
                      </c:pt>
                      <c:pt idx="31">
                        <c:v>0.82385094153375515</c:v>
                      </c:pt>
                      <c:pt idx="32">
                        <c:v>0.8635102928773738</c:v>
                      </c:pt>
                      <c:pt idx="33">
                        <c:v>0.90423418139261036</c:v>
                      </c:pt>
                      <c:pt idx="34">
                        <c:v>0.94604741879145582</c:v>
                      </c:pt>
                      <c:pt idx="35">
                        <c:v>0.98897521671479716</c:v>
                      </c:pt>
                      <c:pt idx="36">
                        <c:v>1.0330432072239839</c:v>
                      </c:pt>
                      <c:pt idx="37">
                        <c:v>1.078277463677455</c:v>
                      </c:pt>
                      <c:pt idx="38">
                        <c:v>1.1247045219668348</c:v>
                      </c:pt>
                      <c:pt idx="39">
                        <c:v>1.1723514020887951</c:v>
                      </c:pt>
                      <c:pt idx="40">
                        <c:v>1.2212456300309626</c:v>
                      </c:pt>
                      <c:pt idx="41">
                        <c:v>1.2714152599522559</c:v>
                      </c:pt>
                      <c:pt idx="42">
                        <c:v>1.322888896640209</c:v>
                      </c:pt>
                      <c:pt idx="43">
                        <c:v>1.3756957182300613</c:v>
                      </c:pt>
                      <c:pt idx="44">
                        <c:v>1.429865499172648</c:v>
                      </c:pt>
                      <c:pt idx="45">
                        <c:v>1.485428633440373</c:v>
                      </c:pt>
                      <c:pt idx="46">
                        <c:v>1.5424161579628297</c:v>
                      </c:pt>
                      <c:pt idx="47">
                        <c:v>1.6008597762858094</c:v>
                      </c:pt>
                      <c:pt idx="48">
                        <c:v>1.6607918824496677</c:v>
                      </c:pt>
                      <c:pt idx="49">
                        <c:v>1.7222455850851068</c:v>
                      </c:pt>
                    </c:numCache>
                  </c:numRef>
                </c:val>
                <c:smooth val="0"/>
                <c:extLst xmlns:c15="http://schemas.microsoft.com/office/drawing/2012/chart">
                  <c:ext xmlns:c16="http://schemas.microsoft.com/office/drawing/2014/chart" uri="{C3380CC4-5D6E-409C-BE32-E72D297353CC}">
                    <c16:uniqueId val="{00000005-5C81-4D6B-B87A-6B205B601CD3}"/>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'Graph, Data'!$T$2</c15:sqref>
                        </c15:formulaRef>
                      </c:ext>
                    </c:extLst>
                    <c:strCache>
                      <c:ptCount val="1"/>
                      <c:pt idx="0">
                        <c:v>+10% Real capital gain/Savings'</c:v>
                      </c:pt>
                    </c:strCache>
                  </c:strRef>
                </c:tx>
                <c:spPr>
                  <a:ln w="28575" cap="rnd">
                    <a:solidFill>
                      <a:schemeClr val="accent4">
                        <a:lumMod val="80000"/>
                        <a:lumOff val="20000"/>
                      </a:schemeClr>
                    </a:solidFill>
                    <a:round/>
                  </a:ln>
                  <a:effectLst/>
                </c:spPr>
                <c:marker>
                  <c:symbol val="diamond"/>
                  <c:size val="8"/>
                  <c:spPr>
                    <a:solidFill>
                      <a:srgbClr val="00B0F0"/>
                    </a:solidFill>
                    <a:ln w="9525">
                      <a:noFill/>
                    </a:ln>
                    <a:effectLst/>
                  </c:spPr>
                </c:marker>
                <c:val>
                  <c:numRef>
                    <c:extLst xmlns:c15="http://schemas.microsoft.com/office/drawing/2012/chart">
                      <c:ext xmlns:c15="http://schemas.microsoft.com/office/drawing/2012/chart" uri="{02D57815-91ED-43cb-92C2-25804820EDAC}">
                        <c15:formulaRef>
                          <c15:sqref>'Graph, Data'!$T$3:$T$52</c15:sqref>
                        </c15:formulaRef>
                      </c:ext>
                    </c:extLst>
                    <c:numCache>
                      <c:formatCode>0%</c:formatCode>
                      <c:ptCount val="50"/>
                      <c:pt idx="0">
                        <c:v>-9.9999999999999995E-7</c:v>
                      </c:pt>
                      <c:pt idx="1">
                        <c:v>-9.9999999999999995E-7</c:v>
                      </c:pt>
                      <c:pt idx="2">
                        <c:v>-9.9999999999999995E-7</c:v>
                      </c:pt>
                      <c:pt idx="3">
                        <c:v>-9.9999999999999995E-7</c:v>
                      </c:pt>
                      <c:pt idx="4">
                        <c:v>-9.9999999999999995E-7</c:v>
                      </c:pt>
                      <c:pt idx="5">
                        <c:v>-9.9999999999999995E-7</c:v>
                      </c:pt>
                      <c:pt idx="6">
                        <c:v>0.11182980223571361</c:v>
                      </c:pt>
                      <c:pt idx="7">
                        <c:v>-9.9999999999999995E-7</c:v>
                      </c:pt>
                      <c:pt idx="8">
                        <c:v>-9.9999999999999995E-7</c:v>
                      </c:pt>
                      <c:pt idx="9">
                        <c:v>-9.9999999999999995E-7</c:v>
                      </c:pt>
                      <c:pt idx="10">
                        <c:v>-9.9999999999999995E-7</c:v>
                      </c:pt>
                      <c:pt idx="11">
                        <c:v>0.21876484797224136</c:v>
                      </c:pt>
                      <c:pt idx="12">
                        <c:v>-9.9999999999999995E-7</c:v>
                      </c:pt>
                      <c:pt idx="13">
                        <c:v>-9.9999999999999995E-7</c:v>
                      </c:pt>
                      <c:pt idx="14">
                        <c:v>-9.9999999999999995E-7</c:v>
                      </c:pt>
                      <c:pt idx="15">
                        <c:v>0.31509036358929177</c:v>
                      </c:pt>
                      <c:pt idx="16">
                        <c:v>-9.9999999999999995E-7</c:v>
                      </c:pt>
                      <c:pt idx="17">
                        <c:v>-9.9999999999999995E-7</c:v>
                      </c:pt>
                      <c:pt idx="18">
                        <c:v>-9.9999999999999995E-7</c:v>
                      </c:pt>
                      <c:pt idx="19">
                        <c:v>0.42240324776886529</c:v>
                      </c:pt>
                      <c:pt idx="20">
                        <c:v>-9.9999999999999995E-7</c:v>
                      </c:pt>
                      <c:pt idx="21">
                        <c:v>-9.9999999999999995E-7</c:v>
                      </c:pt>
                      <c:pt idx="22">
                        <c:v>0.51089995264236976</c:v>
                      </c:pt>
                      <c:pt idx="23">
                        <c:v>-9.9999999999999995E-7</c:v>
                      </c:pt>
                      <c:pt idx="24">
                        <c:v>-9.9999999999999995E-7</c:v>
                      </c:pt>
                      <c:pt idx="25">
                        <c:v>0.6069060856058216</c:v>
                      </c:pt>
                      <c:pt idx="26">
                        <c:v>-9.9999999999999995E-7</c:v>
                      </c:pt>
                      <c:pt idx="27">
                        <c:v>-9.9999999999999995E-7</c:v>
                      </c:pt>
                      <c:pt idx="28">
                        <c:v>0.71101757380145381</c:v>
                      </c:pt>
                      <c:pt idx="29">
                        <c:v>-9.9999999999999995E-7</c:v>
                      </c:pt>
                      <c:pt idx="30">
                        <c:v>-9.9999999999999995E-7</c:v>
                      </c:pt>
                      <c:pt idx="31">
                        <c:v>0.82385094153375515</c:v>
                      </c:pt>
                      <c:pt idx="32">
                        <c:v>-9.9999999999999995E-7</c:v>
                      </c:pt>
                      <c:pt idx="33">
                        <c:v>0.90423418139261036</c:v>
                      </c:pt>
                      <c:pt idx="34">
                        <c:v>-9.9999999999999995E-7</c:v>
                      </c:pt>
                      <c:pt idx="35">
                        <c:v>-9.9999999999999995E-7</c:v>
                      </c:pt>
                      <c:pt idx="36">
                        <c:v>1.0330432072239839</c:v>
                      </c:pt>
                      <c:pt idx="37">
                        <c:v>-9.9999999999999995E-7</c:v>
                      </c:pt>
                      <c:pt idx="38">
                        <c:v>-9.9999999999999995E-7</c:v>
                      </c:pt>
                      <c:pt idx="39">
                        <c:v>-9.9999999999999995E-7</c:v>
                      </c:pt>
                      <c:pt idx="40">
                        <c:v>1.2212456300309626</c:v>
                      </c:pt>
                      <c:pt idx="41">
                        <c:v>-9.9999999999999995E-7</c:v>
                      </c:pt>
                      <c:pt idx="42">
                        <c:v>-9.9999999999999995E-7</c:v>
                      </c:pt>
                      <c:pt idx="43">
                        <c:v>-9.9999999999999995E-7</c:v>
                      </c:pt>
                      <c:pt idx="44">
                        <c:v>1.429865499172648</c:v>
                      </c:pt>
                      <c:pt idx="45">
                        <c:v>-9.9999999999999995E-7</c:v>
                      </c:pt>
                      <c:pt idx="46">
                        <c:v>-9.9999999999999995E-7</c:v>
                      </c:pt>
                      <c:pt idx="47">
                        <c:v>1.6008597762858094</c:v>
                      </c:pt>
                      <c:pt idx="48">
                        <c:v>-9.9999999999999995E-7</c:v>
                      </c:pt>
                      <c:pt idx="49">
                        <c:v>-9.9999999999999995E-7</c:v>
                      </c:pt>
                    </c:numCache>
                  </c:numRef>
                </c:val>
                <c:smooth val="0"/>
                <c:extLst xmlns:c15="http://schemas.microsoft.com/office/drawing/2012/chart">
                  <c:ext xmlns:c16="http://schemas.microsoft.com/office/drawing/2014/chart" uri="{C3380CC4-5D6E-409C-BE32-E72D297353CC}">
                    <c16:uniqueId val="{00000006-5C81-4D6B-B87A-6B205B601CD3}"/>
                  </c:ext>
                </c:extLst>
              </c15:ser>
            </c15:filteredLineSeries>
          </c:ext>
        </c:extLst>
      </c:lineChart>
      <c:scatterChart>
        <c:scatterStyle val="lineMarker"/>
        <c:varyColors val="0"/>
        <c:ser>
          <c:idx val="13"/>
          <c:order val="13"/>
          <c:tx>
            <c:strRef>
              <c:f>'Graph, Data'!$S$2</c:f>
              <c:strCache>
                <c:ptCount val="1"/>
                <c:pt idx="0">
                  <c:v>+10% Net Gain/Savings (real, adj.)'</c:v>
                </c:pt>
              </c:strCache>
            </c:strRef>
          </c:tx>
          <c:spPr>
            <a:ln w="25400" cap="rnd">
              <a:noFill/>
              <a:round/>
            </a:ln>
            <a:effectLst/>
          </c:spPr>
          <c:marker>
            <c:symbol val="circle"/>
            <c:size val="9"/>
            <c:spPr>
              <a:solidFill>
                <a:schemeClr val="accent1"/>
              </a:solidFill>
              <a:ln w="9525">
                <a:noFill/>
              </a:ln>
              <a:effectLst/>
            </c:spPr>
          </c:marker>
          <c:dLbls>
            <c:dLbl>
              <c:idx val="0"/>
              <c:tx>
                <c:rich>
                  <a:bodyPr/>
                  <a:lstStyle/>
                  <a:p>
                    <a:fld id="{81589380-AE82-428E-8330-E489B705F322}" type="CELLRANGE">
                      <a:rPr lang="en-US"/>
                      <a:pPr/>
                      <a:t>[CELLRANGE]</a:t>
                    </a:fld>
                    <a:endParaRPr lang="en-US" baseline="0"/>
                  </a:p>
                  <a:p>
                    <a:fld id="{946D2300-2A3D-401E-BDAC-C1FA15D28D7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7114-4508-B8EB-AB966814D0AD}"/>
                </c:ext>
              </c:extLst>
            </c:dLbl>
            <c:dLbl>
              <c:idx val="1"/>
              <c:tx>
                <c:rich>
                  <a:bodyPr/>
                  <a:lstStyle/>
                  <a:p>
                    <a:fld id="{270EEF73-3FDE-479B-8723-D6B29F3E3589}" type="CELLRANGE">
                      <a:rPr lang="en-US"/>
                      <a:pPr/>
                      <a:t>[CELLRANGE]</a:t>
                    </a:fld>
                    <a:endParaRPr lang="en-US" baseline="0"/>
                  </a:p>
                  <a:p>
                    <a:fld id="{371F62A4-D638-4093-8A22-DA107D3099B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7114-4508-B8EB-AB966814D0AD}"/>
                </c:ext>
              </c:extLst>
            </c:dLbl>
            <c:dLbl>
              <c:idx val="2"/>
              <c:tx>
                <c:rich>
                  <a:bodyPr/>
                  <a:lstStyle/>
                  <a:p>
                    <a:fld id="{8D7C376C-59A2-45D8-9AF0-079FC96C8413}" type="CELLRANGE">
                      <a:rPr lang="en-US"/>
                      <a:pPr/>
                      <a:t>[CELLRANGE]</a:t>
                    </a:fld>
                    <a:endParaRPr lang="en-US" baseline="0"/>
                  </a:p>
                  <a:p>
                    <a:fld id="{C39049AE-9AA6-4E92-8546-8CE46C75189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7114-4508-B8EB-AB966814D0AD}"/>
                </c:ext>
              </c:extLst>
            </c:dLbl>
            <c:dLbl>
              <c:idx val="3"/>
              <c:tx>
                <c:rich>
                  <a:bodyPr/>
                  <a:lstStyle/>
                  <a:p>
                    <a:fld id="{4B437BFB-260D-4E8E-BA14-391B58DFF292}" type="CELLRANGE">
                      <a:rPr lang="en-US"/>
                      <a:pPr/>
                      <a:t>[CELLRANGE]</a:t>
                    </a:fld>
                    <a:endParaRPr lang="en-US" baseline="0"/>
                  </a:p>
                  <a:p>
                    <a:fld id="{F826F366-785D-47EC-B12E-BEB1E53DAC92}"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7114-4508-B8EB-AB966814D0AD}"/>
                </c:ext>
              </c:extLst>
            </c:dLbl>
            <c:dLbl>
              <c:idx val="4"/>
              <c:tx>
                <c:rich>
                  <a:bodyPr/>
                  <a:lstStyle/>
                  <a:p>
                    <a:fld id="{097EA66F-C891-49C7-AA31-4E9E7DDDDE33}" type="CELLRANGE">
                      <a:rPr lang="en-US"/>
                      <a:pPr/>
                      <a:t>[CELLRANGE]</a:t>
                    </a:fld>
                    <a:endParaRPr lang="en-US" baseline="0"/>
                  </a:p>
                  <a:p>
                    <a:fld id="{2198F9A4-83C6-43E6-B965-AE3458E96FF0}"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7114-4508-B8EB-AB966814D0AD}"/>
                </c:ext>
              </c:extLst>
            </c:dLbl>
            <c:dLbl>
              <c:idx val="5"/>
              <c:tx>
                <c:rich>
                  <a:bodyPr/>
                  <a:lstStyle/>
                  <a:p>
                    <a:fld id="{93973997-AECB-47AA-86FF-946777061B28}" type="CELLRANGE">
                      <a:rPr lang="en-US"/>
                      <a:pPr/>
                      <a:t>[CELLRANGE]</a:t>
                    </a:fld>
                    <a:endParaRPr lang="en-US" baseline="0"/>
                  </a:p>
                  <a:p>
                    <a:fld id="{1EFDC021-A5A2-47D3-B17C-00D364266C5A}"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7114-4508-B8EB-AB966814D0AD}"/>
                </c:ext>
              </c:extLst>
            </c:dLbl>
            <c:dLbl>
              <c:idx val="6"/>
              <c:tx>
                <c:rich>
                  <a:bodyPr/>
                  <a:lstStyle/>
                  <a:p>
                    <a:fld id="{B4889857-1678-4EF6-89C4-B89FF4727DC4}" type="CELLRANGE">
                      <a:rPr lang="en-US"/>
                      <a:pPr/>
                      <a:t>[CELLRANGE]</a:t>
                    </a:fld>
                    <a:endParaRPr lang="en-US" baseline="0"/>
                  </a:p>
                  <a:p>
                    <a:fld id="{0A4F84C5-7409-491C-954D-CA000C76885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2348-47D8-AADD-704ABEBFEE21}"/>
                </c:ext>
              </c:extLst>
            </c:dLbl>
            <c:dLbl>
              <c:idx val="7"/>
              <c:tx>
                <c:rich>
                  <a:bodyPr/>
                  <a:lstStyle/>
                  <a:p>
                    <a:fld id="{0C35ABA2-803A-4455-8346-1754F9D036BB}" type="CELLRANGE">
                      <a:rPr lang="en-US"/>
                      <a:pPr/>
                      <a:t>[CELLRANGE]</a:t>
                    </a:fld>
                    <a:endParaRPr lang="en-US" baseline="0"/>
                  </a:p>
                  <a:p>
                    <a:fld id="{C2FA12A3-DEA0-4238-8EC8-6ED0DAFAAEB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7114-4508-B8EB-AB966814D0AD}"/>
                </c:ext>
              </c:extLst>
            </c:dLbl>
            <c:dLbl>
              <c:idx val="8"/>
              <c:tx>
                <c:rich>
                  <a:bodyPr/>
                  <a:lstStyle/>
                  <a:p>
                    <a:fld id="{BDAB94A9-6B6A-4D42-A4C9-CD8967E4D273}" type="CELLRANGE">
                      <a:rPr lang="en-US"/>
                      <a:pPr/>
                      <a:t>[CELLRANGE]</a:t>
                    </a:fld>
                    <a:endParaRPr lang="en-US" baseline="0"/>
                  </a:p>
                  <a:p>
                    <a:fld id="{847F8B11-70BC-42C2-948F-DA25DB03F558}"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7114-4508-B8EB-AB966814D0AD}"/>
                </c:ext>
              </c:extLst>
            </c:dLbl>
            <c:dLbl>
              <c:idx val="9"/>
              <c:tx>
                <c:rich>
                  <a:bodyPr/>
                  <a:lstStyle/>
                  <a:p>
                    <a:fld id="{9FF33739-0F66-4589-ACDA-A4580409202E}" type="CELLRANGE">
                      <a:rPr lang="en-US"/>
                      <a:pPr/>
                      <a:t>[CELLRANGE]</a:t>
                    </a:fld>
                    <a:endParaRPr lang="en-US" baseline="0"/>
                  </a:p>
                  <a:p>
                    <a:fld id="{3DA2531B-F5DA-4B6D-808D-696294AC6FE6}"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7114-4508-B8EB-AB966814D0AD}"/>
                </c:ext>
              </c:extLst>
            </c:dLbl>
            <c:dLbl>
              <c:idx val="10"/>
              <c:tx>
                <c:rich>
                  <a:bodyPr/>
                  <a:lstStyle/>
                  <a:p>
                    <a:fld id="{BBB59E22-9991-48A2-B2D5-F661FC023E4D}" type="CELLRANGE">
                      <a:rPr lang="en-US"/>
                      <a:pPr/>
                      <a:t>[CELLRANGE]</a:t>
                    </a:fld>
                    <a:endParaRPr lang="en-US" baseline="0"/>
                  </a:p>
                  <a:p>
                    <a:fld id="{621AF1ED-093E-4F87-A8B5-6F20710BE10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7114-4508-B8EB-AB966814D0AD}"/>
                </c:ext>
              </c:extLst>
            </c:dLbl>
            <c:dLbl>
              <c:idx val="11"/>
              <c:tx>
                <c:rich>
                  <a:bodyPr/>
                  <a:lstStyle/>
                  <a:p>
                    <a:fld id="{BD056B0C-A624-4F40-9182-83E3F71317E3}" type="CELLRANGE">
                      <a:rPr lang="en-US"/>
                      <a:pPr/>
                      <a:t>[CELLRANGE]</a:t>
                    </a:fld>
                    <a:endParaRPr lang="en-US" baseline="0"/>
                  </a:p>
                  <a:p>
                    <a:fld id="{8627524B-FAB6-46B7-900E-280859BDFC3A}"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2348-47D8-AADD-704ABEBFEE21}"/>
                </c:ext>
              </c:extLst>
            </c:dLbl>
            <c:dLbl>
              <c:idx val="12"/>
              <c:tx>
                <c:rich>
                  <a:bodyPr/>
                  <a:lstStyle/>
                  <a:p>
                    <a:fld id="{CB251CD0-F62D-4033-86C5-C1974C77556A}" type="CELLRANGE">
                      <a:rPr lang="en-US"/>
                      <a:pPr/>
                      <a:t>[CELLRANGE]</a:t>
                    </a:fld>
                    <a:endParaRPr lang="en-US" baseline="0"/>
                  </a:p>
                  <a:p>
                    <a:fld id="{418559FD-80C6-494A-A4D5-0623601A9D97}"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D-7114-4508-B8EB-AB966814D0AD}"/>
                </c:ext>
              </c:extLst>
            </c:dLbl>
            <c:dLbl>
              <c:idx val="13"/>
              <c:tx>
                <c:rich>
                  <a:bodyPr/>
                  <a:lstStyle/>
                  <a:p>
                    <a:fld id="{EA169A9D-6D0B-4293-B18F-ECD96FACCE4F}" type="CELLRANGE">
                      <a:rPr lang="en-US"/>
                      <a:pPr/>
                      <a:t>[CELLRANGE]</a:t>
                    </a:fld>
                    <a:endParaRPr lang="en-US" baseline="0"/>
                  </a:p>
                  <a:p>
                    <a:fld id="{8B43D3C7-2C04-4403-847A-A630E20A797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E-7114-4508-B8EB-AB966814D0AD}"/>
                </c:ext>
              </c:extLst>
            </c:dLbl>
            <c:dLbl>
              <c:idx val="14"/>
              <c:tx>
                <c:rich>
                  <a:bodyPr/>
                  <a:lstStyle/>
                  <a:p>
                    <a:fld id="{326B90BF-2B65-4F6B-9623-F6767ED1C58E}" type="CELLRANGE">
                      <a:rPr lang="en-US"/>
                      <a:pPr/>
                      <a:t>[CELLRANGE]</a:t>
                    </a:fld>
                    <a:endParaRPr lang="en-US" baseline="0"/>
                  </a:p>
                  <a:p>
                    <a:fld id="{E976492F-DD53-425E-AC36-7469F2B8DEAF}"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F-7114-4508-B8EB-AB966814D0AD}"/>
                </c:ext>
              </c:extLst>
            </c:dLbl>
            <c:dLbl>
              <c:idx val="15"/>
              <c:tx>
                <c:rich>
                  <a:bodyPr/>
                  <a:lstStyle/>
                  <a:p>
                    <a:fld id="{DBD22683-2666-4A72-940A-3EFFEE60C513}" type="CELLRANGE">
                      <a:rPr lang="en-US"/>
                      <a:pPr/>
                      <a:t>[CELLRANGE]</a:t>
                    </a:fld>
                    <a:endParaRPr lang="en-US" baseline="0"/>
                  </a:p>
                  <a:p>
                    <a:fld id="{12020E2C-4327-42A3-A9C3-ACE718BD63D7}"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0-7114-4508-B8EB-AB966814D0AD}"/>
                </c:ext>
              </c:extLst>
            </c:dLbl>
            <c:dLbl>
              <c:idx val="16"/>
              <c:tx>
                <c:rich>
                  <a:bodyPr/>
                  <a:lstStyle/>
                  <a:p>
                    <a:fld id="{37CAFA9D-E96C-4E31-9CD8-0C1F0D65D53C}" type="CELLRANGE">
                      <a:rPr lang="en-US"/>
                      <a:pPr/>
                      <a:t>[CELLRANGE]</a:t>
                    </a:fld>
                    <a:endParaRPr lang="en-US" baseline="0"/>
                  </a:p>
                  <a:p>
                    <a:fld id="{500F87C6-2B66-4971-B7A6-354A3BBB1A0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1-7114-4508-B8EB-AB966814D0AD}"/>
                </c:ext>
              </c:extLst>
            </c:dLbl>
            <c:dLbl>
              <c:idx val="17"/>
              <c:tx>
                <c:rich>
                  <a:bodyPr/>
                  <a:lstStyle/>
                  <a:p>
                    <a:fld id="{47018593-95D4-4283-A5CA-3F132F2AC46F}" type="CELLRANGE">
                      <a:rPr lang="en-US"/>
                      <a:pPr/>
                      <a:t>[CELLRANGE]</a:t>
                    </a:fld>
                    <a:endParaRPr lang="en-US" baseline="0"/>
                  </a:p>
                  <a:p>
                    <a:fld id="{67A39F2E-F578-4A82-9E87-72F15092754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2348-47D8-AADD-704ABEBFEE21}"/>
                </c:ext>
              </c:extLst>
            </c:dLbl>
            <c:dLbl>
              <c:idx val="18"/>
              <c:tx>
                <c:rich>
                  <a:bodyPr/>
                  <a:lstStyle/>
                  <a:p>
                    <a:fld id="{7717AC9C-4159-4A84-B1F3-AD5E62ABBBC1}" type="CELLRANGE">
                      <a:rPr lang="en-US"/>
                      <a:pPr/>
                      <a:t>[CELLRANGE]</a:t>
                    </a:fld>
                    <a:endParaRPr lang="en-US" baseline="0"/>
                  </a:p>
                  <a:p>
                    <a:fld id="{0F9F5D65-A1D1-4FD4-A466-3979A9AB13E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2-7114-4508-B8EB-AB966814D0AD}"/>
                </c:ext>
              </c:extLst>
            </c:dLbl>
            <c:dLbl>
              <c:idx val="19"/>
              <c:tx>
                <c:rich>
                  <a:bodyPr/>
                  <a:lstStyle/>
                  <a:p>
                    <a:fld id="{ABA382E2-6E48-4CBE-8E22-63D5075A7312}" type="CELLRANGE">
                      <a:rPr lang="en-US"/>
                      <a:pPr/>
                      <a:t>[CELLRANGE]</a:t>
                    </a:fld>
                    <a:endParaRPr lang="en-US" baseline="0"/>
                  </a:p>
                  <a:p>
                    <a:fld id="{1A81296B-EBCB-4DD8-B85A-5F87883D5592}"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3-7114-4508-B8EB-AB966814D0AD}"/>
                </c:ext>
              </c:extLst>
            </c:dLbl>
            <c:dLbl>
              <c:idx val="20"/>
              <c:tx>
                <c:rich>
                  <a:bodyPr/>
                  <a:lstStyle/>
                  <a:p>
                    <a:fld id="{5C557D97-6897-4967-8D0F-1301B9E0D0FD}" type="CELLRANGE">
                      <a:rPr lang="en-US"/>
                      <a:pPr/>
                      <a:t>[CELLRANGE]</a:t>
                    </a:fld>
                    <a:endParaRPr lang="en-US" baseline="0"/>
                  </a:p>
                  <a:p>
                    <a:fld id="{C88AEBB1-4EFA-4965-A55E-839CE527F26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4-7114-4508-B8EB-AB966814D0AD}"/>
                </c:ext>
              </c:extLst>
            </c:dLbl>
            <c:dLbl>
              <c:idx val="21"/>
              <c:tx>
                <c:rich>
                  <a:bodyPr/>
                  <a:lstStyle/>
                  <a:p>
                    <a:fld id="{00E37B07-1FA6-490E-8773-EE65E897D1DD}" type="CELLRANGE">
                      <a:rPr lang="en-US"/>
                      <a:pPr/>
                      <a:t>[CELLRANGE]</a:t>
                    </a:fld>
                    <a:endParaRPr lang="en-US" baseline="0"/>
                  </a:p>
                  <a:p>
                    <a:fld id="{7805B445-5E7C-41EA-AA33-03336A0A4A3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5-7114-4508-B8EB-AB966814D0AD}"/>
                </c:ext>
              </c:extLst>
            </c:dLbl>
            <c:dLbl>
              <c:idx val="22"/>
              <c:tx>
                <c:rich>
                  <a:bodyPr/>
                  <a:lstStyle/>
                  <a:p>
                    <a:fld id="{168D6EDB-C188-4493-9B8D-3EBB4C3BFFDE}" type="CELLRANGE">
                      <a:rPr lang="en-US"/>
                      <a:pPr/>
                      <a:t>[CELLRANGE]</a:t>
                    </a:fld>
                    <a:endParaRPr lang="en-US" baseline="0"/>
                  </a:p>
                  <a:p>
                    <a:fld id="{0B7D6FF1-7BDB-488B-B9C1-97F4A3998A40}"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6-7114-4508-B8EB-AB966814D0AD}"/>
                </c:ext>
              </c:extLst>
            </c:dLbl>
            <c:dLbl>
              <c:idx val="23"/>
              <c:tx>
                <c:rich>
                  <a:bodyPr/>
                  <a:lstStyle/>
                  <a:p>
                    <a:fld id="{C4AFB3BA-DFAD-4E60-A75B-B7ABC9B6264F}" type="CELLRANGE">
                      <a:rPr lang="en-US"/>
                      <a:pPr/>
                      <a:t>[CELLRANGE]</a:t>
                    </a:fld>
                    <a:endParaRPr lang="en-US" baseline="0"/>
                  </a:p>
                  <a:p>
                    <a:fld id="{B2A9926D-0E8C-4543-8EE3-A77213A7DE4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2348-47D8-AADD-704ABEBFEE21}"/>
                </c:ext>
              </c:extLst>
            </c:dLbl>
            <c:dLbl>
              <c:idx val="24"/>
              <c:tx>
                <c:rich>
                  <a:bodyPr/>
                  <a:lstStyle/>
                  <a:p>
                    <a:fld id="{2FBE7775-B392-4A46-9A6C-A8C12AF3B700}" type="CELLRANGE">
                      <a:rPr lang="en-US"/>
                      <a:pPr/>
                      <a:t>[CELLRANGE]</a:t>
                    </a:fld>
                    <a:endParaRPr lang="en-US" baseline="0"/>
                  </a:p>
                  <a:p>
                    <a:fld id="{F5EA0526-C3FA-497D-A501-8CF2483BD9D6}"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7-7114-4508-B8EB-AB966814D0AD}"/>
                </c:ext>
              </c:extLst>
            </c:dLbl>
            <c:dLbl>
              <c:idx val="25"/>
              <c:tx>
                <c:rich>
                  <a:bodyPr/>
                  <a:lstStyle/>
                  <a:p>
                    <a:fld id="{DE368B6C-E76E-410B-AAC6-55AD45239BF8}" type="CELLRANGE">
                      <a:rPr lang="en-US"/>
                      <a:pPr/>
                      <a:t>[CELLRANGE]</a:t>
                    </a:fld>
                    <a:endParaRPr lang="en-US" baseline="0"/>
                  </a:p>
                  <a:p>
                    <a:fld id="{EA08BA27-5BD1-4221-A226-F0B0CA25F04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8-7114-4508-B8EB-AB966814D0AD}"/>
                </c:ext>
              </c:extLst>
            </c:dLbl>
            <c:dLbl>
              <c:idx val="26"/>
              <c:tx>
                <c:rich>
                  <a:bodyPr/>
                  <a:lstStyle/>
                  <a:p>
                    <a:fld id="{4C90EFF5-D84D-49C0-A685-66F1C1A49BA3}" type="CELLRANGE">
                      <a:rPr lang="en-US"/>
                      <a:pPr/>
                      <a:t>[CELLRANGE]</a:t>
                    </a:fld>
                    <a:endParaRPr lang="en-US" baseline="0"/>
                  </a:p>
                  <a:p>
                    <a:fld id="{4F29CF51-2F3B-4BD7-BB01-D0D874609B5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9-7114-4508-B8EB-AB966814D0AD}"/>
                </c:ext>
              </c:extLst>
            </c:dLbl>
            <c:dLbl>
              <c:idx val="27"/>
              <c:tx>
                <c:rich>
                  <a:bodyPr/>
                  <a:lstStyle/>
                  <a:p>
                    <a:fld id="{22478EC0-C7F9-4FA6-AD7F-25ACEBF2A777}" type="CELLRANGE">
                      <a:rPr lang="en-US"/>
                      <a:pPr/>
                      <a:t>[CELLRANGE]</a:t>
                    </a:fld>
                    <a:endParaRPr lang="en-US" baseline="0"/>
                  </a:p>
                  <a:p>
                    <a:fld id="{28F9D0D6-22F8-4CE8-99AB-80E991D3516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A-7114-4508-B8EB-AB966814D0AD}"/>
                </c:ext>
              </c:extLst>
            </c:dLbl>
            <c:dLbl>
              <c:idx val="28"/>
              <c:tx>
                <c:rich>
                  <a:bodyPr/>
                  <a:lstStyle/>
                  <a:p>
                    <a:fld id="{0CA30431-58B1-45CE-8FAD-15EB27A92ED6}" type="CELLRANGE">
                      <a:rPr lang="en-US"/>
                      <a:pPr/>
                      <a:t>[CELLRANGE]</a:t>
                    </a:fld>
                    <a:endParaRPr lang="en-US" baseline="0"/>
                  </a:p>
                  <a:p>
                    <a:fld id="{7D1620F0-1CD5-4F98-B40D-D8D4D0139645}"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B-7114-4508-B8EB-AB966814D0AD}"/>
                </c:ext>
              </c:extLst>
            </c:dLbl>
            <c:dLbl>
              <c:idx val="29"/>
              <c:tx>
                <c:rich>
                  <a:bodyPr/>
                  <a:lstStyle/>
                  <a:p>
                    <a:fld id="{CD925FC0-B106-4A37-A502-747D35E0CF67}" type="CELLRANGE">
                      <a:rPr lang="en-US"/>
                      <a:pPr/>
                      <a:t>[CELLRANGE]</a:t>
                    </a:fld>
                    <a:endParaRPr lang="en-US" baseline="0"/>
                  </a:p>
                  <a:p>
                    <a:fld id="{9DC28FC9-2ACB-44D5-A7B1-8DDBD6216A0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2348-47D8-AADD-704ABEBFEE21}"/>
                </c:ext>
              </c:extLst>
            </c:dLbl>
            <c:dLbl>
              <c:idx val="30"/>
              <c:tx>
                <c:rich>
                  <a:bodyPr/>
                  <a:lstStyle/>
                  <a:p>
                    <a:fld id="{57A817F4-89B1-4AD4-A355-B411568FCADC}" type="CELLRANGE">
                      <a:rPr lang="en-US"/>
                      <a:pPr/>
                      <a:t>[CELLRANGE]</a:t>
                    </a:fld>
                    <a:r>
                      <a:rPr lang="en-US" baseline="0"/>
                      <a:t>
</a:t>
                    </a:r>
                    <a:fld id="{9A2281B5-5757-455D-9111-BD1C46CC1FC3}"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820-4D82-BE5C-003197FACA09}"/>
                </c:ext>
              </c:extLst>
            </c:dLbl>
            <c:dLbl>
              <c:idx val="31"/>
              <c:tx>
                <c:rich>
                  <a:bodyPr/>
                  <a:lstStyle/>
                  <a:p>
                    <a:fld id="{588CA25B-0FFD-4520-BEAB-7551F57AAE65}" type="CELLRANGE">
                      <a:rPr lang="en-US"/>
                      <a:pPr/>
                      <a:t>[CELLRANGE]</a:t>
                    </a:fld>
                    <a:r>
                      <a:rPr lang="en-US" baseline="0"/>
                      <a:t>
</a:t>
                    </a:r>
                    <a:fld id="{271C28EB-9587-4009-9ABD-546910DABC06}"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820-4D82-BE5C-003197FACA09}"/>
                </c:ext>
              </c:extLst>
            </c:dLbl>
            <c:dLbl>
              <c:idx val="32"/>
              <c:tx>
                <c:rich>
                  <a:bodyPr/>
                  <a:lstStyle/>
                  <a:p>
                    <a:fld id="{4E400973-F52E-410B-9B72-30A0CB4ED44F}" type="CELLRANGE">
                      <a:rPr lang="en-US"/>
                      <a:pPr/>
                      <a:t>[CELLRANGE]</a:t>
                    </a:fld>
                    <a:r>
                      <a:rPr lang="en-US" baseline="0"/>
                      <a:t>
</a:t>
                    </a:r>
                    <a:fld id="{E697DC84-69C7-49CE-A0DC-3CF4A61F3E6A}"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820-4D82-BE5C-003197FACA09}"/>
                </c:ext>
              </c:extLst>
            </c:dLbl>
            <c:dLbl>
              <c:idx val="33"/>
              <c:tx>
                <c:rich>
                  <a:bodyPr/>
                  <a:lstStyle/>
                  <a:p>
                    <a:fld id="{DCEB6BAA-7DDD-4991-A8B3-79873FE082A0}" type="CELLRANGE">
                      <a:rPr lang="en-US"/>
                      <a:pPr/>
                      <a:t>[CELLRANGE]</a:t>
                    </a:fld>
                    <a:r>
                      <a:rPr lang="en-US" baseline="0"/>
                      <a:t>
</a:t>
                    </a:r>
                    <a:fld id="{9249AA23-A7A2-4FC4-9981-BCCB836A0A78}"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820-4D82-BE5C-003197FACA09}"/>
                </c:ext>
              </c:extLst>
            </c:dLbl>
            <c:dLbl>
              <c:idx val="34"/>
              <c:tx>
                <c:rich>
                  <a:bodyPr/>
                  <a:lstStyle/>
                  <a:p>
                    <a:fld id="{6BC780A3-CBD6-4511-8DFE-424ACB5CDDFD}" type="CELLRANGE">
                      <a:rPr lang="en-US"/>
                      <a:pPr/>
                      <a:t>[CELLRANGE]</a:t>
                    </a:fld>
                    <a:r>
                      <a:rPr lang="en-US" baseline="0"/>
                      <a:t>
</a:t>
                    </a:r>
                    <a:fld id="{42711030-338D-469F-9353-A1174107EA4C}"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820-4D82-BE5C-003197FACA09}"/>
                </c:ext>
              </c:extLst>
            </c:dLbl>
            <c:dLbl>
              <c:idx val="35"/>
              <c:tx>
                <c:rich>
                  <a:bodyPr/>
                  <a:lstStyle/>
                  <a:p>
                    <a:fld id="{57E98C42-4C2E-4CB5-B55B-68438FB52676}" type="CELLRANGE">
                      <a:rPr lang="en-US"/>
                      <a:pPr/>
                      <a:t>[CELLRANGE]</a:t>
                    </a:fld>
                    <a:r>
                      <a:rPr lang="en-US" baseline="0"/>
                      <a:t>
</a:t>
                    </a:r>
                    <a:fld id="{4EC87569-219F-4CCE-81F6-A4F6E16BF7C5}"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820-4D82-BE5C-003197FACA09}"/>
                </c:ext>
              </c:extLst>
            </c:dLbl>
            <c:dLbl>
              <c:idx val="36"/>
              <c:tx>
                <c:rich>
                  <a:bodyPr/>
                  <a:lstStyle/>
                  <a:p>
                    <a:fld id="{A36BCD96-989E-4273-87D7-46F69820C173}" type="CELLRANGE">
                      <a:rPr lang="en-US"/>
                      <a:pPr/>
                      <a:t>[CELLRANGE]</a:t>
                    </a:fld>
                    <a:r>
                      <a:rPr lang="en-US" baseline="0"/>
                      <a:t>
</a:t>
                    </a:r>
                    <a:fld id="{F969259D-3A56-491C-A88B-E9B563AF813F}"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820-4D82-BE5C-003197FACA09}"/>
                </c:ext>
              </c:extLst>
            </c:dLbl>
            <c:dLbl>
              <c:idx val="37"/>
              <c:tx>
                <c:rich>
                  <a:bodyPr/>
                  <a:lstStyle/>
                  <a:p>
                    <a:fld id="{F07238AE-A78A-4ED1-94E6-E895FB5B9B5B}" type="CELLRANGE">
                      <a:rPr lang="en-US"/>
                      <a:pPr/>
                      <a:t>[CELLRANGE]</a:t>
                    </a:fld>
                    <a:r>
                      <a:rPr lang="en-US" baseline="0"/>
                      <a:t>
</a:t>
                    </a:r>
                    <a:fld id="{C9788172-72FA-4015-9CBC-79A3ED99528E}"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820-4D82-BE5C-003197FACA09}"/>
                </c:ext>
              </c:extLst>
            </c:dLbl>
            <c:dLbl>
              <c:idx val="38"/>
              <c:tx>
                <c:rich>
                  <a:bodyPr/>
                  <a:lstStyle/>
                  <a:p>
                    <a:fld id="{B1E72A18-91D0-4188-937A-503F40CE4D6A}" type="CELLRANGE">
                      <a:rPr lang="en-US"/>
                      <a:pPr/>
                      <a:t>[CELLRANGE]</a:t>
                    </a:fld>
                    <a:r>
                      <a:rPr lang="en-US" baseline="0"/>
                      <a:t>
</a:t>
                    </a:r>
                    <a:fld id="{8E6253BC-4286-402E-A7EB-DE4026144169}"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820-4D82-BE5C-003197FACA09}"/>
                </c:ext>
              </c:extLst>
            </c:dLbl>
            <c:dLbl>
              <c:idx val="39"/>
              <c:tx>
                <c:rich>
                  <a:bodyPr/>
                  <a:lstStyle/>
                  <a:p>
                    <a:fld id="{AD33EA40-063C-42A2-8279-85C530F47016}" type="CELLRANGE">
                      <a:rPr lang="en-US"/>
                      <a:pPr/>
                      <a:t>[CELLRANGE]</a:t>
                    </a:fld>
                    <a:r>
                      <a:rPr lang="en-US" baseline="0"/>
                      <a:t>
</a:t>
                    </a:r>
                    <a:fld id="{0A47AB7C-6593-4718-BC83-C808E72D7C75}"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820-4D82-BE5C-003197FACA09}"/>
                </c:ext>
              </c:extLst>
            </c:dLbl>
            <c:dLbl>
              <c:idx val="40"/>
              <c:tx>
                <c:rich>
                  <a:bodyPr/>
                  <a:lstStyle/>
                  <a:p>
                    <a:fld id="{FB4C2C1B-0E1F-4B52-94DA-84BA9C6DAB8B}" type="CELLRANGE">
                      <a:rPr lang="en-US"/>
                      <a:pPr/>
                      <a:t>[CELLRANGE]</a:t>
                    </a:fld>
                    <a:r>
                      <a:rPr lang="en-US" baseline="0"/>
                      <a:t>
</a:t>
                    </a:r>
                    <a:fld id="{F10FC983-3AAB-48B7-AF2C-677933CEF17A}"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820-4D82-BE5C-003197FACA09}"/>
                </c:ext>
              </c:extLst>
            </c:dLbl>
            <c:dLbl>
              <c:idx val="41"/>
              <c:tx>
                <c:rich>
                  <a:bodyPr/>
                  <a:lstStyle/>
                  <a:p>
                    <a:fld id="{A68D1A09-5E71-42E9-BA25-5AFED86F7A5B}" type="CELLRANGE">
                      <a:rPr lang="en-US"/>
                      <a:pPr/>
                      <a:t>[CELLRANGE]</a:t>
                    </a:fld>
                    <a:r>
                      <a:rPr lang="en-US" baseline="0"/>
                      <a:t>
</a:t>
                    </a:r>
                    <a:fld id="{9F93CC06-78E4-49F5-8B22-3B1B9B06D1B1}"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820-4D82-BE5C-003197FACA09}"/>
                </c:ext>
              </c:extLst>
            </c:dLbl>
            <c:dLbl>
              <c:idx val="42"/>
              <c:tx>
                <c:rich>
                  <a:bodyPr/>
                  <a:lstStyle/>
                  <a:p>
                    <a:fld id="{F61B54AC-4935-4E3B-B536-DF9E5982325E}" type="CELLRANGE">
                      <a:rPr lang="en-US"/>
                      <a:pPr/>
                      <a:t>[CELLRANGE]</a:t>
                    </a:fld>
                    <a:r>
                      <a:rPr lang="en-US" baseline="0"/>
                      <a:t>
</a:t>
                    </a:r>
                    <a:fld id="{03436B22-9840-44A6-B371-60BBA728A169}"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820-4D82-BE5C-003197FACA09}"/>
                </c:ext>
              </c:extLst>
            </c:dLbl>
            <c:dLbl>
              <c:idx val="43"/>
              <c:tx>
                <c:rich>
                  <a:bodyPr/>
                  <a:lstStyle/>
                  <a:p>
                    <a:fld id="{5BBEE06C-6010-4816-8010-E719BC4D454F}" type="CELLRANGE">
                      <a:rPr lang="en-US"/>
                      <a:pPr/>
                      <a:t>[CELLRANGE]</a:t>
                    </a:fld>
                    <a:r>
                      <a:rPr lang="en-US" baseline="0"/>
                      <a:t>
</a:t>
                    </a:r>
                    <a:fld id="{690FA868-63D9-4E6C-BE3A-CD05A5CA1CB3}"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820-4D82-BE5C-003197FACA09}"/>
                </c:ext>
              </c:extLst>
            </c:dLbl>
            <c:dLbl>
              <c:idx val="44"/>
              <c:tx>
                <c:rich>
                  <a:bodyPr/>
                  <a:lstStyle/>
                  <a:p>
                    <a:fld id="{F2D33B2E-57C1-4379-85EF-6CFDFFF2CEDC}" type="CELLRANGE">
                      <a:rPr lang="en-US"/>
                      <a:pPr/>
                      <a:t>[CELLRANGE]</a:t>
                    </a:fld>
                    <a:r>
                      <a:rPr lang="en-US" baseline="0"/>
                      <a:t>
</a:t>
                    </a:r>
                    <a:fld id="{1A30E70B-34D4-457A-AEB3-2A5300E1A67E}"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1820-4D82-BE5C-003197FACA09}"/>
                </c:ext>
              </c:extLst>
            </c:dLbl>
            <c:dLbl>
              <c:idx val="45"/>
              <c:tx>
                <c:rich>
                  <a:bodyPr/>
                  <a:lstStyle/>
                  <a:p>
                    <a:fld id="{8CC6C5B7-3FF6-464C-B56E-901DD9B42CA6}" type="CELLRANGE">
                      <a:rPr lang="en-US"/>
                      <a:pPr/>
                      <a:t>[CELLRANGE]</a:t>
                    </a:fld>
                    <a:r>
                      <a:rPr lang="en-US" baseline="0"/>
                      <a:t>
</a:t>
                    </a:r>
                    <a:fld id="{70C32051-DB67-4196-BC9E-4E17AE20142C}"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1820-4D82-BE5C-003197FACA09}"/>
                </c:ext>
              </c:extLst>
            </c:dLbl>
            <c:dLbl>
              <c:idx val="46"/>
              <c:tx>
                <c:rich>
                  <a:bodyPr/>
                  <a:lstStyle/>
                  <a:p>
                    <a:fld id="{2061D650-603F-4E3D-8759-EBE3406E9699}" type="CELLRANGE">
                      <a:rPr lang="en-US"/>
                      <a:pPr/>
                      <a:t>[CELLRANGE]</a:t>
                    </a:fld>
                    <a:r>
                      <a:rPr lang="en-US" baseline="0"/>
                      <a:t>
</a:t>
                    </a:r>
                    <a:fld id="{88CC14A7-20AD-4744-87BC-972694909C1E}"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1820-4D82-BE5C-003197FACA09}"/>
                </c:ext>
              </c:extLst>
            </c:dLbl>
            <c:dLbl>
              <c:idx val="47"/>
              <c:tx>
                <c:rich>
                  <a:bodyPr/>
                  <a:lstStyle/>
                  <a:p>
                    <a:fld id="{99390935-16D7-427F-9C08-59F838567519}" type="CELLRANGE">
                      <a:rPr lang="en-US"/>
                      <a:pPr/>
                      <a:t>[CELLRANGE]</a:t>
                    </a:fld>
                    <a:r>
                      <a:rPr lang="en-US" baseline="0"/>
                      <a:t>
</a:t>
                    </a:r>
                    <a:fld id="{74400A4C-0068-4176-B32C-430237C1D0A3}"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1820-4D82-BE5C-003197FACA09}"/>
                </c:ext>
              </c:extLst>
            </c:dLbl>
            <c:dLbl>
              <c:idx val="48"/>
              <c:tx>
                <c:rich>
                  <a:bodyPr/>
                  <a:lstStyle/>
                  <a:p>
                    <a:fld id="{05794FAB-5F8C-41E5-94C3-A574DF32611B}" type="CELLRANGE">
                      <a:rPr lang="en-US"/>
                      <a:pPr/>
                      <a:t>[CELLRANGE]</a:t>
                    </a:fld>
                    <a:r>
                      <a:rPr lang="en-US" baseline="0"/>
                      <a:t>
</a:t>
                    </a:r>
                    <a:fld id="{87D51D7C-43DF-4529-A737-2764217A46FD}"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1820-4D82-BE5C-003197FACA09}"/>
                </c:ext>
              </c:extLst>
            </c:dLbl>
            <c:dLbl>
              <c:idx val="49"/>
              <c:tx>
                <c:rich>
                  <a:bodyPr/>
                  <a:lstStyle/>
                  <a:p>
                    <a:fld id="{7983A315-568F-4261-864F-707B4D15D18C}" type="CELLRANGE">
                      <a:rPr lang="en-US"/>
                      <a:pPr/>
                      <a:t>[CELLRANGE]</a:t>
                    </a:fld>
                    <a:r>
                      <a:rPr lang="en-US" baseline="0"/>
                      <a:t>
</a:t>
                    </a:r>
                    <a:fld id="{B4B8644F-EDAF-4957-8988-6B04141F2EE1}"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1820-4D82-BE5C-003197FACA09}"/>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yVal>
            <c:numRef>
              <c:f>'Graph, Data'!$S$3:$S$52</c:f>
              <c:numCache>
                <c:formatCode>#,##0\ "€"</c:formatCode>
                <c:ptCount val="50"/>
                <c:pt idx="0">
                  <c:v>-1000</c:v>
                </c:pt>
                <c:pt idx="1">
                  <c:v>-1000</c:v>
                </c:pt>
                <c:pt idx="2">
                  <c:v>-1000</c:v>
                </c:pt>
                <c:pt idx="3">
                  <c:v>-1000</c:v>
                </c:pt>
                <c:pt idx="4">
                  <c:v>-1000</c:v>
                </c:pt>
                <c:pt idx="5">
                  <c:v>-1000</c:v>
                </c:pt>
                <c:pt idx="6">
                  <c:v>5863.2154891989057</c:v>
                </c:pt>
                <c:pt idx="7">
                  <c:v>-1000</c:v>
                </c:pt>
                <c:pt idx="8">
                  <c:v>-1000</c:v>
                </c:pt>
                <c:pt idx="9">
                  <c:v>-1000</c:v>
                </c:pt>
                <c:pt idx="10">
                  <c:v>-1000</c:v>
                </c:pt>
                <c:pt idx="11">
                  <c:v>23923.017901297608</c:v>
                </c:pt>
                <c:pt idx="12">
                  <c:v>-1000</c:v>
                </c:pt>
                <c:pt idx="13">
                  <c:v>-1000</c:v>
                </c:pt>
                <c:pt idx="14">
                  <c:v>-1000</c:v>
                </c:pt>
                <c:pt idx="15">
                  <c:v>54136.824356573154</c:v>
                </c:pt>
                <c:pt idx="16">
                  <c:v>-1000</c:v>
                </c:pt>
                <c:pt idx="17">
                  <c:v>-1000</c:v>
                </c:pt>
                <c:pt idx="18">
                  <c:v>-1000</c:v>
                </c:pt>
                <c:pt idx="19">
                  <c:v>107568.79477642351</c:v>
                </c:pt>
                <c:pt idx="20">
                  <c:v>-1000</c:v>
                </c:pt>
                <c:pt idx="21">
                  <c:v>-1000</c:v>
                </c:pt>
                <c:pt idx="22">
                  <c:v>170691.18038458025</c:v>
                </c:pt>
                <c:pt idx="23">
                  <c:v>-1000</c:v>
                </c:pt>
                <c:pt idx="24">
                  <c:v>-1000</c:v>
                </c:pt>
                <c:pt idx="25">
                  <c:v>262355.90042016102</c:v>
                </c:pt>
                <c:pt idx="26">
                  <c:v>-1000</c:v>
                </c:pt>
                <c:pt idx="27">
                  <c:v>-1000</c:v>
                </c:pt>
                <c:pt idx="28">
                  <c:v>393646.11141045089</c:v>
                </c:pt>
                <c:pt idx="29">
                  <c:v>-1000</c:v>
                </c:pt>
                <c:pt idx="30">
                  <c:v>-1000</c:v>
                </c:pt>
                <c:pt idx="31">
                  <c:v>579683.29591302422</c:v>
                </c:pt>
                <c:pt idx="32">
                  <c:v>-1000</c:v>
                </c:pt>
                <c:pt idx="33">
                  <c:v>744006.01797619066</c:v>
                </c:pt>
                <c:pt idx="34">
                  <c:v>-1000</c:v>
                </c:pt>
                <c:pt idx="35">
                  <c:v>-1000</c:v>
                </c:pt>
                <c:pt idx="36">
                  <c:v>1070547.6203064397</c:v>
                </c:pt>
                <c:pt idx="37">
                  <c:v>-1000</c:v>
                </c:pt>
                <c:pt idx="38">
                  <c:v>-1000</c:v>
                </c:pt>
                <c:pt idx="39">
                  <c:v>-1000</c:v>
                </c:pt>
                <c:pt idx="40">
                  <c:v>1711358.4720642939</c:v>
                </c:pt>
                <c:pt idx="41">
                  <c:v>-1000</c:v>
                </c:pt>
                <c:pt idx="42">
                  <c:v>-1000</c:v>
                </c:pt>
                <c:pt idx="43">
                  <c:v>-1000</c:v>
                </c:pt>
                <c:pt idx="44">
                  <c:v>2695985.493185631</c:v>
                </c:pt>
                <c:pt idx="45">
                  <c:v>-1000</c:v>
                </c:pt>
                <c:pt idx="46">
                  <c:v>-1000</c:v>
                </c:pt>
                <c:pt idx="47">
                  <c:v>3761604.8115302515</c:v>
                </c:pt>
                <c:pt idx="48">
                  <c:v>-1000</c:v>
                </c:pt>
                <c:pt idx="49">
                  <c:v>-1000</c:v>
                </c:pt>
              </c:numCache>
            </c:numRef>
          </c:yVal>
          <c:smooth val="0"/>
          <c:extLst>
            <c:ext xmlns:c15="http://schemas.microsoft.com/office/drawing/2012/chart" uri="{02D57815-91ED-43cb-92C2-25804820EDAC}">
              <c15:datalabelsRange>
                <c15:f>'Graph, Data'!$Q$3:$Q$52</c15:f>
                <c15:dlblRangeCache>
                  <c:ptCount val="50"/>
                  <c:pt idx="0">
                    <c:v>0%</c:v>
                  </c:pt>
                  <c:pt idx="1">
                    <c:v>2%</c:v>
                  </c:pt>
                  <c:pt idx="2">
                    <c:v>4%</c:v>
                  </c:pt>
                  <c:pt idx="3">
                    <c:v>5%</c:v>
                  </c:pt>
                  <c:pt idx="4">
                    <c:v>7%</c:v>
                  </c:pt>
                  <c:pt idx="5">
                    <c:v>9%</c:v>
                  </c:pt>
                  <c:pt idx="6">
                    <c:v>11%</c:v>
                  </c:pt>
                  <c:pt idx="7">
                    <c:v>13%</c:v>
                  </c:pt>
                  <c:pt idx="8">
                    <c:v>15%</c:v>
                  </c:pt>
                  <c:pt idx="9">
                    <c:v>17%</c:v>
                  </c:pt>
                  <c:pt idx="10">
                    <c:v>20%</c:v>
                  </c:pt>
                  <c:pt idx="11">
                    <c:v>22%</c:v>
                  </c:pt>
                  <c:pt idx="12">
                    <c:v>24%</c:v>
                  </c:pt>
                  <c:pt idx="13">
                    <c:v>27%</c:v>
                  </c:pt>
                  <c:pt idx="14">
                    <c:v>29%</c:v>
                  </c:pt>
                  <c:pt idx="15">
                    <c:v>32%</c:v>
                  </c:pt>
                  <c:pt idx="16">
                    <c:v>34%</c:v>
                  </c:pt>
                  <c:pt idx="17">
                    <c:v>37%</c:v>
                  </c:pt>
                  <c:pt idx="18">
                    <c:v>39%</c:v>
                  </c:pt>
                  <c:pt idx="19">
                    <c:v>42%</c:v>
                  </c:pt>
                  <c:pt idx="20">
                    <c:v>45%</c:v>
                  </c:pt>
                  <c:pt idx="21">
                    <c:v>48%</c:v>
                  </c:pt>
                  <c:pt idx="22">
                    <c:v>51%</c:v>
                  </c:pt>
                  <c:pt idx="23">
                    <c:v>54%</c:v>
                  </c:pt>
                  <c:pt idx="24">
                    <c:v>57%</c:v>
                  </c:pt>
                  <c:pt idx="25">
                    <c:v>61%</c:v>
                  </c:pt>
                  <c:pt idx="26">
                    <c:v>64%</c:v>
                  </c:pt>
                  <c:pt idx="27">
                    <c:v>68%</c:v>
                  </c:pt>
                  <c:pt idx="28">
                    <c:v>71%</c:v>
                  </c:pt>
                  <c:pt idx="29">
                    <c:v>75%</c:v>
                  </c:pt>
                  <c:pt idx="30">
                    <c:v>79%</c:v>
                  </c:pt>
                  <c:pt idx="31">
                    <c:v>82%</c:v>
                  </c:pt>
                  <c:pt idx="32">
                    <c:v>86%</c:v>
                  </c:pt>
                  <c:pt idx="33">
                    <c:v>90%</c:v>
                  </c:pt>
                  <c:pt idx="34">
                    <c:v>95%</c:v>
                  </c:pt>
                  <c:pt idx="35">
                    <c:v>99%</c:v>
                  </c:pt>
                  <c:pt idx="36">
                    <c:v>103%</c:v>
                  </c:pt>
                  <c:pt idx="37">
                    <c:v>108%</c:v>
                  </c:pt>
                  <c:pt idx="38">
                    <c:v>112%</c:v>
                  </c:pt>
                  <c:pt idx="39">
                    <c:v>117%</c:v>
                  </c:pt>
                  <c:pt idx="40">
                    <c:v>122%</c:v>
                  </c:pt>
                  <c:pt idx="41">
                    <c:v>127%</c:v>
                  </c:pt>
                  <c:pt idx="42">
                    <c:v>132%</c:v>
                  </c:pt>
                  <c:pt idx="43">
                    <c:v>138%</c:v>
                  </c:pt>
                  <c:pt idx="44">
                    <c:v>143%</c:v>
                  </c:pt>
                  <c:pt idx="45">
                    <c:v>149%</c:v>
                  </c:pt>
                  <c:pt idx="46">
                    <c:v>154%</c:v>
                  </c:pt>
                  <c:pt idx="47">
                    <c:v>160%</c:v>
                  </c:pt>
                  <c:pt idx="48">
                    <c:v>166%</c:v>
                  </c:pt>
                  <c:pt idx="49">
                    <c:v>172%</c:v>
                  </c:pt>
                </c15:dlblRangeCache>
              </c15:datalabelsRange>
            </c:ext>
            <c:ext xmlns:c16="http://schemas.microsoft.com/office/drawing/2014/chart" uri="{C3380CC4-5D6E-409C-BE32-E72D297353CC}">
              <c16:uniqueId val="{00000003-5C81-4D6B-B87A-6B205B601CD3}"/>
            </c:ext>
          </c:extLst>
        </c:ser>
        <c:dLbls>
          <c:showLegendKey val="0"/>
          <c:showVal val="0"/>
          <c:showCatName val="0"/>
          <c:showSerName val="0"/>
          <c:showPercent val="0"/>
          <c:showBubbleSize val="0"/>
        </c:dLbls>
        <c:axId val="1885874191"/>
        <c:axId val="1760485823"/>
      </c:scatter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209152181617051E-2"/>
          <c:y val="3.6445397204930528E-2"/>
          <c:w val="0.89807255516472162"/>
          <c:h val="0.84338785851426412"/>
        </c:manualLayout>
      </c:layout>
      <c:lineChart>
        <c:grouping val="standard"/>
        <c:varyColors val="0"/>
        <c:ser>
          <c:idx val="10"/>
          <c:order val="5"/>
          <c:tx>
            <c:strRef>
              <c:f>'Graph, Data'!$F$2</c:f>
              <c:strCache>
                <c:ptCount val="1"/>
                <c:pt idx="0">
                  <c:v>Savings (Real, adj. per year)</c:v>
                </c:pt>
              </c:strCache>
            </c:strRef>
          </c:tx>
          <c:spPr>
            <a:ln w="28575" cap="rnd">
              <a:solidFill>
                <a:schemeClr val="accent6">
                  <a:lumMod val="75000"/>
                </a:schemeClr>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Data'!$F$3:$F$52</c:f>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c:ext xmlns:c16="http://schemas.microsoft.com/office/drawing/2014/chart" uri="{C3380CC4-5D6E-409C-BE32-E72D297353CC}">
              <c16:uniqueId val="{00000004-3886-47BD-84D4-19031A564BD7}"/>
            </c:ext>
          </c:extLst>
        </c:ser>
        <c:ser>
          <c:idx val="8"/>
          <c:order val="6"/>
          <c:tx>
            <c:strRef>
              <c:f>'Graph, Data'!$K$2</c:f>
              <c:strCache>
                <c:ptCount val="1"/>
                <c:pt idx="0">
                  <c:v>Net Present value (real)</c:v>
                </c:pt>
              </c:strCache>
            </c:strRef>
          </c:tx>
          <c:spPr>
            <a:ln w="28575" cap="rnd">
              <a:solidFill>
                <a:srgbClr val="7F2498"/>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Data'!$K$3:$K$52</c:f>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c:ext xmlns:c16="http://schemas.microsoft.com/office/drawing/2014/chart" uri="{C3380CC4-5D6E-409C-BE32-E72D297353CC}">
              <c16:uniqueId val="{00000005-3886-47BD-84D4-19031A564BD7}"/>
            </c:ext>
          </c:extLst>
        </c:ser>
        <c:ser>
          <c:idx val="9"/>
          <c:order val="7"/>
          <c:tx>
            <c:strRef>
              <c:f>'Graph, Data'!$M$2</c:f>
              <c:strCache>
                <c:ptCount val="1"/>
                <c:pt idx="0">
                  <c:v>Tax (real)</c:v>
                </c:pt>
              </c:strCache>
            </c:strRef>
          </c:tx>
          <c:spPr>
            <a:ln w="28575" cap="rnd">
              <a:solidFill>
                <a:srgbClr val="C00000"/>
              </a:solidFill>
              <a:prstDash val="sysDot"/>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Data'!$M$3:$M$52</c:f>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c:ext xmlns:c16="http://schemas.microsoft.com/office/drawing/2014/chart" uri="{C3380CC4-5D6E-409C-BE32-E72D297353CC}">
              <c16:uniqueId val="{00000006-3886-47BD-84D4-19031A564BD7}"/>
            </c:ext>
          </c:extLst>
        </c:ser>
        <c:ser>
          <c:idx val="12"/>
          <c:order val="9"/>
          <c:tx>
            <c:strRef>
              <c:f>'Graph, Data'!$O$2</c:f>
              <c:strCache>
                <c:ptCount val="1"/>
                <c:pt idx="0">
                  <c:v>Net Capital gain(Real)</c:v>
                </c:pt>
              </c:strCache>
            </c:strRef>
          </c:tx>
          <c:spPr>
            <a:ln w="28575" cap="rnd">
              <a:solidFill>
                <a:schemeClr val="accent1">
                  <a:lumMod val="80000"/>
                  <a:lumOff val="20000"/>
                </a:schemeClr>
              </a:solidFill>
              <a:prstDash val="dash"/>
              <a:round/>
            </a:ln>
            <a:effectLst/>
          </c:spPr>
          <c:marker>
            <c:symbol val="none"/>
          </c:marker>
          <c:val>
            <c:numRef>
              <c:f>'Graph, Data'!$O$3:$O$52</c:f>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c:ext xmlns:c16="http://schemas.microsoft.com/office/drawing/2014/chart" uri="{C3380CC4-5D6E-409C-BE32-E72D297353CC}">
              <c16:uniqueId val="{00000007-3886-47BD-84D4-19031A564BD7}"/>
            </c:ext>
          </c:extLst>
        </c:ser>
        <c:dLbls>
          <c:showLegendKey val="0"/>
          <c:showVal val="0"/>
          <c:showCatName val="0"/>
          <c:showSerName val="0"/>
          <c:showPercent val="0"/>
          <c:showBubbleSize val="0"/>
        </c:dLbls>
        <c:marker val="1"/>
        <c:smooth val="0"/>
        <c:axId val="1885874191"/>
        <c:axId val="1760485823"/>
        <c:extLst>
          <c:ext xmlns:c15="http://schemas.microsoft.com/office/drawing/2012/chart" uri="{02D57815-91ED-43cb-92C2-25804820EDAC}">
            <c15:filteredLineSeries>
              <c15:ser>
                <c:idx val="0"/>
                <c:order val="0"/>
                <c:tx>
                  <c:strRef>
                    <c:extLst>
                      <c:ext uri="{02D57815-91ED-43cb-92C2-25804820EDAC}">
                        <c15:formulaRef>
                          <c15:sqref>'Graph, Data'!$D$2</c15:sqref>
                        </c15:formulaRef>
                      </c:ext>
                    </c:extLst>
                    <c:strCache>
                      <c:ptCount val="1"/>
                      <c:pt idx="0">
                        <c:v>Savings (Nominal)</c:v>
                      </c:pt>
                    </c:strCache>
                  </c:strRef>
                </c:tx>
                <c:spPr>
                  <a:ln w="28575" cap="rnd">
                    <a:solidFill>
                      <a:schemeClr val="accent6">
                        <a:lumMod val="75000"/>
                      </a:schemeClr>
                    </a:solidFill>
                    <a:prstDash val="dash"/>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Data'!$D$3:$D$52</c15:sqref>
                        </c15:formulaRef>
                      </c:ext>
                    </c:extLst>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3B-3886-47BD-84D4-19031A564BD7}"/>
                  </c:ext>
                </c:extLst>
              </c15:ser>
            </c15:filteredLineSeries>
            <c15:filteredLineSeries>
              <c15:ser>
                <c:idx val="7"/>
                <c:order val="2"/>
                <c:tx>
                  <c:strRef>
                    <c:extLst xmlns:c15="http://schemas.microsoft.com/office/drawing/2012/chart">
                      <c:ext xmlns:c15="http://schemas.microsoft.com/office/drawing/2012/chart" uri="{02D57815-91ED-43cb-92C2-25804820EDAC}">
                        <c15:formulaRef>
                          <c15:sqref>'Graph, Data'!$G$2</c15:sqref>
                        </c15:formulaRef>
                      </c:ext>
                    </c:extLst>
                    <c:strCache>
                      <c:ptCount val="1"/>
                      <c:pt idx="0">
                        <c:v>Future value (Nominal)</c:v>
                      </c:pt>
                    </c:strCache>
                  </c:strRef>
                </c:tx>
                <c:spPr>
                  <a:ln w="28575" cap="rnd">
                    <a:solidFill>
                      <a:schemeClr val="accent1"/>
                    </a:solidFill>
                    <a:prstDash val="dash"/>
                    <a:round/>
                  </a:ln>
                  <a:effectLst/>
                </c:spPr>
                <c:marker>
                  <c:symbol val="none"/>
                </c:marker>
                <c:dPt>
                  <c:idx val="1"/>
                  <c:marker>
                    <c:symbol val="none"/>
                  </c:marker>
                  <c:bubble3D val="0"/>
                  <c:extLst xmlns:c15="http://schemas.microsoft.com/office/drawing/2012/chart">
                    <c:ext xmlns:c16="http://schemas.microsoft.com/office/drawing/2014/chart" uri="{C3380CC4-5D6E-409C-BE32-E72D297353CC}">
                      <c16:uniqueId val="{0000003D-3886-47BD-84D4-19031A564BD7}"/>
                    </c:ext>
                  </c:extLst>
                </c:dPt>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Data'!$G$3:$G$52</c15:sqref>
                        </c15:formulaRef>
                      </c:ext>
                    </c:extLst>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xmlns:c15="http://schemas.microsoft.com/office/drawing/2012/chart">
                  <c:ext xmlns:c16="http://schemas.microsoft.com/office/drawing/2014/chart" uri="{C3380CC4-5D6E-409C-BE32-E72D297353CC}">
                    <c16:uniqueId val="{0000003E-3886-47BD-84D4-19031A564BD7}"/>
                  </c:ext>
                </c:extLst>
              </c15:ser>
            </c15:filteredLineSeries>
            <c15:filteredLineSeries>
              <c15:ser>
                <c:idx val="6"/>
                <c:order val="3"/>
                <c:tx>
                  <c:strRef>
                    <c:extLst xmlns:c15="http://schemas.microsoft.com/office/drawing/2012/chart">
                      <c:ext xmlns:c15="http://schemas.microsoft.com/office/drawing/2012/chart" uri="{02D57815-91ED-43cb-92C2-25804820EDAC}">
                        <c15:formulaRef>
                          <c15:sqref>'Graph, Data'!$L$2</c15:sqref>
                        </c15:formulaRef>
                      </c:ext>
                    </c:extLst>
                    <c:strCache>
                      <c:ptCount val="1"/>
                      <c:pt idx="0">
                        <c:v>Tax (Nominal)</c:v>
                      </c:pt>
                    </c:strCache>
                  </c:strRef>
                </c:tx>
                <c:spPr>
                  <a:ln w="28575" cap="rnd">
                    <a:solidFill>
                      <a:srgbClr val="C00000"/>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Data'!$L$3:$L$52</c15:sqref>
                        </c15:formulaRef>
                      </c:ext>
                    </c:extLst>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xmlns:c15="http://schemas.microsoft.com/office/drawing/2012/chart">
                  <c:ext xmlns:c16="http://schemas.microsoft.com/office/drawing/2014/chart" uri="{C3380CC4-5D6E-409C-BE32-E72D297353CC}">
                    <c16:uniqueId val="{0000003F-3886-47BD-84D4-19031A564BD7}"/>
                  </c:ext>
                </c:extLst>
              </c15:ser>
            </c15:filteredLineSeries>
            <c15:filteredLineSeries>
              <c15:ser>
                <c:idx val="5"/>
                <c:order val="4"/>
                <c:tx>
                  <c:strRef>
                    <c:extLst xmlns:c15="http://schemas.microsoft.com/office/drawing/2012/chart">
                      <c:ext xmlns:c15="http://schemas.microsoft.com/office/drawing/2012/chart" uri="{02D57815-91ED-43cb-92C2-25804820EDAC}">
                        <c15:formulaRef>
                          <c15:sqref>'Graph, Data'!$J$2</c15:sqref>
                        </c15:formulaRef>
                      </c:ext>
                    </c:extLst>
                    <c:strCache>
                      <c:ptCount val="1"/>
                      <c:pt idx="0">
                        <c:v>Present value (Real)</c:v>
                      </c:pt>
                    </c:strCache>
                  </c:strRef>
                </c:tx>
                <c:spPr>
                  <a:ln w="28575" cap="rnd">
                    <a:solidFill>
                      <a:schemeClr val="accent4">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Data'!$J$3:$J$52</c15:sqref>
                        </c15:formulaRef>
                      </c:ext>
                    </c:extLst>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xmlns:c15="http://schemas.microsoft.com/office/drawing/2012/chart">
                  <c:ext xmlns:c16="http://schemas.microsoft.com/office/drawing/2014/chart" uri="{C3380CC4-5D6E-409C-BE32-E72D297353CC}">
                    <c16:uniqueId val="{00000003-3886-47BD-84D4-19031A564BD7}"/>
                  </c:ext>
                </c:extLst>
              </c15:ser>
            </c15:filteredLineSeries>
            <c15:filteredLineSeries>
              <c15:ser>
                <c:idx val="11"/>
                <c:order val="8"/>
                <c:tx>
                  <c:strRef>
                    <c:extLst xmlns:c15="http://schemas.microsoft.com/office/drawing/2012/chart">
                      <c:ext xmlns:c15="http://schemas.microsoft.com/office/drawing/2012/chart" uri="{02D57815-91ED-43cb-92C2-25804820EDAC}">
                        <c15:formulaRef>
                          <c15:sqref>'Graph, Data'!$N$2</c15:sqref>
                        </c15:formulaRef>
                      </c:ext>
                    </c:extLst>
                    <c:strCache>
                      <c:ptCount val="1"/>
                      <c:pt idx="0">
                        <c:v>Capital Gain (Nominal)</c:v>
                      </c:pt>
                    </c:strCache>
                  </c:strRef>
                </c:tx>
                <c:spPr>
                  <a:ln w="28575" cap="rnd">
                    <a:solidFill>
                      <a:schemeClr val="accent6">
                        <a:lumMod val="60000"/>
                      </a:schemeClr>
                    </a:solidFill>
                    <a:prstDash val="dash"/>
                    <a:round/>
                  </a:ln>
                  <a:effectLst/>
                </c:spPr>
                <c:marker>
                  <c:symbol val="none"/>
                </c:marker>
                <c:val>
                  <c:numRef>
                    <c:extLst xmlns:c15="http://schemas.microsoft.com/office/drawing/2012/chart">
                      <c:ext xmlns:c15="http://schemas.microsoft.com/office/drawing/2012/chart" uri="{02D57815-91ED-43cb-92C2-25804820EDAC}">
                        <c15:formulaRef>
                          <c15:sqref>'Graph, Data'!$N$3:$N$52</c15:sqref>
                        </c15:formulaRef>
                      </c:ext>
                    </c:extLst>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xmlns:c15="http://schemas.microsoft.com/office/drawing/2012/chart">
                  <c:ext xmlns:c16="http://schemas.microsoft.com/office/drawing/2014/chart" uri="{C3380CC4-5D6E-409C-BE32-E72D297353CC}">
                    <c16:uniqueId val="{00000040-3886-47BD-84D4-19031A564BD7}"/>
                  </c:ext>
                </c:extLst>
              </c15:ser>
            </c15:filteredLineSeries>
          </c:ext>
        </c:extLst>
      </c:lineChart>
      <c:lineChart>
        <c:grouping val="stacked"/>
        <c:varyColors val="0"/>
        <c:ser>
          <c:idx val="4"/>
          <c:order val="1"/>
          <c:tx>
            <c:strRef>
              <c:f>'Graph, Data'!$E$2</c:f>
              <c:strCache>
                <c:ptCount val="1"/>
                <c:pt idx="0">
                  <c:v>Savings* (real, full inflation* max year)</c:v>
                </c:pt>
              </c:strCache>
              <c:extLst xmlns:c15="http://schemas.microsoft.com/office/drawing/2012/chart"/>
            </c:strRef>
          </c:tx>
          <c:spPr>
            <a:ln w="28575" cap="rnd">
              <a:solidFill>
                <a:srgbClr val="C00000"/>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extLst xmlns:c15="http://schemas.microsoft.com/office/drawing/2012/chart"/>
            </c:numRef>
          </c:cat>
          <c:val>
            <c:numRef>
              <c:f>'Graph, Data'!$E$4:$E$52</c:f>
              <c:numCache>
                <c:formatCode>#,##0\ "€"</c:formatCode>
                <c:ptCount val="49"/>
                <c:pt idx="0">
                  <c:v>12292.682926829269</c:v>
                </c:pt>
                <c:pt idx="1">
                  <c:v>18903.033908387864</c:v>
                </c:pt>
                <c:pt idx="2">
                  <c:v>25857.779196471329</c:v>
                </c:pt>
                <c:pt idx="3">
                  <c:v>33185.515689401916</c:v>
                </c:pt>
                <c:pt idx="4">
                  <c:v>40916.849880137204</c:v>
                </c:pt>
                <c:pt idx="5">
                  <c:v>49084.546920788329</c:v>
                </c:pt>
                <c:pt idx="6">
                  <c:v>57723.690545005069</c:v>
                </c:pt>
                <c:pt idx="7">
                  <c:v>66871.854643908388</c:v>
                </c:pt>
                <c:pt idx="8">
                  <c:v>76569.287349441758</c:v>
                </c:pt>
                <c:pt idx="9">
                  <c:v>86859.108541462585</c:v>
                </c:pt>
                <c:pt idx="10">
                  <c:v>97787.521761915341</c:v>
                </c:pt>
                <c:pt idx="11">
                  <c:v>109404.04159135175</c:v>
                </c:pt>
                <c:pt idx="12">
                  <c:v>121761.73762025248</c:v>
                </c:pt>
                <c:pt idx="13">
                  <c:v>134917.49623044051</c:v>
                </c:pt>
                <c:pt idx="14">
                  <c:v>148932.30149077493</c:v>
                </c:pt>
                <c:pt idx="15">
                  <c:v>163871.53656671837</c:v>
                </c:pt>
                <c:pt idx="16">
                  <c:v>179805.30714575507</c:v>
                </c:pt>
                <c:pt idx="17">
                  <c:v>196808.7884905152</c:v>
                </c:pt>
                <c:pt idx="18">
                  <c:v>214962.59784937862</c:v>
                </c:pt>
                <c:pt idx="19">
                  <c:v>234353.19408087642</c:v>
                </c:pt>
                <c:pt idx="20">
                  <c:v>255073.30648401671</c:v>
                </c:pt>
                <c:pt idx="21">
                  <c:v>277222.39497240388</c:v>
                </c:pt>
                <c:pt idx="22">
                  <c:v>300907.14388643048</c:v>
                </c:pt>
                <c:pt idx="23">
                  <c:v>326241.99190567265</c:v>
                </c:pt>
                <c:pt idx="24">
                  <c:v>353349.7007037591</c:v>
                </c:pt>
                <c:pt idx="25">
                  <c:v>382361.96518129832</c:v>
                </c:pt>
                <c:pt idx="26">
                  <c:v>413420.06831991393</c:v>
                </c:pt>
                <c:pt idx="27">
                  <c:v>446675.58392308059</c:v>
                </c:pt>
                <c:pt idx="28">
                  <c:v>482291.13074838847</c:v>
                </c:pt>
                <c:pt idx="29">
                  <c:v>520441.18179228337</c:v>
                </c:pt>
                <c:pt idx="30">
                  <c:v>561312.93276350957</c:v>
                </c:pt>
                <c:pt idx="31">
                  <c:v>605107.23407680483</c:v>
                </c:pt>
                <c:pt idx="32">
                  <c:v>652039.59101531154</c:v>
                </c:pt>
                <c:pt idx="33">
                  <c:v>702341.2370503014</c:v>
                </c:pt>
                <c:pt idx="34">
                  <c:v>756260.2856717963</c:v>
                </c:pt>
                <c:pt idx="35">
                  <c:v>814062.96647539304</c:v>
                </c:pt>
                <c:pt idx="36">
                  <c:v>876034.95167096541</c:v>
                </c:pt>
                <c:pt idx="37">
                  <c:v>942482.77963004948</c:v>
                </c:pt>
                <c:pt idx="38">
                  <c:v>1013735.3825728676</c:v>
                </c:pt>
                <c:pt idx="39">
                  <c:v>1090145.7260155084</c:v>
                </c:pt>
                <c:pt idx="40">
                  <c:v>1172092.568155362</c:v>
                </c:pt>
                <c:pt idx="41">
                  <c:v>1259982.3479713099</c:v>
                </c:pt>
                <c:pt idx="42">
                  <c:v>1354251.2114573198</c:v>
                </c:pt>
                <c:pt idx="43">
                  <c:v>1455367.1860972662</c:v>
                </c:pt>
                <c:pt idx="44">
                  <c:v>1563832.5144283765</c:v>
                </c:pt>
                <c:pt idx="45">
                  <c:v>1680186.1583344084</c:v>
                </c:pt>
                <c:pt idx="46">
                  <c:v>1805006.4865614276</c:v>
                </c:pt>
                <c:pt idx="47">
                  <c:v>1938914.1588631754</c:v>
                </c:pt>
                <c:pt idx="48">
                  <c:v>2082575.2211639886</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3C-3886-47BD-84D4-19031A564BD7}"/>
            </c:ext>
          </c:extLst>
        </c:ser>
        <c:dLbls>
          <c:showLegendKey val="0"/>
          <c:showVal val="0"/>
          <c:showCatName val="0"/>
          <c:showSerName val="0"/>
          <c:showPercent val="0"/>
          <c:showBubbleSize val="0"/>
        </c:dLbls>
        <c:marker val="1"/>
        <c:smooth val="0"/>
        <c:axId val="1885874191"/>
        <c:axId val="1760485823"/>
        <c:extLst>
          <c:ext xmlns:c15="http://schemas.microsoft.com/office/drawing/2012/chart" uri="{02D57815-91ED-43cb-92C2-25804820EDAC}">
            <c15:filteredLineSeries>
              <c15:ser>
                <c:idx val="14"/>
                <c:order val="11"/>
                <c:tx>
                  <c:strRef>
                    <c:extLst>
                      <c:ext uri="{02D57815-91ED-43cb-92C2-25804820EDAC}">
                        <c15:formulaRef>
                          <c15:sqref>'Graph, Data'!$Q$2</c15:sqref>
                        </c15:formulaRef>
                      </c:ext>
                    </c:extLst>
                    <c:strCache>
                      <c:ptCount val="1"/>
                      <c:pt idx="0">
                        <c:v>Real Capital gain/Savings (adj. per year)</c:v>
                      </c:pt>
                    </c:strCache>
                  </c:strRef>
                </c:tx>
                <c:spPr>
                  <a:ln w="28575" cap="rnd">
                    <a:solidFill>
                      <a:schemeClr val="accent3">
                        <a:lumMod val="80000"/>
                        <a:lumOff val="20000"/>
                      </a:schemeClr>
                    </a:solidFill>
                    <a:prstDash val="sysDash"/>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val>
                  <c:numRef>
                    <c:extLst>
                      <c:ext uri="{02D57815-91ED-43cb-92C2-25804820EDAC}">
                        <c15:formulaRef>
                          <c15:sqref>'Graph, Data'!$Q$3:$Q$52</c15:sqref>
                        </c15:formulaRef>
                      </c:ext>
                    </c:extLst>
                    <c:numCache>
                      <c:formatCode>0%</c:formatCode>
                      <c:ptCount val="50"/>
                      <c:pt idx="0">
                        <c:v>0</c:v>
                      </c:pt>
                      <c:pt idx="1">
                        <c:v>1.7551058822118475E-2</c:v>
                      </c:pt>
                      <c:pt idx="2">
                        <c:v>3.5511350966620787E-2</c:v>
                      </c:pt>
                      <c:pt idx="3">
                        <c:v>5.3900051823008624E-2</c:v>
                      </c:pt>
                      <c:pt idx="4">
                        <c:v>7.2736433532668274E-2</c:v>
                      </c:pt>
                      <c:pt idx="5">
                        <c:v>9.2039863291634355E-2</c:v>
                      </c:pt>
                      <c:pt idx="6">
                        <c:v>0.11182980223571361</c:v>
                      </c:pt>
                      <c:pt idx="7">
                        <c:v>0.13212580495804521</c:v>
                      </c:pt>
                      <c:pt idx="8">
                        <c:v>0.15294751970545414</c:v>
                      </c:pt>
                      <c:pt idx="9">
                        <c:v>0.17431468929561858</c:v>
                      </c:pt>
                      <c:pt idx="10">
                        <c:v>0.19624715279244956</c:v>
                      </c:pt>
                      <c:pt idx="11">
                        <c:v>0.21876484797224136</c:v>
                      </c:pt>
                      <c:pt idx="12">
                        <c:v>0.24188781460816253</c:v>
                      </c:pt>
                      <c:pt idx="13">
                        <c:v>0.26563619859558479</c:v>
                      </c:pt>
                      <c:pt idx="14">
                        <c:v>0.29003025693563678</c:v>
                      </c:pt>
                      <c:pt idx="15">
                        <c:v>0.31509036358929177</c:v>
                      </c:pt>
                      <c:pt idx="16">
                        <c:v>0.34083701620930584</c:v>
                      </c:pt>
                      <c:pt idx="17">
                        <c:v>0.36729084375246007</c:v>
                      </c:pt>
                      <c:pt idx="18">
                        <c:v>0.39447261496989294</c:v>
                      </c:pt>
                      <c:pt idx="19">
                        <c:v>0.42240324776886529</c:v>
                      </c:pt>
                      <c:pt idx="20">
                        <c:v>0.45110381943512928</c:v>
                      </c:pt>
                      <c:pt idx="21">
                        <c:v>0.48059557770120903</c:v>
                      </c:pt>
                      <c:pt idx="22">
                        <c:v>0.51089995264236976</c:v>
                      </c:pt>
                      <c:pt idx="23">
                        <c:v>0.54203856937888328</c:v>
                      </c:pt>
                      <c:pt idx="24">
                        <c:v>0.57403326156039769</c:v>
                      </c:pt>
                      <c:pt idx="25">
                        <c:v>0.6069060856058216</c:v>
                      </c:pt>
                      <c:pt idx="26">
                        <c:v>0.64067933567011193</c:v>
                      </c:pt>
                      <c:pt idx="27">
                        <c:v>0.67537555930774895</c:v>
                      </c:pt>
                      <c:pt idx="28">
                        <c:v>0.71101757380145381</c:v>
                      </c:pt>
                      <c:pt idx="29">
                        <c:v>0.74762848312386865</c:v>
                      </c:pt>
                      <c:pt idx="30">
                        <c:v>0.78523169549945582</c:v>
                      </c:pt>
                      <c:pt idx="31">
                        <c:v>0.82385094153375515</c:v>
                      </c:pt>
                      <c:pt idx="32">
                        <c:v>0.8635102928773738</c:v>
                      </c:pt>
                      <c:pt idx="33">
                        <c:v>0.90423418139261036</c:v>
                      </c:pt>
                      <c:pt idx="34">
                        <c:v>0.94604741879145582</c:v>
                      </c:pt>
                      <c:pt idx="35">
                        <c:v>0.98897521671479716</c:v>
                      </c:pt>
                      <c:pt idx="36">
                        <c:v>1.0330432072239839</c:v>
                      </c:pt>
                      <c:pt idx="37">
                        <c:v>1.078277463677455</c:v>
                      </c:pt>
                      <c:pt idx="38">
                        <c:v>1.1247045219668348</c:v>
                      </c:pt>
                      <c:pt idx="39">
                        <c:v>1.1723514020887951</c:v>
                      </c:pt>
                      <c:pt idx="40">
                        <c:v>1.2212456300309626</c:v>
                      </c:pt>
                      <c:pt idx="41">
                        <c:v>1.2714152599522559</c:v>
                      </c:pt>
                      <c:pt idx="42">
                        <c:v>1.322888896640209</c:v>
                      </c:pt>
                      <c:pt idx="43">
                        <c:v>1.3756957182300613</c:v>
                      </c:pt>
                      <c:pt idx="44">
                        <c:v>1.429865499172648</c:v>
                      </c:pt>
                      <c:pt idx="45">
                        <c:v>1.485428633440373</c:v>
                      </c:pt>
                      <c:pt idx="46">
                        <c:v>1.5424161579628297</c:v>
                      </c:pt>
                      <c:pt idx="47">
                        <c:v>1.6008597762858094</c:v>
                      </c:pt>
                      <c:pt idx="48">
                        <c:v>1.6607918824496677</c:v>
                      </c:pt>
                      <c:pt idx="49">
                        <c:v>1.7222455850851068</c:v>
                      </c:pt>
                    </c:numCache>
                  </c:numRef>
                </c:val>
                <c:smooth val="0"/>
                <c:extLst>
                  <c:ext xmlns:c16="http://schemas.microsoft.com/office/drawing/2014/chart" uri="{C3380CC4-5D6E-409C-BE32-E72D297353CC}">
                    <c16:uniqueId val="{00000041-3886-47BD-84D4-19031A564BD7}"/>
                  </c:ext>
                </c:extLst>
              </c15:ser>
            </c15:filteredLineSeries>
          </c:ext>
        </c:extLst>
      </c:lineChart>
      <c:scatterChart>
        <c:scatterStyle val="lineMarker"/>
        <c:varyColors val="0"/>
        <c:ser>
          <c:idx val="13"/>
          <c:order val="10"/>
          <c:tx>
            <c:strRef>
              <c:f>'Graph, Data'!$S$2</c:f>
              <c:strCache>
                <c:ptCount val="1"/>
                <c:pt idx="0">
                  <c:v>+10% Net Gain/Savings (real, adj.)'</c:v>
                </c:pt>
              </c:strCache>
            </c:strRef>
          </c:tx>
          <c:spPr>
            <a:ln w="25400" cap="rnd">
              <a:noFill/>
              <a:round/>
            </a:ln>
            <a:effectLst/>
          </c:spPr>
          <c:marker>
            <c:symbol val="circle"/>
            <c:size val="9"/>
            <c:spPr>
              <a:solidFill>
                <a:schemeClr val="accent1"/>
              </a:solidFill>
              <a:ln w="9525">
                <a:noFill/>
              </a:ln>
              <a:effectLst/>
            </c:spPr>
          </c:marker>
          <c:dLbls>
            <c:dLbl>
              <c:idx val="0"/>
              <c:tx>
                <c:rich>
                  <a:bodyPr/>
                  <a:lstStyle/>
                  <a:p>
                    <a:fld id="{81589380-AE82-428E-8330-E489B705F322}" type="CELLRANGE">
                      <a:rPr lang="en-US"/>
                      <a:pPr/>
                      <a:t>[CELLRANGE]</a:t>
                    </a:fld>
                    <a:endParaRPr lang="en-US" baseline="0"/>
                  </a:p>
                  <a:p>
                    <a:fld id="{946D2300-2A3D-401E-BDAC-C1FA15D28D7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3886-47BD-84D4-19031A564BD7}"/>
                </c:ext>
              </c:extLst>
            </c:dLbl>
            <c:dLbl>
              <c:idx val="1"/>
              <c:tx>
                <c:rich>
                  <a:bodyPr/>
                  <a:lstStyle/>
                  <a:p>
                    <a:fld id="{270EEF73-3FDE-479B-8723-D6B29F3E3589}" type="CELLRANGE">
                      <a:rPr lang="en-US"/>
                      <a:pPr/>
                      <a:t>[CELLRANGE]</a:t>
                    </a:fld>
                    <a:endParaRPr lang="en-US" baseline="0"/>
                  </a:p>
                  <a:p>
                    <a:fld id="{371F62A4-D638-4093-8A22-DA107D3099B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3886-47BD-84D4-19031A564BD7}"/>
                </c:ext>
              </c:extLst>
            </c:dLbl>
            <c:dLbl>
              <c:idx val="2"/>
              <c:tx>
                <c:rich>
                  <a:bodyPr/>
                  <a:lstStyle/>
                  <a:p>
                    <a:fld id="{8D7C376C-59A2-45D8-9AF0-079FC96C8413}" type="CELLRANGE">
                      <a:rPr lang="en-US"/>
                      <a:pPr/>
                      <a:t>[CELLRANGE]</a:t>
                    </a:fld>
                    <a:endParaRPr lang="en-US" baseline="0"/>
                  </a:p>
                  <a:p>
                    <a:fld id="{C39049AE-9AA6-4E92-8546-8CE46C75189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3886-47BD-84D4-19031A564BD7}"/>
                </c:ext>
              </c:extLst>
            </c:dLbl>
            <c:dLbl>
              <c:idx val="3"/>
              <c:tx>
                <c:rich>
                  <a:bodyPr/>
                  <a:lstStyle/>
                  <a:p>
                    <a:fld id="{4B437BFB-260D-4E8E-BA14-391B58DFF292}" type="CELLRANGE">
                      <a:rPr lang="en-US"/>
                      <a:pPr/>
                      <a:t>[CELLRANGE]</a:t>
                    </a:fld>
                    <a:endParaRPr lang="en-US" baseline="0"/>
                  </a:p>
                  <a:p>
                    <a:fld id="{F826F366-785D-47EC-B12E-BEB1E53DAC92}"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3886-47BD-84D4-19031A564BD7}"/>
                </c:ext>
              </c:extLst>
            </c:dLbl>
            <c:dLbl>
              <c:idx val="4"/>
              <c:tx>
                <c:rich>
                  <a:bodyPr/>
                  <a:lstStyle/>
                  <a:p>
                    <a:fld id="{097EA66F-C891-49C7-AA31-4E9E7DDDDE33}" type="CELLRANGE">
                      <a:rPr lang="en-US"/>
                      <a:pPr/>
                      <a:t>[CELLRANGE]</a:t>
                    </a:fld>
                    <a:endParaRPr lang="en-US" baseline="0"/>
                  </a:p>
                  <a:p>
                    <a:fld id="{2198F9A4-83C6-43E6-B965-AE3458E96FF0}"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3886-47BD-84D4-19031A564BD7}"/>
                </c:ext>
              </c:extLst>
            </c:dLbl>
            <c:dLbl>
              <c:idx val="5"/>
              <c:tx>
                <c:rich>
                  <a:bodyPr/>
                  <a:lstStyle/>
                  <a:p>
                    <a:fld id="{93973997-AECB-47AA-86FF-946777061B28}" type="CELLRANGE">
                      <a:rPr lang="en-US"/>
                      <a:pPr/>
                      <a:t>[CELLRANGE]</a:t>
                    </a:fld>
                    <a:endParaRPr lang="en-US" baseline="0"/>
                  </a:p>
                  <a:p>
                    <a:fld id="{1EFDC021-A5A2-47D3-B17C-00D364266C5A}"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D-3886-47BD-84D4-19031A564BD7}"/>
                </c:ext>
              </c:extLst>
            </c:dLbl>
            <c:dLbl>
              <c:idx val="6"/>
              <c:tx>
                <c:rich>
                  <a:bodyPr/>
                  <a:lstStyle/>
                  <a:p>
                    <a:fld id="{B4889857-1678-4EF6-89C4-B89FF4727DC4}" type="CELLRANGE">
                      <a:rPr lang="en-US"/>
                      <a:pPr/>
                      <a:t>[CELLRANGE]</a:t>
                    </a:fld>
                    <a:endParaRPr lang="en-US" baseline="0"/>
                  </a:p>
                  <a:p>
                    <a:fld id="{0A4F84C5-7409-491C-954D-CA000C76885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E-3886-47BD-84D4-19031A564BD7}"/>
                </c:ext>
              </c:extLst>
            </c:dLbl>
            <c:dLbl>
              <c:idx val="7"/>
              <c:tx>
                <c:rich>
                  <a:bodyPr/>
                  <a:lstStyle/>
                  <a:p>
                    <a:fld id="{0C35ABA2-803A-4455-8346-1754F9D036BB}" type="CELLRANGE">
                      <a:rPr lang="en-US"/>
                      <a:pPr/>
                      <a:t>[CELLRANGE]</a:t>
                    </a:fld>
                    <a:endParaRPr lang="en-US" baseline="0"/>
                  </a:p>
                  <a:p>
                    <a:fld id="{C2FA12A3-DEA0-4238-8EC8-6ED0DAFAAEB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F-3886-47BD-84D4-19031A564BD7}"/>
                </c:ext>
              </c:extLst>
            </c:dLbl>
            <c:dLbl>
              <c:idx val="8"/>
              <c:tx>
                <c:rich>
                  <a:bodyPr/>
                  <a:lstStyle/>
                  <a:p>
                    <a:fld id="{BDAB94A9-6B6A-4D42-A4C9-CD8967E4D273}" type="CELLRANGE">
                      <a:rPr lang="en-US"/>
                      <a:pPr/>
                      <a:t>[CELLRANGE]</a:t>
                    </a:fld>
                    <a:endParaRPr lang="en-US" baseline="0"/>
                  </a:p>
                  <a:p>
                    <a:fld id="{847F8B11-70BC-42C2-948F-DA25DB03F558}"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0-3886-47BD-84D4-19031A564BD7}"/>
                </c:ext>
              </c:extLst>
            </c:dLbl>
            <c:dLbl>
              <c:idx val="9"/>
              <c:tx>
                <c:rich>
                  <a:bodyPr/>
                  <a:lstStyle/>
                  <a:p>
                    <a:fld id="{9FF33739-0F66-4589-ACDA-A4580409202E}" type="CELLRANGE">
                      <a:rPr lang="en-US"/>
                      <a:pPr/>
                      <a:t>[CELLRANGE]</a:t>
                    </a:fld>
                    <a:endParaRPr lang="en-US" baseline="0"/>
                  </a:p>
                  <a:p>
                    <a:fld id="{3DA2531B-F5DA-4B6D-808D-696294AC6FE6}"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1-3886-47BD-84D4-19031A564BD7}"/>
                </c:ext>
              </c:extLst>
            </c:dLbl>
            <c:dLbl>
              <c:idx val="10"/>
              <c:tx>
                <c:rich>
                  <a:bodyPr/>
                  <a:lstStyle/>
                  <a:p>
                    <a:fld id="{BBB59E22-9991-48A2-B2D5-F661FC023E4D}" type="CELLRANGE">
                      <a:rPr lang="en-US"/>
                      <a:pPr/>
                      <a:t>[CELLRANGE]</a:t>
                    </a:fld>
                    <a:endParaRPr lang="en-US" baseline="0"/>
                  </a:p>
                  <a:p>
                    <a:fld id="{621AF1ED-093E-4F87-A8B5-6F20710BE10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2-3886-47BD-84D4-19031A564BD7}"/>
                </c:ext>
              </c:extLst>
            </c:dLbl>
            <c:dLbl>
              <c:idx val="11"/>
              <c:tx>
                <c:rich>
                  <a:bodyPr/>
                  <a:lstStyle/>
                  <a:p>
                    <a:fld id="{BD056B0C-A624-4F40-9182-83E3F71317E3}" type="CELLRANGE">
                      <a:rPr lang="en-US"/>
                      <a:pPr/>
                      <a:t>[CELLRANGE]</a:t>
                    </a:fld>
                    <a:endParaRPr lang="en-US" baseline="0"/>
                  </a:p>
                  <a:p>
                    <a:fld id="{8627524B-FAB6-46B7-900E-280859BDFC3A}"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3-3886-47BD-84D4-19031A564BD7}"/>
                </c:ext>
              </c:extLst>
            </c:dLbl>
            <c:dLbl>
              <c:idx val="12"/>
              <c:tx>
                <c:rich>
                  <a:bodyPr/>
                  <a:lstStyle/>
                  <a:p>
                    <a:fld id="{CB251CD0-F62D-4033-86C5-C1974C77556A}" type="CELLRANGE">
                      <a:rPr lang="en-US"/>
                      <a:pPr/>
                      <a:t>[CELLRANGE]</a:t>
                    </a:fld>
                    <a:endParaRPr lang="en-US" baseline="0"/>
                  </a:p>
                  <a:p>
                    <a:fld id="{418559FD-80C6-494A-A4D5-0623601A9D97}"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4-3886-47BD-84D4-19031A564BD7}"/>
                </c:ext>
              </c:extLst>
            </c:dLbl>
            <c:dLbl>
              <c:idx val="13"/>
              <c:tx>
                <c:rich>
                  <a:bodyPr/>
                  <a:lstStyle/>
                  <a:p>
                    <a:fld id="{EA169A9D-6D0B-4293-B18F-ECD96FACCE4F}" type="CELLRANGE">
                      <a:rPr lang="en-US"/>
                      <a:pPr/>
                      <a:t>[CELLRANGE]</a:t>
                    </a:fld>
                    <a:endParaRPr lang="en-US" baseline="0"/>
                  </a:p>
                  <a:p>
                    <a:fld id="{8B43D3C7-2C04-4403-847A-A630E20A797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5-3886-47BD-84D4-19031A564BD7}"/>
                </c:ext>
              </c:extLst>
            </c:dLbl>
            <c:dLbl>
              <c:idx val="14"/>
              <c:tx>
                <c:rich>
                  <a:bodyPr/>
                  <a:lstStyle/>
                  <a:p>
                    <a:fld id="{326B90BF-2B65-4F6B-9623-F6767ED1C58E}" type="CELLRANGE">
                      <a:rPr lang="en-US"/>
                      <a:pPr/>
                      <a:t>[CELLRANGE]</a:t>
                    </a:fld>
                    <a:endParaRPr lang="en-US" baseline="0"/>
                  </a:p>
                  <a:p>
                    <a:fld id="{E976492F-DD53-425E-AC36-7469F2B8DEAF}"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6-3886-47BD-84D4-19031A564BD7}"/>
                </c:ext>
              </c:extLst>
            </c:dLbl>
            <c:dLbl>
              <c:idx val="15"/>
              <c:tx>
                <c:rich>
                  <a:bodyPr/>
                  <a:lstStyle/>
                  <a:p>
                    <a:fld id="{DBD22683-2666-4A72-940A-3EFFEE60C513}" type="CELLRANGE">
                      <a:rPr lang="en-US"/>
                      <a:pPr/>
                      <a:t>[CELLRANGE]</a:t>
                    </a:fld>
                    <a:endParaRPr lang="en-US" baseline="0"/>
                  </a:p>
                  <a:p>
                    <a:fld id="{12020E2C-4327-42A3-A9C3-ACE718BD63D7}"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7-3886-47BD-84D4-19031A564BD7}"/>
                </c:ext>
              </c:extLst>
            </c:dLbl>
            <c:dLbl>
              <c:idx val="16"/>
              <c:tx>
                <c:rich>
                  <a:bodyPr/>
                  <a:lstStyle/>
                  <a:p>
                    <a:fld id="{37CAFA9D-E96C-4E31-9CD8-0C1F0D65D53C}" type="CELLRANGE">
                      <a:rPr lang="en-US"/>
                      <a:pPr/>
                      <a:t>[CELLRANGE]</a:t>
                    </a:fld>
                    <a:endParaRPr lang="en-US" baseline="0"/>
                  </a:p>
                  <a:p>
                    <a:fld id="{500F87C6-2B66-4971-B7A6-354A3BBB1A0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8-3886-47BD-84D4-19031A564BD7}"/>
                </c:ext>
              </c:extLst>
            </c:dLbl>
            <c:dLbl>
              <c:idx val="17"/>
              <c:tx>
                <c:rich>
                  <a:bodyPr/>
                  <a:lstStyle/>
                  <a:p>
                    <a:fld id="{47018593-95D4-4283-A5CA-3F132F2AC46F}" type="CELLRANGE">
                      <a:rPr lang="en-US"/>
                      <a:pPr/>
                      <a:t>[CELLRANGE]</a:t>
                    </a:fld>
                    <a:endParaRPr lang="en-US" baseline="0"/>
                  </a:p>
                  <a:p>
                    <a:fld id="{67A39F2E-F578-4A82-9E87-72F15092754D}"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9-3886-47BD-84D4-19031A564BD7}"/>
                </c:ext>
              </c:extLst>
            </c:dLbl>
            <c:dLbl>
              <c:idx val="18"/>
              <c:tx>
                <c:rich>
                  <a:bodyPr/>
                  <a:lstStyle/>
                  <a:p>
                    <a:fld id="{7717AC9C-4159-4A84-B1F3-AD5E62ABBBC1}" type="CELLRANGE">
                      <a:rPr lang="en-US"/>
                      <a:pPr/>
                      <a:t>[CELLRANGE]</a:t>
                    </a:fld>
                    <a:endParaRPr lang="en-US" baseline="0"/>
                  </a:p>
                  <a:p>
                    <a:fld id="{0F9F5D65-A1D1-4FD4-A466-3979A9AB13E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A-3886-47BD-84D4-19031A564BD7}"/>
                </c:ext>
              </c:extLst>
            </c:dLbl>
            <c:dLbl>
              <c:idx val="19"/>
              <c:tx>
                <c:rich>
                  <a:bodyPr/>
                  <a:lstStyle/>
                  <a:p>
                    <a:fld id="{ABA382E2-6E48-4CBE-8E22-63D5075A7312}" type="CELLRANGE">
                      <a:rPr lang="en-US"/>
                      <a:pPr/>
                      <a:t>[CELLRANGE]</a:t>
                    </a:fld>
                    <a:endParaRPr lang="en-US" baseline="0"/>
                  </a:p>
                  <a:p>
                    <a:fld id="{1A81296B-EBCB-4DD8-B85A-5F87883D5592}"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B-3886-47BD-84D4-19031A564BD7}"/>
                </c:ext>
              </c:extLst>
            </c:dLbl>
            <c:dLbl>
              <c:idx val="20"/>
              <c:tx>
                <c:rich>
                  <a:bodyPr/>
                  <a:lstStyle/>
                  <a:p>
                    <a:fld id="{5C557D97-6897-4967-8D0F-1301B9E0D0FD}" type="CELLRANGE">
                      <a:rPr lang="en-US"/>
                      <a:pPr/>
                      <a:t>[CELLRANGE]</a:t>
                    </a:fld>
                    <a:endParaRPr lang="en-US" baseline="0"/>
                  </a:p>
                  <a:p>
                    <a:fld id="{C88AEBB1-4EFA-4965-A55E-839CE527F26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C-3886-47BD-84D4-19031A564BD7}"/>
                </c:ext>
              </c:extLst>
            </c:dLbl>
            <c:dLbl>
              <c:idx val="21"/>
              <c:tx>
                <c:rich>
                  <a:bodyPr/>
                  <a:lstStyle/>
                  <a:p>
                    <a:fld id="{00E37B07-1FA6-490E-8773-EE65E897D1DD}" type="CELLRANGE">
                      <a:rPr lang="en-US"/>
                      <a:pPr/>
                      <a:t>[CELLRANGE]</a:t>
                    </a:fld>
                    <a:endParaRPr lang="en-US" baseline="0"/>
                  </a:p>
                  <a:p>
                    <a:fld id="{7805B445-5E7C-41EA-AA33-03336A0A4A3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D-3886-47BD-84D4-19031A564BD7}"/>
                </c:ext>
              </c:extLst>
            </c:dLbl>
            <c:dLbl>
              <c:idx val="22"/>
              <c:tx>
                <c:rich>
                  <a:bodyPr/>
                  <a:lstStyle/>
                  <a:p>
                    <a:fld id="{168D6EDB-C188-4493-9B8D-3EBB4C3BFFDE}" type="CELLRANGE">
                      <a:rPr lang="en-US"/>
                      <a:pPr/>
                      <a:t>[CELLRANGE]</a:t>
                    </a:fld>
                    <a:endParaRPr lang="en-US" baseline="0"/>
                  </a:p>
                  <a:p>
                    <a:fld id="{0B7D6FF1-7BDB-488B-B9C1-97F4A3998A40}"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E-3886-47BD-84D4-19031A564BD7}"/>
                </c:ext>
              </c:extLst>
            </c:dLbl>
            <c:dLbl>
              <c:idx val="23"/>
              <c:tx>
                <c:rich>
                  <a:bodyPr/>
                  <a:lstStyle/>
                  <a:p>
                    <a:fld id="{C4AFB3BA-DFAD-4E60-A75B-B7ABC9B6264F}" type="CELLRANGE">
                      <a:rPr lang="en-US"/>
                      <a:pPr/>
                      <a:t>[CELLRANGE]</a:t>
                    </a:fld>
                    <a:endParaRPr lang="en-US" baseline="0"/>
                  </a:p>
                  <a:p>
                    <a:fld id="{B2A9926D-0E8C-4543-8EE3-A77213A7DE4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F-3886-47BD-84D4-19031A564BD7}"/>
                </c:ext>
              </c:extLst>
            </c:dLbl>
            <c:dLbl>
              <c:idx val="24"/>
              <c:tx>
                <c:rich>
                  <a:bodyPr/>
                  <a:lstStyle/>
                  <a:p>
                    <a:fld id="{2FBE7775-B392-4A46-9A6C-A8C12AF3B700}" type="CELLRANGE">
                      <a:rPr lang="en-US"/>
                      <a:pPr/>
                      <a:t>[CELLRANGE]</a:t>
                    </a:fld>
                    <a:endParaRPr lang="en-US" baseline="0"/>
                  </a:p>
                  <a:p>
                    <a:fld id="{F5EA0526-C3FA-497D-A501-8CF2483BD9D6}"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0-3886-47BD-84D4-19031A564BD7}"/>
                </c:ext>
              </c:extLst>
            </c:dLbl>
            <c:dLbl>
              <c:idx val="25"/>
              <c:tx>
                <c:rich>
                  <a:bodyPr/>
                  <a:lstStyle/>
                  <a:p>
                    <a:fld id="{DE368B6C-E76E-410B-AAC6-55AD45239BF8}" type="CELLRANGE">
                      <a:rPr lang="en-US"/>
                      <a:pPr/>
                      <a:t>[CELLRANGE]</a:t>
                    </a:fld>
                    <a:endParaRPr lang="en-US" baseline="0"/>
                  </a:p>
                  <a:p>
                    <a:fld id="{EA08BA27-5BD1-4221-A226-F0B0CA25F04B}"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1-3886-47BD-84D4-19031A564BD7}"/>
                </c:ext>
              </c:extLst>
            </c:dLbl>
            <c:dLbl>
              <c:idx val="26"/>
              <c:tx>
                <c:rich>
                  <a:bodyPr/>
                  <a:lstStyle/>
                  <a:p>
                    <a:fld id="{4C90EFF5-D84D-49C0-A685-66F1C1A49BA3}" type="CELLRANGE">
                      <a:rPr lang="en-US"/>
                      <a:pPr/>
                      <a:t>[CELLRANGE]</a:t>
                    </a:fld>
                    <a:endParaRPr lang="en-US" baseline="0"/>
                  </a:p>
                  <a:p>
                    <a:fld id="{4F29CF51-2F3B-4BD7-BB01-D0D874609B54}"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2-3886-47BD-84D4-19031A564BD7}"/>
                </c:ext>
              </c:extLst>
            </c:dLbl>
            <c:dLbl>
              <c:idx val="27"/>
              <c:tx>
                <c:rich>
                  <a:bodyPr/>
                  <a:lstStyle/>
                  <a:p>
                    <a:fld id="{22478EC0-C7F9-4FA6-AD7F-25ACEBF2A777}" type="CELLRANGE">
                      <a:rPr lang="en-US"/>
                      <a:pPr/>
                      <a:t>[CELLRANGE]</a:t>
                    </a:fld>
                    <a:endParaRPr lang="en-US" baseline="0"/>
                  </a:p>
                  <a:p>
                    <a:fld id="{28F9D0D6-22F8-4CE8-99AB-80E991D3516C}"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3-3886-47BD-84D4-19031A564BD7}"/>
                </c:ext>
              </c:extLst>
            </c:dLbl>
            <c:dLbl>
              <c:idx val="28"/>
              <c:tx>
                <c:rich>
                  <a:bodyPr/>
                  <a:lstStyle/>
                  <a:p>
                    <a:fld id="{0CA30431-58B1-45CE-8FAD-15EB27A92ED6}" type="CELLRANGE">
                      <a:rPr lang="en-US"/>
                      <a:pPr/>
                      <a:t>[CELLRANGE]</a:t>
                    </a:fld>
                    <a:endParaRPr lang="en-US" baseline="0"/>
                  </a:p>
                  <a:p>
                    <a:fld id="{7D1620F0-1CD5-4F98-B40D-D8D4D0139645}"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4-3886-47BD-84D4-19031A564BD7}"/>
                </c:ext>
              </c:extLst>
            </c:dLbl>
            <c:dLbl>
              <c:idx val="29"/>
              <c:tx>
                <c:rich>
                  <a:bodyPr/>
                  <a:lstStyle/>
                  <a:p>
                    <a:fld id="{CD925FC0-B106-4A37-A502-747D35E0CF67}" type="CELLRANGE">
                      <a:rPr lang="en-US"/>
                      <a:pPr/>
                      <a:t>[CELLRANGE]</a:t>
                    </a:fld>
                    <a:endParaRPr lang="en-US" baseline="0"/>
                  </a:p>
                  <a:p>
                    <a:fld id="{9DC28FC9-2ACB-44D5-A7B1-8DDBD6216A09}" type="XVALUE">
                      <a:rPr lang="en-US"/>
                      <a:pPr/>
                      <a:t>[X VALUE]</a:t>
                    </a:fld>
                    <a:endParaRPr lang="en-US"/>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5-3886-47BD-84D4-19031A564BD7}"/>
                </c:ext>
              </c:extLst>
            </c:dLbl>
            <c:dLbl>
              <c:idx val="30"/>
              <c:tx>
                <c:rich>
                  <a:bodyPr/>
                  <a:lstStyle/>
                  <a:p>
                    <a:fld id="{0A6BC835-62A3-4A84-AD72-195029655A6A}" type="CELLRANGE">
                      <a:rPr lang="en-US"/>
                      <a:pPr/>
                      <a:t>[CELLRANGE]</a:t>
                    </a:fld>
                    <a:r>
                      <a:rPr lang="en-US" baseline="0"/>
                      <a:t>
</a:t>
                    </a:r>
                    <a:fld id="{84342AD6-889D-4AE9-8543-BE3BD1FA26C4}"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712-48AA-9D62-57507C568EA7}"/>
                </c:ext>
              </c:extLst>
            </c:dLbl>
            <c:dLbl>
              <c:idx val="31"/>
              <c:tx>
                <c:rich>
                  <a:bodyPr/>
                  <a:lstStyle/>
                  <a:p>
                    <a:fld id="{65BA1A02-C39A-4837-9FC2-E082B8BE415C}" type="CELLRANGE">
                      <a:rPr lang="en-US"/>
                      <a:pPr/>
                      <a:t>[CELLRANGE]</a:t>
                    </a:fld>
                    <a:r>
                      <a:rPr lang="en-US" baseline="0"/>
                      <a:t>
</a:t>
                    </a:r>
                    <a:fld id="{D40E8082-5555-49BC-AC59-A1A9EEC760AA}"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712-48AA-9D62-57507C568EA7}"/>
                </c:ext>
              </c:extLst>
            </c:dLbl>
            <c:dLbl>
              <c:idx val="32"/>
              <c:tx>
                <c:rich>
                  <a:bodyPr/>
                  <a:lstStyle/>
                  <a:p>
                    <a:fld id="{B2854A73-058B-4639-8F29-2ED7D5B6CFA0}" type="CELLRANGE">
                      <a:rPr lang="en-US"/>
                      <a:pPr/>
                      <a:t>[CELLRANGE]</a:t>
                    </a:fld>
                    <a:r>
                      <a:rPr lang="en-US" baseline="0"/>
                      <a:t>
</a:t>
                    </a:r>
                    <a:fld id="{5E5DD0FD-B4D6-4F0A-A591-17ADBB724DF8}"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12-48AA-9D62-57507C568EA7}"/>
                </c:ext>
              </c:extLst>
            </c:dLbl>
            <c:dLbl>
              <c:idx val="33"/>
              <c:tx>
                <c:rich>
                  <a:bodyPr/>
                  <a:lstStyle/>
                  <a:p>
                    <a:fld id="{4457CFA0-453F-4929-8763-9B45477805B2}" type="CELLRANGE">
                      <a:rPr lang="en-US"/>
                      <a:pPr/>
                      <a:t>[CELLRANGE]</a:t>
                    </a:fld>
                    <a:r>
                      <a:rPr lang="en-US" baseline="0"/>
                      <a:t>
</a:t>
                    </a:r>
                    <a:fld id="{DA386813-AC58-454F-A69E-46CFC4CEA650}"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712-48AA-9D62-57507C568EA7}"/>
                </c:ext>
              </c:extLst>
            </c:dLbl>
            <c:dLbl>
              <c:idx val="34"/>
              <c:tx>
                <c:rich>
                  <a:bodyPr/>
                  <a:lstStyle/>
                  <a:p>
                    <a:fld id="{C7E00856-7FE4-4F55-BBB2-EF5CD19D3179}" type="CELLRANGE">
                      <a:rPr lang="en-US"/>
                      <a:pPr/>
                      <a:t>[CELLRANGE]</a:t>
                    </a:fld>
                    <a:r>
                      <a:rPr lang="en-US" baseline="0"/>
                      <a:t>
</a:t>
                    </a:r>
                    <a:fld id="{B07E6081-5C6B-40A9-83F2-89AF04AF39A0}"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712-48AA-9D62-57507C568EA7}"/>
                </c:ext>
              </c:extLst>
            </c:dLbl>
            <c:dLbl>
              <c:idx val="35"/>
              <c:tx>
                <c:rich>
                  <a:bodyPr/>
                  <a:lstStyle/>
                  <a:p>
                    <a:fld id="{28BC4927-A31A-4356-99E6-40462EA3E5E8}" type="CELLRANGE">
                      <a:rPr lang="en-US"/>
                      <a:pPr/>
                      <a:t>[CELLRANGE]</a:t>
                    </a:fld>
                    <a:r>
                      <a:rPr lang="en-US" baseline="0"/>
                      <a:t>
</a:t>
                    </a:r>
                    <a:fld id="{698B3E8F-FA4F-4A7D-B153-FA0F8843FAE9}"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712-48AA-9D62-57507C568EA7}"/>
                </c:ext>
              </c:extLst>
            </c:dLbl>
            <c:dLbl>
              <c:idx val="36"/>
              <c:tx>
                <c:rich>
                  <a:bodyPr/>
                  <a:lstStyle/>
                  <a:p>
                    <a:fld id="{35816940-C8D7-4A71-8C01-48D0A5719E65}" type="CELLRANGE">
                      <a:rPr lang="en-US"/>
                      <a:pPr/>
                      <a:t>[CELLRANGE]</a:t>
                    </a:fld>
                    <a:r>
                      <a:rPr lang="en-US" baseline="0"/>
                      <a:t>
</a:t>
                    </a:r>
                    <a:fld id="{036FB7E0-F860-4B92-AD53-15F242309D36}"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712-48AA-9D62-57507C568EA7}"/>
                </c:ext>
              </c:extLst>
            </c:dLbl>
            <c:dLbl>
              <c:idx val="37"/>
              <c:tx>
                <c:rich>
                  <a:bodyPr/>
                  <a:lstStyle/>
                  <a:p>
                    <a:fld id="{74F1CB4B-288B-43BB-BE51-2183629732A2}" type="CELLRANGE">
                      <a:rPr lang="en-US"/>
                      <a:pPr/>
                      <a:t>[CELLRANGE]</a:t>
                    </a:fld>
                    <a:r>
                      <a:rPr lang="en-US" baseline="0"/>
                      <a:t>
</a:t>
                    </a:r>
                    <a:fld id="{268E2C34-1EA4-422B-8FAF-9217A4C3899D}"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712-48AA-9D62-57507C568EA7}"/>
                </c:ext>
              </c:extLst>
            </c:dLbl>
            <c:dLbl>
              <c:idx val="38"/>
              <c:tx>
                <c:rich>
                  <a:bodyPr/>
                  <a:lstStyle/>
                  <a:p>
                    <a:fld id="{11EA1FB8-0B26-434B-ABB3-68F0C0DF27FB}" type="CELLRANGE">
                      <a:rPr lang="en-US"/>
                      <a:pPr/>
                      <a:t>[CELLRANGE]</a:t>
                    </a:fld>
                    <a:r>
                      <a:rPr lang="en-US" baseline="0"/>
                      <a:t>
</a:t>
                    </a:r>
                    <a:fld id="{D146D6C0-06F6-4F3F-9494-658FCF686C74}"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712-48AA-9D62-57507C568EA7}"/>
                </c:ext>
              </c:extLst>
            </c:dLbl>
            <c:dLbl>
              <c:idx val="39"/>
              <c:tx>
                <c:rich>
                  <a:bodyPr/>
                  <a:lstStyle/>
                  <a:p>
                    <a:fld id="{0141A494-BBBE-400D-A8D9-062480F0EE98}" type="CELLRANGE">
                      <a:rPr lang="en-US"/>
                      <a:pPr/>
                      <a:t>[CELLRANGE]</a:t>
                    </a:fld>
                    <a:r>
                      <a:rPr lang="en-US" baseline="0"/>
                      <a:t>
</a:t>
                    </a:r>
                    <a:fld id="{1F12303F-863C-45C0-AE7C-0C22ECBCF932}"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712-48AA-9D62-57507C568EA7}"/>
                </c:ext>
              </c:extLst>
            </c:dLbl>
            <c:dLbl>
              <c:idx val="40"/>
              <c:tx>
                <c:rich>
                  <a:bodyPr/>
                  <a:lstStyle/>
                  <a:p>
                    <a:fld id="{2C9785DA-4543-46FA-AEC8-1E5C52845D8C}" type="CELLRANGE">
                      <a:rPr lang="en-US"/>
                      <a:pPr/>
                      <a:t>[CELLRANGE]</a:t>
                    </a:fld>
                    <a:r>
                      <a:rPr lang="en-US" baseline="0"/>
                      <a:t>
</a:t>
                    </a:r>
                    <a:fld id="{41E84360-6AE3-4AE9-B379-69A209DAFDB2}"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712-48AA-9D62-57507C568EA7}"/>
                </c:ext>
              </c:extLst>
            </c:dLbl>
            <c:dLbl>
              <c:idx val="41"/>
              <c:tx>
                <c:rich>
                  <a:bodyPr/>
                  <a:lstStyle/>
                  <a:p>
                    <a:fld id="{80AB001F-EFB2-45CB-9584-D65FEC7CE2B2}" type="CELLRANGE">
                      <a:rPr lang="en-US"/>
                      <a:pPr/>
                      <a:t>[CELLRANGE]</a:t>
                    </a:fld>
                    <a:r>
                      <a:rPr lang="en-US" baseline="0"/>
                      <a:t>
</a:t>
                    </a:r>
                    <a:fld id="{97A6F33C-B942-4CBA-A558-9D0C7BE1F01F}"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712-48AA-9D62-57507C568EA7}"/>
                </c:ext>
              </c:extLst>
            </c:dLbl>
            <c:dLbl>
              <c:idx val="42"/>
              <c:tx>
                <c:rich>
                  <a:bodyPr/>
                  <a:lstStyle/>
                  <a:p>
                    <a:fld id="{29C17CB3-A58F-4572-8883-CA9C2E601410}" type="CELLRANGE">
                      <a:rPr lang="en-US"/>
                      <a:pPr/>
                      <a:t>[CELLRANGE]</a:t>
                    </a:fld>
                    <a:r>
                      <a:rPr lang="en-US" baseline="0"/>
                      <a:t>
</a:t>
                    </a:r>
                    <a:fld id="{BAF24356-BBF9-492D-BC67-8979B2AAD46B}"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712-48AA-9D62-57507C568EA7}"/>
                </c:ext>
              </c:extLst>
            </c:dLbl>
            <c:dLbl>
              <c:idx val="43"/>
              <c:tx>
                <c:rich>
                  <a:bodyPr/>
                  <a:lstStyle/>
                  <a:p>
                    <a:fld id="{328187AE-FA15-40D5-AB68-97B678CDB778}" type="CELLRANGE">
                      <a:rPr lang="en-US"/>
                      <a:pPr/>
                      <a:t>[CELLRANGE]</a:t>
                    </a:fld>
                    <a:r>
                      <a:rPr lang="en-US" baseline="0"/>
                      <a:t>
</a:t>
                    </a:r>
                    <a:fld id="{0FF60B28-7FC2-4957-9181-CD6BE9AEC005}"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712-48AA-9D62-57507C568EA7}"/>
                </c:ext>
              </c:extLst>
            </c:dLbl>
            <c:dLbl>
              <c:idx val="44"/>
              <c:tx>
                <c:rich>
                  <a:bodyPr/>
                  <a:lstStyle/>
                  <a:p>
                    <a:fld id="{1BFE1AE8-8C43-4870-A469-0374606129BA}" type="CELLRANGE">
                      <a:rPr lang="en-US"/>
                      <a:pPr/>
                      <a:t>[CELLRANGE]</a:t>
                    </a:fld>
                    <a:r>
                      <a:rPr lang="en-US" baseline="0"/>
                      <a:t>
</a:t>
                    </a:r>
                    <a:fld id="{3717629F-ED92-4834-8E8D-CA0D1605F704}"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712-48AA-9D62-57507C568EA7}"/>
                </c:ext>
              </c:extLst>
            </c:dLbl>
            <c:dLbl>
              <c:idx val="45"/>
              <c:tx>
                <c:rich>
                  <a:bodyPr/>
                  <a:lstStyle/>
                  <a:p>
                    <a:fld id="{A6DA69F3-29B3-4FCC-A2CB-6A8EC18B677A}" type="CELLRANGE">
                      <a:rPr lang="en-US"/>
                      <a:pPr/>
                      <a:t>[CELLRANGE]</a:t>
                    </a:fld>
                    <a:r>
                      <a:rPr lang="en-US" baseline="0"/>
                      <a:t>
</a:t>
                    </a:r>
                    <a:fld id="{07C1E1BE-6788-41BC-A4ED-6350788B30FB}"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712-48AA-9D62-57507C568EA7}"/>
                </c:ext>
              </c:extLst>
            </c:dLbl>
            <c:dLbl>
              <c:idx val="46"/>
              <c:tx>
                <c:rich>
                  <a:bodyPr/>
                  <a:lstStyle/>
                  <a:p>
                    <a:fld id="{82E8E71F-15A1-4A2C-80FF-5DC9A20AE4F9}" type="CELLRANGE">
                      <a:rPr lang="en-US"/>
                      <a:pPr/>
                      <a:t>[CELLRANGE]</a:t>
                    </a:fld>
                    <a:r>
                      <a:rPr lang="en-US" baseline="0"/>
                      <a:t>
</a:t>
                    </a:r>
                    <a:fld id="{FB91EE7C-B25D-43C5-ABE6-324FBEF2E4B5}"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712-48AA-9D62-57507C568EA7}"/>
                </c:ext>
              </c:extLst>
            </c:dLbl>
            <c:dLbl>
              <c:idx val="47"/>
              <c:tx>
                <c:rich>
                  <a:bodyPr/>
                  <a:lstStyle/>
                  <a:p>
                    <a:fld id="{EB344396-3B9A-4259-84F5-461F87BEEDF4}" type="CELLRANGE">
                      <a:rPr lang="en-US"/>
                      <a:pPr/>
                      <a:t>[CELLRANGE]</a:t>
                    </a:fld>
                    <a:r>
                      <a:rPr lang="en-US" baseline="0"/>
                      <a:t>
</a:t>
                    </a:r>
                    <a:fld id="{52179484-C0DE-4873-8D15-798A88BFCE72}"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712-48AA-9D62-57507C568EA7}"/>
                </c:ext>
              </c:extLst>
            </c:dLbl>
            <c:dLbl>
              <c:idx val="48"/>
              <c:tx>
                <c:rich>
                  <a:bodyPr/>
                  <a:lstStyle/>
                  <a:p>
                    <a:fld id="{8F0D0080-732D-4256-A176-8B9A49DF124C}" type="CELLRANGE">
                      <a:rPr lang="en-US"/>
                      <a:pPr/>
                      <a:t>[CELLRANGE]</a:t>
                    </a:fld>
                    <a:r>
                      <a:rPr lang="en-US" baseline="0"/>
                      <a:t>
</a:t>
                    </a:r>
                    <a:fld id="{58844857-EE8C-4A42-A6D9-416FA39BE7C2}"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712-48AA-9D62-57507C568EA7}"/>
                </c:ext>
              </c:extLst>
            </c:dLbl>
            <c:dLbl>
              <c:idx val="49"/>
              <c:tx>
                <c:rich>
                  <a:bodyPr/>
                  <a:lstStyle/>
                  <a:p>
                    <a:fld id="{D729BD4F-A208-4D5A-A601-7FB11FC08919}" type="CELLRANGE">
                      <a:rPr lang="en-US"/>
                      <a:pPr/>
                      <a:t>[CELLRANGE]</a:t>
                    </a:fld>
                    <a:r>
                      <a:rPr lang="en-US" baseline="0"/>
                      <a:t>
</a:t>
                    </a:r>
                    <a:fld id="{6F7FB583-5F7E-4DE8-9C4F-B4A1B6B0AC50}" type="XVALUE">
                      <a:rPr lang="en-US" baseline="0"/>
                      <a:pPr/>
                      <a:t>[X VALUE]</a:t>
                    </a:fld>
                    <a:endParaRPr lang="en-US" baseline="0"/>
                  </a:p>
                </c:rich>
              </c:tx>
              <c:dLblPos val="t"/>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712-48AA-9D62-57507C568EA7}"/>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yVal>
            <c:numRef>
              <c:f>'Graph, Data'!$S$3:$S$52</c:f>
              <c:numCache>
                <c:formatCode>#,##0\ "€"</c:formatCode>
                <c:ptCount val="50"/>
                <c:pt idx="0">
                  <c:v>-1000</c:v>
                </c:pt>
                <c:pt idx="1">
                  <c:v>-1000</c:v>
                </c:pt>
                <c:pt idx="2">
                  <c:v>-1000</c:v>
                </c:pt>
                <c:pt idx="3">
                  <c:v>-1000</c:v>
                </c:pt>
                <c:pt idx="4">
                  <c:v>-1000</c:v>
                </c:pt>
                <c:pt idx="5">
                  <c:v>-1000</c:v>
                </c:pt>
                <c:pt idx="6">
                  <c:v>5863.2154891989057</c:v>
                </c:pt>
                <c:pt idx="7">
                  <c:v>-1000</c:v>
                </c:pt>
                <c:pt idx="8">
                  <c:v>-1000</c:v>
                </c:pt>
                <c:pt idx="9">
                  <c:v>-1000</c:v>
                </c:pt>
                <c:pt idx="10">
                  <c:v>-1000</c:v>
                </c:pt>
                <c:pt idx="11">
                  <c:v>23923.017901297608</c:v>
                </c:pt>
                <c:pt idx="12">
                  <c:v>-1000</c:v>
                </c:pt>
                <c:pt idx="13">
                  <c:v>-1000</c:v>
                </c:pt>
                <c:pt idx="14">
                  <c:v>-1000</c:v>
                </c:pt>
                <c:pt idx="15">
                  <c:v>54136.824356573154</c:v>
                </c:pt>
                <c:pt idx="16">
                  <c:v>-1000</c:v>
                </c:pt>
                <c:pt idx="17">
                  <c:v>-1000</c:v>
                </c:pt>
                <c:pt idx="18">
                  <c:v>-1000</c:v>
                </c:pt>
                <c:pt idx="19">
                  <c:v>107568.79477642351</c:v>
                </c:pt>
                <c:pt idx="20">
                  <c:v>-1000</c:v>
                </c:pt>
                <c:pt idx="21">
                  <c:v>-1000</c:v>
                </c:pt>
                <c:pt idx="22">
                  <c:v>170691.18038458025</c:v>
                </c:pt>
                <c:pt idx="23">
                  <c:v>-1000</c:v>
                </c:pt>
                <c:pt idx="24">
                  <c:v>-1000</c:v>
                </c:pt>
                <c:pt idx="25">
                  <c:v>262355.90042016102</c:v>
                </c:pt>
                <c:pt idx="26">
                  <c:v>-1000</c:v>
                </c:pt>
                <c:pt idx="27">
                  <c:v>-1000</c:v>
                </c:pt>
                <c:pt idx="28">
                  <c:v>393646.11141045089</c:v>
                </c:pt>
                <c:pt idx="29">
                  <c:v>-1000</c:v>
                </c:pt>
                <c:pt idx="30">
                  <c:v>-1000</c:v>
                </c:pt>
                <c:pt idx="31">
                  <c:v>579683.29591302422</c:v>
                </c:pt>
                <c:pt idx="32">
                  <c:v>-1000</c:v>
                </c:pt>
                <c:pt idx="33">
                  <c:v>744006.01797619066</c:v>
                </c:pt>
                <c:pt idx="34">
                  <c:v>-1000</c:v>
                </c:pt>
                <c:pt idx="35">
                  <c:v>-1000</c:v>
                </c:pt>
                <c:pt idx="36">
                  <c:v>1070547.6203064397</c:v>
                </c:pt>
                <c:pt idx="37">
                  <c:v>-1000</c:v>
                </c:pt>
                <c:pt idx="38">
                  <c:v>-1000</c:v>
                </c:pt>
                <c:pt idx="39">
                  <c:v>-1000</c:v>
                </c:pt>
                <c:pt idx="40">
                  <c:v>1711358.4720642939</c:v>
                </c:pt>
                <c:pt idx="41">
                  <c:v>-1000</c:v>
                </c:pt>
                <c:pt idx="42">
                  <c:v>-1000</c:v>
                </c:pt>
                <c:pt idx="43">
                  <c:v>-1000</c:v>
                </c:pt>
                <c:pt idx="44">
                  <c:v>2695985.493185631</c:v>
                </c:pt>
                <c:pt idx="45">
                  <c:v>-1000</c:v>
                </c:pt>
                <c:pt idx="46">
                  <c:v>-1000</c:v>
                </c:pt>
                <c:pt idx="47">
                  <c:v>3761604.8115302515</c:v>
                </c:pt>
                <c:pt idx="48">
                  <c:v>-1000</c:v>
                </c:pt>
                <c:pt idx="49">
                  <c:v>-1000</c:v>
                </c:pt>
              </c:numCache>
            </c:numRef>
          </c:yVal>
          <c:smooth val="0"/>
          <c:extLst>
            <c:ext xmlns:c15="http://schemas.microsoft.com/office/drawing/2012/chart" uri="{02D57815-91ED-43cb-92C2-25804820EDAC}">
              <c15:datalabelsRange>
                <c15:f>'Graph, Data'!$Q$3:$Q$52</c15:f>
                <c15:dlblRangeCache>
                  <c:ptCount val="50"/>
                  <c:pt idx="0">
                    <c:v>0%</c:v>
                  </c:pt>
                  <c:pt idx="1">
                    <c:v>2%</c:v>
                  </c:pt>
                  <c:pt idx="2">
                    <c:v>4%</c:v>
                  </c:pt>
                  <c:pt idx="3">
                    <c:v>5%</c:v>
                  </c:pt>
                  <c:pt idx="4">
                    <c:v>7%</c:v>
                  </c:pt>
                  <c:pt idx="5">
                    <c:v>9%</c:v>
                  </c:pt>
                  <c:pt idx="6">
                    <c:v>11%</c:v>
                  </c:pt>
                  <c:pt idx="7">
                    <c:v>13%</c:v>
                  </c:pt>
                  <c:pt idx="8">
                    <c:v>15%</c:v>
                  </c:pt>
                  <c:pt idx="9">
                    <c:v>17%</c:v>
                  </c:pt>
                  <c:pt idx="10">
                    <c:v>20%</c:v>
                  </c:pt>
                  <c:pt idx="11">
                    <c:v>22%</c:v>
                  </c:pt>
                  <c:pt idx="12">
                    <c:v>24%</c:v>
                  </c:pt>
                  <c:pt idx="13">
                    <c:v>27%</c:v>
                  </c:pt>
                  <c:pt idx="14">
                    <c:v>29%</c:v>
                  </c:pt>
                  <c:pt idx="15">
                    <c:v>32%</c:v>
                  </c:pt>
                  <c:pt idx="16">
                    <c:v>34%</c:v>
                  </c:pt>
                  <c:pt idx="17">
                    <c:v>37%</c:v>
                  </c:pt>
                  <c:pt idx="18">
                    <c:v>39%</c:v>
                  </c:pt>
                  <c:pt idx="19">
                    <c:v>42%</c:v>
                  </c:pt>
                  <c:pt idx="20">
                    <c:v>45%</c:v>
                  </c:pt>
                  <c:pt idx="21">
                    <c:v>48%</c:v>
                  </c:pt>
                  <c:pt idx="22">
                    <c:v>51%</c:v>
                  </c:pt>
                  <c:pt idx="23">
                    <c:v>54%</c:v>
                  </c:pt>
                  <c:pt idx="24">
                    <c:v>57%</c:v>
                  </c:pt>
                  <c:pt idx="25">
                    <c:v>61%</c:v>
                  </c:pt>
                  <c:pt idx="26">
                    <c:v>64%</c:v>
                  </c:pt>
                  <c:pt idx="27">
                    <c:v>68%</c:v>
                  </c:pt>
                  <c:pt idx="28">
                    <c:v>71%</c:v>
                  </c:pt>
                  <c:pt idx="29">
                    <c:v>75%</c:v>
                  </c:pt>
                  <c:pt idx="30">
                    <c:v>79%</c:v>
                  </c:pt>
                  <c:pt idx="31">
                    <c:v>82%</c:v>
                  </c:pt>
                  <c:pt idx="32">
                    <c:v>86%</c:v>
                  </c:pt>
                  <c:pt idx="33">
                    <c:v>90%</c:v>
                  </c:pt>
                  <c:pt idx="34">
                    <c:v>95%</c:v>
                  </c:pt>
                  <c:pt idx="35">
                    <c:v>99%</c:v>
                  </c:pt>
                  <c:pt idx="36">
                    <c:v>103%</c:v>
                  </c:pt>
                  <c:pt idx="37">
                    <c:v>108%</c:v>
                  </c:pt>
                  <c:pt idx="38">
                    <c:v>112%</c:v>
                  </c:pt>
                  <c:pt idx="39">
                    <c:v>117%</c:v>
                  </c:pt>
                  <c:pt idx="40">
                    <c:v>122%</c:v>
                  </c:pt>
                  <c:pt idx="41">
                    <c:v>127%</c:v>
                  </c:pt>
                  <c:pt idx="42">
                    <c:v>132%</c:v>
                  </c:pt>
                  <c:pt idx="43">
                    <c:v>138%</c:v>
                  </c:pt>
                  <c:pt idx="44">
                    <c:v>143%</c:v>
                  </c:pt>
                  <c:pt idx="45">
                    <c:v>149%</c:v>
                  </c:pt>
                  <c:pt idx="46">
                    <c:v>154%</c:v>
                  </c:pt>
                  <c:pt idx="47">
                    <c:v>160%</c:v>
                  </c:pt>
                  <c:pt idx="48">
                    <c:v>166%</c:v>
                  </c:pt>
                  <c:pt idx="49">
                    <c:v>172%</c:v>
                  </c:pt>
                </c15:dlblRangeCache>
              </c15:datalabelsRange>
            </c:ext>
            <c:ext xmlns:c16="http://schemas.microsoft.com/office/drawing/2014/chart" uri="{C3380CC4-5D6E-409C-BE32-E72D297353CC}">
              <c16:uniqueId val="{0000003A-3886-47BD-84D4-19031A564BD7}"/>
            </c:ext>
          </c:extLst>
        </c:ser>
        <c:dLbls>
          <c:showLegendKey val="0"/>
          <c:showVal val="0"/>
          <c:showCatName val="0"/>
          <c:showSerName val="0"/>
          <c:showPercent val="0"/>
          <c:showBubbleSize val="0"/>
        </c:dLbls>
        <c:axId val="1885874191"/>
        <c:axId val="1760485823"/>
      </c:scatter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209152181617051E-2"/>
          <c:y val="3.6445397204930528E-2"/>
          <c:w val="0.89807255516472162"/>
          <c:h val="0.78786223455610205"/>
        </c:manualLayout>
      </c:layout>
      <c:lineChart>
        <c:grouping val="standard"/>
        <c:varyColors val="0"/>
        <c:ser>
          <c:idx val="8"/>
          <c:order val="4"/>
          <c:tx>
            <c:strRef>
              <c:f>'Graph, Data'!$K$2</c:f>
              <c:strCache>
                <c:ptCount val="1"/>
                <c:pt idx="0">
                  <c:v>Net Present value (real)</c:v>
                </c:pt>
              </c:strCache>
            </c:strRef>
          </c:tx>
          <c:spPr>
            <a:ln w="28575" cap="rnd">
              <a:solidFill>
                <a:srgbClr val="7F2498"/>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Data'!$K$3:$K$52</c:f>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c:ext xmlns:c16="http://schemas.microsoft.com/office/drawing/2014/chart" uri="{C3380CC4-5D6E-409C-BE32-E72D297353CC}">
              <c16:uniqueId val="{00000005-7B13-4DF4-A439-0C191AF0B423}"/>
            </c:ext>
          </c:extLst>
        </c:ser>
        <c:ser>
          <c:idx val="4"/>
          <c:order val="1"/>
          <c:tx>
            <c:strRef>
              <c:f>'Graph, Data'!$E$2</c:f>
              <c:strCache>
                <c:ptCount val="1"/>
                <c:pt idx="0">
                  <c:v>Savings* (real, full inflation* max year)</c:v>
                </c:pt>
              </c:strCache>
              <c:extLst xmlns:c15="http://schemas.microsoft.com/office/drawing/2012/chart"/>
            </c:strRef>
          </c:tx>
          <c:spPr>
            <a:ln w="28575" cap="rnd">
              <a:solidFill>
                <a:srgbClr val="C00000"/>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extLst xmlns:c15="http://schemas.microsoft.com/office/drawing/2012/chart"/>
            </c:numRef>
          </c:cat>
          <c:val>
            <c:numRef>
              <c:f>'Graph, Data'!$E$3:$E$52</c:f>
              <c:numCache>
                <c:formatCode>#,##0\ "€"</c:formatCode>
                <c:ptCount val="50"/>
                <c:pt idx="0">
                  <c:v>6000</c:v>
                </c:pt>
                <c:pt idx="1">
                  <c:v>12292.682926829269</c:v>
                </c:pt>
                <c:pt idx="2">
                  <c:v>18903.033908387864</c:v>
                </c:pt>
                <c:pt idx="3">
                  <c:v>25857.779196471329</c:v>
                </c:pt>
                <c:pt idx="4">
                  <c:v>33185.515689401916</c:v>
                </c:pt>
                <c:pt idx="5">
                  <c:v>40916.849880137204</c:v>
                </c:pt>
                <c:pt idx="6">
                  <c:v>49084.546920788329</c:v>
                </c:pt>
                <c:pt idx="7">
                  <c:v>57723.690545005069</c:v>
                </c:pt>
                <c:pt idx="8">
                  <c:v>66871.854643908388</c:v>
                </c:pt>
                <c:pt idx="9">
                  <c:v>76569.287349441758</c:v>
                </c:pt>
                <c:pt idx="10">
                  <c:v>86859.108541462585</c:v>
                </c:pt>
                <c:pt idx="11">
                  <c:v>97787.521761915341</c:v>
                </c:pt>
                <c:pt idx="12">
                  <c:v>109404.04159135175</c:v>
                </c:pt>
                <c:pt idx="13">
                  <c:v>121761.73762025248</c:v>
                </c:pt>
                <c:pt idx="14">
                  <c:v>134917.49623044051</c:v>
                </c:pt>
                <c:pt idx="15">
                  <c:v>148932.30149077493</c:v>
                </c:pt>
                <c:pt idx="16">
                  <c:v>163871.53656671837</c:v>
                </c:pt>
                <c:pt idx="17">
                  <c:v>179805.30714575507</c:v>
                </c:pt>
                <c:pt idx="18">
                  <c:v>196808.7884905152</c:v>
                </c:pt>
                <c:pt idx="19">
                  <c:v>214962.59784937862</c:v>
                </c:pt>
                <c:pt idx="20">
                  <c:v>234353.19408087642</c:v>
                </c:pt>
                <c:pt idx="21">
                  <c:v>255073.30648401671</c:v>
                </c:pt>
                <c:pt idx="22">
                  <c:v>277222.39497240388</c:v>
                </c:pt>
                <c:pt idx="23">
                  <c:v>300907.14388643048</c:v>
                </c:pt>
                <c:pt idx="24">
                  <c:v>326241.99190567265</c:v>
                </c:pt>
                <c:pt idx="25">
                  <c:v>353349.7007037591</c:v>
                </c:pt>
                <c:pt idx="26">
                  <c:v>382361.96518129832</c:v>
                </c:pt>
                <c:pt idx="27">
                  <c:v>413420.06831991393</c:v>
                </c:pt>
                <c:pt idx="28">
                  <c:v>446675.58392308059</c:v>
                </c:pt>
                <c:pt idx="29">
                  <c:v>482291.13074838847</c:v>
                </c:pt>
                <c:pt idx="30">
                  <c:v>520441.18179228337</c:v>
                </c:pt>
                <c:pt idx="31">
                  <c:v>561312.93276350957</c:v>
                </c:pt>
                <c:pt idx="32">
                  <c:v>605107.23407680483</c:v>
                </c:pt>
                <c:pt idx="33">
                  <c:v>652039.59101531154</c:v>
                </c:pt>
                <c:pt idx="34">
                  <c:v>702341.2370503014</c:v>
                </c:pt>
                <c:pt idx="35">
                  <c:v>756260.2856717963</c:v>
                </c:pt>
                <c:pt idx="36">
                  <c:v>814062.96647539304</c:v>
                </c:pt>
                <c:pt idx="37">
                  <c:v>876034.95167096541</c:v>
                </c:pt>
                <c:pt idx="38">
                  <c:v>942482.77963004948</c:v>
                </c:pt>
                <c:pt idx="39">
                  <c:v>1013735.3825728676</c:v>
                </c:pt>
                <c:pt idx="40">
                  <c:v>1090145.7260155084</c:v>
                </c:pt>
                <c:pt idx="41">
                  <c:v>1172092.568155362</c:v>
                </c:pt>
                <c:pt idx="42">
                  <c:v>1259982.3479713099</c:v>
                </c:pt>
                <c:pt idx="43">
                  <c:v>1354251.2114573198</c:v>
                </c:pt>
                <c:pt idx="44">
                  <c:v>1455367.1860972662</c:v>
                </c:pt>
                <c:pt idx="45">
                  <c:v>1563832.5144283765</c:v>
                </c:pt>
                <c:pt idx="46">
                  <c:v>1680186.1583344084</c:v>
                </c:pt>
                <c:pt idx="47">
                  <c:v>1805006.4865614276</c:v>
                </c:pt>
                <c:pt idx="48">
                  <c:v>1938914.1588631754</c:v>
                </c:pt>
                <c:pt idx="49">
                  <c:v>2082575.2211639886</c:v>
                </c:pt>
              </c:numCache>
            </c:numRef>
          </c:val>
          <c:smooth val="0"/>
          <c:extLst xmlns:c15="http://schemas.microsoft.com/office/drawing/2012/chart">
            <c:ext xmlns:c16="http://schemas.microsoft.com/office/drawing/2014/chart" uri="{C3380CC4-5D6E-409C-BE32-E72D297353CC}">
              <c16:uniqueId val="{0000003C-7B13-4DF4-A439-0C191AF0B423}"/>
            </c:ext>
          </c:extLst>
        </c:ser>
        <c:ser>
          <c:idx val="16"/>
          <c:order val="5"/>
          <c:tx>
            <c:strRef>
              <c:f>'Graph, Data'!$Z$2</c:f>
              <c:strCache>
                <c:ptCount val="1"/>
                <c:pt idx="0">
                  <c:v>Net deposit (real)</c:v>
                </c:pt>
              </c:strCache>
            </c:strRef>
          </c:tx>
          <c:spPr>
            <a:ln w="28575" cap="rnd">
              <a:solidFill>
                <a:schemeClr val="accent4">
                  <a:lumMod val="60000"/>
                  <a:lumOff val="40000"/>
                </a:schemeClr>
              </a:solidFill>
              <a:round/>
            </a:ln>
            <a:effectLst/>
          </c:spPr>
          <c:marker>
            <c:symbol val="none"/>
          </c:marker>
          <c:val>
            <c:numRef>
              <c:f>'Graph, Data'!$Z$3:$Z$52</c:f>
              <c:numCache>
                <c:formatCode>#,##0\ "€"</c:formatCode>
                <c:ptCount val="50"/>
                <c:pt idx="0">
                  <c:v>6000</c:v>
                </c:pt>
                <c:pt idx="1">
                  <c:v>12431.297560975612</c:v>
                </c:pt>
                <c:pt idx="2">
                  <c:v>19326.58613682332</c:v>
                </c:pt>
                <c:pt idx="3">
                  <c:v>26720.930164955247</c:v>
                </c:pt>
                <c:pt idx="4">
                  <c:v>34651.939114619323</c:v>
                </c:pt>
                <c:pt idx="5">
                  <c:v>43159.954257063458</c:v>
                </c:pt>
                <c:pt idx="6">
                  <c:v>52288.249088739103</c:v>
                </c:pt>
                <c:pt idx="7">
                  <c:v>62083.244406867962</c:v>
                </c:pt>
                <c:pt idx="8">
                  <c:v>72594.739109809118</c:v>
                </c:pt>
                <c:pt idx="9">
                  <c:v>83876.157873126926</c:v>
                </c:pt>
                <c:pt idx="10">
                  <c:v>95984.816936465402</c:v>
                </c:pt>
                <c:pt idx="11">
                  <c:v>108982.20932670045</c:v>
                </c:pt>
                <c:pt idx="12">
                  <c:v>122934.31093982041</c:v>
                </c:pt>
                <c:pt idx="13">
                  <c:v>137911.90900806017</c:v>
                </c:pt>
                <c:pt idx="14">
                  <c:v>153990.95459050403</c:v>
                </c:pt>
                <c:pt idx="15">
                  <c:v>171252.94084523577</c:v>
                </c:pt>
                <c:pt idx="16">
                  <c:v>189785.3089697478</c:v>
                </c:pt>
                <c:pt idx="17">
                  <c:v>209681.88383436608</c:v>
                </c:pt>
                <c:pt idx="18">
                  <c:v>231043.3414815962</c:v>
                </c:pt>
                <c:pt idx="19">
                  <c:v>253977.71082328205</c:v>
                </c:pt>
                <c:pt idx="20">
                  <c:v>278600.91203808779</c:v>
                </c:pt>
                <c:pt idx="21">
                  <c:v>305037.33435492136</c:v>
                </c:pt>
                <c:pt idx="22">
                  <c:v>333420.45610441873</c:v>
                </c:pt>
                <c:pt idx="23">
                  <c:v>363893.51013148983</c:v>
                </c:pt>
                <c:pt idx="24">
                  <c:v>396610.19788824033</c:v>
                </c:pt>
                <c:pt idx="25">
                  <c:v>431735.45576945296</c:v>
                </c:pt>
                <c:pt idx="26">
                  <c:v>469446.27751345554</c:v>
                </c:pt>
                <c:pt idx="27">
                  <c:v>509932.59677091811</c:v>
                </c:pt>
                <c:pt idx="28">
                  <c:v>553398.23424430203</c:v>
                </c:pt>
                <c:pt idx="29">
                  <c:v>600061.91412282654</c:v>
                </c:pt>
                <c:pt idx="30">
                  <c:v>650158.35488354391</c:v>
                </c:pt>
                <c:pt idx="31">
                  <c:v>703939.43990011653</c:v>
                </c:pt>
                <c:pt idx="32">
                  <c:v>761675.47369906656</c:v>
                </c:pt>
                <c:pt idx="33">
                  <c:v>823656.53013054375</c:v>
                </c:pt>
                <c:pt idx="34">
                  <c:v>890193.89917924022</c:v>
                </c:pt>
                <c:pt idx="35">
                  <c:v>961621.63963317801</c:v>
                </c:pt>
                <c:pt idx="36">
                  <c:v>1038298.2453562262</c:v>
                </c:pt>
                <c:pt idx="37">
                  <c:v>1120608.4334769726</c:v>
                </c:pt>
                <c:pt idx="38">
                  <c:v>1208965.0634147986</c:v>
                </c:pt>
                <c:pt idx="39">
                  <c:v>1303811.1963167707</c:v>
                </c:pt>
                <c:pt idx="40">
                  <c:v>1405622.3051794434</c:v>
                </c:pt>
                <c:pt idx="41">
                  <c:v>1514908.6466814384</c:v>
                </c:pt>
                <c:pt idx="42">
                  <c:v>1632217.806559437</c:v>
                </c:pt>
                <c:pt idx="43">
                  <c:v>1758137.43122601</c:v>
                </c:pt>
                <c:pt idx="44">
                  <c:v>1893298.1592568739</c:v>
                </c:pt>
                <c:pt idx="45">
                  <c:v>2038376.7673722776</c:v>
                </c:pt>
                <c:pt idx="46">
                  <c:v>2194099.5466073547</c:v>
                </c:pt>
                <c:pt idx="47">
                  <c:v>2361245.9255146366</c:v>
                </c:pt>
                <c:pt idx="48">
                  <c:v>2540652.3584743817</c:v>
                </c:pt>
                <c:pt idx="49">
                  <c:v>2733216.4985109591</c:v>
                </c:pt>
              </c:numCache>
            </c:numRef>
          </c:val>
          <c:smooth val="0"/>
          <c:extLst>
            <c:ext xmlns:c16="http://schemas.microsoft.com/office/drawing/2014/chart" uri="{C3380CC4-5D6E-409C-BE32-E72D297353CC}">
              <c16:uniqueId val="{00000044-7B13-4DF4-A439-0C191AF0B423}"/>
            </c:ext>
          </c:extLst>
        </c:ser>
        <c:ser>
          <c:idx val="1"/>
          <c:order val="6"/>
          <c:tx>
            <c:strRef>
              <c:f>'Graph, Data'!$W$2</c:f>
              <c:strCache>
                <c:ptCount val="1"/>
                <c:pt idx="0">
                  <c:v>+10% Net Gain/Savings* (real full inflation*)'</c:v>
                </c:pt>
              </c:strCache>
              <c:extLst xmlns:c15="http://schemas.microsoft.com/office/drawing/2012/chart"/>
            </c:strRef>
          </c:tx>
          <c:spPr>
            <a:ln w="28575" cap="rnd">
              <a:noFill/>
              <a:round/>
            </a:ln>
            <a:effectLst/>
          </c:spPr>
          <c:marker>
            <c:symbol val="circle"/>
            <c:size val="8"/>
            <c:spPr>
              <a:solidFill>
                <a:schemeClr val="accent1"/>
              </a:solidFill>
              <a:ln w="9525">
                <a:solidFill>
                  <a:srgbClr val="002060"/>
                </a:solidFill>
              </a:ln>
              <a:effectLst/>
            </c:spPr>
          </c:marker>
          <c:dLbls>
            <c:dLbl>
              <c:idx val="0"/>
              <c:tx>
                <c:rich>
                  <a:bodyPr/>
                  <a:lstStyle/>
                  <a:p>
                    <a:fld id="{A1FD352D-BEFE-4077-A7A6-59160246BD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8D3-4512-8680-A5D3456CC453}"/>
                </c:ext>
              </c:extLst>
            </c:dLbl>
            <c:dLbl>
              <c:idx val="1"/>
              <c:tx>
                <c:rich>
                  <a:bodyPr/>
                  <a:lstStyle/>
                  <a:p>
                    <a:fld id="{59B9EF3C-DC06-4D72-9269-FE3E5F4670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8D3-4512-8680-A5D3456CC453}"/>
                </c:ext>
              </c:extLst>
            </c:dLbl>
            <c:dLbl>
              <c:idx val="2"/>
              <c:tx>
                <c:rich>
                  <a:bodyPr/>
                  <a:lstStyle/>
                  <a:p>
                    <a:fld id="{F3EF4A33-CB8B-49BE-9A9C-1F5F500DF0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8D3-4512-8680-A5D3456CC453}"/>
                </c:ext>
              </c:extLst>
            </c:dLbl>
            <c:dLbl>
              <c:idx val="3"/>
              <c:tx>
                <c:rich>
                  <a:bodyPr/>
                  <a:lstStyle/>
                  <a:p>
                    <a:fld id="{CC3F6EA8-4487-4A63-9FCC-BBCDADB82C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8D3-4512-8680-A5D3456CC453}"/>
                </c:ext>
              </c:extLst>
            </c:dLbl>
            <c:dLbl>
              <c:idx val="4"/>
              <c:tx>
                <c:rich>
                  <a:bodyPr/>
                  <a:lstStyle/>
                  <a:p>
                    <a:fld id="{A65E2332-1CFC-4C8E-A850-91ED68361B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8D3-4512-8680-A5D3456CC453}"/>
                </c:ext>
              </c:extLst>
            </c:dLbl>
            <c:dLbl>
              <c:idx val="5"/>
              <c:tx>
                <c:rich>
                  <a:bodyPr/>
                  <a:lstStyle/>
                  <a:p>
                    <a:fld id="{B04F917B-D20E-4B27-87CD-E026275938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8D3-4512-8680-A5D3456CC453}"/>
                </c:ext>
              </c:extLst>
            </c:dLbl>
            <c:dLbl>
              <c:idx val="6"/>
              <c:tx>
                <c:rich>
                  <a:bodyPr/>
                  <a:lstStyle/>
                  <a:p>
                    <a:fld id="{4651E796-AC39-4999-AFE0-38B8242CAFB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8D3-4512-8680-A5D3456CC453}"/>
                </c:ext>
              </c:extLst>
            </c:dLbl>
            <c:dLbl>
              <c:idx val="7"/>
              <c:tx>
                <c:rich>
                  <a:bodyPr/>
                  <a:lstStyle/>
                  <a:p>
                    <a:fld id="{627A7B45-9079-43CE-B143-CB955090A6A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8D3-4512-8680-A5D3456CC453}"/>
                </c:ext>
              </c:extLst>
            </c:dLbl>
            <c:dLbl>
              <c:idx val="8"/>
              <c:tx>
                <c:rich>
                  <a:bodyPr/>
                  <a:lstStyle/>
                  <a:p>
                    <a:fld id="{017DE250-E698-406C-AEF4-8B640BBE0C9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8D3-4512-8680-A5D3456CC453}"/>
                </c:ext>
              </c:extLst>
            </c:dLbl>
            <c:dLbl>
              <c:idx val="9"/>
              <c:tx>
                <c:rich>
                  <a:bodyPr/>
                  <a:lstStyle/>
                  <a:p>
                    <a:fld id="{CACAA1B0-AC4B-4CA1-A043-51523C380C6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8D3-4512-8680-A5D3456CC453}"/>
                </c:ext>
              </c:extLst>
            </c:dLbl>
            <c:dLbl>
              <c:idx val="10"/>
              <c:tx>
                <c:rich>
                  <a:bodyPr/>
                  <a:lstStyle/>
                  <a:p>
                    <a:fld id="{E6385A71-4922-4915-8DBC-5B671C893C9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8D3-4512-8680-A5D3456CC453}"/>
                </c:ext>
              </c:extLst>
            </c:dLbl>
            <c:dLbl>
              <c:idx val="11"/>
              <c:tx>
                <c:rich>
                  <a:bodyPr/>
                  <a:lstStyle/>
                  <a:p>
                    <a:fld id="{C07AA33C-3D66-4A21-B52F-64395FEB96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E8D3-4512-8680-A5D3456CC453}"/>
                </c:ext>
              </c:extLst>
            </c:dLbl>
            <c:dLbl>
              <c:idx val="12"/>
              <c:tx>
                <c:rich>
                  <a:bodyPr/>
                  <a:lstStyle/>
                  <a:p>
                    <a:fld id="{33190D53-482F-4483-8AFC-32F20212237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8D3-4512-8680-A5D3456CC453}"/>
                </c:ext>
              </c:extLst>
            </c:dLbl>
            <c:dLbl>
              <c:idx val="13"/>
              <c:tx>
                <c:rich>
                  <a:bodyPr/>
                  <a:lstStyle/>
                  <a:p>
                    <a:fld id="{89645049-28C0-4A44-9F70-EA4154DEEDF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8D3-4512-8680-A5D3456CC453}"/>
                </c:ext>
              </c:extLst>
            </c:dLbl>
            <c:dLbl>
              <c:idx val="14"/>
              <c:tx>
                <c:rich>
                  <a:bodyPr/>
                  <a:lstStyle/>
                  <a:p>
                    <a:fld id="{59251078-F650-4C82-B5E7-0C6AFA3B42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8D3-4512-8680-A5D3456CC453}"/>
                </c:ext>
              </c:extLst>
            </c:dLbl>
            <c:dLbl>
              <c:idx val="15"/>
              <c:tx>
                <c:rich>
                  <a:bodyPr/>
                  <a:lstStyle/>
                  <a:p>
                    <a:fld id="{F4EEC6F1-A445-4A41-B95C-36E1CA47BC6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8D3-4512-8680-A5D3456CC453}"/>
                </c:ext>
              </c:extLst>
            </c:dLbl>
            <c:dLbl>
              <c:idx val="16"/>
              <c:tx>
                <c:rich>
                  <a:bodyPr/>
                  <a:lstStyle/>
                  <a:p>
                    <a:fld id="{99179034-0D47-44B5-B380-DB06D29C387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8D3-4512-8680-A5D3456CC453}"/>
                </c:ext>
              </c:extLst>
            </c:dLbl>
            <c:dLbl>
              <c:idx val="17"/>
              <c:tx>
                <c:rich>
                  <a:bodyPr/>
                  <a:lstStyle/>
                  <a:p>
                    <a:fld id="{C025872F-10F3-42CB-A1F6-E2E2A89724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E8D3-4512-8680-A5D3456CC453}"/>
                </c:ext>
              </c:extLst>
            </c:dLbl>
            <c:dLbl>
              <c:idx val="18"/>
              <c:tx>
                <c:rich>
                  <a:bodyPr/>
                  <a:lstStyle/>
                  <a:p>
                    <a:fld id="{82A10930-DA74-4A69-BC84-C28A5B902E0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E8D3-4512-8680-A5D3456CC453}"/>
                </c:ext>
              </c:extLst>
            </c:dLbl>
            <c:dLbl>
              <c:idx val="19"/>
              <c:tx>
                <c:rich>
                  <a:bodyPr/>
                  <a:lstStyle/>
                  <a:p>
                    <a:fld id="{255B1245-1DCC-485D-AAD6-4D9FFEC7993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E8D3-4512-8680-A5D3456CC453}"/>
                </c:ext>
              </c:extLst>
            </c:dLbl>
            <c:dLbl>
              <c:idx val="20"/>
              <c:tx>
                <c:rich>
                  <a:bodyPr/>
                  <a:lstStyle/>
                  <a:p>
                    <a:fld id="{88723803-6FDC-4B4F-8BF9-FF1FCE3C0F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E8D3-4512-8680-A5D3456CC453}"/>
                </c:ext>
              </c:extLst>
            </c:dLbl>
            <c:dLbl>
              <c:idx val="21"/>
              <c:tx>
                <c:rich>
                  <a:bodyPr/>
                  <a:lstStyle/>
                  <a:p>
                    <a:fld id="{6BD11E06-CFEE-42F2-94E8-F9F9C4F51F6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E8D3-4512-8680-A5D3456CC453}"/>
                </c:ext>
              </c:extLst>
            </c:dLbl>
            <c:dLbl>
              <c:idx val="22"/>
              <c:tx>
                <c:rich>
                  <a:bodyPr/>
                  <a:lstStyle/>
                  <a:p>
                    <a:fld id="{1AF484E1-BAE0-4D7C-B399-EA8AE4E30D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E8D3-4512-8680-A5D3456CC453}"/>
                </c:ext>
              </c:extLst>
            </c:dLbl>
            <c:dLbl>
              <c:idx val="23"/>
              <c:tx>
                <c:rich>
                  <a:bodyPr/>
                  <a:lstStyle/>
                  <a:p>
                    <a:fld id="{CE7D173E-7A15-4ABE-81FC-1232FA62E0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E8D3-4512-8680-A5D3456CC453}"/>
                </c:ext>
              </c:extLst>
            </c:dLbl>
            <c:dLbl>
              <c:idx val="24"/>
              <c:tx>
                <c:rich>
                  <a:bodyPr/>
                  <a:lstStyle/>
                  <a:p>
                    <a:fld id="{0C5BCD44-3FC0-4F21-8B85-CDF28539225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E8D3-4512-8680-A5D3456CC453}"/>
                </c:ext>
              </c:extLst>
            </c:dLbl>
            <c:dLbl>
              <c:idx val="25"/>
              <c:tx>
                <c:rich>
                  <a:bodyPr/>
                  <a:lstStyle/>
                  <a:p>
                    <a:fld id="{BF661AF6-ADAF-49F9-BF8B-DEBBA7642D5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E8D3-4512-8680-A5D3456CC453}"/>
                </c:ext>
              </c:extLst>
            </c:dLbl>
            <c:dLbl>
              <c:idx val="26"/>
              <c:tx>
                <c:rich>
                  <a:bodyPr/>
                  <a:lstStyle/>
                  <a:p>
                    <a:fld id="{8BE00E5C-A5E9-4D30-AF78-69071FD57F4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E8D3-4512-8680-A5D3456CC453}"/>
                </c:ext>
              </c:extLst>
            </c:dLbl>
            <c:dLbl>
              <c:idx val="27"/>
              <c:tx>
                <c:rich>
                  <a:bodyPr/>
                  <a:lstStyle/>
                  <a:p>
                    <a:fld id="{1689583E-FDA5-4EF2-B95F-E5BD728BA43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E8D3-4512-8680-A5D3456CC453}"/>
                </c:ext>
              </c:extLst>
            </c:dLbl>
            <c:dLbl>
              <c:idx val="28"/>
              <c:tx>
                <c:rich>
                  <a:bodyPr/>
                  <a:lstStyle/>
                  <a:p>
                    <a:fld id="{142B3987-6EAE-4CD3-ADC2-E6D9CE70A1F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E8D3-4512-8680-A5D3456CC453}"/>
                </c:ext>
              </c:extLst>
            </c:dLbl>
            <c:dLbl>
              <c:idx val="29"/>
              <c:tx>
                <c:rich>
                  <a:bodyPr/>
                  <a:lstStyle/>
                  <a:p>
                    <a:fld id="{FDE5A58D-314C-4713-8B86-FF00DB599C8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E8D3-4512-8680-A5D3456CC453}"/>
                </c:ext>
              </c:extLst>
            </c:dLbl>
            <c:dLbl>
              <c:idx val="30"/>
              <c:tx>
                <c:rich>
                  <a:bodyPr/>
                  <a:lstStyle/>
                  <a:p>
                    <a:fld id="{BB3B4C56-805F-4111-B83C-BF603260E8B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4E2-43F0-A43C-1BC92AF4D9A0}"/>
                </c:ext>
              </c:extLst>
            </c:dLbl>
            <c:dLbl>
              <c:idx val="31"/>
              <c:tx>
                <c:rich>
                  <a:bodyPr/>
                  <a:lstStyle/>
                  <a:p>
                    <a:fld id="{999F3DF9-17BC-43FB-92E1-825CEEF8AFD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4E2-43F0-A43C-1BC92AF4D9A0}"/>
                </c:ext>
              </c:extLst>
            </c:dLbl>
            <c:dLbl>
              <c:idx val="32"/>
              <c:tx>
                <c:rich>
                  <a:bodyPr/>
                  <a:lstStyle/>
                  <a:p>
                    <a:fld id="{78FA82D5-3430-460A-8F51-0D184F8489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4E2-43F0-A43C-1BC92AF4D9A0}"/>
                </c:ext>
              </c:extLst>
            </c:dLbl>
            <c:dLbl>
              <c:idx val="33"/>
              <c:tx>
                <c:rich>
                  <a:bodyPr/>
                  <a:lstStyle/>
                  <a:p>
                    <a:fld id="{68B3D330-257E-48B1-89DE-237DC516A9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4E2-43F0-A43C-1BC92AF4D9A0}"/>
                </c:ext>
              </c:extLst>
            </c:dLbl>
            <c:dLbl>
              <c:idx val="34"/>
              <c:tx>
                <c:rich>
                  <a:bodyPr/>
                  <a:lstStyle/>
                  <a:p>
                    <a:fld id="{320ACE07-EAC6-4318-A5E1-ABDD803ECB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4E2-43F0-A43C-1BC92AF4D9A0}"/>
                </c:ext>
              </c:extLst>
            </c:dLbl>
            <c:dLbl>
              <c:idx val="35"/>
              <c:tx>
                <c:rich>
                  <a:bodyPr/>
                  <a:lstStyle/>
                  <a:p>
                    <a:fld id="{E04A521F-FA27-4763-A2C2-BB2CECF5E5C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4E2-43F0-A43C-1BC92AF4D9A0}"/>
                </c:ext>
              </c:extLst>
            </c:dLbl>
            <c:dLbl>
              <c:idx val="36"/>
              <c:tx>
                <c:rich>
                  <a:bodyPr/>
                  <a:lstStyle/>
                  <a:p>
                    <a:fld id="{D3B626F3-D0B3-437B-AC4E-6D0A2695D5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4E2-43F0-A43C-1BC92AF4D9A0}"/>
                </c:ext>
              </c:extLst>
            </c:dLbl>
            <c:dLbl>
              <c:idx val="37"/>
              <c:tx>
                <c:rich>
                  <a:bodyPr/>
                  <a:lstStyle/>
                  <a:p>
                    <a:fld id="{C132D221-F356-4286-B72E-CC95E509F45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4E2-43F0-A43C-1BC92AF4D9A0}"/>
                </c:ext>
              </c:extLst>
            </c:dLbl>
            <c:dLbl>
              <c:idx val="38"/>
              <c:tx>
                <c:rich>
                  <a:bodyPr/>
                  <a:lstStyle/>
                  <a:p>
                    <a:fld id="{E0B462C6-BBC0-4831-8A0D-F2CDCF3C006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4E2-43F0-A43C-1BC92AF4D9A0}"/>
                </c:ext>
              </c:extLst>
            </c:dLbl>
            <c:dLbl>
              <c:idx val="39"/>
              <c:tx>
                <c:rich>
                  <a:bodyPr/>
                  <a:lstStyle/>
                  <a:p>
                    <a:fld id="{46D6C04D-C541-4CAB-AB1D-77F3CC7FD73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4E2-43F0-A43C-1BC92AF4D9A0}"/>
                </c:ext>
              </c:extLst>
            </c:dLbl>
            <c:dLbl>
              <c:idx val="40"/>
              <c:tx>
                <c:rich>
                  <a:bodyPr/>
                  <a:lstStyle/>
                  <a:p>
                    <a:fld id="{A85EB754-4820-4C8C-ABEE-D663206B01C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4E2-43F0-A43C-1BC92AF4D9A0}"/>
                </c:ext>
              </c:extLst>
            </c:dLbl>
            <c:dLbl>
              <c:idx val="41"/>
              <c:tx>
                <c:rich>
                  <a:bodyPr/>
                  <a:lstStyle/>
                  <a:p>
                    <a:fld id="{9F14E887-D938-4817-BB46-2A2DE2AD5D1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4E2-43F0-A43C-1BC92AF4D9A0}"/>
                </c:ext>
              </c:extLst>
            </c:dLbl>
            <c:dLbl>
              <c:idx val="42"/>
              <c:tx>
                <c:rich>
                  <a:bodyPr/>
                  <a:lstStyle/>
                  <a:p>
                    <a:fld id="{5C89BB99-B3EF-4D38-89CB-99097745F3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4E2-43F0-A43C-1BC92AF4D9A0}"/>
                </c:ext>
              </c:extLst>
            </c:dLbl>
            <c:dLbl>
              <c:idx val="43"/>
              <c:tx>
                <c:rich>
                  <a:bodyPr/>
                  <a:lstStyle/>
                  <a:p>
                    <a:fld id="{9B8EFAFE-461E-47B8-9AA0-CACF41630EC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4E2-43F0-A43C-1BC92AF4D9A0}"/>
                </c:ext>
              </c:extLst>
            </c:dLbl>
            <c:dLbl>
              <c:idx val="44"/>
              <c:tx>
                <c:rich>
                  <a:bodyPr/>
                  <a:lstStyle/>
                  <a:p>
                    <a:fld id="{8B81E404-98C8-4C58-9C80-2639646F4D9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4E2-43F0-A43C-1BC92AF4D9A0}"/>
                </c:ext>
              </c:extLst>
            </c:dLbl>
            <c:dLbl>
              <c:idx val="45"/>
              <c:tx>
                <c:rich>
                  <a:bodyPr/>
                  <a:lstStyle/>
                  <a:p>
                    <a:fld id="{F8330D85-7AB1-4557-8965-F08AA97A7B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4E2-43F0-A43C-1BC92AF4D9A0}"/>
                </c:ext>
              </c:extLst>
            </c:dLbl>
            <c:dLbl>
              <c:idx val="46"/>
              <c:tx>
                <c:rich>
                  <a:bodyPr/>
                  <a:lstStyle/>
                  <a:p>
                    <a:fld id="{0260E7C5-146E-4AA0-81F2-F8F1648F39C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4E2-43F0-A43C-1BC92AF4D9A0}"/>
                </c:ext>
              </c:extLst>
            </c:dLbl>
            <c:dLbl>
              <c:idx val="47"/>
              <c:tx>
                <c:rich>
                  <a:bodyPr/>
                  <a:lstStyle/>
                  <a:p>
                    <a:fld id="{A38D52CD-E7AA-4B63-8560-6409B1379B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4E2-43F0-A43C-1BC92AF4D9A0}"/>
                </c:ext>
              </c:extLst>
            </c:dLbl>
            <c:dLbl>
              <c:idx val="48"/>
              <c:tx>
                <c:rich>
                  <a:bodyPr/>
                  <a:lstStyle/>
                  <a:p>
                    <a:fld id="{DD8D42A1-815A-42FC-AA66-E149F578C93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4E2-43F0-A43C-1BC92AF4D9A0}"/>
                </c:ext>
              </c:extLst>
            </c:dLbl>
            <c:dLbl>
              <c:idx val="49"/>
              <c:tx>
                <c:rich>
                  <a:bodyPr/>
                  <a:lstStyle/>
                  <a:p>
                    <a:fld id="{16EEAC3E-32D2-4E6A-A9E7-29745B1825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4E2-43F0-A43C-1BC92AF4D9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xmlns:c15="http://schemas.microsoft.com/office/drawing/2012/chart">
              <c:ext xmlns:c15="http://schemas.microsoft.com/office/drawing/2012/chart" uri="{CE6537A1-D6FC-4f65-9D91-7224C49458BB}">
                <c15:showDataLabelsRange val="1"/>
                <c15:showLeaderLines val="0"/>
              </c:ext>
            </c:extLst>
          </c:dLbls>
          <c:val>
            <c:numRef>
              <c:f>'Graph, Data'!$W$3:$W$52</c:f>
              <c:numCache>
                <c:formatCode>#,##0\ "€"</c:formatCode>
                <c:ptCount val="50"/>
                <c:pt idx="0">
                  <c:v>-1000</c:v>
                </c:pt>
                <c:pt idx="1">
                  <c:v>-1000</c:v>
                </c:pt>
                <c:pt idx="2">
                  <c:v>-1000</c:v>
                </c:pt>
                <c:pt idx="3">
                  <c:v>-1000</c:v>
                </c:pt>
                <c:pt idx="4">
                  <c:v>-1000</c:v>
                </c:pt>
                <c:pt idx="5">
                  <c:v>-1000</c:v>
                </c:pt>
                <c:pt idx="6">
                  <c:v>5863.2154891989057</c:v>
                </c:pt>
                <c:pt idx="7">
                  <c:v>-1000</c:v>
                </c:pt>
                <c:pt idx="8">
                  <c:v>-1000</c:v>
                </c:pt>
                <c:pt idx="9">
                  <c:v>-1000</c:v>
                </c:pt>
                <c:pt idx="10">
                  <c:v>18900.174100060085</c:v>
                </c:pt>
                <c:pt idx="11">
                  <c:v>-1000</c:v>
                </c:pt>
                <c:pt idx="12">
                  <c:v>-1000</c:v>
                </c:pt>
                <c:pt idx="13">
                  <c:v>36759.431414343395</c:v>
                </c:pt>
                <c:pt idx="14">
                  <c:v>-1000</c:v>
                </c:pt>
                <c:pt idx="15">
                  <c:v>-1000</c:v>
                </c:pt>
                <c:pt idx="16">
                  <c:v>-1000</c:v>
                </c:pt>
                <c:pt idx="17">
                  <c:v>77247.146271474645</c:v>
                </c:pt>
                <c:pt idx="18">
                  <c:v>-1000</c:v>
                </c:pt>
                <c:pt idx="19">
                  <c:v>107568.79477642351</c:v>
                </c:pt>
                <c:pt idx="20">
                  <c:v>-1000</c:v>
                </c:pt>
                <c:pt idx="21">
                  <c:v>-1000</c:v>
                </c:pt>
                <c:pt idx="22">
                  <c:v>170691.18038458025</c:v>
                </c:pt>
                <c:pt idx="23">
                  <c:v>-1000</c:v>
                </c:pt>
                <c:pt idx="24">
                  <c:v>-1000</c:v>
                </c:pt>
                <c:pt idx="25">
                  <c:v>262355.90042016102</c:v>
                </c:pt>
                <c:pt idx="26">
                  <c:v>-1000</c:v>
                </c:pt>
                <c:pt idx="27">
                  <c:v>344643.29425191163</c:v>
                </c:pt>
                <c:pt idx="28">
                  <c:v>-1000</c:v>
                </c:pt>
                <c:pt idx="29">
                  <c:v>448687.54539137858</c:v>
                </c:pt>
                <c:pt idx="30">
                  <c:v>-1000</c:v>
                </c:pt>
                <c:pt idx="31">
                  <c:v>579683.29591302422</c:v>
                </c:pt>
                <c:pt idx="32">
                  <c:v>-1000</c:v>
                </c:pt>
                <c:pt idx="33">
                  <c:v>744006.01797619066</c:v>
                </c:pt>
                <c:pt idx="34">
                  <c:v>-1000</c:v>
                </c:pt>
                <c:pt idx="35">
                  <c:v>949472.31545265159</c:v>
                </c:pt>
                <c:pt idx="36">
                  <c:v>1070547.6203064397</c:v>
                </c:pt>
                <c:pt idx="37">
                  <c:v>-1000</c:v>
                </c:pt>
                <c:pt idx="38">
                  <c:v>1356333.4819082725</c:v>
                </c:pt>
                <c:pt idx="39">
                  <c:v>1524275.4520758998</c:v>
                </c:pt>
                <c:pt idx="40">
                  <c:v>-1000</c:v>
                </c:pt>
                <c:pt idx="41">
                  <c:v>1919656.3068701166</c:v>
                </c:pt>
                <c:pt idx="42">
                  <c:v>2151460.8448367557</c:v>
                </c:pt>
                <c:pt idx="43">
                  <c:v>-1000</c:v>
                </c:pt>
                <c:pt idx="44">
                  <c:v>2695985.493185631</c:v>
                </c:pt>
                <c:pt idx="45">
                  <c:v>3014594.185268004</c:v>
                </c:pt>
                <c:pt idx="46">
                  <c:v>3368544.1464096517</c:v>
                </c:pt>
                <c:pt idx="47">
                  <c:v>-1000</c:v>
                </c:pt>
                <c:pt idx="48">
                  <c:v>4197938.0875179116</c:v>
                </c:pt>
                <c:pt idx="49">
                  <c:v>4682138.5648918357</c:v>
                </c:pt>
              </c:numCache>
              <c:extLst xmlns:c15="http://schemas.microsoft.com/office/drawing/2012/chart"/>
            </c:numRef>
          </c:val>
          <c:smooth val="0"/>
          <c:extLst xmlns:c15="http://schemas.microsoft.com/office/drawing/2012/chart">
            <c:ext xmlns:c15="http://schemas.microsoft.com/office/drawing/2012/chart" uri="{02D57815-91ED-43cb-92C2-25804820EDAC}">
              <c15:datalabelsRange>
                <c15:f>'Graph, Data'!$V$3:$V$52</c15:f>
                <c15:dlblRangeCache>
                  <c:ptCount val="50"/>
                  <c:pt idx="0">
                    <c:v>0%</c:v>
                  </c:pt>
                  <c:pt idx="1">
                    <c:v>0%</c:v>
                  </c:pt>
                  <c:pt idx="2">
                    <c:v>0%</c:v>
                  </c:pt>
                  <c:pt idx="3">
                    <c:v>0%</c:v>
                  </c:pt>
                  <c:pt idx="4">
                    <c:v>0%</c:v>
                  </c:pt>
                  <c:pt idx="5">
                    <c:v>0%</c:v>
                  </c:pt>
                  <c:pt idx="6">
                    <c:v>12%</c:v>
                  </c:pt>
                  <c:pt idx="7">
                    <c:v>0%</c:v>
                  </c:pt>
                  <c:pt idx="8">
                    <c:v>0%</c:v>
                  </c:pt>
                  <c:pt idx="9">
                    <c:v>0%</c:v>
                  </c:pt>
                  <c:pt idx="10">
                    <c:v>22%</c:v>
                  </c:pt>
                  <c:pt idx="11">
                    <c:v>0%</c:v>
                  </c:pt>
                  <c:pt idx="12">
                    <c:v>0%</c:v>
                  </c:pt>
                  <c:pt idx="13">
                    <c:v>30%</c:v>
                  </c:pt>
                  <c:pt idx="14">
                    <c:v>0%</c:v>
                  </c:pt>
                  <c:pt idx="15">
                    <c:v>0%</c:v>
                  </c:pt>
                  <c:pt idx="16">
                    <c:v>0%</c:v>
                  </c:pt>
                  <c:pt idx="17">
                    <c:v>43%</c:v>
                  </c:pt>
                  <c:pt idx="18">
                    <c:v>0%</c:v>
                  </c:pt>
                  <c:pt idx="19">
                    <c:v>50%</c:v>
                  </c:pt>
                  <c:pt idx="20">
                    <c:v>0%</c:v>
                  </c:pt>
                  <c:pt idx="21">
                    <c:v>0%</c:v>
                  </c:pt>
                  <c:pt idx="22">
                    <c:v>62%</c:v>
                  </c:pt>
                  <c:pt idx="23">
                    <c:v>0%</c:v>
                  </c:pt>
                  <c:pt idx="24">
                    <c:v>0%</c:v>
                  </c:pt>
                  <c:pt idx="25">
                    <c:v>74%</c:v>
                  </c:pt>
                  <c:pt idx="26">
                    <c:v>0%</c:v>
                  </c:pt>
                  <c:pt idx="27">
                    <c:v>83%</c:v>
                  </c:pt>
                  <c:pt idx="28">
                    <c:v>0%</c:v>
                  </c:pt>
                  <c:pt idx="29">
                    <c:v>93%</c:v>
                  </c:pt>
                  <c:pt idx="30">
                    <c:v>0%</c:v>
                  </c:pt>
                  <c:pt idx="31">
                    <c:v>103%</c:v>
                  </c:pt>
                  <c:pt idx="32">
                    <c:v>0%</c:v>
                  </c:pt>
                  <c:pt idx="33">
                    <c:v>114%</c:v>
                  </c:pt>
                  <c:pt idx="34">
                    <c:v>0%</c:v>
                  </c:pt>
                  <c:pt idx="35">
                    <c:v>126%</c:v>
                  </c:pt>
                  <c:pt idx="36">
                    <c:v>132%</c:v>
                  </c:pt>
                  <c:pt idx="37">
                    <c:v>0%</c:v>
                  </c:pt>
                  <c:pt idx="38">
                    <c:v>144%</c:v>
                  </c:pt>
                  <c:pt idx="39">
                    <c:v>150%</c:v>
                  </c:pt>
                  <c:pt idx="40">
                    <c:v>0%</c:v>
                  </c:pt>
                  <c:pt idx="41">
                    <c:v>164%</c:v>
                  </c:pt>
                  <c:pt idx="42">
                    <c:v>171%</c:v>
                  </c:pt>
                  <c:pt idx="43">
                    <c:v>0%</c:v>
                  </c:pt>
                  <c:pt idx="44">
                    <c:v>185%</c:v>
                  </c:pt>
                  <c:pt idx="45">
                    <c:v>193%</c:v>
                  </c:pt>
                  <c:pt idx="46">
                    <c:v>200%</c:v>
                  </c:pt>
                  <c:pt idx="47">
                    <c:v>0%</c:v>
                  </c:pt>
                  <c:pt idx="48">
                    <c:v>217%</c:v>
                  </c:pt>
                  <c:pt idx="49">
                    <c:v>225%</c:v>
                  </c:pt>
                </c15:dlblRangeCache>
              </c15:datalabelsRange>
            </c:ext>
            <c:ext xmlns:c16="http://schemas.microsoft.com/office/drawing/2014/chart" uri="{C3380CC4-5D6E-409C-BE32-E72D297353CC}">
              <c16:uniqueId val="{00000001-E8D3-4512-8680-A5D3456CC453}"/>
            </c:ext>
          </c:extLst>
        </c:ser>
        <c:ser>
          <c:idx val="2"/>
          <c:order val="7"/>
          <c:tx>
            <c:strRef>
              <c:f>'Graph, Data'!$O$2</c:f>
              <c:strCache>
                <c:ptCount val="1"/>
                <c:pt idx="0">
                  <c:v>Net Capital gain(Real)</c:v>
                </c:pt>
              </c:strCache>
              <c:extLst xmlns:c15="http://schemas.microsoft.com/office/drawing/2012/chart"/>
            </c:strRef>
          </c:tx>
          <c:spPr>
            <a:ln w="28575" cap="rnd">
              <a:solidFill>
                <a:schemeClr val="accent1"/>
              </a:solidFill>
              <a:prstDash val="dash"/>
              <a:round/>
            </a:ln>
            <a:effectLst/>
          </c:spPr>
          <c:marker>
            <c:symbol val="none"/>
          </c:marker>
          <c:val>
            <c:numRef>
              <c:f>'Graph, Data'!$O$3:$O$52</c:f>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2-E8D3-4512-8680-A5D3456CC453}"/>
            </c:ext>
          </c:extLst>
        </c:ser>
        <c:ser>
          <c:idx val="3"/>
          <c:order val="8"/>
          <c:tx>
            <c:strRef>
              <c:f>'Graph, Data'!$AA$2</c:f>
              <c:strCache>
                <c:ptCount val="1"/>
                <c:pt idx="0">
                  <c:v>Net gain on deposit</c:v>
                </c:pt>
              </c:strCache>
            </c:strRef>
          </c:tx>
          <c:spPr>
            <a:ln w="28575" cap="rnd">
              <a:solidFill>
                <a:schemeClr val="accent4">
                  <a:lumMod val="75000"/>
                </a:schemeClr>
              </a:solidFill>
              <a:prstDash val="dash"/>
              <a:round/>
            </a:ln>
            <a:effectLst/>
          </c:spPr>
          <c:marker>
            <c:symbol val="none"/>
          </c:marker>
          <c:val>
            <c:numRef>
              <c:f>'Graph, Data'!$AA$3:$AA$52</c:f>
              <c:numCache>
                <c:formatCode>#,##0\ "€"</c:formatCode>
                <c:ptCount val="50"/>
                <c:pt idx="0">
                  <c:v>0</c:v>
                </c:pt>
                <c:pt idx="1">
                  <c:v>79.703414634146611</c:v>
                </c:pt>
                <c:pt idx="2">
                  <c:v>263.56389387269519</c:v>
                </c:pt>
                <c:pt idx="3">
                  <c:v>579.48347675141486</c:v>
                </c:pt>
                <c:pt idx="4">
                  <c:v>1059.2332755109674</c:v>
                </c:pt>
                <c:pt idx="5">
                  <c:v>1738.9214164123623</c:v>
                </c:pt>
                <c:pt idx="6">
                  <c:v>2659.5133212481378</c:v>
                </c:pt>
                <c:pt idx="7">
                  <c:v>3867.4099457426491</c:v>
                </c:pt>
                <c:pt idx="8">
                  <c:v>5415.0901779337728</c:v>
                </c:pt>
                <c:pt idx="9">
                  <c:v>7361.8242468093231</c:v>
                </c:pt>
                <c:pt idx="10">
                  <c:v>9774.4657050572714</c:v>
                </c:pt>
                <c:pt idx="11">
                  <c:v>12728.330336512503</c:v>
                </c:pt>
                <c:pt idx="12">
                  <c:v>16308.171206159124</c:v>
                </c:pt>
                <c:pt idx="13">
                  <c:v>20609.260026535689</c:v>
                </c:pt>
                <c:pt idx="14">
                  <c:v>25738.586068068777</c:v>
                </c:pt>
                <c:pt idx="15">
                  <c:v>31816.185002112295</c:v>
                </c:pt>
                <c:pt idx="16">
                  <c:v>38976.611345166952</c:v>
                </c:pt>
                <c:pt idx="17">
                  <c:v>47370.569582863624</c:v>
                </c:pt>
                <c:pt idx="18">
                  <c:v>57166.720605981041</c:v>
                </c:pt>
                <c:pt idx="19">
                  <c:v>68553.681802520092</c:v>
                </c:pt>
                <c:pt idx="20">
                  <c:v>81742.241035611369</c:v>
                </c:pt>
                <c:pt idx="21">
                  <c:v>96967.80681432347</c:v>
                </c:pt>
                <c:pt idx="22">
                  <c:v>114493.11925256538</c:v>
                </c:pt>
                <c:pt idx="23">
                  <c:v>134611.24893145601</c:v>
                </c:pt>
                <c:pt idx="24">
                  <c:v>157648.91355610988</c:v>
                </c:pt>
                <c:pt idx="25">
                  <c:v>183970.14535446709</c:v>
                </c:pt>
                <c:pt idx="26">
                  <c:v>213980.34553179279</c:v>
                </c:pt>
                <c:pt idx="27">
                  <c:v>248130.76580090739</c:v>
                </c:pt>
                <c:pt idx="28">
                  <c:v>286923.46108922956</c:v>
                </c:pt>
                <c:pt idx="29">
                  <c:v>330916.76201694051</c:v>
                </c:pt>
                <c:pt idx="30">
                  <c:v>380731.32068735838</c:v>
                </c:pt>
                <c:pt idx="31">
                  <c:v>437056.78877641726</c:v>
                </c:pt>
                <c:pt idx="32">
                  <c:v>500659.19290301972</c:v>
                </c:pt>
                <c:pt idx="33">
                  <c:v>572389.07886095881</c:v>
                </c:pt>
                <c:pt idx="34">
                  <c:v>653190.50355662033</c:v>
                </c:pt>
                <c:pt idx="35">
                  <c:v>744110.96149126976</c:v>
                </c:pt>
                <c:pt idx="36">
                  <c:v>846312.34142560663</c:v>
                </c:pt>
                <c:pt idx="37">
                  <c:v>961083.01854786393</c:v>
                </c:pt>
                <c:pt idx="38">
                  <c:v>1089851.1981235235</c:v>
                </c:pt>
                <c:pt idx="39">
                  <c:v>1234199.6383319967</c:v>
                </c:pt>
                <c:pt idx="40">
                  <c:v>1395881.8929003591</c:v>
                </c:pt>
                <c:pt idx="41">
                  <c:v>1576840.2283440402</c:v>
                </c:pt>
                <c:pt idx="42">
                  <c:v>1779225.3862486291</c:v>
                </c:pt>
                <c:pt idx="43">
                  <c:v>2005418.3782177744</c:v>
                </c:pt>
                <c:pt idx="44">
                  <c:v>2258054.5200260235</c:v>
                </c:pt>
                <c:pt idx="45">
                  <c:v>2540049.9323241031</c:v>
                </c:pt>
                <c:pt idx="46">
                  <c:v>2854630.7581367064</c:v>
                </c:pt>
                <c:pt idx="47">
                  <c:v>3205365.3725770433</c:v>
                </c:pt>
                <c:pt idx="48">
                  <c:v>3596199.8879067055</c:v>
                </c:pt>
                <c:pt idx="49">
                  <c:v>4031497.2875448666</c:v>
                </c:pt>
              </c:numCache>
            </c:numRef>
          </c:val>
          <c:smooth val="0"/>
          <c:extLst>
            <c:ext xmlns:c16="http://schemas.microsoft.com/office/drawing/2014/chart" uri="{C3380CC4-5D6E-409C-BE32-E72D297353CC}">
              <c16:uniqueId val="{00000001-1DAD-43B1-A096-2A7C09875603}"/>
            </c:ext>
          </c:extLst>
        </c:ser>
        <c:ser>
          <c:idx val="6"/>
          <c:order val="9"/>
          <c:tx>
            <c:strRef>
              <c:f>'Graph, Data'!$AD$2</c:f>
              <c:strCache>
                <c:ptCount val="1"/>
                <c:pt idx="0">
                  <c:v>+10% Net gain on deposit/Net deposit '</c:v>
                </c:pt>
              </c:strCache>
            </c:strRef>
          </c:tx>
          <c:spPr>
            <a:ln w="28575" cap="rnd">
              <a:noFill/>
              <a:round/>
            </a:ln>
            <a:effectLst/>
          </c:spPr>
          <c:marker>
            <c:symbol val="circle"/>
            <c:size val="8"/>
            <c:spPr>
              <a:solidFill>
                <a:schemeClr val="accent4">
                  <a:lumMod val="75000"/>
                </a:schemeClr>
              </a:solidFill>
              <a:ln w="9525">
                <a:solidFill>
                  <a:schemeClr val="accent4">
                    <a:lumMod val="50000"/>
                  </a:schemeClr>
                </a:solidFill>
              </a:ln>
              <a:effectLst/>
            </c:spPr>
          </c:marker>
          <c:dLbls>
            <c:dLbl>
              <c:idx val="0"/>
              <c:tx>
                <c:rich>
                  <a:bodyPr/>
                  <a:lstStyle/>
                  <a:p>
                    <a:fld id="{02D19CB3-E1E3-48A1-A08F-FB272B0072B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1DAD-43B1-A096-2A7C09875603}"/>
                </c:ext>
              </c:extLst>
            </c:dLbl>
            <c:dLbl>
              <c:idx val="1"/>
              <c:tx>
                <c:rich>
                  <a:bodyPr/>
                  <a:lstStyle/>
                  <a:p>
                    <a:fld id="{1E89309F-9E35-4408-B5DE-6E9AE6040F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1DAD-43B1-A096-2A7C09875603}"/>
                </c:ext>
              </c:extLst>
            </c:dLbl>
            <c:dLbl>
              <c:idx val="2"/>
              <c:tx>
                <c:rich>
                  <a:bodyPr/>
                  <a:lstStyle/>
                  <a:p>
                    <a:fld id="{C03B1C05-B03D-4641-AA2C-D5EDAA3BF21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1DAD-43B1-A096-2A7C09875603}"/>
                </c:ext>
              </c:extLst>
            </c:dLbl>
            <c:dLbl>
              <c:idx val="3"/>
              <c:tx>
                <c:rich>
                  <a:bodyPr/>
                  <a:lstStyle/>
                  <a:p>
                    <a:fld id="{C6130AD0-F81B-4C4C-96BE-409C515A2B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1DAD-43B1-A096-2A7C09875603}"/>
                </c:ext>
              </c:extLst>
            </c:dLbl>
            <c:dLbl>
              <c:idx val="4"/>
              <c:tx>
                <c:rich>
                  <a:bodyPr/>
                  <a:lstStyle/>
                  <a:p>
                    <a:fld id="{789A2FFE-773B-447E-90AD-98D6D5B785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1DAD-43B1-A096-2A7C09875603}"/>
                </c:ext>
              </c:extLst>
            </c:dLbl>
            <c:dLbl>
              <c:idx val="5"/>
              <c:tx>
                <c:rich>
                  <a:bodyPr/>
                  <a:lstStyle/>
                  <a:p>
                    <a:fld id="{AED6C9B7-0FEA-41ED-9DFB-5C5AFB1240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1DAD-43B1-A096-2A7C09875603}"/>
                </c:ext>
              </c:extLst>
            </c:dLbl>
            <c:dLbl>
              <c:idx val="6"/>
              <c:tx>
                <c:rich>
                  <a:bodyPr/>
                  <a:lstStyle/>
                  <a:p>
                    <a:fld id="{FB2DABF7-6EB7-407A-9149-646F2DBFC2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1DAD-43B1-A096-2A7C09875603}"/>
                </c:ext>
              </c:extLst>
            </c:dLbl>
            <c:dLbl>
              <c:idx val="7"/>
              <c:tx>
                <c:rich>
                  <a:bodyPr/>
                  <a:lstStyle/>
                  <a:p>
                    <a:fld id="{7FB0B21D-D7C8-4ED2-9E25-07D7DFD16C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1DAD-43B1-A096-2A7C09875603}"/>
                </c:ext>
              </c:extLst>
            </c:dLbl>
            <c:dLbl>
              <c:idx val="8"/>
              <c:tx>
                <c:rich>
                  <a:bodyPr/>
                  <a:lstStyle/>
                  <a:p>
                    <a:fld id="{E53EF9B2-F133-4665-BB9E-4985BDB259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1DAD-43B1-A096-2A7C09875603}"/>
                </c:ext>
              </c:extLst>
            </c:dLbl>
            <c:dLbl>
              <c:idx val="9"/>
              <c:tx>
                <c:rich>
                  <a:bodyPr/>
                  <a:lstStyle/>
                  <a:p>
                    <a:fld id="{5DDBC93F-299E-4FB4-AF78-56B3AA7590A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1DAD-43B1-A096-2A7C09875603}"/>
                </c:ext>
              </c:extLst>
            </c:dLbl>
            <c:dLbl>
              <c:idx val="10"/>
              <c:tx>
                <c:rich>
                  <a:bodyPr/>
                  <a:lstStyle/>
                  <a:p>
                    <a:fld id="{B115C3B4-0322-4785-807E-29EEE94BE01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1DAD-43B1-A096-2A7C09875603}"/>
                </c:ext>
              </c:extLst>
            </c:dLbl>
            <c:dLbl>
              <c:idx val="11"/>
              <c:tx>
                <c:rich>
                  <a:bodyPr/>
                  <a:lstStyle/>
                  <a:p>
                    <a:fld id="{B320A841-1035-4AFE-9D87-0395C4036F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1DAD-43B1-A096-2A7C09875603}"/>
                </c:ext>
              </c:extLst>
            </c:dLbl>
            <c:dLbl>
              <c:idx val="12"/>
              <c:tx>
                <c:rich>
                  <a:bodyPr/>
                  <a:lstStyle/>
                  <a:p>
                    <a:fld id="{7D2961B4-3BD1-4F0E-9615-3680D1BB46D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1DAD-43B1-A096-2A7C09875603}"/>
                </c:ext>
              </c:extLst>
            </c:dLbl>
            <c:dLbl>
              <c:idx val="13"/>
              <c:tx>
                <c:rich>
                  <a:bodyPr/>
                  <a:lstStyle/>
                  <a:p>
                    <a:fld id="{B57EA1E3-8450-4494-BB00-910DB28095B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1DAD-43B1-A096-2A7C09875603}"/>
                </c:ext>
              </c:extLst>
            </c:dLbl>
            <c:dLbl>
              <c:idx val="14"/>
              <c:tx>
                <c:rich>
                  <a:bodyPr/>
                  <a:lstStyle/>
                  <a:p>
                    <a:fld id="{2BFF4118-B785-44E2-BC05-AF32FA83FE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1DAD-43B1-A096-2A7C09875603}"/>
                </c:ext>
              </c:extLst>
            </c:dLbl>
            <c:dLbl>
              <c:idx val="15"/>
              <c:tx>
                <c:rich>
                  <a:bodyPr/>
                  <a:lstStyle/>
                  <a:p>
                    <a:fld id="{B9D9A8C3-1938-4DC5-8BD0-FF2AFA4482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1DAD-43B1-A096-2A7C09875603}"/>
                </c:ext>
              </c:extLst>
            </c:dLbl>
            <c:dLbl>
              <c:idx val="16"/>
              <c:tx>
                <c:rich>
                  <a:bodyPr/>
                  <a:lstStyle/>
                  <a:p>
                    <a:fld id="{02914A72-AE06-4FDC-AF8A-EDEDA278B9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1DAD-43B1-A096-2A7C09875603}"/>
                </c:ext>
              </c:extLst>
            </c:dLbl>
            <c:dLbl>
              <c:idx val="17"/>
              <c:tx>
                <c:rich>
                  <a:bodyPr/>
                  <a:lstStyle/>
                  <a:p>
                    <a:fld id="{3C172237-30F7-49A4-9325-979F5153AB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1DAD-43B1-A096-2A7C09875603}"/>
                </c:ext>
              </c:extLst>
            </c:dLbl>
            <c:dLbl>
              <c:idx val="18"/>
              <c:tx>
                <c:rich>
                  <a:bodyPr/>
                  <a:lstStyle/>
                  <a:p>
                    <a:fld id="{A829DC15-F1EF-485A-9ADA-AD6508B838B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1DAD-43B1-A096-2A7C09875603}"/>
                </c:ext>
              </c:extLst>
            </c:dLbl>
            <c:dLbl>
              <c:idx val="19"/>
              <c:tx>
                <c:rich>
                  <a:bodyPr/>
                  <a:lstStyle/>
                  <a:p>
                    <a:fld id="{DCCCCF99-2051-4642-8ACA-4748B33A699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1DAD-43B1-A096-2A7C09875603}"/>
                </c:ext>
              </c:extLst>
            </c:dLbl>
            <c:dLbl>
              <c:idx val="20"/>
              <c:tx>
                <c:rich>
                  <a:bodyPr/>
                  <a:lstStyle/>
                  <a:p>
                    <a:fld id="{1517A917-21BF-4777-B1EF-B8C3E91A70F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1DAD-43B1-A096-2A7C09875603}"/>
                </c:ext>
              </c:extLst>
            </c:dLbl>
            <c:dLbl>
              <c:idx val="21"/>
              <c:tx>
                <c:rich>
                  <a:bodyPr/>
                  <a:lstStyle/>
                  <a:p>
                    <a:fld id="{E8F9DDBF-0E43-4DFF-B786-A661A8CB62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1DAD-43B1-A096-2A7C09875603}"/>
                </c:ext>
              </c:extLst>
            </c:dLbl>
            <c:dLbl>
              <c:idx val="22"/>
              <c:tx>
                <c:rich>
                  <a:bodyPr/>
                  <a:lstStyle/>
                  <a:p>
                    <a:fld id="{B68CC773-B2F6-43C5-9EFB-E910874363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1DAD-43B1-A096-2A7C09875603}"/>
                </c:ext>
              </c:extLst>
            </c:dLbl>
            <c:dLbl>
              <c:idx val="23"/>
              <c:tx>
                <c:rich>
                  <a:bodyPr/>
                  <a:lstStyle/>
                  <a:p>
                    <a:fld id="{B2827A74-216F-4FE1-980C-96CE9481D4A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1DAD-43B1-A096-2A7C09875603}"/>
                </c:ext>
              </c:extLst>
            </c:dLbl>
            <c:dLbl>
              <c:idx val="24"/>
              <c:tx>
                <c:rich>
                  <a:bodyPr/>
                  <a:lstStyle/>
                  <a:p>
                    <a:fld id="{0D26FDF9-A837-4787-9D0F-C2A175D50E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1DAD-43B1-A096-2A7C09875603}"/>
                </c:ext>
              </c:extLst>
            </c:dLbl>
            <c:dLbl>
              <c:idx val="25"/>
              <c:tx>
                <c:rich>
                  <a:bodyPr/>
                  <a:lstStyle/>
                  <a:p>
                    <a:fld id="{8B3D08DB-6041-4A75-8610-AE9E96529F6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1DAD-43B1-A096-2A7C09875603}"/>
                </c:ext>
              </c:extLst>
            </c:dLbl>
            <c:dLbl>
              <c:idx val="26"/>
              <c:tx>
                <c:rich>
                  <a:bodyPr/>
                  <a:lstStyle/>
                  <a:p>
                    <a:fld id="{4AE0BEA7-E13F-4E7B-B740-DD0FE41C3F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1DAD-43B1-A096-2A7C09875603}"/>
                </c:ext>
              </c:extLst>
            </c:dLbl>
            <c:dLbl>
              <c:idx val="27"/>
              <c:tx>
                <c:rich>
                  <a:bodyPr/>
                  <a:lstStyle/>
                  <a:p>
                    <a:fld id="{A2B66F81-28C5-468A-905B-A0B93096702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1DAD-43B1-A096-2A7C09875603}"/>
                </c:ext>
              </c:extLst>
            </c:dLbl>
            <c:dLbl>
              <c:idx val="28"/>
              <c:tx>
                <c:rich>
                  <a:bodyPr/>
                  <a:lstStyle/>
                  <a:p>
                    <a:fld id="{FB44C55C-8AC4-4998-B406-80F13663AE0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1DAD-43B1-A096-2A7C09875603}"/>
                </c:ext>
              </c:extLst>
            </c:dLbl>
            <c:dLbl>
              <c:idx val="29"/>
              <c:tx>
                <c:rich>
                  <a:bodyPr/>
                  <a:lstStyle/>
                  <a:p>
                    <a:fld id="{F781B6BB-EF42-4C5B-B6E5-17C23AE50AF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1DAD-43B1-A096-2A7C09875603}"/>
                </c:ext>
              </c:extLst>
            </c:dLbl>
            <c:dLbl>
              <c:idx val="30"/>
              <c:tx>
                <c:rich>
                  <a:bodyPr/>
                  <a:lstStyle/>
                  <a:p>
                    <a:fld id="{BAFE1DB6-3540-4FDD-8508-A4D416894BB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4E2-43F0-A43C-1BC92AF4D9A0}"/>
                </c:ext>
              </c:extLst>
            </c:dLbl>
            <c:dLbl>
              <c:idx val="31"/>
              <c:tx>
                <c:rich>
                  <a:bodyPr/>
                  <a:lstStyle/>
                  <a:p>
                    <a:fld id="{C0B85260-6FFA-499B-ADE5-CB061ACCD71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4E2-43F0-A43C-1BC92AF4D9A0}"/>
                </c:ext>
              </c:extLst>
            </c:dLbl>
            <c:dLbl>
              <c:idx val="32"/>
              <c:tx>
                <c:rich>
                  <a:bodyPr/>
                  <a:lstStyle/>
                  <a:p>
                    <a:fld id="{E2D35A68-E57E-4BDB-8F2E-02ECC3641E4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4E2-43F0-A43C-1BC92AF4D9A0}"/>
                </c:ext>
              </c:extLst>
            </c:dLbl>
            <c:dLbl>
              <c:idx val="33"/>
              <c:tx>
                <c:rich>
                  <a:bodyPr/>
                  <a:lstStyle/>
                  <a:p>
                    <a:fld id="{0ED49900-9CFC-4C6F-A1FA-748E2E946C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74E2-43F0-A43C-1BC92AF4D9A0}"/>
                </c:ext>
              </c:extLst>
            </c:dLbl>
            <c:dLbl>
              <c:idx val="34"/>
              <c:tx>
                <c:rich>
                  <a:bodyPr/>
                  <a:lstStyle/>
                  <a:p>
                    <a:fld id="{F91F5946-2F7A-4C78-9ACE-34CC5219FCF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74E2-43F0-A43C-1BC92AF4D9A0}"/>
                </c:ext>
              </c:extLst>
            </c:dLbl>
            <c:dLbl>
              <c:idx val="35"/>
              <c:tx>
                <c:rich>
                  <a:bodyPr/>
                  <a:lstStyle/>
                  <a:p>
                    <a:fld id="{36F34CFE-7A54-4634-974E-2154428EF65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74E2-43F0-A43C-1BC92AF4D9A0}"/>
                </c:ext>
              </c:extLst>
            </c:dLbl>
            <c:dLbl>
              <c:idx val="36"/>
              <c:tx>
                <c:rich>
                  <a:bodyPr/>
                  <a:lstStyle/>
                  <a:p>
                    <a:fld id="{750AE918-2562-4289-8D77-2D31523003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74E2-43F0-A43C-1BC92AF4D9A0}"/>
                </c:ext>
              </c:extLst>
            </c:dLbl>
            <c:dLbl>
              <c:idx val="37"/>
              <c:tx>
                <c:rich>
                  <a:bodyPr/>
                  <a:lstStyle/>
                  <a:p>
                    <a:fld id="{CD24CC42-B693-45FA-B860-91FAA947D0F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74E2-43F0-A43C-1BC92AF4D9A0}"/>
                </c:ext>
              </c:extLst>
            </c:dLbl>
            <c:dLbl>
              <c:idx val="38"/>
              <c:tx>
                <c:rich>
                  <a:bodyPr/>
                  <a:lstStyle/>
                  <a:p>
                    <a:fld id="{C9A13DBF-4EC3-4E96-8E7A-38FE6F55133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74E2-43F0-A43C-1BC92AF4D9A0}"/>
                </c:ext>
              </c:extLst>
            </c:dLbl>
            <c:dLbl>
              <c:idx val="39"/>
              <c:tx>
                <c:rich>
                  <a:bodyPr/>
                  <a:lstStyle/>
                  <a:p>
                    <a:fld id="{C30D2534-8877-4BF8-A687-8D34BDE9F4F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74E2-43F0-A43C-1BC92AF4D9A0}"/>
                </c:ext>
              </c:extLst>
            </c:dLbl>
            <c:dLbl>
              <c:idx val="40"/>
              <c:tx>
                <c:rich>
                  <a:bodyPr/>
                  <a:lstStyle/>
                  <a:p>
                    <a:fld id="{1B5E5C1F-764B-4329-9679-39A489B5CC1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74E2-43F0-A43C-1BC92AF4D9A0}"/>
                </c:ext>
              </c:extLst>
            </c:dLbl>
            <c:dLbl>
              <c:idx val="41"/>
              <c:tx>
                <c:rich>
                  <a:bodyPr/>
                  <a:lstStyle/>
                  <a:p>
                    <a:fld id="{1A2B1A0E-1A6A-47DA-A6E3-B58326569C4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74E2-43F0-A43C-1BC92AF4D9A0}"/>
                </c:ext>
              </c:extLst>
            </c:dLbl>
            <c:dLbl>
              <c:idx val="42"/>
              <c:tx>
                <c:rich>
                  <a:bodyPr/>
                  <a:lstStyle/>
                  <a:p>
                    <a:fld id="{68A4AA18-EA2E-4727-949E-6A9B7A3A85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74E2-43F0-A43C-1BC92AF4D9A0}"/>
                </c:ext>
              </c:extLst>
            </c:dLbl>
            <c:dLbl>
              <c:idx val="43"/>
              <c:tx>
                <c:rich>
                  <a:bodyPr/>
                  <a:lstStyle/>
                  <a:p>
                    <a:fld id="{0AE16AD1-D181-4886-82CE-6FE3B2E71E2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74E2-43F0-A43C-1BC92AF4D9A0}"/>
                </c:ext>
              </c:extLst>
            </c:dLbl>
            <c:dLbl>
              <c:idx val="44"/>
              <c:tx>
                <c:rich>
                  <a:bodyPr/>
                  <a:lstStyle/>
                  <a:p>
                    <a:fld id="{AB7F1668-CF38-4484-A055-DF54D661DCC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74E2-43F0-A43C-1BC92AF4D9A0}"/>
                </c:ext>
              </c:extLst>
            </c:dLbl>
            <c:dLbl>
              <c:idx val="45"/>
              <c:tx>
                <c:rich>
                  <a:bodyPr/>
                  <a:lstStyle/>
                  <a:p>
                    <a:fld id="{EB75B5B8-88E7-445A-8DA5-C92A9163429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74E2-43F0-A43C-1BC92AF4D9A0}"/>
                </c:ext>
              </c:extLst>
            </c:dLbl>
            <c:dLbl>
              <c:idx val="46"/>
              <c:tx>
                <c:rich>
                  <a:bodyPr/>
                  <a:lstStyle/>
                  <a:p>
                    <a:fld id="{0C300B6D-99B1-4A8E-9D69-B9886BF1F6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74E2-43F0-A43C-1BC92AF4D9A0}"/>
                </c:ext>
              </c:extLst>
            </c:dLbl>
            <c:dLbl>
              <c:idx val="47"/>
              <c:tx>
                <c:rich>
                  <a:bodyPr/>
                  <a:lstStyle/>
                  <a:p>
                    <a:fld id="{6C330E76-0F71-45B8-AB2A-588C30F9D0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74E2-43F0-A43C-1BC92AF4D9A0}"/>
                </c:ext>
              </c:extLst>
            </c:dLbl>
            <c:dLbl>
              <c:idx val="48"/>
              <c:tx>
                <c:rich>
                  <a:bodyPr/>
                  <a:lstStyle/>
                  <a:p>
                    <a:fld id="{4B014C15-980F-4DD2-B3E2-93F5E5590C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74E2-43F0-A43C-1BC92AF4D9A0}"/>
                </c:ext>
              </c:extLst>
            </c:dLbl>
            <c:dLbl>
              <c:idx val="49"/>
              <c:tx>
                <c:rich>
                  <a:bodyPr/>
                  <a:lstStyle/>
                  <a:p>
                    <a:fld id="{27BC1C88-62F7-4EB0-9AD4-149FB51ED7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74E2-43F0-A43C-1BC92AF4D9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'Graph, Data'!$AD$3:$AD$52</c:f>
              <c:numCache>
                <c:formatCode>#,##0\ "€"</c:formatCode>
                <c:ptCount val="50"/>
                <c:pt idx="0">
                  <c:v>-1000</c:v>
                </c:pt>
                <c:pt idx="1">
                  <c:v>-1000</c:v>
                </c:pt>
                <c:pt idx="2">
                  <c:v>-1000</c:v>
                </c:pt>
                <c:pt idx="3">
                  <c:v>-1000</c:v>
                </c:pt>
                <c:pt idx="4">
                  <c:v>-1000</c:v>
                </c:pt>
                <c:pt idx="5">
                  <c:v>-1000</c:v>
                </c:pt>
                <c:pt idx="6">
                  <c:v>-1000</c:v>
                </c:pt>
                <c:pt idx="7">
                  <c:v>-1000</c:v>
                </c:pt>
                <c:pt idx="8">
                  <c:v>-1000</c:v>
                </c:pt>
                <c:pt idx="9">
                  <c:v>-1000</c:v>
                </c:pt>
                <c:pt idx="10">
                  <c:v>9774.4657050572714</c:v>
                </c:pt>
                <c:pt idx="11">
                  <c:v>-1000</c:v>
                </c:pt>
                <c:pt idx="12">
                  <c:v>-1000</c:v>
                </c:pt>
                <c:pt idx="13">
                  <c:v>-1000</c:v>
                </c:pt>
                <c:pt idx="14">
                  <c:v>-1000</c:v>
                </c:pt>
                <c:pt idx="15">
                  <c:v>-1000</c:v>
                </c:pt>
                <c:pt idx="16">
                  <c:v>38976.611345166952</c:v>
                </c:pt>
                <c:pt idx="17">
                  <c:v>-1000</c:v>
                </c:pt>
                <c:pt idx="18">
                  <c:v>-1000</c:v>
                </c:pt>
                <c:pt idx="19">
                  <c:v>-1000</c:v>
                </c:pt>
                <c:pt idx="20">
                  <c:v>-1000</c:v>
                </c:pt>
                <c:pt idx="21">
                  <c:v>96967.80681432347</c:v>
                </c:pt>
                <c:pt idx="22">
                  <c:v>-1000</c:v>
                </c:pt>
                <c:pt idx="23">
                  <c:v>-1000</c:v>
                </c:pt>
                <c:pt idx="24">
                  <c:v>-1000</c:v>
                </c:pt>
                <c:pt idx="25">
                  <c:v>183970.14535446709</c:v>
                </c:pt>
                <c:pt idx="26">
                  <c:v>-1000</c:v>
                </c:pt>
                <c:pt idx="27">
                  <c:v>-1000</c:v>
                </c:pt>
                <c:pt idx="28">
                  <c:v>286923.46108922956</c:v>
                </c:pt>
                <c:pt idx="29">
                  <c:v>-1000</c:v>
                </c:pt>
                <c:pt idx="30">
                  <c:v>-1000</c:v>
                </c:pt>
                <c:pt idx="31">
                  <c:v>437056.78877641726</c:v>
                </c:pt>
                <c:pt idx="32">
                  <c:v>-1000</c:v>
                </c:pt>
                <c:pt idx="33">
                  <c:v>-1000</c:v>
                </c:pt>
                <c:pt idx="34">
                  <c:v>653190.50355662033</c:v>
                </c:pt>
                <c:pt idx="35">
                  <c:v>-1000</c:v>
                </c:pt>
                <c:pt idx="36">
                  <c:v>846312.34142560663</c:v>
                </c:pt>
                <c:pt idx="37">
                  <c:v>-1000</c:v>
                </c:pt>
                <c:pt idx="38">
                  <c:v>1089851.1981235235</c:v>
                </c:pt>
                <c:pt idx="39">
                  <c:v>-1000</c:v>
                </c:pt>
                <c:pt idx="40">
                  <c:v>-1000</c:v>
                </c:pt>
                <c:pt idx="41">
                  <c:v>1576840.2283440402</c:v>
                </c:pt>
                <c:pt idx="42">
                  <c:v>-1000</c:v>
                </c:pt>
                <c:pt idx="43">
                  <c:v>2005418.3782177744</c:v>
                </c:pt>
                <c:pt idx="44">
                  <c:v>-1000</c:v>
                </c:pt>
                <c:pt idx="45">
                  <c:v>2540049.9323241031</c:v>
                </c:pt>
                <c:pt idx="46">
                  <c:v>2854630.7581367064</c:v>
                </c:pt>
                <c:pt idx="47">
                  <c:v>-1000</c:v>
                </c:pt>
                <c:pt idx="48">
                  <c:v>3596199.8879067055</c:v>
                </c:pt>
                <c:pt idx="49">
                  <c:v>-1000</c:v>
                </c:pt>
              </c:numCache>
            </c:numRef>
          </c:val>
          <c:smooth val="0"/>
          <c:extLst>
            <c:ext xmlns:c15="http://schemas.microsoft.com/office/drawing/2012/chart" uri="{02D57815-91ED-43cb-92C2-25804820EDAC}">
              <c15:datalabelsRange>
                <c15:f>'Graph, Data'!$AC$3:$AC$52</c15:f>
                <c15:dlblRangeCache>
                  <c:ptCount val="50"/>
                  <c:pt idx="0">
                    <c:v>0%</c:v>
                  </c:pt>
                  <c:pt idx="1">
                    <c:v>0%</c:v>
                  </c:pt>
                  <c:pt idx="2">
                    <c:v>0%</c:v>
                  </c:pt>
                  <c:pt idx="3">
                    <c:v>0%</c:v>
                  </c:pt>
                  <c:pt idx="4">
                    <c:v>0%</c:v>
                  </c:pt>
                  <c:pt idx="5">
                    <c:v>0%</c:v>
                  </c:pt>
                  <c:pt idx="6">
                    <c:v>0%</c:v>
                  </c:pt>
                  <c:pt idx="7">
                    <c:v>0%</c:v>
                  </c:pt>
                  <c:pt idx="8">
                    <c:v>0%</c:v>
                  </c:pt>
                  <c:pt idx="9">
                    <c:v>0%</c:v>
                  </c:pt>
                  <c:pt idx="10">
                    <c:v>10%</c:v>
                  </c:pt>
                  <c:pt idx="11">
                    <c:v>0%</c:v>
                  </c:pt>
                  <c:pt idx="12">
                    <c:v>0%</c:v>
                  </c:pt>
                  <c:pt idx="13">
                    <c:v>0%</c:v>
                  </c:pt>
                  <c:pt idx="14">
                    <c:v>0%</c:v>
                  </c:pt>
                  <c:pt idx="15">
                    <c:v>0%</c:v>
                  </c:pt>
                  <c:pt idx="16">
                    <c:v>21%</c:v>
                  </c:pt>
                  <c:pt idx="17">
                    <c:v>0%</c:v>
                  </c:pt>
                  <c:pt idx="18">
                    <c:v>0%</c:v>
                  </c:pt>
                  <c:pt idx="19">
                    <c:v>0%</c:v>
                  </c:pt>
                  <c:pt idx="20">
                    <c:v>0%</c:v>
                  </c:pt>
                  <c:pt idx="21">
                    <c:v>32%</c:v>
                  </c:pt>
                  <c:pt idx="22">
                    <c:v>0%</c:v>
                  </c:pt>
                  <c:pt idx="23">
                    <c:v>0%</c:v>
                  </c:pt>
                  <c:pt idx="24">
                    <c:v>0%</c:v>
                  </c:pt>
                  <c:pt idx="25">
                    <c:v>43%</c:v>
                  </c:pt>
                  <c:pt idx="26">
                    <c:v>0%</c:v>
                  </c:pt>
                  <c:pt idx="27">
                    <c:v>0%</c:v>
                  </c:pt>
                  <c:pt idx="28">
                    <c:v>52%</c:v>
                  </c:pt>
                  <c:pt idx="29">
                    <c:v>0%</c:v>
                  </c:pt>
                  <c:pt idx="30">
                    <c:v>0%</c:v>
                  </c:pt>
                  <c:pt idx="31">
                    <c:v>62%</c:v>
                  </c:pt>
                  <c:pt idx="32">
                    <c:v>0%</c:v>
                  </c:pt>
                  <c:pt idx="33">
                    <c:v>0%</c:v>
                  </c:pt>
                  <c:pt idx="34">
                    <c:v>73%</c:v>
                  </c:pt>
                  <c:pt idx="35">
                    <c:v>0%</c:v>
                  </c:pt>
                  <c:pt idx="36">
                    <c:v>82%</c:v>
                  </c:pt>
                  <c:pt idx="37">
                    <c:v>0%</c:v>
                  </c:pt>
                  <c:pt idx="38">
                    <c:v>90%</c:v>
                  </c:pt>
                  <c:pt idx="39">
                    <c:v>0%</c:v>
                  </c:pt>
                  <c:pt idx="40">
                    <c:v>0%</c:v>
                  </c:pt>
                  <c:pt idx="41">
                    <c:v>104%</c:v>
                  </c:pt>
                  <c:pt idx="42">
                    <c:v>0%</c:v>
                  </c:pt>
                  <c:pt idx="43">
                    <c:v>114%</c:v>
                  </c:pt>
                  <c:pt idx="44">
                    <c:v>0%</c:v>
                  </c:pt>
                  <c:pt idx="45">
                    <c:v>125%</c:v>
                  </c:pt>
                  <c:pt idx="46">
                    <c:v>130%</c:v>
                  </c:pt>
                  <c:pt idx="47">
                    <c:v>0%</c:v>
                  </c:pt>
                  <c:pt idx="48">
                    <c:v>142%</c:v>
                  </c:pt>
                  <c:pt idx="49">
                    <c:v>0%</c:v>
                  </c:pt>
                </c15:dlblRangeCache>
              </c15:datalabelsRange>
            </c:ext>
            <c:ext xmlns:c16="http://schemas.microsoft.com/office/drawing/2014/chart" uri="{C3380CC4-5D6E-409C-BE32-E72D297353CC}">
              <c16:uniqueId val="{00000003-1DAD-43B1-A096-2A7C09875603}"/>
            </c:ext>
          </c:extLst>
        </c:ser>
        <c:dLbls>
          <c:showLegendKey val="0"/>
          <c:showVal val="0"/>
          <c:showCatName val="0"/>
          <c:showSerName val="0"/>
          <c:showPercent val="0"/>
          <c:showBubbleSize val="0"/>
        </c:dLbls>
        <c:smooth val="0"/>
        <c:axId val="1885874191"/>
        <c:axId val="1760485823"/>
        <c:extLst>
          <c:ext xmlns:c15="http://schemas.microsoft.com/office/drawing/2012/chart" uri="{02D57815-91ED-43cb-92C2-25804820EDAC}">
            <c15:filteredLineSeries>
              <c15:ser>
                <c:idx val="0"/>
                <c:order val="0"/>
                <c:tx>
                  <c:strRef>
                    <c:extLst>
                      <c:ext uri="{02D57815-91ED-43cb-92C2-25804820EDAC}">
                        <c15:formulaRef>
                          <c15:sqref>'Graph, Data'!$D$2</c15:sqref>
                        </c15:formulaRef>
                      </c:ext>
                    </c:extLst>
                    <c:strCache>
                      <c:ptCount val="1"/>
                      <c:pt idx="0">
                        <c:v>Savings (Nominal)</c:v>
                      </c:pt>
                    </c:strCache>
                  </c:strRef>
                </c:tx>
                <c:spPr>
                  <a:ln w="28575" cap="rnd">
                    <a:solidFill>
                      <a:schemeClr val="accent6">
                        <a:lumMod val="75000"/>
                      </a:schemeClr>
                    </a:solidFill>
                    <a:prstDash val="dash"/>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Data'!$D$3:$D$52</c15:sqref>
                        </c15:formulaRef>
                      </c:ext>
                    </c:extLst>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3B-7B13-4DF4-A439-0C191AF0B423}"/>
                  </c:ext>
                </c:extLst>
              </c15:ser>
            </c15:filteredLineSeries>
            <c15:filteredLineSeries>
              <c15:ser>
                <c:idx val="5"/>
                <c:order val="2"/>
                <c:tx>
                  <c:strRef>
                    <c:extLst xmlns:c15="http://schemas.microsoft.com/office/drawing/2012/chart">
                      <c:ext xmlns:c15="http://schemas.microsoft.com/office/drawing/2012/chart" uri="{02D57815-91ED-43cb-92C2-25804820EDAC}">
                        <c15:formulaRef>
                          <c15:sqref>'Graph, Data'!$J$2</c15:sqref>
                        </c15:formulaRef>
                      </c:ext>
                    </c:extLst>
                    <c:strCache>
                      <c:ptCount val="1"/>
                      <c:pt idx="0">
                        <c:v>Present value (Real)</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Data'!$J$3:$J$52</c15:sqref>
                        </c15:formulaRef>
                      </c:ext>
                    </c:extLst>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xmlns:c15="http://schemas.microsoft.com/office/drawing/2012/chart">
                  <c:ext xmlns:c16="http://schemas.microsoft.com/office/drawing/2014/chart" uri="{C3380CC4-5D6E-409C-BE32-E72D297353CC}">
                    <c16:uniqueId val="{00000003-7B13-4DF4-A439-0C191AF0B423}"/>
                  </c:ext>
                </c:extLst>
              </c15:ser>
            </c15:filteredLineSeries>
            <c15:filteredLineSeries>
              <c15:ser>
                <c:idx val="10"/>
                <c:order val="3"/>
                <c:tx>
                  <c:strRef>
                    <c:extLst xmlns:c15="http://schemas.microsoft.com/office/drawing/2012/chart">
                      <c:ext xmlns:c15="http://schemas.microsoft.com/office/drawing/2012/chart" uri="{02D57815-91ED-43cb-92C2-25804820EDAC}">
                        <c15:formulaRef>
                          <c15:sqref>'Graph, Data'!$F$2</c15:sqref>
                        </c15:formulaRef>
                      </c:ext>
                    </c:extLst>
                    <c:strCache>
                      <c:ptCount val="1"/>
                      <c:pt idx="0">
                        <c:v>Savings (Real, adj. per year)</c:v>
                      </c:pt>
                    </c:strCache>
                  </c:strRef>
                </c:tx>
                <c:spPr>
                  <a:ln w="28575" cap="rnd">
                    <a:solidFill>
                      <a:schemeClr val="accent6">
                        <a:lumMod val="75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Data'!$F$3:$F$52</c15:sqref>
                        </c15:formulaRef>
                      </c:ext>
                    </c:extLst>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xmlns:c15="http://schemas.microsoft.com/office/drawing/2012/chart">
                  <c:ext xmlns:c16="http://schemas.microsoft.com/office/drawing/2014/chart" uri="{C3380CC4-5D6E-409C-BE32-E72D297353CC}">
                    <c16:uniqueId val="{00000004-7B13-4DF4-A439-0C191AF0B423}"/>
                  </c:ext>
                </c:extLst>
              </c15:ser>
            </c15:filteredLineSeries>
          </c:ext>
        </c:extLst>
      </c:line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layout>
        <c:manualLayout>
          <c:xMode val="edge"/>
          <c:yMode val="edge"/>
          <c:x val="6.7327079433973216E-2"/>
          <c:y val="0.86323396631280802"/>
          <c:w val="0.86534572454473235"/>
          <c:h val="0.124228622205380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033195762855883E-2"/>
          <c:y val="3.0184534023825257E-2"/>
          <c:w val="0.89807255516472162"/>
          <c:h val="0.84338785851426412"/>
        </c:manualLayout>
      </c:layout>
      <c:lineChart>
        <c:grouping val="standard"/>
        <c:varyColors val="0"/>
        <c:ser>
          <c:idx val="0"/>
          <c:order val="0"/>
          <c:tx>
            <c:strRef>
              <c:f>'Graph, Data'!$D$2</c:f>
              <c:strCache>
                <c:ptCount val="1"/>
                <c:pt idx="0">
                  <c:v>Savings (Nominal)</c:v>
                </c:pt>
              </c:strCache>
            </c:strRef>
          </c:tx>
          <c:spPr>
            <a:ln w="28575" cap="rnd">
              <a:solidFill>
                <a:srgbClr val="00B050"/>
              </a:solidFill>
              <a:prstDash val="solid"/>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Data'!$D$3:$D$52</c:f>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00-8F14-4589-8C2D-339DD5B5E86B}"/>
            </c:ext>
          </c:extLst>
        </c:ser>
        <c:ser>
          <c:idx val="7"/>
          <c:order val="2"/>
          <c:tx>
            <c:strRef>
              <c:f>'Graph, Data'!$G$2</c:f>
              <c:strCache>
                <c:ptCount val="1"/>
                <c:pt idx="0">
                  <c:v>Future value (Nominal)</c:v>
                </c:pt>
              </c:strCache>
            </c:strRef>
          </c:tx>
          <c:spPr>
            <a:ln w="28575" cap="rnd">
              <a:solidFill>
                <a:schemeClr val="accent1"/>
              </a:solidFill>
              <a:prstDash val="solid"/>
              <a:round/>
            </a:ln>
            <a:effectLst/>
          </c:spPr>
          <c:marker>
            <c:symbol val="none"/>
          </c:marker>
          <c:dPt>
            <c:idx val="1"/>
            <c:marker>
              <c:symbol val="none"/>
            </c:marker>
            <c:bubble3D val="0"/>
            <c:extLst>
              <c:ext xmlns:c16="http://schemas.microsoft.com/office/drawing/2014/chart" uri="{C3380CC4-5D6E-409C-BE32-E72D297353CC}">
                <c16:uniqueId val="{00000001-8F14-4589-8C2D-339DD5B5E86B}"/>
              </c:ext>
            </c:extLst>
          </c:dPt>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Data'!$G$3:$G$52</c:f>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c:ext xmlns:c16="http://schemas.microsoft.com/office/drawing/2014/chart" uri="{C3380CC4-5D6E-409C-BE32-E72D297353CC}">
              <c16:uniqueId val="{00000002-8F14-4589-8C2D-339DD5B5E86B}"/>
            </c:ext>
          </c:extLst>
        </c:ser>
        <c:ser>
          <c:idx val="6"/>
          <c:order val="3"/>
          <c:tx>
            <c:strRef>
              <c:f>'Graph, Data'!$L$2</c:f>
              <c:strCache>
                <c:ptCount val="1"/>
                <c:pt idx="0">
                  <c:v>Tax (Nominal)</c:v>
                </c:pt>
              </c:strCache>
            </c:strRef>
          </c:tx>
          <c:spPr>
            <a:ln w="28575" cap="rnd">
              <a:solidFill>
                <a:srgbClr val="C00000"/>
              </a:solidFill>
              <a:prstDash val="dash"/>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Data'!$L$3:$L$52</c:f>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c:ext xmlns:c16="http://schemas.microsoft.com/office/drawing/2014/chart" uri="{C3380CC4-5D6E-409C-BE32-E72D297353CC}">
              <c16:uniqueId val="{00000003-8F14-4589-8C2D-339DD5B5E86B}"/>
            </c:ext>
          </c:extLst>
        </c:ser>
        <c:ser>
          <c:idx val="11"/>
          <c:order val="8"/>
          <c:tx>
            <c:strRef>
              <c:f>'Graph, Data'!$N$2</c:f>
              <c:strCache>
                <c:ptCount val="1"/>
                <c:pt idx="0">
                  <c:v>Capital Gain (Nominal)</c:v>
                </c:pt>
              </c:strCache>
            </c:strRef>
          </c:tx>
          <c:spPr>
            <a:ln w="28575" cap="rnd">
              <a:solidFill>
                <a:srgbClr val="CD83E1"/>
              </a:solidFill>
              <a:prstDash val="dash"/>
              <a:round/>
            </a:ln>
            <a:effectLst/>
          </c:spPr>
          <c:marker>
            <c:symbol val="none"/>
          </c:marker>
          <c:val>
            <c:numRef>
              <c:f>'Graph, Data'!$N$3:$N$52</c:f>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c:ext xmlns:c16="http://schemas.microsoft.com/office/drawing/2014/chart" uri="{C3380CC4-5D6E-409C-BE32-E72D297353CC}">
              <c16:uniqueId val="{00000007-8F14-4589-8C2D-339DD5B5E86B}"/>
            </c:ext>
          </c:extLst>
        </c:ser>
        <c:dLbls>
          <c:showLegendKey val="0"/>
          <c:showVal val="0"/>
          <c:showCatName val="0"/>
          <c:showSerName val="0"/>
          <c:showPercent val="0"/>
          <c:showBubbleSize val="0"/>
        </c:dLbls>
        <c:smooth val="0"/>
        <c:axId val="1885874191"/>
        <c:axId val="1760485823"/>
        <c:extLst>
          <c:ext xmlns:c15="http://schemas.microsoft.com/office/drawing/2012/chart" uri="{02D57815-91ED-43cb-92C2-25804820EDAC}">
            <c15:filteredLineSeries>
              <c15:ser>
                <c:idx val="4"/>
                <c:order val="1"/>
                <c:tx>
                  <c:strRef>
                    <c:extLst>
                      <c:ext uri="{02D57815-91ED-43cb-92C2-25804820EDAC}">
                        <c15:formulaRef>
                          <c15:sqref>'Graph, Data'!$E$2</c15:sqref>
                        </c15:formulaRef>
                      </c:ext>
                    </c:extLst>
                    <c:strCache>
                      <c:ptCount val="1"/>
                      <c:pt idx="0">
                        <c:v>Savings* (real, full inflation* max year)</c:v>
                      </c:pt>
                    </c:strCache>
                  </c:strRef>
                </c:tx>
                <c:spPr>
                  <a:ln w="28575" cap="rnd">
                    <a:solidFill>
                      <a:schemeClr val="accent5"/>
                    </a:solidFill>
                    <a:round/>
                  </a:ln>
                  <a:effectLst/>
                </c:spPr>
                <c:marker>
                  <c:symbol val="none"/>
                </c:marker>
                <c:cat>
                  <c:numRef>
                    <c:extLst>
                      <c:ex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c:ext uri="{02D57815-91ED-43cb-92C2-25804820EDAC}">
                        <c15:formulaRef>
                          <c15:sqref>'Graph, Data'!$E$4:$E$52</c15:sqref>
                        </c15:formulaRef>
                      </c:ext>
                    </c:extLst>
                    <c:numCache>
                      <c:formatCode>#,##0\ "€"</c:formatCode>
                      <c:ptCount val="49"/>
                      <c:pt idx="0">
                        <c:v>12292.682926829269</c:v>
                      </c:pt>
                      <c:pt idx="1">
                        <c:v>18903.033908387864</c:v>
                      </c:pt>
                      <c:pt idx="2">
                        <c:v>25857.779196471329</c:v>
                      </c:pt>
                      <c:pt idx="3">
                        <c:v>33185.515689401916</c:v>
                      </c:pt>
                      <c:pt idx="4">
                        <c:v>40916.849880137204</c:v>
                      </c:pt>
                      <c:pt idx="5">
                        <c:v>49084.546920788329</c:v>
                      </c:pt>
                      <c:pt idx="6">
                        <c:v>57723.690545005069</c:v>
                      </c:pt>
                      <c:pt idx="7">
                        <c:v>66871.854643908388</c:v>
                      </c:pt>
                      <c:pt idx="8">
                        <c:v>76569.287349441758</c:v>
                      </c:pt>
                      <c:pt idx="9">
                        <c:v>86859.108541462585</c:v>
                      </c:pt>
                      <c:pt idx="10">
                        <c:v>97787.521761915341</c:v>
                      </c:pt>
                      <c:pt idx="11">
                        <c:v>109404.04159135175</c:v>
                      </c:pt>
                      <c:pt idx="12">
                        <c:v>121761.73762025248</c:v>
                      </c:pt>
                      <c:pt idx="13">
                        <c:v>134917.49623044051</c:v>
                      </c:pt>
                      <c:pt idx="14">
                        <c:v>148932.30149077493</c:v>
                      </c:pt>
                      <c:pt idx="15">
                        <c:v>163871.53656671837</c:v>
                      </c:pt>
                      <c:pt idx="16">
                        <c:v>179805.30714575507</c:v>
                      </c:pt>
                      <c:pt idx="17">
                        <c:v>196808.7884905152</c:v>
                      </c:pt>
                      <c:pt idx="18">
                        <c:v>214962.59784937862</c:v>
                      </c:pt>
                      <c:pt idx="19">
                        <c:v>234353.19408087642</c:v>
                      </c:pt>
                      <c:pt idx="20">
                        <c:v>255073.30648401671</c:v>
                      </c:pt>
                      <c:pt idx="21">
                        <c:v>277222.39497240388</c:v>
                      </c:pt>
                      <c:pt idx="22">
                        <c:v>300907.14388643048</c:v>
                      </c:pt>
                      <c:pt idx="23">
                        <c:v>326241.99190567265</c:v>
                      </c:pt>
                      <c:pt idx="24">
                        <c:v>353349.7007037591</c:v>
                      </c:pt>
                      <c:pt idx="25">
                        <c:v>382361.96518129832</c:v>
                      </c:pt>
                      <c:pt idx="26">
                        <c:v>413420.06831991393</c:v>
                      </c:pt>
                      <c:pt idx="27">
                        <c:v>446675.58392308059</c:v>
                      </c:pt>
                      <c:pt idx="28">
                        <c:v>482291.13074838847</c:v>
                      </c:pt>
                      <c:pt idx="29">
                        <c:v>520441.18179228337</c:v>
                      </c:pt>
                      <c:pt idx="30">
                        <c:v>561312.93276350957</c:v>
                      </c:pt>
                      <c:pt idx="31">
                        <c:v>605107.23407680483</c:v>
                      </c:pt>
                      <c:pt idx="32">
                        <c:v>652039.59101531154</c:v>
                      </c:pt>
                      <c:pt idx="33">
                        <c:v>702341.2370503014</c:v>
                      </c:pt>
                      <c:pt idx="34">
                        <c:v>756260.2856717963</c:v>
                      </c:pt>
                      <c:pt idx="35">
                        <c:v>814062.96647539304</c:v>
                      </c:pt>
                      <c:pt idx="36">
                        <c:v>876034.95167096541</c:v>
                      </c:pt>
                      <c:pt idx="37">
                        <c:v>942482.77963004948</c:v>
                      </c:pt>
                      <c:pt idx="38">
                        <c:v>1013735.3825728676</c:v>
                      </c:pt>
                      <c:pt idx="39">
                        <c:v>1090145.7260155084</c:v>
                      </c:pt>
                      <c:pt idx="40">
                        <c:v>1172092.568155362</c:v>
                      </c:pt>
                      <c:pt idx="41">
                        <c:v>1259982.3479713099</c:v>
                      </c:pt>
                      <c:pt idx="42">
                        <c:v>1354251.2114573198</c:v>
                      </c:pt>
                      <c:pt idx="43">
                        <c:v>1455367.1860972662</c:v>
                      </c:pt>
                      <c:pt idx="44">
                        <c:v>1563832.5144283765</c:v>
                      </c:pt>
                      <c:pt idx="45">
                        <c:v>1680186.1583344084</c:v>
                      </c:pt>
                      <c:pt idx="46">
                        <c:v>1805006.4865614276</c:v>
                      </c:pt>
                      <c:pt idx="47">
                        <c:v>1938914.1588631754</c:v>
                      </c:pt>
                      <c:pt idx="48">
                        <c:v>2082575.2211639886</c:v>
                      </c:pt>
                    </c:numCache>
                  </c:numRef>
                </c:val>
                <c:smooth val="0"/>
                <c:extLst>
                  <c:ext xmlns:c16="http://schemas.microsoft.com/office/drawing/2014/chart" uri="{C3380CC4-5D6E-409C-BE32-E72D297353CC}">
                    <c16:uniqueId val="{00000008-8F14-4589-8C2D-339DD5B5E86B}"/>
                  </c:ext>
                </c:extLst>
              </c15:ser>
            </c15:filteredLineSeries>
            <c15:filteredLineSeries>
              <c15:ser>
                <c:idx val="5"/>
                <c:order val="4"/>
                <c:tx>
                  <c:strRef>
                    <c:extLst xmlns:c15="http://schemas.microsoft.com/office/drawing/2012/chart">
                      <c:ext xmlns:c15="http://schemas.microsoft.com/office/drawing/2012/chart" uri="{02D57815-91ED-43cb-92C2-25804820EDAC}">
                        <c15:formulaRef>
                          <c15:sqref>'Graph, Data'!$J$2</c15:sqref>
                        </c15:formulaRef>
                      </c:ext>
                    </c:extLst>
                    <c:strCache>
                      <c:ptCount val="1"/>
                      <c:pt idx="0">
                        <c:v>Present value (Real)</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Data'!$J$3:$J$52</c15:sqref>
                        </c15:formulaRef>
                      </c:ext>
                    </c:extLst>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xmlns:c15="http://schemas.microsoft.com/office/drawing/2012/chart">
                  <c:ext xmlns:c16="http://schemas.microsoft.com/office/drawing/2014/chart" uri="{C3380CC4-5D6E-409C-BE32-E72D297353CC}">
                    <c16:uniqueId val="{00000009-8F14-4589-8C2D-339DD5B5E86B}"/>
                  </c:ext>
                </c:extLst>
              </c15:ser>
            </c15:filteredLineSeries>
            <c15:filteredLineSeries>
              <c15:ser>
                <c:idx val="10"/>
                <c:order val="5"/>
                <c:tx>
                  <c:strRef>
                    <c:extLst xmlns:c15="http://schemas.microsoft.com/office/drawing/2012/chart">
                      <c:ext xmlns:c15="http://schemas.microsoft.com/office/drawing/2012/chart" uri="{02D57815-91ED-43cb-92C2-25804820EDAC}">
                        <c15:formulaRef>
                          <c15:sqref>'Graph, Data'!$F$2</c15:sqref>
                        </c15:formulaRef>
                      </c:ext>
                    </c:extLst>
                    <c:strCache>
                      <c:ptCount val="1"/>
                      <c:pt idx="0">
                        <c:v>Savings (Real, adj. per year)</c:v>
                      </c:pt>
                    </c:strCache>
                  </c:strRef>
                </c:tx>
                <c:spPr>
                  <a:ln w="28575" cap="rnd">
                    <a:solidFill>
                      <a:schemeClr val="accent6">
                        <a:lumMod val="75000"/>
                      </a:schemeClr>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Data'!$F$3:$F$52</c15:sqref>
                        </c15:formulaRef>
                      </c:ext>
                    </c:extLst>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xmlns:c15="http://schemas.microsoft.com/office/drawing/2012/chart">
                  <c:ext xmlns:c16="http://schemas.microsoft.com/office/drawing/2014/chart" uri="{C3380CC4-5D6E-409C-BE32-E72D297353CC}">
                    <c16:uniqueId val="{0000000A-8F14-4589-8C2D-339DD5B5E86B}"/>
                  </c:ext>
                </c:extLst>
              </c15:ser>
            </c15:filteredLineSeries>
            <c15:filteredLineSeries>
              <c15:ser>
                <c:idx val="8"/>
                <c:order val="6"/>
                <c:tx>
                  <c:strRef>
                    <c:extLst xmlns:c15="http://schemas.microsoft.com/office/drawing/2012/chart">
                      <c:ext xmlns:c15="http://schemas.microsoft.com/office/drawing/2012/chart" uri="{02D57815-91ED-43cb-92C2-25804820EDAC}">
                        <c15:formulaRef>
                          <c15:sqref>'Graph, Data'!$K$2</c15:sqref>
                        </c15:formulaRef>
                      </c:ext>
                    </c:extLst>
                    <c:strCache>
                      <c:ptCount val="1"/>
                      <c:pt idx="0">
                        <c:v>Net Present value (real)</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Data'!$K$3:$K$52</c15:sqref>
                        </c15:formulaRef>
                      </c:ext>
                    </c:extLst>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xmlns:c15="http://schemas.microsoft.com/office/drawing/2012/chart">
                  <c:ext xmlns:c16="http://schemas.microsoft.com/office/drawing/2014/chart" uri="{C3380CC4-5D6E-409C-BE32-E72D297353CC}">
                    <c16:uniqueId val="{0000000B-8F14-4589-8C2D-339DD5B5E86B}"/>
                  </c:ext>
                </c:extLst>
              </c15:ser>
            </c15:filteredLineSeries>
            <c15:filteredLineSeries>
              <c15:ser>
                <c:idx val="9"/>
                <c:order val="7"/>
                <c:tx>
                  <c:strRef>
                    <c:extLst xmlns:c15="http://schemas.microsoft.com/office/drawing/2012/chart">
                      <c:ext xmlns:c15="http://schemas.microsoft.com/office/drawing/2012/chart" uri="{02D57815-91ED-43cb-92C2-25804820EDAC}">
                        <c15:formulaRef>
                          <c15:sqref>'Graph, Data'!$M$2</c15:sqref>
                        </c15:formulaRef>
                      </c:ext>
                    </c:extLst>
                    <c:strCache>
                      <c:ptCount val="1"/>
                      <c:pt idx="0">
                        <c:v>Tax (real)</c:v>
                      </c:pt>
                    </c:strCache>
                  </c:strRef>
                </c:tx>
                <c:spPr>
                  <a:ln w="28575" cap="rnd">
                    <a:solidFill>
                      <a:srgbClr val="C00000"/>
                    </a:solidFill>
                    <a:prstDash val="solid"/>
                    <a:round/>
                  </a:ln>
                  <a:effectLst/>
                </c:spPr>
                <c:marker>
                  <c:symbol val="none"/>
                </c:marker>
                <c:cat>
                  <c:numRef>
                    <c:extLst xmlns:c15="http://schemas.microsoft.com/office/drawing/2012/chart">
                      <c:ext xmlns:c15="http://schemas.microsoft.com/office/drawing/2012/chart" uri="{02D57815-91ED-43cb-92C2-25804820EDAC}">
                        <c15:formulaRef>
                          <c15:sqref>'Graph, Data'!$C$3:$C$52</c15:sqref>
                        </c15:formulaRef>
                      </c:ext>
                    </c:extLst>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extLst xmlns:c15="http://schemas.microsoft.com/office/drawing/2012/chart">
                      <c:ext xmlns:c15="http://schemas.microsoft.com/office/drawing/2012/chart" uri="{02D57815-91ED-43cb-92C2-25804820EDAC}">
                        <c15:formulaRef>
                          <c15:sqref>'Graph, Data'!$M$3:$M$52</c15:sqref>
                        </c15:formulaRef>
                      </c:ext>
                    </c:extLst>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xmlns:c15="http://schemas.microsoft.com/office/drawing/2012/chart">
                  <c:ext xmlns:c16="http://schemas.microsoft.com/office/drawing/2014/chart" uri="{C3380CC4-5D6E-409C-BE32-E72D297353CC}">
                    <c16:uniqueId val="{0000000C-8F14-4589-8C2D-339DD5B5E86B}"/>
                  </c:ext>
                </c:extLst>
              </c15:ser>
            </c15:filteredLineSeries>
            <c15:filteredLineSeries>
              <c15:ser>
                <c:idx val="12"/>
                <c:order val="9"/>
                <c:tx>
                  <c:strRef>
                    <c:extLst xmlns:c15="http://schemas.microsoft.com/office/drawing/2012/chart">
                      <c:ext xmlns:c15="http://schemas.microsoft.com/office/drawing/2012/chart" uri="{02D57815-91ED-43cb-92C2-25804820EDAC}">
                        <c15:formulaRef>
                          <c15:sqref>'Graph, Data'!$O$2</c15:sqref>
                        </c15:formulaRef>
                      </c:ext>
                    </c:extLst>
                    <c:strCache>
                      <c:ptCount val="1"/>
                      <c:pt idx="0">
                        <c:v>Net Capital gain(Real)</c:v>
                      </c:pt>
                    </c:strCache>
                  </c:strRef>
                </c:tx>
                <c:spPr>
                  <a:ln w="28575" cap="rnd">
                    <a:solidFill>
                      <a:schemeClr val="accent1">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'Graph, Data'!$O$3:$O$52</c15:sqref>
                        </c15:formulaRef>
                      </c:ext>
                    </c:extLst>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xmlns:c15="http://schemas.microsoft.com/office/drawing/2012/chart">
                  <c:ext xmlns:c16="http://schemas.microsoft.com/office/drawing/2014/chart" uri="{C3380CC4-5D6E-409C-BE32-E72D297353CC}">
                    <c16:uniqueId val="{0000000D-8F14-4589-8C2D-339DD5B5E86B}"/>
                  </c:ext>
                </c:extLst>
              </c15:ser>
            </c15:filteredLineSeries>
            <c15:filteredLineSeries>
              <c15:ser>
                <c:idx val="1"/>
                <c:order val="10"/>
                <c:tx>
                  <c:strRef>
                    <c:extLst xmlns:c15="http://schemas.microsoft.com/office/drawing/2012/chart">
                      <c:ext xmlns:c15="http://schemas.microsoft.com/office/drawing/2012/chart" uri="{02D57815-91ED-43cb-92C2-25804820EDAC}">
                        <c15:formulaRef>
                          <c15:sqref>'Graph, Data'!$H$2</c15:sqref>
                        </c15:formulaRef>
                      </c:ext>
                    </c:extLst>
                    <c:strCache>
                      <c:ptCount val="1"/>
                      <c:pt idx="0">
                        <c:v>inflation on net future value</c:v>
                      </c:pt>
                    </c:strCache>
                  </c:strRef>
                </c:tx>
                <c:spPr>
                  <a:ln w="28575" cap="rnd">
                    <a:solidFill>
                      <a:schemeClr val="accent2"/>
                    </a:solidFill>
                    <a:prstDash val="sysDot"/>
                    <a:round/>
                  </a:ln>
                  <a:effectLst/>
                </c:spPr>
                <c:marker>
                  <c:symbol val="none"/>
                </c:marker>
                <c:val>
                  <c:numRef>
                    <c:extLst xmlns:c15="http://schemas.microsoft.com/office/drawing/2012/chart">
                      <c:ext xmlns:c15="http://schemas.microsoft.com/office/drawing/2012/chart" uri="{02D57815-91ED-43cb-92C2-25804820EDAC}">
                        <c15:formulaRef>
                          <c15:sqref>'Graph, Data'!$H$3:$H$52</c15:sqref>
                        </c15:formulaRef>
                      </c:ext>
                    </c:extLst>
                    <c:numCache>
                      <c:formatCode>#,##0\ "€"</c:formatCode>
                      <c:ptCount val="50"/>
                      <c:pt idx="0">
                        <c:v>0</c:v>
                      </c:pt>
                      <c:pt idx="1">
                        <c:v>312.77502439024283</c:v>
                      </c:pt>
                      <c:pt idx="2">
                        <c:v>991.75134530398645</c:v>
                      </c:pt>
                      <c:pt idx="3">
                        <c:v>2099.1458676693474</c:v>
                      </c:pt>
                      <c:pt idx="4">
                        <c:v>3707.2800334271014</c:v>
                      </c:pt>
                      <c:pt idx="5">
                        <c:v>5900.0810130497994</c:v>
                      </c:pt>
                      <c:pt idx="6">
                        <c:v>8774.7960024006243</c:v>
                      </c:pt>
                      <c:pt idx="7">
                        <c:v>12443.948921434116</c:v>
                      </c:pt>
                      <c:pt idx="8">
                        <c:v>17037.572750697087</c:v>
                      </c:pt>
                      <c:pt idx="9">
                        <c:v>22705.755202399334</c:v>
                      </c:pt>
                      <c:pt idx="10">
                        <c:v>29621.540473184577</c:v>
                      </c:pt>
                      <c:pt idx="11">
                        <c:v>37984.235542680544</c:v>
                      </c:pt>
                      <c:pt idx="12">
                        <c:v>48023.175952462945</c:v>
                      </c:pt>
                      <c:pt idx="13">
                        <c:v>60002.013322517509</c:v>
                      </c:pt>
                      <c:pt idx="14">
                        <c:v>74223.595147630636</c:v>
                      </c:pt>
                      <c:pt idx="15">
                        <c:v>91035.516789740184</c:v>
                      </c:pt>
                      <c:pt idx="16">
                        <c:v>110836.43618568007</c:v>
                      </c:pt>
                      <c:pt idx="17">
                        <c:v>134083.25378279696</c:v>
                      </c:pt>
                      <c:pt idx="18">
                        <c:v>161299.27377804538</c:v>
                      </c:pt>
                      <c:pt idx="19">
                        <c:v>193083.4780731207</c:v>
                      </c:pt>
                      <c:pt idx="20">
                        <c:v>230121.06169894285</c:v>
                      </c:pt>
                      <c:pt idx="21">
                        <c:v>273195.39806697069</c:v>
                      </c:pt>
                      <c:pt idx="22">
                        <c:v>323201.62456543691</c:v>
                      </c:pt>
                      <c:pt idx="23">
                        <c:v>381162.06406638725</c:v>
                      </c:pt>
                      <c:pt idx="24">
                        <c:v>448243.72621763416</c:v>
                      </c:pt>
                      <c:pt idx="25">
                        <c:v>525778.16438366531</c:v>
                      </c:pt>
                      <c:pt idx="26">
                        <c:v>615284.00024650304</c:v>
                      </c:pt>
                      <c:pt idx="27">
                        <c:v>718492.46891791746</c:v>
                      </c:pt>
                      <c:pt idx="28">
                        <c:v>837376.38355347374</c:v>
                      </c:pt>
                      <c:pt idx="29">
                        <c:v>974182.97057951079</c:v>
                      </c:pt>
                      <c:pt idx="30">
                        <c:v>1131471.0855167648</c:v>
                      </c:pt>
                      <c:pt idx="31">
                        <c:v>1312153.3858781164</c:v>
                      </c:pt>
                      <c:pt idx="32">
                        <c:v>1519544.1127133807</c:v>
                      </c:pt>
                      <c:pt idx="33">
                        <c:v>1757413.2171773368</c:v>
                      </c:pt>
                      <c:pt idx="34">
                        <c:v>2030047.6642558384</c:v>
                      </c:pt>
                      <c:pt idx="35">
                        <c:v>2342320.8539063493</c:v>
                      </c:pt>
                      <c:pt idx="36">
                        <c:v>2699771.2219408029</c:v>
                      </c:pt>
                      <c:pt idx="37">
                        <c:v>3108691.2207906065</c:v>
                      </c:pt>
                      <c:pt idx="38">
                        <c:v>3576228.0358649967</c:v>
                      </c:pt>
                      <c:pt idx="39">
                        <c:v>4110497.568821813</c:v>
                      </c:pt>
                      <c:pt idx="40">
                        <c:v>4720713.4172819592</c:v>
                      </c:pt>
                      <c:pt idx="41">
                        <c:v>5417332.8042311408</c:v>
                      </c:pt>
                      <c:pt idx="42">
                        <c:v>6212221.6628300939</c:v>
                      </c:pt>
                      <c:pt idx="43">
                        <c:v>7118841.3672795091</c:v>
                      </c:pt>
                      <c:pt idx="44">
                        <c:v>8152459.9219097272</c:v>
                      </c:pt>
                      <c:pt idx="45">
                        <c:v>9330390.7834689319</c:v>
                      </c:pt>
                      <c:pt idx="46">
                        <c:v>10672262.900944738</c:v>
                      </c:pt>
                      <c:pt idx="47">
                        <c:v>12200326.019123033</c:v>
                      </c:pt>
                      <c:pt idx="48">
                        <c:v>13939795.813172715</c:v>
                      </c:pt>
                      <c:pt idx="49">
                        <c:v>15919244.009408802</c:v>
                      </c:pt>
                    </c:numCache>
                  </c:numRef>
                </c:val>
                <c:smooth val="0"/>
                <c:extLst xmlns:c15="http://schemas.microsoft.com/office/drawing/2012/chart">
                  <c:ext xmlns:c16="http://schemas.microsoft.com/office/drawing/2014/chart" uri="{C3380CC4-5D6E-409C-BE32-E72D297353CC}">
                    <c16:uniqueId val="{00000001-6D5C-4BBA-BF26-1C577D48AC4C}"/>
                  </c:ext>
                </c:extLst>
              </c15:ser>
            </c15:filteredLineSeries>
            <c15:filteredLineSeries>
              <c15:ser>
                <c:idx val="2"/>
                <c:order val="11"/>
                <c:tx>
                  <c:strRef>
                    <c:extLst xmlns:c15="http://schemas.microsoft.com/office/drawing/2012/chart">
                      <c:ext xmlns:c15="http://schemas.microsoft.com/office/drawing/2012/chart" uri="{02D57815-91ED-43cb-92C2-25804820EDAC}">
                        <c15:formulaRef>
                          <c15:sqref>'Graph, Data'!$I$2</c15:sqref>
                        </c15:formulaRef>
                      </c:ext>
                    </c:extLst>
                    <c:strCache>
                      <c:ptCount val="1"/>
                      <c:pt idx="0">
                        <c:v>Check</c:v>
                      </c:pt>
                    </c:strCache>
                  </c:strRef>
                </c:tx>
                <c:spPr>
                  <a:ln w="28575" cap="rnd">
                    <a:solidFill>
                      <a:schemeClr val="accent3"/>
                    </a:solidFill>
                    <a:prstDash val="sysDot"/>
                    <a:round/>
                  </a:ln>
                  <a:effectLst/>
                </c:spPr>
                <c:marker>
                  <c:symbol val="none"/>
                </c:marker>
                <c:val>
                  <c:numRef>
                    <c:extLst xmlns:c15="http://schemas.microsoft.com/office/drawing/2012/chart">
                      <c:ext xmlns:c15="http://schemas.microsoft.com/office/drawing/2012/chart" uri="{02D57815-91ED-43cb-92C2-25804820EDAC}">
                        <c15:formulaRef>
                          <c15:sqref>'Graph, Data'!$I$3:$I$52</c15:sqref>
                        </c15:formulaRef>
                      </c:ext>
                    </c:extLst>
                    <c:numCache>
                      <c:formatCode>#,##0\ "€"</c:formatCode>
                      <c:ptCount val="50"/>
                      <c:pt idx="0">
                        <c:v>0</c:v>
                      </c:pt>
                      <c:pt idx="1">
                        <c:v>312.77502439024283</c:v>
                      </c:pt>
                      <c:pt idx="2">
                        <c:v>991.75134530398645</c:v>
                      </c:pt>
                      <c:pt idx="3">
                        <c:v>2099.1458676693474</c:v>
                      </c:pt>
                      <c:pt idx="4">
                        <c:v>3707.2800334271014</c:v>
                      </c:pt>
                      <c:pt idx="5">
                        <c:v>5900.0810130497994</c:v>
                      </c:pt>
                      <c:pt idx="6">
                        <c:v>8774.7960024006243</c:v>
                      </c:pt>
                      <c:pt idx="7">
                        <c:v>12443.948921434116</c:v>
                      </c:pt>
                      <c:pt idx="8">
                        <c:v>17037.572750697087</c:v>
                      </c:pt>
                      <c:pt idx="9">
                        <c:v>22705.755202399334</c:v>
                      </c:pt>
                      <c:pt idx="10">
                        <c:v>29621.540473184577</c:v>
                      </c:pt>
                      <c:pt idx="11">
                        <c:v>37984.235542680544</c:v>
                      </c:pt>
                      <c:pt idx="12">
                        <c:v>48023.175952462945</c:v>
                      </c:pt>
                      <c:pt idx="13">
                        <c:v>60002.013322517509</c:v>
                      </c:pt>
                      <c:pt idx="14">
                        <c:v>74223.595147630636</c:v>
                      </c:pt>
                      <c:pt idx="15">
                        <c:v>91035.516789740184</c:v>
                      </c:pt>
                      <c:pt idx="16">
                        <c:v>110836.43618568007</c:v>
                      </c:pt>
                      <c:pt idx="17">
                        <c:v>134083.25378279696</c:v>
                      </c:pt>
                      <c:pt idx="18">
                        <c:v>161299.27377804538</c:v>
                      </c:pt>
                      <c:pt idx="19">
                        <c:v>193083.4780731207</c:v>
                      </c:pt>
                      <c:pt idx="20">
                        <c:v>230121.06169894285</c:v>
                      </c:pt>
                      <c:pt idx="21">
                        <c:v>273195.39806697069</c:v>
                      </c:pt>
                      <c:pt idx="22">
                        <c:v>323201.62456543691</c:v>
                      </c:pt>
                      <c:pt idx="23">
                        <c:v>381162.06406638725</c:v>
                      </c:pt>
                      <c:pt idx="24">
                        <c:v>448243.72621763416</c:v>
                      </c:pt>
                      <c:pt idx="25">
                        <c:v>525778.16438366531</c:v>
                      </c:pt>
                      <c:pt idx="26">
                        <c:v>615284.00024650304</c:v>
                      </c:pt>
                      <c:pt idx="27">
                        <c:v>718492.46891791746</c:v>
                      </c:pt>
                      <c:pt idx="28">
                        <c:v>837376.38355347374</c:v>
                      </c:pt>
                      <c:pt idx="29">
                        <c:v>974182.97057951079</c:v>
                      </c:pt>
                      <c:pt idx="30">
                        <c:v>1131471.0855167648</c:v>
                      </c:pt>
                      <c:pt idx="31">
                        <c:v>1312153.3858781164</c:v>
                      </c:pt>
                      <c:pt idx="32">
                        <c:v>1519544.1127133807</c:v>
                      </c:pt>
                      <c:pt idx="33">
                        <c:v>1757413.2171773368</c:v>
                      </c:pt>
                      <c:pt idx="34">
                        <c:v>2030047.6642558384</c:v>
                      </c:pt>
                      <c:pt idx="35">
                        <c:v>2342320.8539063493</c:v>
                      </c:pt>
                      <c:pt idx="36">
                        <c:v>2699771.2219408029</c:v>
                      </c:pt>
                      <c:pt idx="37">
                        <c:v>3108691.2207906065</c:v>
                      </c:pt>
                      <c:pt idx="38">
                        <c:v>3576228.0358649967</c:v>
                      </c:pt>
                      <c:pt idx="39">
                        <c:v>4110497.568821813</c:v>
                      </c:pt>
                      <c:pt idx="40">
                        <c:v>4720713.4172819592</c:v>
                      </c:pt>
                      <c:pt idx="41">
                        <c:v>5417332.8042311408</c:v>
                      </c:pt>
                      <c:pt idx="42">
                        <c:v>6212221.6628300939</c:v>
                      </c:pt>
                      <c:pt idx="43">
                        <c:v>7118841.3672795091</c:v>
                      </c:pt>
                      <c:pt idx="44">
                        <c:v>8152459.9219097272</c:v>
                      </c:pt>
                      <c:pt idx="45">
                        <c:v>9330390.7834689319</c:v>
                      </c:pt>
                      <c:pt idx="46">
                        <c:v>10672262.900944738</c:v>
                      </c:pt>
                      <c:pt idx="47">
                        <c:v>12200326.019123033</c:v>
                      </c:pt>
                      <c:pt idx="48">
                        <c:v>13939795.813172715</c:v>
                      </c:pt>
                      <c:pt idx="49">
                        <c:v>15919244.009408802</c:v>
                      </c:pt>
                    </c:numCache>
                  </c:numRef>
                </c:val>
                <c:smooth val="0"/>
                <c:extLst xmlns:c15="http://schemas.microsoft.com/office/drawing/2012/chart">
                  <c:ext xmlns:c16="http://schemas.microsoft.com/office/drawing/2014/chart" uri="{C3380CC4-5D6E-409C-BE32-E72D297353CC}">
                    <c16:uniqueId val="{00000002-6D5C-4BBA-BF26-1C577D48AC4C}"/>
                  </c:ext>
                </c:extLst>
              </c15:ser>
            </c15:filteredLineSeries>
          </c:ext>
        </c:extLst>
      </c:line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033195762855883E-2"/>
          <c:y val="3.0184534023825257E-2"/>
          <c:w val="0.89807255516472162"/>
          <c:h val="0.8267212015164771"/>
        </c:manualLayout>
      </c:layout>
      <c:lineChart>
        <c:grouping val="standard"/>
        <c:varyColors val="0"/>
        <c:ser>
          <c:idx val="0"/>
          <c:order val="0"/>
          <c:tx>
            <c:strRef>
              <c:f>'Graph, Data'!$D$2</c:f>
              <c:strCache>
                <c:ptCount val="1"/>
                <c:pt idx="0">
                  <c:v>Savings (Nominal)</c:v>
                </c:pt>
              </c:strCache>
            </c:strRef>
          </c:tx>
          <c:spPr>
            <a:ln w="28575" cap="rnd">
              <a:solidFill>
                <a:schemeClr val="accent6">
                  <a:lumMod val="75000"/>
                </a:schemeClr>
              </a:solidFill>
              <a:prstDash val="dash"/>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Data'!$D$3:$D$52</c:f>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00-A28A-44B6-A7AC-8E87E40F74B0}"/>
            </c:ext>
          </c:extLst>
        </c:ser>
        <c:ser>
          <c:idx val="4"/>
          <c:order val="1"/>
          <c:tx>
            <c:strRef>
              <c:f>'Graph, Data'!$E$2</c:f>
              <c:strCache>
                <c:ptCount val="1"/>
                <c:pt idx="0">
                  <c:v>Savings* (real, full inflation* max year)</c:v>
                </c:pt>
              </c:strCache>
            </c:strRef>
          </c:tx>
          <c:spPr>
            <a:ln w="28575" cap="rnd">
              <a:solidFill>
                <a:schemeClr val="accent5"/>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Data'!$E$4:$E$52</c:f>
              <c:numCache>
                <c:formatCode>#,##0\ "€"</c:formatCode>
                <c:ptCount val="49"/>
                <c:pt idx="0">
                  <c:v>12292.682926829269</c:v>
                </c:pt>
                <c:pt idx="1">
                  <c:v>18903.033908387864</c:v>
                </c:pt>
                <c:pt idx="2">
                  <c:v>25857.779196471329</c:v>
                </c:pt>
                <c:pt idx="3">
                  <c:v>33185.515689401916</c:v>
                </c:pt>
                <c:pt idx="4">
                  <c:v>40916.849880137204</c:v>
                </c:pt>
                <c:pt idx="5">
                  <c:v>49084.546920788329</c:v>
                </c:pt>
                <c:pt idx="6">
                  <c:v>57723.690545005069</c:v>
                </c:pt>
                <c:pt idx="7">
                  <c:v>66871.854643908388</c:v>
                </c:pt>
                <c:pt idx="8">
                  <c:v>76569.287349441758</c:v>
                </c:pt>
                <c:pt idx="9">
                  <c:v>86859.108541462585</c:v>
                </c:pt>
                <c:pt idx="10">
                  <c:v>97787.521761915341</c:v>
                </c:pt>
                <c:pt idx="11">
                  <c:v>109404.04159135175</c:v>
                </c:pt>
                <c:pt idx="12">
                  <c:v>121761.73762025248</c:v>
                </c:pt>
                <c:pt idx="13">
                  <c:v>134917.49623044051</c:v>
                </c:pt>
                <c:pt idx="14">
                  <c:v>148932.30149077493</c:v>
                </c:pt>
                <c:pt idx="15">
                  <c:v>163871.53656671837</c:v>
                </c:pt>
                <c:pt idx="16">
                  <c:v>179805.30714575507</c:v>
                </c:pt>
                <c:pt idx="17">
                  <c:v>196808.7884905152</c:v>
                </c:pt>
                <c:pt idx="18">
                  <c:v>214962.59784937862</c:v>
                </c:pt>
                <c:pt idx="19">
                  <c:v>234353.19408087642</c:v>
                </c:pt>
                <c:pt idx="20">
                  <c:v>255073.30648401671</c:v>
                </c:pt>
                <c:pt idx="21">
                  <c:v>277222.39497240388</c:v>
                </c:pt>
                <c:pt idx="22">
                  <c:v>300907.14388643048</c:v>
                </c:pt>
                <c:pt idx="23">
                  <c:v>326241.99190567265</c:v>
                </c:pt>
                <c:pt idx="24">
                  <c:v>353349.7007037591</c:v>
                </c:pt>
                <c:pt idx="25">
                  <c:v>382361.96518129832</c:v>
                </c:pt>
                <c:pt idx="26">
                  <c:v>413420.06831991393</c:v>
                </c:pt>
                <c:pt idx="27">
                  <c:v>446675.58392308059</c:v>
                </c:pt>
                <c:pt idx="28">
                  <c:v>482291.13074838847</c:v>
                </c:pt>
                <c:pt idx="29">
                  <c:v>520441.18179228337</c:v>
                </c:pt>
                <c:pt idx="30">
                  <c:v>561312.93276350957</c:v>
                </c:pt>
                <c:pt idx="31">
                  <c:v>605107.23407680483</c:v>
                </c:pt>
                <c:pt idx="32">
                  <c:v>652039.59101531154</c:v>
                </c:pt>
                <c:pt idx="33">
                  <c:v>702341.2370503014</c:v>
                </c:pt>
                <c:pt idx="34">
                  <c:v>756260.2856717963</c:v>
                </c:pt>
                <c:pt idx="35">
                  <c:v>814062.96647539304</c:v>
                </c:pt>
                <c:pt idx="36">
                  <c:v>876034.95167096541</c:v>
                </c:pt>
                <c:pt idx="37">
                  <c:v>942482.77963004948</c:v>
                </c:pt>
                <c:pt idx="38">
                  <c:v>1013735.3825728676</c:v>
                </c:pt>
                <c:pt idx="39">
                  <c:v>1090145.7260155084</c:v>
                </c:pt>
                <c:pt idx="40">
                  <c:v>1172092.568155362</c:v>
                </c:pt>
                <c:pt idx="41">
                  <c:v>1259982.3479713099</c:v>
                </c:pt>
                <c:pt idx="42">
                  <c:v>1354251.2114573198</c:v>
                </c:pt>
                <c:pt idx="43">
                  <c:v>1455367.1860972662</c:v>
                </c:pt>
                <c:pt idx="44">
                  <c:v>1563832.5144283765</c:v>
                </c:pt>
                <c:pt idx="45">
                  <c:v>1680186.1583344084</c:v>
                </c:pt>
                <c:pt idx="46">
                  <c:v>1805006.4865614276</c:v>
                </c:pt>
                <c:pt idx="47">
                  <c:v>1938914.1588631754</c:v>
                </c:pt>
                <c:pt idx="48">
                  <c:v>2082575.2211639886</c:v>
                </c:pt>
              </c:numCache>
            </c:numRef>
          </c:val>
          <c:smooth val="0"/>
          <c:extLst>
            <c:ext xmlns:c16="http://schemas.microsoft.com/office/drawing/2014/chart" uri="{C3380CC4-5D6E-409C-BE32-E72D297353CC}">
              <c16:uniqueId val="{00000001-A28A-44B6-A7AC-8E87E40F74B0}"/>
            </c:ext>
          </c:extLst>
        </c:ser>
        <c:ser>
          <c:idx val="7"/>
          <c:order val="2"/>
          <c:tx>
            <c:strRef>
              <c:f>'Graph, Data'!$G$2</c:f>
              <c:strCache>
                <c:ptCount val="1"/>
                <c:pt idx="0">
                  <c:v>Future value (Nominal)</c:v>
                </c:pt>
              </c:strCache>
            </c:strRef>
          </c:tx>
          <c:spPr>
            <a:ln w="28575" cap="rnd">
              <a:solidFill>
                <a:schemeClr val="accent1"/>
              </a:solidFill>
              <a:prstDash val="dash"/>
              <a:round/>
            </a:ln>
            <a:effectLst/>
          </c:spPr>
          <c:marker>
            <c:symbol val="none"/>
          </c:marker>
          <c:dPt>
            <c:idx val="1"/>
            <c:marker>
              <c:symbol val="none"/>
            </c:marker>
            <c:bubble3D val="0"/>
            <c:extLst>
              <c:ext xmlns:c16="http://schemas.microsoft.com/office/drawing/2014/chart" uri="{C3380CC4-5D6E-409C-BE32-E72D297353CC}">
                <c16:uniqueId val="{00000002-A28A-44B6-A7AC-8E87E40F74B0}"/>
              </c:ext>
            </c:extLst>
          </c:dPt>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Data'!$G$3:$G$52</c:f>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c:ext xmlns:c16="http://schemas.microsoft.com/office/drawing/2014/chart" uri="{C3380CC4-5D6E-409C-BE32-E72D297353CC}">
              <c16:uniqueId val="{00000003-A28A-44B6-A7AC-8E87E40F74B0}"/>
            </c:ext>
          </c:extLst>
        </c:ser>
        <c:ser>
          <c:idx val="6"/>
          <c:order val="3"/>
          <c:tx>
            <c:strRef>
              <c:f>'Graph, Data'!$L$2</c:f>
              <c:strCache>
                <c:ptCount val="1"/>
                <c:pt idx="0">
                  <c:v>Tax (Nominal)</c:v>
                </c:pt>
              </c:strCache>
            </c:strRef>
          </c:tx>
          <c:spPr>
            <a:ln w="28575" cap="rnd">
              <a:solidFill>
                <a:srgbClr val="C00000"/>
              </a:solidFill>
              <a:prstDash val="dash"/>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Data'!$L$3:$L$52</c:f>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c:ext xmlns:c16="http://schemas.microsoft.com/office/drawing/2014/chart" uri="{C3380CC4-5D6E-409C-BE32-E72D297353CC}">
              <c16:uniqueId val="{00000004-A28A-44B6-A7AC-8E87E40F74B0}"/>
            </c:ext>
          </c:extLst>
        </c:ser>
        <c:ser>
          <c:idx val="5"/>
          <c:order val="4"/>
          <c:tx>
            <c:strRef>
              <c:f>'Graph, Data'!$J$2</c:f>
              <c:strCache>
                <c:ptCount val="1"/>
                <c:pt idx="0">
                  <c:v>Present value (Real)</c:v>
                </c:pt>
              </c:strCache>
            </c:strRef>
          </c:tx>
          <c:spPr>
            <a:ln w="28575" cap="rnd">
              <a:solidFill>
                <a:srgbClr val="E6AF00"/>
              </a:solidFill>
              <a:prstDash val="solid"/>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Data'!$J$3:$J$52</c:f>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c:ext xmlns:c16="http://schemas.microsoft.com/office/drawing/2014/chart" uri="{C3380CC4-5D6E-409C-BE32-E72D297353CC}">
              <c16:uniqueId val="{00000006-A28A-44B6-A7AC-8E87E40F74B0}"/>
            </c:ext>
          </c:extLst>
        </c:ser>
        <c:ser>
          <c:idx val="10"/>
          <c:order val="5"/>
          <c:tx>
            <c:strRef>
              <c:f>'Graph, Data'!$F$2</c:f>
              <c:strCache>
                <c:ptCount val="1"/>
                <c:pt idx="0">
                  <c:v>Savings (Real, adj. per year)</c:v>
                </c:pt>
              </c:strCache>
            </c:strRef>
          </c:tx>
          <c:spPr>
            <a:ln w="28575" cap="rnd">
              <a:solidFill>
                <a:schemeClr val="accent6">
                  <a:lumMod val="75000"/>
                </a:schemeClr>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Data'!$F$3:$F$52</c:f>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c:ext xmlns:c16="http://schemas.microsoft.com/office/drawing/2014/chart" uri="{C3380CC4-5D6E-409C-BE32-E72D297353CC}">
              <c16:uniqueId val="{00000007-A28A-44B6-A7AC-8E87E40F74B0}"/>
            </c:ext>
          </c:extLst>
        </c:ser>
        <c:ser>
          <c:idx val="8"/>
          <c:order val="6"/>
          <c:tx>
            <c:strRef>
              <c:f>'Graph, Data'!$K$2</c:f>
              <c:strCache>
                <c:ptCount val="1"/>
                <c:pt idx="0">
                  <c:v>Net Present value (real)</c:v>
                </c:pt>
              </c:strCache>
            </c:strRef>
          </c:tx>
          <c:spPr>
            <a:ln w="28575" cap="rnd">
              <a:solidFill>
                <a:schemeClr val="accent3">
                  <a:lumMod val="60000"/>
                </a:schemeClr>
              </a:solidFill>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Data'!$K$3:$K$52</c:f>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c:ext xmlns:c16="http://schemas.microsoft.com/office/drawing/2014/chart" uri="{C3380CC4-5D6E-409C-BE32-E72D297353CC}">
              <c16:uniqueId val="{0000000A-A28A-44B6-A7AC-8E87E40F74B0}"/>
            </c:ext>
          </c:extLst>
        </c:ser>
        <c:ser>
          <c:idx val="9"/>
          <c:order val="7"/>
          <c:tx>
            <c:strRef>
              <c:f>'Graph, Data'!$M$2</c:f>
              <c:strCache>
                <c:ptCount val="1"/>
                <c:pt idx="0">
                  <c:v>Tax (real)</c:v>
                </c:pt>
              </c:strCache>
            </c:strRef>
          </c:tx>
          <c:spPr>
            <a:ln w="28575" cap="rnd">
              <a:solidFill>
                <a:srgbClr val="C00000"/>
              </a:solidFill>
              <a:prstDash val="solid"/>
              <a:round/>
            </a:ln>
            <a:effectLst/>
          </c:spPr>
          <c:marker>
            <c:symbol val="none"/>
          </c:marker>
          <c:cat>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'Graph, Data'!$M$3:$M$52</c:f>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c:ext xmlns:c16="http://schemas.microsoft.com/office/drawing/2014/chart" uri="{C3380CC4-5D6E-409C-BE32-E72D297353CC}">
              <c16:uniqueId val="{0000000B-A28A-44B6-A7AC-8E87E40F74B0}"/>
            </c:ext>
          </c:extLst>
        </c:ser>
        <c:ser>
          <c:idx val="11"/>
          <c:order val="8"/>
          <c:tx>
            <c:strRef>
              <c:f>'Graph, Data'!$N$2</c:f>
              <c:strCache>
                <c:ptCount val="1"/>
                <c:pt idx="0">
                  <c:v>Capital Gain (Nominal)</c:v>
                </c:pt>
              </c:strCache>
            </c:strRef>
          </c:tx>
          <c:spPr>
            <a:ln w="28575" cap="rnd">
              <a:solidFill>
                <a:schemeClr val="accent6">
                  <a:lumMod val="60000"/>
                </a:schemeClr>
              </a:solidFill>
              <a:prstDash val="dash"/>
              <a:round/>
            </a:ln>
            <a:effectLst/>
          </c:spPr>
          <c:marker>
            <c:symbol val="none"/>
          </c:marker>
          <c:val>
            <c:numRef>
              <c:f>'Graph, Data'!$N$3:$N$52</c:f>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c:ext xmlns:c16="http://schemas.microsoft.com/office/drawing/2014/chart" uri="{C3380CC4-5D6E-409C-BE32-E72D297353CC}">
              <c16:uniqueId val="{0000000C-A28A-44B6-A7AC-8E87E40F74B0}"/>
            </c:ext>
          </c:extLst>
        </c:ser>
        <c:ser>
          <c:idx val="12"/>
          <c:order val="9"/>
          <c:tx>
            <c:strRef>
              <c:f>'Graph, Data'!$O$2</c:f>
              <c:strCache>
                <c:ptCount val="1"/>
                <c:pt idx="0">
                  <c:v>Net Capital gain(Real)</c:v>
                </c:pt>
              </c:strCache>
            </c:strRef>
          </c:tx>
          <c:spPr>
            <a:ln w="28575" cap="rnd">
              <a:solidFill>
                <a:schemeClr val="accent1">
                  <a:lumMod val="80000"/>
                  <a:lumOff val="20000"/>
                </a:schemeClr>
              </a:solidFill>
              <a:round/>
            </a:ln>
            <a:effectLst/>
          </c:spPr>
          <c:marker>
            <c:symbol val="none"/>
          </c:marker>
          <c:val>
            <c:numRef>
              <c:f>'Graph, Data'!$O$3:$O$52</c:f>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c:ext xmlns:c16="http://schemas.microsoft.com/office/drawing/2014/chart" uri="{C3380CC4-5D6E-409C-BE32-E72D297353CC}">
              <c16:uniqueId val="{0000000E-A28A-44B6-A7AC-8E87E40F74B0}"/>
            </c:ext>
          </c:extLst>
        </c:ser>
        <c:dLbls>
          <c:showLegendKey val="0"/>
          <c:showVal val="0"/>
          <c:showCatName val="0"/>
          <c:showSerName val="0"/>
          <c:showPercent val="0"/>
          <c:showBubbleSize val="0"/>
        </c:dLbls>
        <c:smooth val="0"/>
        <c:axId val="1885874191"/>
        <c:axId val="1760485823"/>
      </c:lineChart>
      <c:catAx>
        <c:axId val="18858741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485823"/>
        <c:crosses val="autoZero"/>
        <c:auto val="1"/>
        <c:lblAlgn val="ctr"/>
        <c:lblOffset val="100"/>
        <c:noMultiLvlLbl val="0"/>
      </c:catAx>
      <c:valAx>
        <c:axId val="176048582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874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 Data'!$C$2</c:f>
              <c:strCache>
                <c:ptCount val="1"/>
                <c:pt idx="0">
                  <c:v>Timeline</c:v>
                </c:pt>
              </c:strCache>
            </c:strRef>
          </c:tx>
          <c:spPr>
            <a:ln w="28575" cap="rnd">
              <a:solidFill>
                <a:schemeClr val="accent1"/>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Data'!$C$3:$C$52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val>
          <c:smooth val="0"/>
          <c:extLst>
            <c:ext xmlns:c16="http://schemas.microsoft.com/office/drawing/2014/chart" uri="{C3380CC4-5D6E-409C-BE32-E72D297353CC}">
              <c16:uniqueId val="{00000000-1773-4D00-9C2E-B1ACF3F5AF54}"/>
            </c:ext>
          </c:extLst>
        </c:ser>
        <c:ser>
          <c:idx val="1"/>
          <c:order val="1"/>
          <c:tx>
            <c:strRef>
              <c:f>'Graph, Data'!$D$2</c:f>
              <c:strCache>
                <c:ptCount val="1"/>
                <c:pt idx="0">
                  <c:v>Savings (Nominal)</c:v>
                </c:pt>
              </c:strCache>
            </c:strRef>
          </c:tx>
          <c:spPr>
            <a:ln w="28575" cap="rnd">
              <a:solidFill>
                <a:schemeClr val="accent2"/>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Data'!$D$3:$D$52</c:f>
              <c:numCache>
                <c:formatCode>#,##0\ "€"</c:formatCode>
                <c:ptCount val="50"/>
                <c:pt idx="0">
                  <c:v>6000</c:v>
                </c:pt>
                <c:pt idx="1">
                  <c:v>12600</c:v>
                </c:pt>
                <c:pt idx="2">
                  <c:v>19860</c:v>
                </c:pt>
                <c:pt idx="3">
                  <c:v>27846.000000000004</c:v>
                </c:pt>
                <c:pt idx="4">
                  <c:v>36630.600000000006</c:v>
                </c:pt>
                <c:pt idx="5">
                  <c:v>46293.660000000011</c:v>
                </c:pt>
                <c:pt idx="6">
                  <c:v>56923.026000000013</c:v>
                </c:pt>
                <c:pt idx="7">
                  <c:v>68615.328600000023</c:v>
                </c:pt>
                <c:pt idx="8">
                  <c:v>81476.861460000029</c:v>
                </c:pt>
                <c:pt idx="9">
                  <c:v>95624.547606000036</c:v>
                </c:pt>
                <c:pt idx="10">
                  <c:v>111187.00236660005</c:v>
                </c:pt>
                <c:pt idx="11">
                  <c:v>128305.70260326006</c:v>
                </c:pt>
                <c:pt idx="12">
                  <c:v>147136.27286358608</c:v>
                </c:pt>
                <c:pt idx="13">
                  <c:v>167849.9001499447</c:v>
                </c:pt>
                <c:pt idx="14">
                  <c:v>190634.89016493919</c:v>
                </c:pt>
                <c:pt idx="15">
                  <c:v>215698.37918143312</c:v>
                </c:pt>
                <c:pt idx="16">
                  <c:v>243268.21709957643</c:v>
                </c:pt>
                <c:pt idx="17">
                  <c:v>273595.0388095341</c:v>
                </c:pt>
                <c:pt idx="18">
                  <c:v>306954.54269048752</c:v>
                </c:pt>
                <c:pt idx="19">
                  <c:v>343649.99695953628</c:v>
                </c:pt>
                <c:pt idx="20">
                  <c:v>384014.99665548996</c:v>
                </c:pt>
                <c:pt idx="21">
                  <c:v>428416.49632103898</c:v>
                </c:pt>
                <c:pt idx="22">
                  <c:v>477258.1459531429</c:v>
                </c:pt>
                <c:pt idx="23">
                  <c:v>530983.96054845722</c:v>
                </c:pt>
                <c:pt idx="24">
                  <c:v>590082.35660330299</c:v>
                </c:pt>
                <c:pt idx="25">
                  <c:v>655090.59226363339</c:v>
                </c:pt>
                <c:pt idx="26">
                  <c:v>726599.65148999682</c:v>
                </c:pt>
                <c:pt idx="27">
                  <c:v>805259.61663899652</c:v>
                </c:pt>
                <c:pt idx="28">
                  <c:v>891785.57830289623</c:v>
                </c:pt>
                <c:pt idx="29">
                  <c:v>986964.13613318594</c:v>
                </c:pt>
                <c:pt idx="30">
                  <c:v>1091660.5497465045</c:v>
                </c:pt>
                <c:pt idx="31">
                  <c:v>1206826.604721155</c:v>
                </c:pt>
                <c:pt idx="32">
                  <c:v>1333509.2651932705</c:v>
                </c:pt>
                <c:pt idx="33">
                  <c:v>1472860.1917125976</c:v>
                </c:pt>
                <c:pt idx="34">
                  <c:v>1626146.2108838574</c:v>
                </c:pt>
                <c:pt idx="35">
                  <c:v>1794760.8319722433</c:v>
                </c:pt>
                <c:pt idx="36">
                  <c:v>1980236.9151694677</c:v>
                </c:pt>
                <c:pt idx="37">
                  <c:v>2184260.6066864147</c:v>
                </c:pt>
                <c:pt idx="38">
                  <c:v>2408686.6673550564</c:v>
                </c:pt>
                <c:pt idx="39">
                  <c:v>2655555.3340905621</c:v>
                </c:pt>
                <c:pt idx="40">
                  <c:v>2927110.8674996183</c:v>
                </c:pt>
                <c:pt idx="41">
                  <c:v>3225821.9542495804</c:v>
                </c:pt>
                <c:pt idx="42">
                  <c:v>3554404.1496745385</c:v>
                </c:pt>
                <c:pt idx="43">
                  <c:v>3915844.5646419926</c:v>
                </c:pt>
                <c:pt idx="44">
                  <c:v>4313429.0211061919</c:v>
                </c:pt>
                <c:pt idx="45">
                  <c:v>4750771.9232168114</c:v>
                </c:pt>
                <c:pt idx="46">
                  <c:v>5231849.1155384928</c:v>
                </c:pt>
                <c:pt idx="47">
                  <c:v>5761034.0270923423</c:v>
                </c:pt>
                <c:pt idx="48">
                  <c:v>6343137.4298015768</c:v>
                </c:pt>
                <c:pt idx="49">
                  <c:v>6983451.1727817357</c:v>
                </c:pt>
              </c:numCache>
            </c:numRef>
          </c:val>
          <c:smooth val="0"/>
          <c:extLst>
            <c:ext xmlns:c16="http://schemas.microsoft.com/office/drawing/2014/chart" uri="{C3380CC4-5D6E-409C-BE32-E72D297353CC}">
              <c16:uniqueId val="{00000001-1773-4D00-9C2E-B1ACF3F5AF54}"/>
            </c:ext>
          </c:extLst>
        </c:ser>
        <c:ser>
          <c:idx val="5"/>
          <c:order val="2"/>
          <c:tx>
            <c:strRef>
              <c:f>'Graph, Data'!$E$2</c:f>
              <c:strCache>
                <c:ptCount val="1"/>
                <c:pt idx="0">
                  <c:v>Savings* (real, full inflation* max year)</c:v>
                </c:pt>
              </c:strCache>
            </c:strRef>
          </c:tx>
          <c:spPr>
            <a:ln w="28575" cap="rnd">
              <a:solidFill>
                <a:schemeClr val="accent6"/>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Data'!$E$3:$E$52</c:f>
              <c:numCache>
                <c:formatCode>#,##0\ "€"</c:formatCode>
                <c:ptCount val="50"/>
                <c:pt idx="0">
                  <c:v>6000</c:v>
                </c:pt>
                <c:pt idx="1">
                  <c:v>12292.682926829269</c:v>
                </c:pt>
                <c:pt idx="2">
                  <c:v>18903.033908387864</c:v>
                </c:pt>
                <c:pt idx="3">
                  <c:v>25857.779196471329</c:v>
                </c:pt>
                <c:pt idx="4">
                  <c:v>33185.515689401916</c:v>
                </c:pt>
                <c:pt idx="5">
                  <c:v>40916.849880137204</c:v>
                </c:pt>
                <c:pt idx="6">
                  <c:v>49084.546920788329</c:v>
                </c:pt>
                <c:pt idx="7">
                  <c:v>57723.690545005069</c:v>
                </c:pt>
                <c:pt idx="8">
                  <c:v>66871.854643908388</c:v>
                </c:pt>
                <c:pt idx="9">
                  <c:v>76569.287349441758</c:v>
                </c:pt>
                <c:pt idx="10">
                  <c:v>86859.108541462585</c:v>
                </c:pt>
                <c:pt idx="11">
                  <c:v>97787.521761915341</c:v>
                </c:pt>
                <c:pt idx="12">
                  <c:v>109404.04159135175</c:v>
                </c:pt>
                <c:pt idx="13">
                  <c:v>121761.73762025248</c:v>
                </c:pt>
                <c:pt idx="14">
                  <c:v>134917.49623044051</c:v>
                </c:pt>
                <c:pt idx="15">
                  <c:v>148932.30149077493</c:v>
                </c:pt>
                <c:pt idx="16">
                  <c:v>163871.53656671837</c:v>
                </c:pt>
                <c:pt idx="17">
                  <c:v>179805.30714575507</c:v>
                </c:pt>
                <c:pt idx="18">
                  <c:v>196808.7884905152</c:v>
                </c:pt>
                <c:pt idx="19">
                  <c:v>214962.59784937862</c:v>
                </c:pt>
                <c:pt idx="20">
                  <c:v>234353.19408087642</c:v>
                </c:pt>
                <c:pt idx="21">
                  <c:v>255073.30648401671</c:v>
                </c:pt>
                <c:pt idx="22">
                  <c:v>277222.39497240388</c:v>
                </c:pt>
                <c:pt idx="23">
                  <c:v>300907.14388643048</c:v>
                </c:pt>
                <c:pt idx="24">
                  <c:v>326241.99190567265</c:v>
                </c:pt>
                <c:pt idx="25">
                  <c:v>353349.7007037591</c:v>
                </c:pt>
                <c:pt idx="26">
                  <c:v>382361.96518129832</c:v>
                </c:pt>
                <c:pt idx="27">
                  <c:v>413420.06831991393</c:v>
                </c:pt>
                <c:pt idx="28">
                  <c:v>446675.58392308059</c:v>
                </c:pt>
                <c:pt idx="29">
                  <c:v>482291.13074838847</c:v>
                </c:pt>
                <c:pt idx="30">
                  <c:v>520441.18179228337</c:v>
                </c:pt>
                <c:pt idx="31">
                  <c:v>561312.93276350957</c:v>
                </c:pt>
                <c:pt idx="32">
                  <c:v>605107.23407680483</c:v>
                </c:pt>
                <c:pt idx="33">
                  <c:v>652039.59101531154</c:v>
                </c:pt>
                <c:pt idx="34">
                  <c:v>702341.2370503014</c:v>
                </c:pt>
                <c:pt idx="35">
                  <c:v>756260.2856717963</c:v>
                </c:pt>
                <c:pt idx="36">
                  <c:v>814062.96647539304</c:v>
                </c:pt>
                <c:pt idx="37">
                  <c:v>876034.95167096541</c:v>
                </c:pt>
                <c:pt idx="38">
                  <c:v>942482.77963004948</c:v>
                </c:pt>
                <c:pt idx="39">
                  <c:v>1013735.3825728676</c:v>
                </c:pt>
                <c:pt idx="40">
                  <c:v>1090145.7260155084</c:v>
                </c:pt>
                <c:pt idx="41">
                  <c:v>1172092.568155362</c:v>
                </c:pt>
                <c:pt idx="42">
                  <c:v>1259982.3479713099</c:v>
                </c:pt>
                <c:pt idx="43">
                  <c:v>1354251.2114573198</c:v>
                </c:pt>
                <c:pt idx="44">
                  <c:v>1455367.1860972662</c:v>
                </c:pt>
                <c:pt idx="45">
                  <c:v>1563832.5144283765</c:v>
                </c:pt>
                <c:pt idx="46">
                  <c:v>1680186.1583344084</c:v>
                </c:pt>
                <c:pt idx="47">
                  <c:v>1805006.4865614276</c:v>
                </c:pt>
                <c:pt idx="48">
                  <c:v>1938914.1588631754</c:v>
                </c:pt>
                <c:pt idx="49">
                  <c:v>2082575.2211639886</c:v>
                </c:pt>
              </c:numCache>
            </c:numRef>
          </c:val>
          <c:smooth val="0"/>
          <c:extLst>
            <c:ext xmlns:c16="http://schemas.microsoft.com/office/drawing/2014/chart" uri="{C3380CC4-5D6E-409C-BE32-E72D297353CC}">
              <c16:uniqueId val="{00000005-1773-4D00-9C2E-B1ACF3F5AF54}"/>
            </c:ext>
          </c:extLst>
        </c:ser>
        <c:ser>
          <c:idx val="6"/>
          <c:order val="3"/>
          <c:tx>
            <c:strRef>
              <c:f>'Graph, Data'!$F$2</c:f>
              <c:strCache>
                <c:ptCount val="1"/>
                <c:pt idx="0">
                  <c:v>Savings (Real, adj. per year)</c:v>
                </c:pt>
              </c:strCache>
            </c:strRef>
          </c:tx>
          <c:spPr>
            <a:ln w="28575" cap="rnd">
              <a:solidFill>
                <a:schemeClr val="accent1">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Data'!$F$3:$F$52</c:f>
              <c:numCache>
                <c:formatCode>#,##0\ "€"</c:formatCode>
                <c:ptCount val="50"/>
                <c:pt idx="0">
                  <c:v>6000</c:v>
                </c:pt>
                <c:pt idx="1">
                  <c:v>12439.024390243903</c:v>
                </c:pt>
                <c:pt idx="2">
                  <c:v>19349.196906603214</c:v>
                </c:pt>
                <c:pt idx="3">
                  <c:v>26764.991802208329</c:v>
                </c:pt>
                <c:pt idx="4">
                  <c:v>34723.405836516264</c:v>
                </c:pt>
                <c:pt idx="5">
                  <c:v>43264.142848944291</c:v>
                </c:pt>
                <c:pt idx="6">
                  <c:v>52429.811837891437</c:v>
                </c:pt>
                <c:pt idx="7">
                  <c:v>62266.139533346912</c:v>
                </c:pt>
                <c:pt idx="8">
                  <c:v>72822.198523591811</c:v>
                </c:pt>
                <c:pt idx="9">
                  <c:v>84150.652074098543</c:v>
                </c:pt>
                <c:pt idx="10">
                  <c:v>96308.016860008211</c:v>
                </c:pt>
                <c:pt idx="11">
                  <c:v>109354.94492293565</c:v>
                </c:pt>
                <c:pt idx="12">
                  <c:v>123356.52625876023</c:v>
                </c:pt>
                <c:pt idx="13">
                  <c:v>138382.61354598659</c:v>
                </c:pt>
                <c:pt idx="14">
                  <c:v>154508.17063471733</c:v>
                </c:pt>
                <c:pt idx="15">
                  <c:v>171813.64653481863</c:v>
                </c:pt>
                <c:pt idx="16">
                  <c:v>190385.37676907369</c:v>
                </c:pt>
                <c:pt idx="17">
                  <c:v>210316.01409364009</c:v>
                </c:pt>
                <c:pt idx="18">
                  <c:v>231704.99073463815</c:v>
                </c:pt>
                <c:pt idx="19">
                  <c:v>254659.01444692878</c:v>
                </c:pt>
                <c:pt idx="20">
                  <c:v>279292.60086987482</c:v>
                </c:pt>
                <c:pt idx="21">
                  <c:v>305728.64483596326</c:v>
                </c:pt>
                <c:pt idx="22">
                  <c:v>334099.03348249721</c:v>
                </c:pt>
                <c:pt idx="23">
                  <c:v>364545.30422511901</c:v>
                </c:pt>
                <c:pt idx="24">
                  <c:v>397219.35087573749</c:v>
                </c:pt>
                <c:pt idx="25">
                  <c:v>432284.18142762076</c:v>
                </c:pt>
                <c:pt idx="26">
                  <c:v>469914.73128817842</c:v>
                </c:pt>
                <c:pt idx="27">
                  <c:v>510298.73601658177</c:v>
                </c:pt>
                <c:pt idx="28">
                  <c:v>553637.66792023415</c:v>
                </c:pt>
                <c:pt idx="29">
                  <c:v>600147.74118269037</c:v>
                </c:pt>
                <c:pt idx="30">
                  <c:v>650060.99053752143</c:v>
                </c:pt>
                <c:pt idx="31">
                  <c:v>703626.42886953522</c:v>
                </c:pt>
                <c:pt idx="32">
                  <c:v>761111.28951852571</c:v>
                </c:pt>
                <c:pt idx="33">
                  <c:v>822802.35948329594</c:v>
                </c:pt>
                <c:pt idx="34">
                  <c:v>889007.41017719579</c:v>
                </c:pt>
                <c:pt idx="35">
                  <c:v>960056.73287308833</c:v>
                </c:pt>
                <c:pt idx="36">
                  <c:v>1036304.7864979486</c:v>
                </c:pt>
                <c:pt idx="37">
                  <c:v>1118131.9659977986</c:v>
                </c:pt>
                <c:pt idx="38">
                  <c:v>1205946.5000951986</c:v>
                </c:pt>
                <c:pt idx="39">
                  <c:v>1300186.4879070425</c:v>
                </c:pt>
                <c:pt idx="40">
                  <c:v>1401322.0845831677</c:v>
                </c:pt>
                <c:pt idx="41">
                  <c:v>1509857.8468697411</c:v>
                </c:pt>
                <c:pt idx="42">
                  <c:v>1626335.2502992346</c:v>
                </c:pt>
                <c:pt idx="43">
                  <c:v>1751335.3905650326</c:v>
                </c:pt>
                <c:pt idx="44">
                  <c:v>1885481.8825575961</c:v>
                </c:pt>
                <c:pt idx="45">
                  <c:v>2029443.9715252253</c:v>
                </c:pt>
                <c:pt idx="46">
                  <c:v>2183939.8718807297</c:v>
                </c:pt>
                <c:pt idx="47">
                  <c:v>2349740.3503110274</c:v>
                </c:pt>
                <c:pt idx="48">
                  <c:v>2527672.5710654929</c:v>
                </c:pt>
                <c:pt idx="49">
                  <c:v>2718624.2226068708</c:v>
                </c:pt>
              </c:numCache>
            </c:numRef>
          </c:val>
          <c:smooth val="0"/>
          <c:extLst>
            <c:ext xmlns:c16="http://schemas.microsoft.com/office/drawing/2014/chart" uri="{C3380CC4-5D6E-409C-BE32-E72D297353CC}">
              <c16:uniqueId val="{00000006-1773-4D00-9C2E-B1ACF3F5AF54}"/>
            </c:ext>
          </c:extLst>
        </c:ser>
        <c:ser>
          <c:idx val="7"/>
          <c:order val="4"/>
          <c:tx>
            <c:strRef>
              <c:f>'Graph, Data'!$G$2</c:f>
              <c:strCache>
                <c:ptCount val="1"/>
                <c:pt idx="0">
                  <c:v>Future value (Nominal)</c:v>
                </c:pt>
              </c:strCache>
            </c:strRef>
          </c:tx>
          <c:spPr>
            <a:ln w="28575" cap="rnd">
              <a:solidFill>
                <a:schemeClr val="accent2">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Data'!$G$3:$G$52</c:f>
              <c:numCache>
                <c:formatCode>#,##0\ "€"</c:formatCode>
                <c:ptCount val="50"/>
                <c:pt idx="0">
                  <c:v>6000</c:v>
                </c:pt>
                <c:pt idx="1">
                  <c:v>12902.400000000001</c:v>
                </c:pt>
                <c:pt idx="2">
                  <c:v>20835.542400000002</c:v>
                </c:pt>
                <c:pt idx="3">
                  <c:v>29945.404742400009</c:v>
                </c:pt>
                <c:pt idx="4">
                  <c:v>40397.968139942415</c:v>
                </c:pt>
                <c:pt idx="5">
                  <c:v>52381.898765575163</c:v>
                </c:pt>
                <c:pt idx="6">
                  <c:v>66111.583314037649</c:v>
                </c:pt>
                <c:pt idx="7">
                  <c:v>81830.564646006387</c:v>
                </c:pt>
                <c:pt idx="8">
                  <c:v>99815.4298092432</c:v>
                </c:pt>
                <c:pt idx="9">
                  <c:v>120380.20938483186</c:v>
                </c:pt>
                <c:pt idx="10">
                  <c:v>143881.35472890708</c:v>
                </c:pt>
                <c:pt idx="11">
                  <c:v>170723.36828249443</c:v>
                </c:pt>
                <c:pt idx="12">
                  <c:v>201365.17182960827</c:v>
                </c:pt>
                <c:pt idx="13">
                  <c:v>236327.30853801046</c:v>
                </c:pt>
                <c:pt idx="14">
                  <c:v>276200.08697745844</c:v>
                </c:pt>
                <c:pt idx="15">
                  <c:v>321652.78925664275</c:v>
                </c:pt>
                <c:pt idx="16">
                  <c:v>373444.08115500672</c:v>
                </c:pt>
                <c:pt idx="17">
                  <c:v>432433.77987776732</c:v>
                </c:pt>
                <c:pt idx="18">
                  <c:v>499596.15508931869</c:v>
                </c:pt>
                <c:pt idx="19">
                  <c:v>576034.96147222084</c:v>
                </c:pt>
                <c:pt idx="20">
                  <c:v>663000.42654353334</c:v>
                </c:pt>
                <c:pt idx="21">
                  <c:v>761908.44620641263</c:v>
                </c:pt>
                <c:pt idx="22">
                  <c:v>874362.27293865394</c:v>
                </c:pt>
                <c:pt idx="23">
                  <c:v>1002177.0180901813</c:v>
                </c:pt>
                <c:pt idx="24">
                  <c:v>1147407.3310069265</c:v>
                </c:pt>
                <c:pt idx="25">
                  <c:v>1312378.66421492</c:v>
                </c:pt>
                <c:pt idx="26">
                  <c:v>1499722.5863572326</c:v>
                </c:pt>
                <c:pt idx="27">
                  <c:v>1712416.6637345999</c:v>
                </c:pt>
                <c:pt idx="28">
                  <c:v>1953829.4980111516</c:v>
                </c:pt>
                <c:pt idx="29">
                  <c:v>2227771.5828711479</c:v>
                </c:pt>
                <c:pt idx="30">
                  <c:v>2538552.7272345624</c:v>
                </c:pt>
                <c:pt idx="31">
                  <c:v>2891046.8882799321</c:v>
                </c:pt>
                <c:pt idx="32">
                  <c:v>3290765.3653584006</c:v>
                </c:pt>
                <c:pt idx="33">
                  <c:v>3743939.4274642756</c:v>
                </c:pt>
                <c:pt idx="34">
                  <c:v>4257613.5840025619</c:v>
                </c:pt>
                <c:pt idx="35">
                  <c:v>4839750.8631324507</c:v>
                </c:pt>
                <c:pt idx="36">
                  <c:v>5499351.6361872628</c:v>
                </c:pt>
                <c:pt idx="37">
                  <c:v>6246587.7230769936</c:v>
                </c:pt>
                <c:pt idx="38">
                  <c:v>7092953.7349878438</c:v>
                </c:pt>
                <c:pt idx="39">
                  <c:v>8051437.8602797762</c:v>
                </c:pt>
                <c:pt idx="40">
                  <c:v>9136714.5808268394</c:v>
                </c:pt>
                <c:pt idx="41">
                  <c:v>10365362.123178013</c:v>
                </c:pt>
                <c:pt idx="42">
                  <c:v>11756107.806382135</c:v>
                </c:pt>
                <c:pt idx="43">
                  <c:v>13330104.851238344</c:v>
                </c:pt>
                <c:pt idx="44">
                  <c:v>15111244.669871641</c:v>
                </c:pt>
                <c:pt idx="45">
                  <c:v>17126509.16639046</c:v>
                </c:pt>
                <c:pt idx="46">
                  <c:v>19406368.156282149</c:v>
                </c:pt>
                <c:pt idx="47">
                  <c:v>21985227.662392844</c:v>
                </c:pt>
                <c:pt idx="48">
                  <c:v>24901935.578115396</c:v>
                </c:pt>
                <c:pt idx="49">
                  <c:v>28200352.0142451</c:v>
                </c:pt>
              </c:numCache>
            </c:numRef>
          </c:val>
          <c:smooth val="0"/>
          <c:extLst>
            <c:ext xmlns:c16="http://schemas.microsoft.com/office/drawing/2014/chart" uri="{C3380CC4-5D6E-409C-BE32-E72D297353CC}">
              <c16:uniqueId val="{00000007-1773-4D00-9C2E-B1ACF3F5AF54}"/>
            </c:ext>
          </c:extLst>
        </c:ser>
        <c:ser>
          <c:idx val="8"/>
          <c:order val="5"/>
          <c:tx>
            <c:strRef>
              <c:f>'Graph, Data'!$J$2</c:f>
              <c:strCache>
                <c:ptCount val="1"/>
                <c:pt idx="0">
                  <c:v>Present value (Real)</c:v>
                </c:pt>
              </c:strCache>
            </c:strRef>
          </c:tx>
          <c:spPr>
            <a:ln w="28575" cap="rnd">
              <a:solidFill>
                <a:schemeClr val="accent3">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Data'!$J$3:$J$52</c:f>
              <c:numCache>
                <c:formatCode>#,##0\ "€"</c:formatCode>
                <c:ptCount val="50"/>
                <c:pt idx="0">
                  <c:v>6000</c:v>
                </c:pt>
                <c:pt idx="1">
                  <c:v>12587.707317073173</c:v>
                </c:pt>
                <c:pt idx="2">
                  <c:v>19831.569208804285</c:v>
                </c:pt>
                <c:pt idx="3">
                  <c:v>27807.285203546104</c:v>
                </c:pt>
                <c:pt idx="4">
                  <c:v>36598.565284980796</c:v>
                </c:pt>
                <c:pt idx="5">
                  <c:v>46297.965817081276</c:v>
                </c:pt>
                <c:pt idx="6">
                  <c:v>57007.811095381454</c:v>
                </c:pt>
                <c:pt idx="7">
                  <c:v>68841.209203931488</c:v>
                </c:pt>
                <c:pt idx="8">
                  <c:v>81923.17173017122</c:v>
                </c:pt>
                <c:pt idx="9">
                  <c:v>96391.847850110003</c:v>
                </c:pt>
                <c:pt idx="10">
                  <c:v>112399.88435235459</c:v>
                </c:pt>
                <c:pt idx="11">
                  <c:v>130115.92433123643</c:v>
                </c:pt>
                <c:pt idx="12">
                  <c:v>149726.25855706498</c:v>
                </c:pt>
                <c:pt idx="13">
                  <c:v>171436.64493693272</c:v>
                </c:pt>
                <c:pt idx="14">
                  <c:v>195474.31302521387</c:v>
                </c:pt>
                <c:pt idx="15">
                  <c:v>222090.17224290079</c:v>
                </c:pt>
                <c:pt idx="16">
                  <c:v>251561.24433455133</c:v>
                </c:pt>
                <c:pt idx="17">
                  <c:v>284193.34264774784</c:v>
                </c:pt>
                <c:pt idx="18">
                  <c:v>320324.02308113954</c:v>
                </c:pt>
                <c:pt idx="19">
                  <c:v>360325.83403373475</c:v>
                </c:pt>
                <c:pt idx="20">
                  <c:v>404609.89542252879</c:v>
                </c:pt>
                <c:pt idx="21">
                  <c:v>453629.83984243305</c:v>
                </c:pt>
                <c:pt idx="22">
                  <c:v>507886.15224886365</c:v>
                </c:pt>
                <c:pt idx="23">
                  <c:v>567930.9481790188</c:v>
                </c:pt>
                <c:pt idx="24">
                  <c:v>634373.23452550732</c:v>
                </c:pt>
                <c:pt idx="25">
                  <c:v>707884.70127154421</c:v>
                </c:pt>
                <c:pt idx="26">
                  <c:v>789206.09742987948</c:v>
                </c:pt>
                <c:pt idx="27">
                  <c:v>879154.24974141608</c:v>
                </c:pt>
                <c:pt idx="28">
                  <c:v>978629.78853179805</c:v>
                </c:pt>
                <c:pt idx="29">
                  <c:v>1088625.6515475488</c:v>
                </c:pt>
                <c:pt idx="30">
                  <c:v>1210236.443655282</c:v>
                </c:pt>
                <c:pt idx="31">
                  <c:v>1344668.73805138</c:v>
                </c:pt>
                <c:pt idx="32">
                  <c:v>1493252.4131650229</c:v>
                </c:pt>
                <c:pt idx="33">
                  <c:v>1657453.1288209751</c:v>
                </c:pt>
                <c:pt idx="34">
                  <c:v>1838886.0555443002</c:v>
                </c:pt>
                <c:pt idx="35">
                  <c:v>2039330.9822294333</c:v>
                </c:pt>
                <c:pt idx="36">
                  <c:v>2260748.9398624739</c:v>
                </c:pt>
                <c:pt idx="37">
                  <c:v>2505300.4926897101</c:v>
                </c:pt>
                <c:pt idx="38">
                  <c:v>2775365.8632898773</c:v>
                </c:pt>
                <c:pt idx="39">
                  <c:v>3073567.0745673268</c:v>
                </c:pt>
                <c:pt idx="40">
                  <c:v>3402792.3098861761</c:v>
                </c:pt>
                <c:pt idx="41">
                  <c:v>3766222.7125744391</c:v>
                </c:pt>
                <c:pt idx="42">
                  <c:v>4167361.8680209802</c:v>
                </c:pt>
                <c:pt idx="43">
                  <c:v>4610068.2357633524</c:v>
                </c:pt>
                <c:pt idx="44">
                  <c:v>5098590.8255373081</c:v>
                </c:pt>
                <c:pt idx="45">
                  <c:v>5637608.4404662196</c:v>
                </c:pt>
                <c:pt idx="46">
                  <c:v>6232272.8426717762</c:v>
                </c:pt>
                <c:pt idx="47">
                  <c:v>6888256.23187258</c:v>
                </c:pt>
                <c:pt idx="48">
                  <c:v>7611803.4663198134</c:v>
                </c:pt>
                <c:pt idx="49">
                  <c:v>8409789.4980448484</c:v>
                </c:pt>
              </c:numCache>
            </c:numRef>
          </c:val>
          <c:smooth val="0"/>
          <c:extLst>
            <c:ext xmlns:c16="http://schemas.microsoft.com/office/drawing/2014/chart" uri="{C3380CC4-5D6E-409C-BE32-E72D297353CC}">
              <c16:uniqueId val="{00000008-1773-4D00-9C2E-B1ACF3F5AF54}"/>
            </c:ext>
          </c:extLst>
        </c:ser>
        <c:ser>
          <c:idx val="9"/>
          <c:order val="6"/>
          <c:tx>
            <c:strRef>
              <c:f>'Graph, Data'!$K$2</c:f>
              <c:strCache>
                <c:ptCount val="1"/>
                <c:pt idx="0">
                  <c:v>Net Present value (real)</c:v>
                </c:pt>
              </c:strCache>
            </c:strRef>
          </c:tx>
          <c:spPr>
            <a:ln w="28575" cap="rnd">
              <a:solidFill>
                <a:schemeClr val="accent4">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Data'!$K$3:$K$52</c:f>
              <c:numCache>
                <c:formatCode>#,##0\ "€"</c:formatCode>
                <c:ptCount val="50"/>
                <c:pt idx="0">
                  <c:v>6000</c:v>
                </c:pt>
                <c:pt idx="1">
                  <c:v>12511.000975609759</c:v>
                </c:pt>
                <c:pt idx="2">
                  <c:v>19590.150030696015</c:v>
                </c:pt>
                <c:pt idx="3">
                  <c:v>27300.413641706662</c:v>
                </c:pt>
                <c:pt idx="4">
                  <c:v>35711.17239013029</c:v>
                </c:pt>
                <c:pt idx="5">
                  <c:v>44898.875673475821</c:v>
                </c:pt>
                <c:pt idx="6">
                  <c:v>54947.762409987241</c:v>
                </c:pt>
                <c:pt idx="7">
                  <c:v>65950.654352610611</c:v>
                </c:pt>
                <c:pt idx="8">
                  <c:v>78009.82928774289</c:v>
                </c:pt>
                <c:pt idx="9">
                  <c:v>91237.982119936249</c:v>
                </c:pt>
                <c:pt idx="10">
                  <c:v>105759.28264152267</c:v>
                </c:pt>
                <c:pt idx="11">
                  <c:v>121710.53966321296</c:v>
                </c:pt>
                <c:pt idx="12">
                  <c:v>139242.48214597953</c:v>
                </c:pt>
                <c:pt idx="13">
                  <c:v>158521.16903459586</c:v>
                </c:pt>
                <c:pt idx="14">
                  <c:v>179729.54065857281</c:v>
                </c:pt>
                <c:pt idx="15">
                  <c:v>203069.12584734807</c:v>
                </c:pt>
                <c:pt idx="16">
                  <c:v>228761.92031491475</c:v>
                </c:pt>
                <c:pt idx="17">
                  <c:v>257052.4534172297</c:v>
                </c:pt>
                <c:pt idx="18">
                  <c:v>288210.06208757724</c:v>
                </c:pt>
                <c:pt idx="19">
                  <c:v>322531.39262580214</c:v>
                </c:pt>
                <c:pt idx="20">
                  <c:v>360343.15307369916</c:v>
                </c:pt>
                <c:pt idx="21">
                  <c:v>402005.14116924483</c:v>
                </c:pt>
                <c:pt idx="22">
                  <c:v>447913.5753569841</c:v>
                </c:pt>
                <c:pt idx="23">
                  <c:v>498504.75906294584</c:v>
                </c:pt>
                <c:pt idx="24">
                  <c:v>554259.11144435022</c:v>
                </c:pt>
                <c:pt idx="25">
                  <c:v>615705.60112392006</c:v>
                </c:pt>
                <c:pt idx="26">
                  <c:v>683426.62304524833</c:v>
                </c:pt>
                <c:pt idx="27">
                  <c:v>758063.36257182551</c:v>
                </c:pt>
                <c:pt idx="28">
                  <c:v>840321.69533353159</c:v>
                </c:pt>
                <c:pt idx="29">
                  <c:v>930978.67613976705</c:v>
                </c:pt>
                <c:pt idx="30">
                  <c:v>1030889.6755709023</c:v>
                </c:pt>
                <c:pt idx="31">
                  <c:v>1140996.2286765338</c:v>
                </c:pt>
                <c:pt idx="32">
                  <c:v>1262334.6666020863</c:v>
                </c:pt>
                <c:pt idx="33">
                  <c:v>1396045.6089915026</c:v>
                </c:pt>
                <c:pt idx="34">
                  <c:v>1543384.4027358606</c:v>
                </c:pt>
                <c:pt idx="35">
                  <c:v>1705732.6011244478</c:v>
                </c:pt>
                <c:pt idx="36">
                  <c:v>1884610.5867818329</c:v>
                </c:pt>
                <c:pt idx="37">
                  <c:v>2081691.4520248366</c:v>
                </c:pt>
                <c:pt idx="38">
                  <c:v>2298816.2615383221</c:v>
                </c:pt>
                <c:pt idx="39">
                  <c:v>2538010.8346487675</c:v>
                </c:pt>
                <c:pt idx="40">
                  <c:v>2801504.1980798026</c:v>
                </c:pt>
                <c:pt idx="41">
                  <c:v>3091748.8750254787</c:v>
                </c:pt>
                <c:pt idx="42">
                  <c:v>3411443.192808066</c:v>
                </c:pt>
                <c:pt idx="43">
                  <c:v>3763555.8094437844</c:v>
                </c:pt>
                <c:pt idx="44">
                  <c:v>4151352.6792828976</c:v>
                </c:pt>
                <c:pt idx="45">
                  <c:v>4578426.6996963806</c:v>
                </c:pt>
                <c:pt idx="46">
                  <c:v>5048730.3047440611</c:v>
                </c:pt>
                <c:pt idx="47">
                  <c:v>5566611.2980916798</c:v>
                </c:pt>
                <c:pt idx="48">
                  <c:v>6136852.2463810872</c:v>
                </c:pt>
                <c:pt idx="49">
                  <c:v>6764713.7860558257</c:v>
                </c:pt>
              </c:numCache>
            </c:numRef>
          </c:val>
          <c:smooth val="0"/>
          <c:extLst>
            <c:ext xmlns:c16="http://schemas.microsoft.com/office/drawing/2014/chart" uri="{C3380CC4-5D6E-409C-BE32-E72D297353CC}">
              <c16:uniqueId val="{00000009-1773-4D00-9C2E-B1ACF3F5AF54}"/>
            </c:ext>
          </c:extLst>
        </c:ser>
        <c:ser>
          <c:idx val="10"/>
          <c:order val="7"/>
          <c:tx>
            <c:strRef>
              <c:f>'Graph, Data'!$L$2</c:f>
              <c:strCache>
                <c:ptCount val="1"/>
                <c:pt idx="0">
                  <c:v>Tax (Nominal)</c:v>
                </c:pt>
              </c:strCache>
            </c:strRef>
          </c:tx>
          <c:spPr>
            <a:ln w="28575" cap="rnd">
              <a:solidFill>
                <a:schemeClr val="accent5">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Data'!$L$3:$L$52</c:f>
              <c:numCache>
                <c:formatCode>#,##0\ "€"</c:formatCode>
                <c:ptCount val="50"/>
                <c:pt idx="0">
                  <c:v>0</c:v>
                </c:pt>
                <c:pt idx="1">
                  <c:v>78.624000000000152</c:v>
                </c:pt>
                <c:pt idx="2">
                  <c:v>253.64102400000056</c:v>
                </c:pt>
                <c:pt idx="3">
                  <c:v>545.845233024001</c:v>
                </c:pt>
                <c:pt idx="4">
                  <c:v>979.51571638502503</c:v>
                </c:pt>
                <c:pt idx="5">
                  <c:v>1582.9420790495394</c:v>
                </c:pt>
                <c:pt idx="6">
                  <c:v>2389.0249016497828</c:v>
                </c:pt>
                <c:pt idx="7">
                  <c:v>3435.961371961655</c:v>
                </c:pt>
                <c:pt idx="8">
                  <c:v>4768.0277708032245</c:v>
                </c:pt>
                <c:pt idx="9">
                  <c:v>6436.4720624962747</c:v>
                </c:pt>
                <c:pt idx="10">
                  <c:v>8500.5316141998301</c:v>
                </c:pt>
                <c:pt idx="11">
                  <c:v>11028.593076600937</c:v>
                </c:pt>
                <c:pt idx="12">
                  <c:v>14099.513731165776</c:v>
                </c:pt>
                <c:pt idx="13">
                  <c:v>17804.126180897099</c:v>
                </c:pt>
                <c:pt idx="14">
                  <c:v>22246.951171255012</c:v>
                </c:pt>
                <c:pt idx="15">
                  <c:v>27548.146619554511</c:v>
                </c:pt>
                <c:pt idx="16">
                  <c:v>33845.724654411883</c:v>
                </c:pt>
                <c:pt idx="17">
                  <c:v>41298.072677740638</c:v>
                </c:pt>
                <c:pt idx="18">
                  <c:v>50086.819223696104</c:v>
                </c:pt>
                <c:pt idx="19">
                  <c:v>60420.090773297976</c:v>
                </c:pt>
                <c:pt idx="20">
                  <c:v>72536.211770891299</c:v>
                </c:pt>
                <c:pt idx="21">
                  <c:v>86707.906970197146</c:v>
                </c:pt>
                <c:pt idx="22">
                  <c:v>103247.07301623287</c:v>
                </c:pt>
                <c:pt idx="23">
                  <c:v>122510.19496084824</c:v>
                </c:pt>
                <c:pt idx="24">
                  <c:v>144904.49334494211</c:v>
                </c:pt>
                <c:pt idx="25">
                  <c:v>170894.89870733453</c:v>
                </c:pt>
                <c:pt idx="26">
                  <c:v>201011.96306548134</c:v>
                </c:pt>
                <c:pt idx="27">
                  <c:v>235860.83224485692</c:v>
                </c:pt>
                <c:pt idx="28">
                  <c:v>276131.41912414634</c:v>
                </c:pt>
                <c:pt idx="29">
                  <c:v>322609.93615187012</c:v>
                </c:pt>
                <c:pt idx="30">
                  <c:v>376191.96614689508</c:v>
                </c:pt>
                <c:pt idx="31">
                  <c:v>437897.27372528205</c:v>
                </c:pt>
                <c:pt idx="32">
                  <c:v>508886.58604293375</c:v>
                </c:pt>
                <c:pt idx="33">
                  <c:v>590480.60129543615</c:v>
                </c:pt>
                <c:pt idx="34">
                  <c:v>684181.51701086306</c:v>
                </c:pt>
                <c:pt idx="35">
                  <c:v>791697.40810165391</c:v>
                </c:pt>
                <c:pt idx="36">
                  <c:v>914969.82746462664</c:v>
                </c:pt>
                <c:pt idx="37">
                  <c:v>1056205.0502615504</c:v>
                </c:pt>
                <c:pt idx="38">
                  <c:v>1217909.4375845247</c:v>
                </c:pt>
                <c:pt idx="39">
                  <c:v>1402929.4568091957</c:v>
                </c:pt>
                <c:pt idx="40">
                  <c:v>1614496.9654650772</c:v>
                </c:pt>
                <c:pt idx="41">
                  <c:v>1856280.4439213923</c:v>
                </c:pt>
                <c:pt idx="42">
                  <c:v>2132442.9507439747</c:v>
                </c:pt>
                <c:pt idx="43">
                  <c:v>2447707.6745150508</c:v>
                </c:pt>
                <c:pt idx="44">
                  <c:v>2807432.0686790165</c:v>
                </c:pt>
                <c:pt idx="45">
                  <c:v>3217691.6832251484</c:v>
                </c:pt>
                <c:pt idx="46">
                  <c:v>3685374.9505933505</c:v>
                </c:pt>
                <c:pt idx="47">
                  <c:v>4218290.3451781301</c:v>
                </c:pt>
                <c:pt idx="48">
                  <c:v>4825287.5185615923</c:v>
                </c:pt>
                <c:pt idx="49">
                  <c:v>5516394.2187804738</c:v>
                </c:pt>
              </c:numCache>
            </c:numRef>
          </c:val>
          <c:smooth val="0"/>
          <c:extLst>
            <c:ext xmlns:c16="http://schemas.microsoft.com/office/drawing/2014/chart" uri="{C3380CC4-5D6E-409C-BE32-E72D297353CC}">
              <c16:uniqueId val="{0000000A-1773-4D00-9C2E-B1ACF3F5AF54}"/>
            </c:ext>
          </c:extLst>
        </c:ser>
        <c:ser>
          <c:idx val="11"/>
          <c:order val="8"/>
          <c:tx>
            <c:strRef>
              <c:f>'Graph, Data'!$M$2</c:f>
              <c:strCache>
                <c:ptCount val="1"/>
                <c:pt idx="0">
                  <c:v>Tax (real)</c:v>
                </c:pt>
              </c:strCache>
            </c:strRef>
          </c:tx>
          <c:spPr>
            <a:ln w="28575" cap="rnd">
              <a:solidFill>
                <a:schemeClr val="accent6">
                  <a:lumMod val="6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Data'!$M$3:$M$52</c:f>
              <c:numCache>
                <c:formatCode>#,##0\ "€"</c:formatCode>
                <c:ptCount val="50"/>
                <c:pt idx="0">
                  <c:v>0</c:v>
                </c:pt>
                <c:pt idx="1">
                  <c:v>76.706341463414788</c:v>
                </c:pt>
                <c:pt idx="2">
                  <c:v>241.41917810826942</c:v>
                </c:pt>
                <c:pt idx="3">
                  <c:v>506.87156183944035</c:v>
                </c:pt>
                <c:pt idx="4">
                  <c:v>887.39289485050745</c:v>
                </c:pt>
                <c:pt idx="5">
                  <c:v>1399.0901436054587</c:v>
                </c:pt>
                <c:pt idx="6">
                  <c:v>2060.0486853942102</c:v>
                </c:pt>
                <c:pt idx="7">
                  <c:v>2890.5548513208691</c:v>
                </c:pt>
                <c:pt idx="8">
                  <c:v>3913.3424424283371</c:v>
                </c:pt>
                <c:pt idx="9">
                  <c:v>5153.8657301737439</c:v>
                </c:pt>
                <c:pt idx="10">
                  <c:v>6640.601710831922</c:v>
                </c:pt>
                <c:pt idx="11">
                  <c:v>8405.3846680234838</c:v>
                </c:pt>
                <c:pt idx="12">
                  <c:v>10483.776411085448</c:v>
                </c:pt>
                <c:pt idx="13">
                  <c:v>12915.475902336868</c:v>
                </c:pt>
                <c:pt idx="14">
                  <c:v>15744.77236664108</c:v>
                </c:pt>
                <c:pt idx="15">
                  <c:v>19021.04639555273</c:v>
                </c:pt>
                <c:pt idx="16">
                  <c:v>22799.324019636577</c:v>
                </c:pt>
                <c:pt idx="17">
                  <c:v>27140.889230518118</c:v>
                </c:pt>
                <c:pt idx="18">
                  <c:v>32113.960993562323</c:v>
                </c:pt>
                <c:pt idx="19">
                  <c:v>37794.441407932587</c:v>
                </c:pt>
                <c:pt idx="20">
                  <c:v>44266.742348829619</c:v>
                </c:pt>
                <c:pt idx="21">
                  <c:v>51624.698673188257</c:v>
                </c:pt>
                <c:pt idx="22">
                  <c:v>59972.576891879544</c:v>
                </c:pt>
                <c:pt idx="23">
                  <c:v>69426.189116072957</c:v>
                </c:pt>
                <c:pt idx="24">
                  <c:v>80114.123081157013</c:v>
                </c:pt>
                <c:pt idx="25">
                  <c:v>92179.100147624151</c:v>
                </c:pt>
                <c:pt idx="26">
                  <c:v>105779.4743846311</c:v>
                </c:pt>
                <c:pt idx="27">
                  <c:v>121090.88716959058</c:v>
                </c:pt>
                <c:pt idx="28">
                  <c:v>138308.09319826652</c:v>
                </c:pt>
                <c:pt idx="29">
                  <c:v>157646.97540778166</c:v>
                </c:pt>
                <c:pt idx="30">
                  <c:v>179346.76808437964</c:v>
                </c:pt>
                <c:pt idx="31">
                  <c:v>203672.50937484633</c:v>
                </c:pt>
                <c:pt idx="32">
                  <c:v>230917.74656293669</c:v>
                </c:pt>
                <c:pt idx="33">
                  <c:v>261407.51982947244</c:v>
                </c:pt>
                <c:pt idx="34">
                  <c:v>295501.65280843969</c:v>
                </c:pt>
                <c:pt idx="35">
                  <c:v>333598.3811049856</c:v>
                </c:pt>
                <c:pt idx="36">
                  <c:v>376138.35308064101</c:v>
                </c:pt>
                <c:pt idx="37">
                  <c:v>423609.04066487355</c:v>
                </c:pt>
                <c:pt idx="38">
                  <c:v>476549.60175155528</c:v>
                </c:pt>
                <c:pt idx="39">
                  <c:v>535556.23991855944</c:v>
                </c:pt>
                <c:pt idx="40">
                  <c:v>601288.11180637358</c:v>
                </c:pt>
                <c:pt idx="41">
                  <c:v>674473.83754896</c:v>
                </c:pt>
                <c:pt idx="42">
                  <c:v>755918.67521291412</c:v>
                </c:pt>
                <c:pt idx="43">
                  <c:v>846512.4263195683</c:v>
                </c:pt>
                <c:pt idx="44">
                  <c:v>947238.14625441085</c:v>
                </c:pt>
                <c:pt idx="45">
                  <c:v>1059181.7407698391</c:v>
                </c:pt>
                <c:pt idx="46">
                  <c:v>1183542.5379277156</c:v>
                </c:pt>
                <c:pt idx="47">
                  <c:v>1321644.9337808995</c:v>
                </c:pt>
                <c:pt idx="48">
                  <c:v>1474951.2199387257</c:v>
                </c:pt>
                <c:pt idx="49">
                  <c:v>1645075.7119890233</c:v>
                </c:pt>
              </c:numCache>
            </c:numRef>
          </c:val>
          <c:smooth val="0"/>
          <c:extLst>
            <c:ext xmlns:c16="http://schemas.microsoft.com/office/drawing/2014/chart" uri="{C3380CC4-5D6E-409C-BE32-E72D297353CC}">
              <c16:uniqueId val="{0000000B-1773-4D00-9C2E-B1ACF3F5AF54}"/>
            </c:ext>
          </c:extLst>
        </c:ser>
        <c:ser>
          <c:idx val="12"/>
          <c:order val="9"/>
          <c:tx>
            <c:strRef>
              <c:f>'Graph, Data'!$N$2</c:f>
              <c:strCache>
                <c:ptCount val="1"/>
                <c:pt idx="0">
                  <c:v>Capital Gain (Nominal)</c:v>
                </c:pt>
              </c:strCache>
            </c:strRef>
          </c:tx>
          <c:spPr>
            <a:ln w="28575" cap="rnd">
              <a:solidFill>
                <a:schemeClr val="accent1">
                  <a:lumMod val="80000"/>
                  <a:lumOff val="2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Data'!$N$3:$N$52</c:f>
              <c:numCache>
                <c:formatCode>#,##0\ "€"</c:formatCode>
                <c:ptCount val="50"/>
                <c:pt idx="0">
                  <c:v>0</c:v>
                </c:pt>
                <c:pt idx="1">
                  <c:v>302.40000000000055</c:v>
                </c:pt>
                <c:pt idx="2">
                  <c:v>975.54240000000209</c:v>
                </c:pt>
                <c:pt idx="3">
                  <c:v>2099.4047424000037</c:v>
                </c:pt>
                <c:pt idx="4">
                  <c:v>3767.368139942404</c:v>
                </c:pt>
                <c:pt idx="5">
                  <c:v>6088.2387655751518</c:v>
                </c:pt>
                <c:pt idx="6">
                  <c:v>9188.5573140376255</c:v>
                </c:pt>
                <c:pt idx="7">
                  <c:v>13215.236046006365</c:v>
                </c:pt>
                <c:pt idx="8">
                  <c:v>18338.568349243171</c:v>
                </c:pt>
                <c:pt idx="9">
                  <c:v>24755.661778831825</c:v>
                </c:pt>
                <c:pt idx="10">
                  <c:v>32694.352362307036</c:v>
                </c:pt>
                <c:pt idx="11">
                  <c:v>42417.665679234371</c:v>
                </c:pt>
                <c:pt idx="12">
                  <c:v>54228.898966022214</c:v>
                </c:pt>
                <c:pt idx="13">
                  <c:v>68477.408388065771</c:v>
                </c:pt>
                <c:pt idx="14">
                  <c:v>85565.19681251928</c:v>
                </c:pt>
                <c:pt idx="15">
                  <c:v>105954.41007520966</c:v>
                </c:pt>
                <c:pt idx="16">
                  <c:v>130175.86405543031</c:v>
                </c:pt>
                <c:pt idx="17">
                  <c:v>158838.74106823321</c:v>
                </c:pt>
                <c:pt idx="18">
                  <c:v>192641.61239883117</c:v>
                </c:pt>
                <c:pt idx="19">
                  <c:v>232384.96451268453</c:v>
                </c:pt>
                <c:pt idx="20">
                  <c:v>278985.42988804344</c:v>
                </c:pt>
                <c:pt idx="21">
                  <c:v>333491.94988537364</c:v>
                </c:pt>
                <c:pt idx="22">
                  <c:v>397104.12698551104</c:v>
                </c:pt>
                <c:pt idx="23">
                  <c:v>471193.057541724</c:v>
                </c:pt>
                <c:pt idx="24">
                  <c:v>557324.97440362349</c:v>
                </c:pt>
                <c:pt idx="25">
                  <c:v>657288.07195128663</c:v>
                </c:pt>
                <c:pt idx="26">
                  <c:v>773122.93486723583</c:v>
                </c:pt>
                <c:pt idx="27">
                  <c:v>907157.04709560354</c:v>
                </c:pt>
                <c:pt idx="28">
                  <c:v>1062043.9197082552</c:v>
                </c:pt>
                <c:pt idx="29">
                  <c:v>1240807.4467379618</c:v>
                </c:pt>
                <c:pt idx="30">
                  <c:v>1446892.1774880579</c:v>
                </c:pt>
                <c:pt idx="31">
                  <c:v>1684220.2835587771</c:v>
                </c:pt>
                <c:pt idx="32">
                  <c:v>1957256.1001651296</c:v>
                </c:pt>
                <c:pt idx="33">
                  <c:v>2271079.2357516773</c:v>
                </c:pt>
                <c:pt idx="34">
                  <c:v>2631467.3731187042</c:v>
                </c:pt>
                <c:pt idx="35">
                  <c:v>3044990.0311602075</c:v>
                </c:pt>
                <c:pt idx="36">
                  <c:v>3519114.7210177947</c:v>
                </c:pt>
                <c:pt idx="37">
                  <c:v>4062327.1163905784</c:v>
                </c:pt>
                <c:pt idx="38">
                  <c:v>4684267.0676327869</c:v>
                </c:pt>
                <c:pt idx="39">
                  <c:v>5395882.5261892136</c:v>
                </c:pt>
                <c:pt idx="40">
                  <c:v>6209603.7133272197</c:v>
                </c:pt>
                <c:pt idx="41">
                  <c:v>7139540.1689284313</c:v>
                </c:pt>
                <c:pt idx="42">
                  <c:v>8201703.6567075951</c:v>
                </c:pt>
                <c:pt idx="43">
                  <c:v>9414260.2865963485</c:v>
                </c:pt>
                <c:pt idx="44">
                  <c:v>10797815.648765448</c:v>
                </c:pt>
                <c:pt idx="45">
                  <c:v>12375737.243173648</c:v>
                </c:pt>
                <c:pt idx="46">
                  <c:v>14174519.040743655</c:v>
                </c:pt>
                <c:pt idx="47">
                  <c:v>16224193.635300498</c:v>
                </c:pt>
                <c:pt idx="48">
                  <c:v>18558798.148313817</c:v>
                </c:pt>
                <c:pt idx="49">
                  <c:v>21216900.841463361</c:v>
                </c:pt>
              </c:numCache>
            </c:numRef>
          </c:val>
          <c:smooth val="0"/>
          <c:extLst>
            <c:ext xmlns:c16="http://schemas.microsoft.com/office/drawing/2014/chart" uri="{C3380CC4-5D6E-409C-BE32-E72D297353CC}">
              <c16:uniqueId val="{0000000C-1773-4D00-9C2E-B1ACF3F5AF54}"/>
            </c:ext>
          </c:extLst>
        </c:ser>
        <c:ser>
          <c:idx val="13"/>
          <c:order val="10"/>
          <c:tx>
            <c:strRef>
              <c:f>'Graph, Data'!$O$2</c:f>
              <c:strCache>
                <c:ptCount val="1"/>
                <c:pt idx="0">
                  <c:v>Net Capital gain(Real)</c:v>
                </c:pt>
              </c:strCache>
            </c:strRef>
          </c:tx>
          <c:spPr>
            <a:ln w="28575" cap="rnd">
              <a:solidFill>
                <a:schemeClr val="accent2">
                  <a:lumMod val="80000"/>
                  <a:lumOff val="2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Data'!$O$3:$O$52</c:f>
              <c:numCache>
                <c:formatCode>#,##0\ "€"</c:formatCode>
                <c:ptCount val="50"/>
                <c:pt idx="0">
                  <c:v>0</c:v>
                </c:pt>
                <c:pt idx="1">
                  <c:v>218.31804878048823</c:v>
                </c:pt>
                <c:pt idx="2">
                  <c:v>687.11612230815138</c:v>
                </c:pt>
                <c:pt idx="3">
                  <c:v>1442.6344452353301</c:v>
                </c:pt>
                <c:pt idx="4">
                  <c:v>2525.6567007283675</c:v>
                </c:pt>
                <c:pt idx="5">
                  <c:v>3982.0257933386129</c:v>
                </c:pt>
                <c:pt idx="6">
                  <c:v>5863.2154891989057</c:v>
                </c:pt>
                <c:pt idx="7">
                  <c:v>8226.9638076055489</c:v>
                </c:pt>
                <c:pt idx="8">
                  <c:v>11137.974643834499</c:v>
                </c:pt>
                <c:pt idx="9">
                  <c:v>14668.694770494501</c:v>
                </c:pt>
                <c:pt idx="10">
                  <c:v>18900.174100060085</c:v>
                </c:pt>
                <c:pt idx="11">
                  <c:v>23923.017901297608</c:v>
                </c:pt>
                <c:pt idx="12">
                  <c:v>29838.440554627814</c:v>
                </c:pt>
                <c:pt idx="13">
                  <c:v>36759.431414343395</c:v>
                </c:pt>
                <c:pt idx="14">
                  <c:v>44812.044428132307</c:v>
                </c:pt>
                <c:pt idx="15">
                  <c:v>54136.824356573154</c:v>
                </c:pt>
                <c:pt idx="16">
                  <c:v>64890.383748196407</c:v>
                </c:pt>
                <c:pt idx="17">
                  <c:v>77247.146271474645</c:v>
                </c:pt>
                <c:pt idx="18">
                  <c:v>91401.273597061998</c:v>
                </c:pt>
                <c:pt idx="19">
                  <c:v>107568.79477642351</c:v>
                </c:pt>
                <c:pt idx="20">
                  <c:v>125989.95899282275</c:v>
                </c:pt>
                <c:pt idx="21">
                  <c:v>146931.83468522812</c:v>
                </c:pt>
                <c:pt idx="22">
                  <c:v>170691.18038458025</c:v>
                </c:pt>
                <c:pt idx="23">
                  <c:v>197597.6151765153</c:v>
                </c:pt>
                <c:pt idx="24">
                  <c:v>228017.11953867762</c:v>
                </c:pt>
                <c:pt idx="25">
                  <c:v>262355.90042016102</c:v>
                </c:pt>
                <c:pt idx="26">
                  <c:v>301064.65786395001</c:v>
                </c:pt>
                <c:pt idx="27">
                  <c:v>344643.29425191163</c:v>
                </c:pt>
                <c:pt idx="28">
                  <c:v>393646.11141045089</c:v>
                </c:pt>
                <c:pt idx="29">
                  <c:v>448687.54539137858</c:v>
                </c:pt>
                <c:pt idx="30">
                  <c:v>510448.49377861887</c:v>
                </c:pt>
                <c:pt idx="31">
                  <c:v>579683.29591302422</c:v>
                </c:pt>
                <c:pt idx="32">
                  <c:v>657227.43252528133</c:v>
                </c:pt>
                <c:pt idx="33">
                  <c:v>744006.01797619066</c:v>
                </c:pt>
                <c:pt idx="34">
                  <c:v>841043.16568555916</c:v>
                </c:pt>
                <c:pt idx="35">
                  <c:v>949472.31545265159</c:v>
                </c:pt>
                <c:pt idx="36">
                  <c:v>1070547.6203064397</c:v>
                </c:pt>
                <c:pt idx="37">
                  <c:v>1205656.5003538709</c:v>
                </c:pt>
                <c:pt idx="38">
                  <c:v>1356333.4819082725</c:v>
                </c:pt>
                <c:pt idx="39">
                  <c:v>1524275.4520758998</c:v>
                </c:pt>
                <c:pt idx="40">
                  <c:v>1711358.4720642939</c:v>
                </c:pt>
                <c:pt idx="41">
                  <c:v>1919656.3068701166</c:v>
                </c:pt>
                <c:pt idx="42">
                  <c:v>2151460.8448367557</c:v>
                </c:pt>
                <c:pt idx="43">
                  <c:v>2409304.597986463</c:v>
                </c:pt>
                <c:pt idx="44">
                  <c:v>2695985.493185631</c:v>
                </c:pt>
                <c:pt idx="45">
                  <c:v>3014594.185268004</c:v>
                </c:pt>
                <c:pt idx="46">
                  <c:v>3368544.1464096517</c:v>
                </c:pt>
                <c:pt idx="47">
                  <c:v>3761604.8115302515</c:v>
                </c:pt>
                <c:pt idx="48">
                  <c:v>4197938.0875179116</c:v>
                </c:pt>
                <c:pt idx="49">
                  <c:v>4682138.5648918357</c:v>
                </c:pt>
              </c:numCache>
            </c:numRef>
          </c:val>
          <c:smooth val="0"/>
          <c:extLst>
            <c:ext xmlns:c16="http://schemas.microsoft.com/office/drawing/2014/chart" uri="{C3380CC4-5D6E-409C-BE32-E72D297353CC}">
              <c16:uniqueId val="{0000000D-1773-4D00-9C2E-B1ACF3F5AF54}"/>
            </c:ext>
          </c:extLst>
        </c:ser>
        <c:ser>
          <c:idx val="14"/>
          <c:order val="11"/>
          <c:tx>
            <c:strRef>
              <c:f>'Graph, Data'!$P$2</c:f>
              <c:strCache>
                <c:ptCount val="1"/>
                <c:pt idx="0">
                  <c:v>Real Capital gain/net PV</c:v>
                </c:pt>
              </c:strCache>
            </c:strRef>
          </c:tx>
          <c:spPr>
            <a:ln w="28575" cap="rnd">
              <a:solidFill>
                <a:schemeClr val="accent3">
                  <a:lumMod val="80000"/>
                  <a:lumOff val="2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Data'!$P$3:$P$52</c:f>
              <c:numCache>
                <c:formatCode>0%</c:formatCode>
                <c:ptCount val="50"/>
                <c:pt idx="0">
                  <c:v>0</c:v>
                </c:pt>
                <c:pt idx="1">
                  <c:v>1.73437498622168E-2</c:v>
                </c:pt>
                <c:pt idx="2">
                  <c:v>3.4647592008924075E-2</c:v>
                </c:pt>
                <c:pt idx="3">
                  <c:v>5.1879729699876857E-2</c:v>
                </c:pt>
                <c:pt idx="4">
                  <c:v>6.900971866413208E-2</c:v>
                </c:pt>
                <c:pt idx="5">
                  <c:v>8.6008655336399467E-2</c:v>
                </c:pt>
                <c:pt idx="6">
                  <c:v>0.10284933531484051</c:v>
                </c:pt>
                <c:pt idx="7">
                  <c:v>0.11950638129094734</c:v>
                </c:pt>
                <c:pt idx="8">
                  <c:v>0.13595634049574884</c:v>
                </c:pt>
                <c:pt idx="9">
                  <c:v>0.15217775239755388</c:v>
                </c:pt>
                <c:pt idx="10">
                  <c:v>0.16815118798517731</c:v>
                </c:pt>
                <c:pt idx="11">
                  <c:v>0.18385926246821868</c:v>
                </c:pt>
                <c:pt idx="12">
                  <c:v>0.19928662361737212</c:v>
                </c:pt>
                <c:pt idx="13">
                  <c:v>0.21441991825274162</c:v>
                </c:pt>
                <c:pt idx="14">
                  <c:v>0.22924773957091391</c:v>
                </c:pt>
                <c:pt idx="15">
                  <c:v>0.24376055808983507</c:v>
                </c:pt>
                <c:pt idx="16">
                  <c:v>0.25795063899470783</c:v>
                </c:pt>
                <c:pt idx="17">
                  <c:v>0.27181194860021685</c:v>
                </c:pt>
                <c:pt idx="18">
                  <c:v>0.28534005251730882</c:v>
                </c:pt>
                <c:pt idx="19">
                  <c:v>0.29853200793951234</c:v>
                </c:pt>
                <c:pt idx="20">
                  <c:v>0.31138625225691641</c:v>
                </c:pt>
                <c:pt idx="21">
                  <c:v>0.32390248997701343</c:v>
                </c:pt>
                <c:pt idx="22">
                  <c:v>0.33608157969098085</c:v>
                </c:pt>
                <c:pt idx="23">
                  <c:v>0.34792542258048875</c:v>
                </c:pt>
                <c:pt idx="24">
                  <c:v>0.35943685372111278</c:v>
                </c:pt>
                <c:pt idx="25">
                  <c:v>0.37061953720971785</c:v>
                </c:pt>
                <c:pt idx="26">
                  <c:v>0.38147786592912336</c:v>
                </c:pt>
                <c:pt idx="27">
                  <c:v>0.39201686656702078</c:v>
                </c:pt>
                <c:pt idx="28">
                  <c:v>0.4022421103293814</c:v>
                </c:pt>
                <c:pt idx="29">
                  <c:v>0.41215962963239516</c:v>
                </c:pt>
                <c:pt idx="30">
                  <c:v>0.42177584092140841</c:v>
                </c:pt>
                <c:pt idx="31">
                  <c:v>0.43109747364987422</c:v>
                </c:pt>
                <c:pt idx="32">
                  <c:v>0.44013150535497336</c:v>
                </c:pt>
                <c:pt idx="33">
                  <c:v>0.44888510268797094</c:v>
                </c:pt>
                <c:pt idx="34">
                  <c:v>0.4573655681949681</c:v>
                </c:pt>
                <c:pt idx="35">
                  <c:v>0.46558029259581657</c:v>
                </c:pt>
                <c:pt idx="36">
                  <c:v>0.47353671227385813</c:v>
                </c:pt>
                <c:pt idx="37">
                  <c:v>0.48124227166512251</c:v>
                </c:pt>
                <c:pt idx="38">
                  <c:v>0.48870439022105167</c:v>
                </c:pt>
                <c:pt idx="39">
                  <c:v>0.4959304336121842</c:v>
                </c:pt>
                <c:pt idx="40">
                  <c:v>0.50292768884012384</c:v>
                </c:pt>
                <c:pt idx="41">
                  <c:v>0.50970334293028208</c:v>
                </c:pt>
                <c:pt idx="42">
                  <c:v>0.51626446488718936</c:v>
                </c:pt>
                <c:pt idx="43">
                  <c:v>0.52261799060665304</c:v>
                </c:pt>
                <c:pt idx="44">
                  <c:v>0.52877071045383239</c:v>
                </c:pt>
                <c:pt idx="45">
                  <c:v>0.5347292592327022</c:v>
                </c:pt>
                <c:pt idx="46">
                  <c:v>0.54050010828978834</c:v>
                </c:pt>
                <c:pt idx="47">
                  <c:v>0.54608955951295179</c:v>
                </c:pt>
                <c:pt idx="48">
                  <c:v>0.55150374100402222</c:v>
                </c:pt>
                <c:pt idx="49">
                  <c:v>0.55674860422186412</c:v>
                </c:pt>
              </c:numCache>
            </c:numRef>
          </c:val>
          <c:smooth val="0"/>
          <c:extLst>
            <c:ext xmlns:c16="http://schemas.microsoft.com/office/drawing/2014/chart" uri="{C3380CC4-5D6E-409C-BE32-E72D297353CC}">
              <c16:uniqueId val="{0000000E-1773-4D00-9C2E-B1ACF3F5AF54}"/>
            </c:ext>
          </c:extLst>
        </c:ser>
        <c:ser>
          <c:idx val="15"/>
          <c:order val="12"/>
          <c:tx>
            <c:strRef>
              <c:f>'Graph, Data'!$Q$2</c:f>
              <c:strCache>
                <c:ptCount val="1"/>
                <c:pt idx="0">
                  <c:v>Real Capital gain/Savings (adj. per year)</c:v>
                </c:pt>
              </c:strCache>
            </c:strRef>
          </c:tx>
          <c:spPr>
            <a:ln w="28575" cap="rnd">
              <a:solidFill>
                <a:schemeClr val="accent4">
                  <a:lumMod val="80000"/>
                  <a:lumOff val="2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Data'!$Q$3:$Q$52</c:f>
              <c:numCache>
                <c:formatCode>0%</c:formatCode>
                <c:ptCount val="50"/>
                <c:pt idx="0">
                  <c:v>0</c:v>
                </c:pt>
                <c:pt idx="1">
                  <c:v>1.7551058822118475E-2</c:v>
                </c:pt>
                <c:pt idx="2">
                  <c:v>3.5511350966620787E-2</c:v>
                </c:pt>
                <c:pt idx="3">
                  <c:v>5.3900051823008624E-2</c:v>
                </c:pt>
                <c:pt idx="4">
                  <c:v>7.2736433532668274E-2</c:v>
                </c:pt>
                <c:pt idx="5">
                  <c:v>9.2039863291634355E-2</c:v>
                </c:pt>
                <c:pt idx="6">
                  <c:v>0.11182980223571361</c:v>
                </c:pt>
                <c:pt idx="7">
                  <c:v>0.13212580495804521</c:v>
                </c:pt>
                <c:pt idx="8">
                  <c:v>0.15294751970545414</c:v>
                </c:pt>
                <c:pt idx="9">
                  <c:v>0.17431468929561858</c:v>
                </c:pt>
                <c:pt idx="10">
                  <c:v>0.19624715279244956</c:v>
                </c:pt>
                <c:pt idx="11">
                  <c:v>0.21876484797224136</c:v>
                </c:pt>
                <c:pt idx="12">
                  <c:v>0.24188781460816253</c:v>
                </c:pt>
                <c:pt idx="13">
                  <c:v>0.26563619859558479</c:v>
                </c:pt>
                <c:pt idx="14">
                  <c:v>0.29003025693563678</c:v>
                </c:pt>
                <c:pt idx="15">
                  <c:v>0.31509036358929177</c:v>
                </c:pt>
                <c:pt idx="16">
                  <c:v>0.34083701620930584</c:v>
                </c:pt>
                <c:pt idx="17">
                  <c:v>0.36729084375246007</c:v>
                </c:pt>
                <c:pt idx="18">
                  <c:v>0.39447261496989294</c:v>
                </c:pt>
                <c:pt idx="19">
                  <c:v>0.42240324776886529</c:v>
                </c:pt>
                <c:pt idx="20">
                  <c:v>0.45110381943512928</c:v>
                </c:pt>
                <c:pt idx="21">
                  <c:v>0.48059557770120903</c:v>
                </c:pt>
                <c:pt idx="22">
                  <c:v>0.51089995264236976</c:v>
                </c:pt>
                <c:pt idx="23">
                  <c:v>0.54203856937888328</c:v>
                </c:pt>
                <c:pt idx="24">
                  <c:v>0.57403326156039769</c:v>
                </c:pt>
                <c:pt idx="25">
                  <c:v>0.6069060856058216</c:v>
                </c:pt>
                <c:pt idx="26">
                  <c:v>0.64067933567011193</c:v>
                </c:pt>
                <c:pt idx="27">
                  <c:v>0.67537555930774895</c:v>
                </c:pt>
                <c:pt idx="28">
                  <c:v>0.71101757380145381</c:v>
                </c:pt>
                <c:pt idx="29">
                  <c:v>0.74762848312386865</c:v>
                </c:pt>
                <c:pt idx="30">
                  <c:v>0.78523169549945582</c:v>
                </c:pt>
                <c:pt idx="31">
                  <c:v>0.82385094153375515</c:v>
                </c:pt>
                <c:pt idx="32">
                  <c:v>0.8635102928773738</c:v>
                </c:pt>
                <c:pt idx="33">
                  <c:v>0.90423418139261036</c:v>
                </c:pt>
                <c:pt idx="34">
                  <c:v>0.94604741879145582</c:v>
                </c:pt>
                <c:pt idx="35">
                  <c:v>0.98897521671479716</c:v>
                </c:pt>
                <c:pt idx="36">
                  <c:v>1.0330432072239839</c:v>
                </c:pt>
                <c:pt idx="37">
                  <c:v>1.078277463677455</c:v>
                </c:pt>
                <c:pt idx="38">
                  <c:v>1.1247045219668348</c:v>
                </c:pt>
                <c:pt idx="39">
                  <c:v>1.1723514020887951</c:v>
                </c:pt>
                <c:pt idx="40">
                  <c:v>1.2212456300309626</c:v>
                </c:pt>
                <c:pt idx="41">
                  <c:v>1.2714152599522559</c:v>
                </c:pt>
                <c:pt idx="42">
                  <c:v>1.322888896640209</c:v>
                </c:pt>
                <c:pt idx="43">
                  <c:v>1.3756957182300613</c:v>
                </c:pt>
                <c:pt idx="44">
                  <c:v>1.429865499172648</c:v>
                </c:pt>
                <c:pt idx="45">
                  <c:v>1.485428633440373</c:v>
                </c:pt>
                <c:pt idx="46">
                  <c:v>1.5424161579628297</c:v>
                </c:pt>
                <c:pt idx="47">
                  <c:v>1.6008597762858094</c:v>
                </c:pt>
                <c:pt idx="48">
                  <c:v>1.6607918824496677</c:v>
                </c:pt>
                <c:pt idx="49">
                  <c:v>1.7222455850851068</c:v>
                </c:pt>
              </c:numCache>
            </c:numRef>
          </c:val>
          <c:smooth val="0"/>
          <c:extLst>
            <c:ext xmlns:c16="http://schemas.microsoft.com/office/drawing/2014/chart" uri="{C3380CC4-5D6E-409C-BE32-E72D297353CC}">
              <c16:uniqueId val="{0000000F-1773-4D00-9C2E-B1ACF3F5AF54}"/>
            </c:ext>
          </c:extLst>
        </c:ser>
        <c:ser>
          <c:idx val="16"/>
          <c:order val="13"/>
          <c:tx>
            <c:strRef>
              <c:f>'Graph, Data'!$U$2</c:f>
              <c:strCache>
                <c:ptCount val="1"/>
                <c:pt idx="0">
                  <c:v>Real Capital gain/Savings* (all inflation)</c:v>
                </c:pt>
              </c:strCache>
            </c:strRef>
          </c:tx>
          <c:spPr>
            <a:ln w="28575" cap="rnd">
              <a:solidFill>
                <a:schemeClr val="accent5">
                  <a:lumMod val="80000"/>
                  <a:lumOff val="2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Data'!$U$3:$U$52</c:f>
              <c:numCache>
                <c:formatCode>0%</c:formatCode>
                <c:ptCount val="50"/>
                <c:pt idx="0">
                  <c:v>0</c:v>
                </c:pt>
                <c:pt idx="1">
                  <c:v>1.7760000000000123E-2</c:v>
                </c:pt>
                <c:pt idx="2">
                  <c:v>3.6349515407855033E-2</c:v>
                </c:pt>
                <c:pt idx="3">
                  <c:v>5.5791119348416504E-2</c:v>
                </c:pt>
                <c:pt idx="4">
                  <c:v>7.6107200634370861E-2</c:v>
                </c:pt>
                <c:pt idx="5">
                  <c:v>9.7319950216198409E-2</c:v>
                </c:pt>
                <c:pt idx="6">
                  <c:v>0.11945135194302299</c:v>
                </c:pt>
                <c:pt idx="7">
                  <c:v>0.14252317774434878</c:v>
                </c:pt>
                <c:pt idx="8">
                  <c:v>0.16655698728776178</c:v>
                </c:pt>
                <c:pt idx="9">
                  <c:v>0.19157413211318644</c:v>
                </c:pt>
                <c:pt idx="10">
                  <c:v>0.21759576419136292</c:v>
                </c:pt>
                <c:pt idx="11">
                  <c:v>0.24464284880379036</c:v>
                </c:pt>
                <c:pt idx="12">
                  <c:v>0.27273618159446933</c:v>
                </c:pt>
                <c:pt idx="13">
                  <c:v>0.30189640960108338</c:v>
                </c:pt>
                <c:pt idx="14">
                  <c:v>0.33214405603549635</c:v>
                </c:pt>
                <c:pt idx="15">
                  <c:v>0.36349954855110089</c:v>
                </c:pt>
                <c:pt idx="16">
                  <c:v>0.39598325070795337</c:v>
                </c:pt>
                <c:pt idx="17">
                  <c:v>0.4296154963260122</c:v>
                </c:pt>
                <c:pt idx="18">
                  <c:v>0.46441662640216363</c:v>
                </c:pt>
                <c:pt idx="19">
                  <c:v>0.50040702825798333</c:v>
                </c:pt>
                <c:pt idx="20">
                  <c:v>0.53760717658212498</c:v>
                </c:pt>
                <c:pt idx="21">
                  <c:v>0.57603767603347822</c:v>
                </c:pt>
                <c:pt idx="22">
                  <c:v>0.61571930507840711</c:v>
                </c:pt>
                <c:pt idx="23">
                  <c:v>0.65667306074691734</c:v>
                </c:pt>
                <c:pt idx="24">
                  <c:v>0.69892020400796495</c:v>
                </c:pt>
                <c:pt idx="25">
                  <c:v>0.74248230548273364</c:v>
                </c:pt>
                <c:pt idx="26">
                  <c:v>0.78738129123590805</c:v>
                </c:pt>
                <c:pt idx="27">
                  <c:v>0.83363948840823732</c:v>
                </c:pt>
                <c:pt idx="28">
                  <c:v>0.88127967047833655</c:v>
                </c:pt>
                <c:pt idx="29">
                  <c:v>0.93032510196721629</c:v>
                </c:pt>
                <c:pt idx="30">
                  <c:v>0.9807995824249498</c:v>
                </c:pt>
                <c:pt idx="31">
                  <c:v>1.032727489564639</c:v>
                </c:pt>
                <c:pt idx="32">
                  <c:v>1.0861338214341378</c:v>
                </c:pt>
                <c:pt idx="33">
                  <c:v>1.1410442375403549</c:v>
                </c:pt>
                <c:pt idx="34">
                  <c:v>1.1974850988641637</c:v>
                </c:pt>
                <c:pt idx="35">
                  <c:v>1.2554835067257595</c:v>
                </c:pt>
                <c:pt idx="36">
                  <c:v>1.3150673404804731</c:v>
                </c:pt>
                <c:pt idx="37">
                  <c:v>1.3762652940435531</c:v>
                </c:pt>
                <c:pt idx="38">
                  <c:v>1.4391069112590797</c:v>
                </c:pt>
                <c:pt idx="39">
                  <c:v>1.5036226201430183</c:v>
                </c:pt>
                <c:pt idx="40">
                  <c:v>1.5698437660433926</c:v>
                </c:pt>
                <c:pt idx="41">
                  <c:v>1.6378026437717881</c:v>
                </c:pt>
                <c:pt idx="42">
                  <c:v>1.7075325287697962</c:v>
                </c:pt>
                <c:pt idx="43">
                  <c:v>1.7790677073818482</c:v>
                </c:pt>
                <c:pt idx="44">
                  <c:v>1.8524435063121256</c:v>
                </c:pt>
                <c:pt idx="45">
                  <c:v>1.9276963213480192</c:v>
                </c:pt>
                <c:pt idx="46">
                  <c:v>2.0048636454361324</c:v>
                </c:pt>
                <c:pt idx="47">
                  <c:v>2.0839840961991123</c:v>
                </c:pt>
                <c:pt idx="48">
                  <c:v>2.1650974429828538</c:v>
                </c:pt>
                <c:pt idx="49">
                  <c:v>2.2482446335239246</c:v>
                </c:pt>
              </c:numCache>
            </c:numRef>
          </c:val>
          <c:smooth val="0"/>
          <c:extLst>
            <c:ext xmlns:c16="http://schemas.microsoft.com/office/drawing/2014/chart" uri="{C3380CC4-5D6E-409C-BE32-E72D297353CC}">
              <c16:uniqueId val="{00000010-1773-4D00-9C2E-B1ACF3F5AF54}"/>
            </c:ext>
          </c:extLst>
        </c:ser>
        <c:ser>
          <c:idx val="18"/>
          <c:order val="14"/>
          <c:tx>
            <c:strRef>
              <c:f>'Graph, Data'!$S$2</c:f>
              <c:strCache>
                <c:ptCount val="1"/>
                <c:pt idx="0">
                  <c:v>+10% Net Gain/Savings (real, adj.)'</c:v>
                </c:pt>
              </c:strCache>
            </c:strRef>
          </c:tx>
          <c:spPr>
            <a:ln w="28575" cap="rnd">
              <a:solidFill>
                <a:schemeClr val="accent1">
                  <a:lumMod val="8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Data'!$S$3:$S$52</c:f>
              <c:numCache>
                <c:formatCode>#,##0\ "€"</c:formatCode>
                <c:ptCount val="50"/>
                <c:pt idx="0">
                  <c:v>-1000</c:v>
                </c:pt>
                <c:pt idx="1">
                  <c:v>-1000</c:v>
                </c:pt>
                <c:pt idx="2">
                  <c:v>-1000</c:v>
                </c:pt>
                <c:pt idx="3">
                  <c:v>-1000</c:v>
                </c:pt>
                <c:pt idx="4">
                  <c:v>-1000</c:v>
                </c:pt>
                <c:pt idx="5">
                  <c:v>-1000</c:v>
                </c:pt>
                <c:pt idx="6">
                  <c:v>5863.2154891989057</c:v>
                </c:pt>
                <c:pt idx="7">
                  <c:v>-1000</c:v>
                </c:pt>
                <c:pt idx="8">
                  <c:v>-1000</c:v>
                </c:pt>
                <c:pt idx="9">
                  <c:v>-1000</c:v>
                </c:pt>
                <c:pt idx="10">
                  <c:v>-1000</c:v>
                </c:pt>
                <c:pt idx="11">
                  <c:v>23923.017901297608</c:v>
                </c:pt>
                <c:pt idx="12">
                  <c:v>-1000</c:v>
                </c:pt>
                <c:pt idx="13">
                  <c:v>-1000</c:v>
                </c:pt>
                <c:pt idx="14">
                  <c:v>-1000</c:v>
                </c:pt>
                <c:pt idx="15">
                  <c:v>54136.824356573154</c:v>
                </c:pt>
                <c:pt idx="16">
                  <c:v>-1000</c:v>
                </c:pt>
                <c:pt idx="17">
                  <c:v>-1000</c:v>
                </c:pt>
                <c:pt idx="18">
                  <c:v>-1000</c:v>
                </c:pt>
                <c:pt idx="19">
                  <c:v>107568.79477642351</c:v>
                </c:pt>
                <c:pt idx="20">
                  <c:v>-1000</c:v>
                </c:pt>
                <c:pt idx="21">
                  <c:v>-1000</c:v>
                </c:pt>
                <c:pt idx="22">
                  <c:v>170691.18038458025</c:v>
                </c:pt>
                <c:pt idx="23">
                  <c:v>-1000</c:v>
                </c:pt>
                <c:pt idx="24">
                  <c:v>-1000</c:v>
                </c:pt>
                <c:pt idx="25">
                  <c:v>262355.90042016102</c:v>
                </c:pt>
                <c:pt idx="26">
                  <c:v>-1000</c:v>
                </c:pt>
                <c:pt idx="27">
                  <c:v>-1000</c:v>
                </c:pt>
                <c:pt idx="28">
                  <c:v>393646.11141045089</c:v>
                </c:pt>
                <c:pt idx="29">
                  <c:v>-1000</c:v>
                </c:pt>
                <c:pt idx="30">
                  <c:v>-1000</c:v>
                </c:pt>
                <c:pt idx="31">
                  <c:v>579683.29591302422</c:v>
                </c:pt>
                <c:pt idx="32">
                  <c:v>-1000</c:v>
                </c:pt>
                <c:pt idx="33">
                  <c:v>744006.01797619066</c:v>
                </c:pt>
                <c:pt idx="34">
                  <c:v>-1000</c:v>
                </c:pt>
                <c:pt idx="35">
                  <c:v>-1000</c:v>
                </c:pt>
                <c:pt idx="36">
                  <c:v>1070547.6203064397</c:v>
                </c:pt>
                <c:pt idx="37">
                  <c:v>-1000</c:v>
                </c:pt>
                <c:pt idx="38">
                  <c:v>-1000</c:v>
                </c:pt>
                <c:pt idx="39">
                  <c:v>-1000</c:v>
                </c:pt>
                <c:pt idx="40">
                  <c:v>1711358.4720642939</c:v>
                </c:pt>
                <c:pt idx="41">
                  <c:v>-1000</c:v>
                </c:pt>
                <c:pt idx="42">
                  <c:v>-1000</c:v>
                </c:pt>
                <c:pt idx="43">
                  <c:v>-1000</c:v>
                </c:pt>
                <c:pt idx="44">
                  <c:v>2695985.493185631</c:v>
                </c:pt>
                <c:pt idx="45">
                  <c:v>-1000</c:v>
                </c:pt>
                <c:pt idx="46">
                  <c:v>-1000</c:v>
                </c:pt>
                <c:pt idx="47">
                  <c:v>3761604.8115302515</c:v>
                </c:pt>
                <c:pt idx="48">
                  <c:v>-1000</c:v>
                </c:pt>
                <c:pt idx="49">
                  <c:v>-1000</c:v>
                </c:pt>
              </c:numCache>
            </c:numRef>
          </c:val>
          <c:smooth val="0"/>
          <c:extLst>
            <c:ext xmlns:c16="http://schemas.microsoft.com/office/drawing/2014/chart" uri="{C3380CC4-5D6E-409C-BE32-E72D297353CC}">
              <c16:uniqueId val="{00000012-1773-4D00-9C2E-B1ACF3F5AF54}"/>
            </c:ext>
          </c:extLst>
        </c:ser>
        <c:ser>
          <c:idx val="19"/>
          <c:order val="15"/>
          <c:tx>
            <c:strRef>
              <c:f>'Graph, Data'!$T$2</c:f>
              <c:strCache>
                <c:ptCount val="1"/>
                <c:pt idx="0">
                  <c:v>+10% Real capital gain/Savings'</c:v>
                </c:pt>
              </c:strCache>
            </c:strRef>
          </c:tx>
          <c:spPr>
            <a:ln w="28575" cap="rnd">
              <a:solidFill>
                <a:schemeClr val="accent2">
                  <a:lumMod val="8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Data'!$T$3:$T$52</c:f>
              <c:numCache>
                <c:formatCode>0%</c:formatCode>
                <c:ptCount val="50"/>
                <c:pt idx="0">
                  <c:v>-9.9999999999999995E-7</c:v>
                </c:pt>
                <c:pt idx="1">
                  <c:v>-9.9999999999999995E-7</c:v>
                </c:pt>
                <c:pt idx="2">
                  <c:v>-9.9999999999999995E-7</c:v>
                </c:pt>
                <c:pt idx="3">
                  <c:v>-9.9999999999999995E-7</c:v>
                </c:pt>
                <c:pt idx="4">
                  <c:v>-9.9999999999999995E-7</c:v>
                </c:pt>
                <c:pt idx="5">
                  <c:v>-9.9999999999999995E-7</c:v>
                </c:pt>
                <c:pt idx="6">
                  <c:v>0.11182980223571361</c:v>
                </c:pt>
                <c:pt idx="7">
                  <c:v>-9.9999999999999995E-7</c:v>
                </c:pt>
                <c:pt idx="8">
                  <c:v>-9.9999999999999995E-7</c:v>
                </c:pt>
                <c:pt idx="9">
                  <c:v>-9.9999999999999995E-7</c:v>
                </c:pt>
                <c:pt idx="10">
                  <c:v>-9.9999999999999995E-7</c:v>
                </c:pt>
                <c:pt idx="11">
                  <c:v>0.21876484797224136</c:v>
                </c:pt>
                <c:pt idx="12">
                  <c:v>-9.9999999999999995E-7</c:v>
                </c:pt>
                <c:pt idx="13">
                  <c:v>-9.9999999999999995E-7</c:v>
                </c:pt>
                <c:pt idx="14">
                  <c:v>-9.9999999999999995E-7</c:v>
                </c:pt>
                <c:pt idx="15">
                  <c:v>0.31509036358929177</c:v>
                </c:pt>
                <c:pt idx="16">
                  <c:v>-9.9999999999999995E-7</c:v>
                </c:pt>
                <c:pt idx="17">
                  <c:v>-9.9999999999999995E-7</c:v>
                </c:pt>
                <c:pt idx="18">
                  <c:v>-9.9999999999999995E-7</c:v>
                </c:pt>
                <c:pt idx="19">
                  <c:v>0.42240324776886529</c:v>
                </c:pt>
                <c:pt idx="20">
                  <c:v>-9.9999999999999995E-7</c:v>
                </c:pt>
                <c:pt idx="21">
                  <c:v>-9.9999999999999995E-7</c:v>
                </c:pt>
                <c:pt idx="22">
                  <c:v>0.51089995264236976</c:v>
                </c:pt>
                <c:pt idx="23">
                  <c:v>-9.9999999999999995E-7</c:v>
                </c:pt>
                <c:pt idx="24">
                  <c:v>-9.9999999999999995E-7</c:v>
                </c:pt>
                <c:pt idx="25">
                  <c:v>0.6069060856058216</c:v>
                </c:pt>
                <c:pt idx="26">
                  <c:v>-9.9999999999999995E-7</c:v>
                </c:pt>
                <c:pt idx="27">
                  <c:v>-9.9999999999999995E-7</c:v>
                </c:pt>
                <c:pt idx="28">
                  <c:v>0.71101757380145381</c:v>
                </c:pt>
                <c:pt idx="29">
                  <c:v>-9.9999999999999995E-7</c:v>
                </c:pt>
                <c:pt idx="30">
                  <c:v>-9.9999999999999995E-7</c:v>
                </c:pt>
                <c:pt idx="31">
                  <c:v>0.82385094153375515</c:v>
                </c:pt>
                <c:pt idx="32">
                  <c:v>-9.9999999999999995E-7</c:v>
                </c:pt>
                <c:pt idx="33">
                  <c:v>0.90423418139261036</c:v>
                </c:pt>
                <c:pt idx="34">
                  <c:v>-9.9999999999999995E-7</c:v>
                </c:pt>
                <c:pt idx="35">
                  <c:v>-9.9999999999999995E-7</c:v>
                </c:pt>
                <c:pt idx="36">
                  <c:v>1.0330432072239839</c:v>
                </c:pt>
                <c:pt idx="37">
                  <c:v>-9.9999999999999995E-7</c:v>
                </c:pt>
                <c:pt idx="38">
                  <c:v>-9.9999999999999995E-7</c:v>
                </c:pt>
                <c:pt idx="39">
                  <c:v>-9.9999999999999995E-7</c:v>
                </c:pt>
                <c:pt idx="40">
                  <c:v>1.2212456300309626</c:v>
                </c:pt>
                <c:pt idx="41">
                  <c:v>-9.9999999999999995E-7</c:v>
                </c:pt>
                <c:pt idx="42">
                  <c:v>-9.9999999999999995E-7</c:v>
                </c:pt>
                <c:pt idx="43">
                  <c:v>-9.9999999999999995E-7</c:v>
                </c:pt>
                <c:pt idx="44">
                  <c:v>1.429865499172648</c:v>
                </c:pt>
                <c:pt idx="45">
                  <c:v>-9.9999999999999995E-7</c:v>
                </c:pt>
                <c:pt idx="46">
                  <c:v>-9.9999999999999995E-7</c:v>
                </c:pt>
                <c:pt idx="47">
                  <c:v>1.6008597762858094</c:v>
                </c:pt>
                <c:pt idx="48">
                  <c:v>-9.9999999999999995E-7</c:v>
                </c:pt>
                <c:pt idx="49">
                  <c:v>-9.9999999999999995E-7</c:v>
                </c:pt>
              </c:numCache>
            </c:numRef>
          </c:val>
          <c:smooth val="0"/>
          <c:extLst>
            <c:ext xmlns:c16="http://schemas.microsoft.com/office/drawing/2014/chart" uri="{C3380CC4-5D6E-409C-BE32-E72D297353CC}">
              <c16:uniqueId val="{00000013-1773-4D00-9C2E-B1ACF3F5AF54}"/>
            </c:ext>
          </c:extLst>
        </c:ser>
        <c:ser>
          <c:idx val="21"/>
          <c:order val="16"/>
          <c:tx>
            <c:strRef>
              <c:f>'Graph, Data'!$Y$2</c:f>
              <c:strCache>
                <c:ptCount val="1"/>
                <c:pt idx="0">
                  <c:v>Deposit (nominal)</c:v>
                </c:pt>
              </c:strCache>
            </c:strRef>
          </c:tx>
          <c:spPr>
            <a:ln w="28575" cap="rnd">
              <a:solidFill>
                <a:schemeClr val="accent4">
                  <a:lumMod val="8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Data'!$Y$3:$Y$52</c:f>
              <c:numCache>
                <c:formatCode>#,##0\ "€"</c:formatCode>
                <c:ptCount val="50"/>
                <c:pt idx="0">
                  <c:v>6000</c:v>
                </c:pt>
                <c:pt idx="1">
                  <c:v>12792</c:v>
                </c:pt>
                <c:pt idx="2">
                  <c:v>20461.344000000001</c:v>
                </c:pt>
                <c:pt idx="3">
                  <c:v>29102.107008000006</c:v>
                </c:pt>
                <c:pt idx="4">
                  <c:v>38817.974432256015</c:v>
                </c:pt>
                <c:pt idx="5">
                  <c:v>49723.209614088213</c:v>
                </c:pt>
                <c:pt idx="6">
                  <c:v>61943.718321739041</c:v>
                </c:pt>
                <c:pt idx="7">
                  <c:v>75618.219908034705</c:v>
                </c:pt>
                <c:pt idx="8">
                  <c:v>90899.535805091829</c:v>
                </c:pt>
                <c:pt idx="9">
                  <c:v>107956.00709685478</c:v>
                </c:pt>
                <c:pt idx="10">
                  <c:v>126973.05408455415</c:v>
                </c:pt>
                <c:pt idx="11">
                  <c:v>148154.89205191992</c:v>
                </c:pt>
                <c:pt idx="12">
                  <c:v>171726.41885790735</c:v>
                </c:pt>
                <c:pt idx="13">
                  <c:v>197935.29154771901</c:v>
                </c:pt>
                <c:pt idx="14">
                  <c:v>227054.21089224052</c:v>
                </c:pt>
                <c:pt idx="15">
                  <c:v>259383.43465728615</c:v>
                </c:pt>
                <c:pt idx="16">
                  <c:v>295253.54248446261</c:v>
                </c:pt>
                <c:pt idx="17">
                  <c:v>335028.47755392309</c:v>
                </c:pt>
                <c:pt idx="18">
                  <c:v>379108.89271660207</c:v>
                </c:pt>
                <c:pt idx="19">
                  <c:v>427935.83155258209</c:v>
                </c:pt>
                <c:pt idx="20">
                  <c:v>481994.77785821841</c:v>
                </c:pt>
                <c:pt idx="21">
                  <c:v>541820.11041523051</c:v>
                </c:pt>
                <c:pt idx="22">
                  <c:v>608000.00358062191</c:v>
                </c:pt>
                <c:pt idx="23">
                  <c:v>681181.81829051615</c:v>
                </c:pt>
                <c:pt idx="24">
                  <c:v>762078.03253065841</c:v>
                </c:pt>
                <c:pt idx="25">
                  <c:v>851472.76523196988</c:v>
                </c:pt>
                <c:pt idx="26">
                  <c:v>950228.95294575638</c:v>
                </c:pt>
                <c:pt idx="27">
                  <c:v>1059296.2445890203</c:v>
                </c:pt>
                <c:pt idx="28">
                  <c:v>1179719.6860797687</c:v>
                </c:pt>
                <c:pt idx="29">
                  <c:v>1312649.2738646111</c:v>
                </c:pt>
                <c:pt idx="30">
                  <c:v>1459350.4642415973</c:v>
                </c:pt>
                <c:pt idx="31">
                  <c:v>1621215.7340719791</c:v>
                </c:pt>
                <c:pt idx="32">
                  <c:v>1799777.2980343979</c:v>
                </c:pt>
                <c:pt idx="33">
                  <c:v>1996721.0980908258</c:v>
                </c:pt>
                <c:pt idx="34">
                  <c:v>2213902.1924009924</c:v>
                </c:pt>
                <c:pt idx="35">
                  <c:v>2453361.6836462105</c:v>
                </c:pt>
                <c:pt idx="36">
                  <c:v>2717345.3407201138</c:v>
                </c:pt>
                <c:pt idx="37">
                  <c:v>3008324.0831401045</c:v>
                </c:pt>
                <c:pt idx="38">
                  <c:v>3329016.5144692296</c:v>
                </c:pt>
                <c:pt idx="39">
                  <c:v>3682413.7096677506</c:v>
                </c:pt>
                <c:pt idx="40">
                  <c:v>4071806.4817861752</c:v>
                </c:pt>
                <c:pt idx="41">
                  <c:v>4500815.3759532953</c:v>
                </c:pt>
                <c:pt idx="42">
                  <c:v>4973423.6634087591</c:v>
                </c:pt>
                <c:pt idx="43">
                  <c:v>5494013.6356052933</c:v>
                </c:pt>
                <c:pt idx="44">
                  <c:v>6067406.5284088627</c:v>
                </c:pt>
                <c:pt idx="45">
                  <c:v>6698906.439428566</c:v>
                </c:pt>
                <c:pt idx="46">
                  <c:v>7394348.6378119616</c:v>
                </c:pt>
                <c:pt idx="47">
                  <c:v>8160152.7057757936</c:v>
                </c:pt>
                <c:pt idx="48">
                  <c:v>9003380.995069854</c:v>
                </c:pt>
                <c:pt idx="49">
                  <c:v>9931802.9298922475</c:v>
                </c:pt>
              </c:numCache>
            </c:numRef>
          </c:val>
          <c:smooth val="0"/>
          <c:extLst>
            <c:ext xmlns:c16="http://schemas.microsoft.com/office/drawing/2014/chart" uri="{C3380CC4-5D6E-409C-BE32-E72D297353CC}">
              <c16:uniqueId val="{00000002-C77C-4BBF-9401-BFC085832CAC}"/>
            </c:ext>
          </c:extLst>
        </c:ser>
        <c:ser>
          <c:idx val="22"/>
          <c:order val="17"/>
          <c:tx>
            <c:strRef>
              <c:f>'Graph, Data'!$Z$2</c:f>
              <c:strCache>
                <c:ptCount val="1"/>
                <c:pt idx="0">
                  <c:v>Net deposit (real)</c:v>
                </c:pt>
              </c:strCache>
            </c:strRef>
          </c:tx>
          <c:spPr>
            <a:ln w="28575" cap="rnd">
              <a:solidFill>
                <a:schemeClr val="accent5">
                  <a:lumMod val="80000"/>
                </a:schemeClr>
              </a:solidFill>
              <a:round/>
            </a:ln>
            <a:effectLst/>
          </c:spPr>
          <c:marker>
            <c:symbol val="none"/>
          </c:marker>
          <c:cat>
            <c:numRef>
              <c:f>'Graph, Data'!$B$3:$B$52</c:f>
              <c:numCache>
                <c:formatCode>General</c:formatCode>
                <c:ptCount val="50"/>
                <c:pt idx="0">
                  <c:v>5</c:v>
                </c:pt>
                <c:pt idx="1">
                  <c:v>5</c:v>
                </c:pt>
                <c:pt idx="2">
                  <c:v>5</c:v>
                </c:pt>
                <c:pt idx="3">
                  <c:v>5</c:v>
                </c:pt>
                <c:pt idx="4">
                  <c:v>5</c:v>
                </c:pt>
                <c:pt idx="5">
                  <c:v>10</c:v>
                </c:pt>
                <c:pt idx="6">
                  <c:v>10</c:v>
                </c:pt>
                <c:pt idx="7">
                  <c:v>10</c:v>
                </c:pt>
                <c:pt idx="8">
                  <c:v>10</c:v>
                </c:pt>
                <c:pt idx="9">
                  <c:v>10</c:v>
                </c:pt>
                <c:pt idx="10">
                  <c:v>15</c:v>
                </c:pt>
                <c:pt idx="11">
                  <c:v>15</c:v>
                </c:pt>
                <c:pt idx="12">
                  <c:v>15</c:v>
                </c:pt>
                <c:pt idx="13">
                  <c:v>15</c:v>
                </c:pt>
                <c:pt idx="14">
                  <c:v>15</c:v>
                </c:pt>
                <c:pt idx="15">
                  <c:v>20</c:v>
                </c:pt>
                <c:pt idx="16">
                  <c:v>20</c:v>
                </c:pt>
                <c:pt idx="17">
                  <c:v>20</c:v>
                </c:pt>
                <c:pt idx="18">
                  <c:v>20</c:v>
                </c:pt>
                <c:pt idx="19">
                  <c:v>20</c:v>
                </c:pt>
                <c:pt idx="20">
                  <c:v>30</c:v>
                </c:pt>
                <c:pt idx="21">
                  <c:v>30</c:v>
                </c:pt>
                <c:pt idx="22">
                  <c:v>30</c:v>
                </c:pt>
                <c:pt idx="23">
                  <c:v>30</c:v>
                </c:pt>
                <c:pt idx="24">
                  <c:v>30</c:v>
                </c:pt>
                <c:pt idx="25">
                  <c:v>30</c:v>
                </c:pt>
                <c:pt idx="26">
                  <c:v>30</c:v>
                </c:pt>
                <c:pt idx="27">
                  <c:v>30</c:v>
                </c:pt>
                <c:pt idx="28">
                  <c:v>30</c:v>
                </c:pt>
                <c:pt idx="29">
                  <c:v>30</c:v>
                </c:pt>
                <c:pt idx="30">
                  <c:v>40</c:v>
                </c:pt>
                <c:pt idx="31">
                  <c:v>40</c:v>
                </c:pt>
                <c:pt idx="32">
                  <c:v>40</c:v>
                </c:pt>
                <c:pt idx="33">
                  <c:v>40</c:v>
                </c:pt>
                <c:pt idx="34">
                  <c:v>40</c:v>
                </c:pt>
                <c:pt idx="35">
                  <c:v>40</c:v>
                </c:pt>
                <c:pt idx="36">
                  <c:v>40</c:v>
                </c:pt>
                <c:pt idx="37">
                  <c:v>40</c:v>
                </c:pt>
                <c:pt idx="38">
                  <c:v>40</c:v>
                </c:pt>
                <c:pt idx="39">
                  <c:v>40</c:v>
                </c:pt>
                <c:pt idx="40">
                  <c:v>50</c:v>
                </c:pt>
                <c:pt idx="41">
                  <c:v>50</c:v>
                </c:pt>
                <c:pt idx="42">
                  <c:v>50</c:v>
                </c:pt>
                <c:pt idx="43">
                  <c:v>50</c:v>
                </c:pt>
                <c:pt idx="44">
                  <c:v>50</c:v>
                </c:pt>
                <c:pt idx="45">
                  <c:v>50</c:v>
                </c:pt>
                <c:pt idx="46">
                  <c:v>50</c:v>
                </c:pt>
                <c:pt idx="47">
                  <c:v>50</c:v>
                </c:pt>
                <c:pt idx="48">
                  <c:v>50</c:v>
                </c:pt>
                <c:pt idx="49">
                  <c:v>50</c:v>
                </c:pt>
              </c:numCache>
            </c:numRef>
          </c:cat>
          <c:val>
            <c:numRef>
              <c:f>'Graph, Data'!$Z$3:$Z$52</c:f>
              <c:numCache>
                <c:formatCode>#,##0\ "€"</c:formatCode>
                <c:ptCount val="50"/>
                <c:pt idx="0">
                  <c:v>6000</c:v>
                </c:pt>
                <c:pt idx="1">
                  <c:v>12431.297560975612</c:v>
                </c:pt>
                <c:pt idx="2">
                  <c:v>19326.58613682332</c:v>
                </c:pt>
                <c:pt idx="3">
                  <c:v>26720.930164955247</c:v>
                </c:pt>
                <c:pt idx="4">
                  <c:v>34651.939114619323</c:v>
                </c:pt>
                <c:pt idx="5">
                  <c:v>43159.954257063458</c:v>
                </c:pt>
                <c:pt idx="6">
                  <c:v>52288.249088739103</c:v>
                </c:pt>
                <c:pt idx="7">
                  <c:v>62083.244406867962</c:v>
                </c:pt>
                <c:pt idx="8">
                  <c:v>72594.739109809118</c:v>
                </c:pt>
                <c:pt idx="9">
                  <c:v>83876.157873126926</c:v>
                </c:pt>
                <c:pt idx="10">
                  <c:v>95984.816936465402</c:v>
                </c:pt>
                <c:pt idx="11">
                  <c:v>108982.20932670045</c:v>
                </c:pt>
                <c:pt idx="12">
                  <c:v>122934.31093982041</c:v>
                </c:pt>
                <c:pt idx="13">
                  <c:v>137911.90900806017</c:v>
                </c:pt>
                <c:pt idx="14">
                  <c:v>153990.95459050403</c:v>
                </c:pt>
                <c:pt idx="15">
                  <c:v>171252.94084523577</c:v>
                </c:pt>
                <c:pt idx="16">
                  <c:v>189785.3089697478</c:v>
                </c:pt>
                <c:pt idx="17">
                  <c:v>209681.88383436608</c:v>
                </c:pt>
                <c:pt idx="18">
                  <c:v>231043.3414815962</c:v>
                </c:pt>
                <c:pt idx="19">
                  <c:v>253977.71082328205</c:v>
                </c:pt>
                <c:pt idx="20">
                  <c:v>278600.91203808779</c:v>
                </c:pt>
                <c:pt idx="21">
                  <c:v>305037.33435492136</c:v>
                </c:pt>
                <c:pt idx="22">
                  <c:v>333420.45610441873</c:v>
                </c:pt>
                <c:pt idx="23">
                  <c:v>363893.51013148983</c:v>
                </c:pt>
                <c:pt idx="24">
                  <c:v>396610.19788824033</c:v>
                </c:pt>
                <c:pt idx="25">
                  <c:v>431735.45576945296</c:v>
                </c:pt>
                <c:pt idx="26">
                  <c:v>469446.27751345554</c:v>
                </c:pt>
                <c:pt idx="27">
                  <c:v>509932.59677091811</c:v>
                </c:pt>
                <c:pt idx="28">
                  <c:v>553398.23424430203</c:v>
                </c:pt>
                <c:pt idx="29">
                  <c:v>600061.91412282654</c:v>
                </c:pt>
                <c:pt idx="30">
                  <c:v>650158.35488354391</c:v>
                </c:pt>
                <c:pt idx="31">
                  <c:v>703939.43990011653</c:v>
                </c:pt>
                <c:pt idx="32">
                  <c:v>761675.47369906656</c:v>
                </c:pt>
                <c:pt idx="33">
                  <c:v>823656.53013054375</c:v>
                </c:pt>
                <c:pt idx="34">
                  <c:v>890193.89917924022</c:v>
                </c:pt>
                <c:pt idx="35">
                  <c:v>961621.63963317801</c:v>
                </c:pt>
                <c:pt idx="36">
                  <c:v>1038298.2453562262</c:v>
                </c:pt>
                <c:pt idx="37">
                  <c:v>1120608.4334769726</c:v>
                </c:pt>
                <c:pt idx="38">
                  <c:v>1208965.0634147986</c:v>
                </c:pt>
                <c:pt idx="39">
                  <c:v>1303811.1963167707</c:v>
                </c:pt>
                <c:pt idx="40">
                  <c:v>1405622.3051794434</c:v>
                </c:pt>
                <c:pt idx="41">
                  <c:v>1514908.6466814384</c:v>
                </c:pt>
                <c:pt idx="42">
                  <c:v>1632217.806559437</c:v>
                </c:pt>
                <c:pt idx="43">
                  <c:v>1758137.43122601</c:v>
                </c:pt>
                <c:pt idx="44">
                  <c:v>1893298.1592568739</c:v>
                </c:pt>
                <c:pt idx="45">
                  <c:v>2038376.7673722776</c:v>
                </c:pt>
                <c:pt idx="46">
                  <c:v>2194099.5466073547</c:v>
                </c:pt>
                <c:pt idx="47">
                  <c:v>2361245.9255146366</c:v>
                </c:pt>
                <c:pt idx="48">
                  <c:v>2540652.3584743817</c:v>
                </c:pt>
                <c:pt idx="49">
                  <c:v>2733216.4985109591</c:v>
                </c:pt>
              </c:numCache>
            </c:numRef>
          </c:val>
          <c:smooth val="0"/>
          <c:extLst>
            <c:ext xmlns:c16="http://schemas.microsoft.com/office/drawing/2014/chart" uri="{C3380CC4-5D6E-409C-BE32-E72D297353CC}">
              <c16:uniqueId val="{00000003-C77C-4BBF-9401-BFC085832CAC}"/>
            </c:ext>
          </c:extLst>
        </c:ser>
        <c:dLbls>
          <c:showLegendKey val="0"/>
          <c:showVal val="0"/>
          <c:showCatName val="0"/>
          <c:showSerName val="0"/>
          <c:showPercent val="0"/>
          <c:showBubbleSize val="0"/>
        </c:dLbls>
        <c:smooth val="0"/>
        <c:axId val="1576432080"/>
        <c:axId val="1609724544"/>
      </c:lineChart>
      <c:catAx>
        <c:axId val="157643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724544"/>
        <c:crosses val="autoZero"/>
        <c:auto val="1"/>
        <c:lblAlgn val="ctr"/>
        <c:lblOffset val="100"/>
        <c:noMultiLvlLbl val="0"/>
      </c:catAx>
      <c:valAx>
        <c:axId val="160972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32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[Passive Finance.xlsx]Pivot!PivotTable1</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Pivot!$J$5</c:f>
              <c:strCache>
                <c:ptCount val="1"/>
                <c:pt idx="0">
                  <c:v>Sum of Savings* (real, full inflation* max year)</c:v>
                </c:pt>
              </c:strCache>
            </c:strRef>
          </c:tx>
          <c:spPr>
            <a:ln w="28575" cap="rnd">
              <a:solidFill>
                <a:schemeClr val="accent1"/>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Pivot!$J$6:$J$21</c:f>
              <c:numCache>
                <c:formatCode>#,##0\ "€"</c:formatCode>
                <c:ptCount val="15"/>
                <c:pt idx="0">
                  <c:v>6000</c:v>
                </c:pt>
                <c:pt idx="1">
                  <c:v>11941.747572815535</c:v>
                </c:pt>
                <c:pt idx="2">
                  <c:v>17829.201621264965</c:v>
                </c:pt>
                <c:pt idx="3">
                  <c:v>23666.249667117223</c:v>
                </c:pt>
                <c:pt idx="4">
                  <c:v>29456.710783099068</c:v>
                </c:pt>
                <c:pt idx="5">
                  <c:v>35204.338456066173</c:v>
                </c:pt>
                <c:pt idx="6">
                  <c:v>40912.82338366453</c:v>
                </c:pt>
                <c:pt idx="7">
                  <c:v>46585.796206747262</c:v>
                </c:pt>
                <c:pt idx="8">
                  <c:v>52226.830179752178</c:v>
                </c:pt>
                <c:pt idx="9">
                  <c:v>57839.443781187772</c:v>
                </c:pt>
                <c:pt idx="10">
                  <c:v>63427.10326631934</c:v>
                </c:pt>
                <c:pt idx="11">
                  <c:v>68993.225164092873</c:v>
                </c:pt>
                <c:pt idx="12">
                  <c:v>74541.178720281663</c:v>
                </c:pt>
                <c:pt idx="13">
                  <c:v>80074.288288789889</c:v>
                </c:pt>
                <c:pt idx="14">
                  <c:v>85595.835672998481</c:v>
                </c:pt>
              </c:numCache>
            </c:numRef>
          </c:val>
          <c:smooth val="0"/>
          <c:extLst>
            <c:ext xmlns:c16="http://schemas.microsoft.com/office/drawing/2014/chart" uri="{C3380CC4-5D6E-409C-BE32-E72D297353CC}">
              <c16:uniqueId val="{00000000-B0A8-4403-8424-0BA12DD7BD3C}"/>
            </c:ext>
          </c:extLst>
        </c:ser>
        <c:ser>
          <c:idx val="1"/>
          <c:order val="1"/>
          <c:tx>
            <c:strRef>
              <c:f>Pivot!$K$5</c:f>
              <c:strCache>
                <c:ptCount val="1"/>
                <c:pt idx="0">
                  <c:v>Sum of Savings (Real, adj. per year)</c:v>
                </c:pt>
              </c:strCache>
            </c:strRef>
          </c:tx>
          <c:spPr>
            <a:ln w="28575" cap="rnd">
              <a:solidFill>
                <a:schemeClr val="accent2"/>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Pivot!$K$6:$K$21</c:f>
              <c:numCache>
                <c:formatCode>#,##0\ "€"</c:formatCode>
                <c:ptCount val="15"/>
                <c:pt idx="0">
                  <c:v>6000</c:v>
                </c:pt>
                <c:pt idx="1">
                  <c:v>12116.504854368932</c:v>
                </c:pt>
                <c:pt idx="2">
                  <c:v>18351.776793288715</c:v>
                </c:pt>
                <c:pt idx="3">
                  <c:v>24708.121973740923</c:v>
                </c:pt>
                <c:pt idx="4">
                  <c:v>31187.891332454339</c:v>
                </c:pt>
                <c:pt idx="5">
                  <c:v>37793.481455414621</c:v>
                </c:pt>
                <c:pt idx="6">
                  <c:v>44527.335464257623</c:v>
                </c:pt>
                <c:pt idx="7">
                  <c:v>51391.943919874277</c:v>
                </c:pt>
                <c:pt idx="8">
                  <c:v>58389.845743561156</c:v>
                </c:pt>
                <c:pt idx="9">
                  <c:v>65523.62915605749</c:v>
                </c:pt>
                <c:pt idx="10">
                  <c:v>72795.932634815894</c:v>
                </c:pt>
                <c:pt idx="11">
                  <c:v>80209.445889860857</c:v>
                </c:pt>
                <c:pt idx="12">
                  <c:v>87766.91085859602</c:v>
                </c:pt>
                <c:pt idx="13">
                  <c:v>95471.122719927982</c:v>
                </c:pt>
                <c:pt idx="14">
                  <c:v>103324.93092808193</c:v>
                </c:pt>
              </c:numCache>
            </c:numRef>
          </c:val>
          <c:smooth val="0"/>
          <c:extLst>
            <c:ext xmlns:c16="http://schemas.microsoft.com/office/drawing/2014/chart" uri="{C3380CC4-5D6E-409C-BE32-E72D297353CC}">
              <c16:uniqueId val="{00000013-B0A8-4403-8424-0BA12DD7BD3C}"/>
            </c:ext>
          </c:extLst>
        </c:ser>
        <c:ser>
          <c:idx val="2"/>
          <c:order val="2"/>
          <c:tx>
            <c:strRef>
              <c:f>Pivot!$L$5</c:f>
              <c:strCache>
                <c:ptCount val="1"/>
                <c:pt idx="0">
                  <c:v>Sum of Net Present value (real)</c:v>
                </c:pt>
              </c:strCache>
            </c:strRef>
          </c:tx>
          <c:spPr>
            <a:ln w="28575" cap="rnd">
              <a:solidFill>
                <a:schemeClr val="accent3"/>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Pivot!$L$6:$L$21</c:f>
              <c:numCache>
                <c:formatCode>#,##0\ "€"</c:formatCode>
                <c:ptCount val="15"/>
                <c:pt idx="0">
                  <c:v>6000</c:v>
                </c:pt>
                <c:pt idx="1">
                  <c:v>12218.907961165049</c:v>
                </c:pt>
                <c:pt idx="2">
                  <c:v>18667.863521161278</c:v>
                </c:pt>
                <c:pt idx="3">
                  <c:v>25358.431538282479</c:v>
                </c:pt>
                <c:pt idx="4">
                  <c:v>32302.621683427999</c:v>
                </c:pt>
                <c:pt idx="5">
                  <c:v>39512.908826036895</c:v>
                </c:pt>
                <c:pt idx="6">
                  <c:v>47002.254249116369</c:v>
                </c:pt>
                <c:pt idx="7">
                  <c:v>54784.127729967171</c:v>
                </c:pt>
                <c:pt idx="8">
                  <c:v>62872.530524737347</c:v>
                </c:pt>
                <c:pt idx="9">
                  <c:v>71282.019296530154</c:v>
                </c:pt>
                <c:pt idx="10">
                  <c:v>80027.731028456299</c:v>
                </c:pt>
                <c:pt idx="11">
                  <c:v>89125.408964756207</c:v>
                </c:pt>
                <c:pt idx="12">
                  <c:v>98591.429624929035</c:v>
                </c:pt>
                <c:pt idx="13">
                  <c:v>108442.83093769479</c:v>
                </c:pt>
                <c:pt idx="14">
                  <c:v>118697.34154358596</c:v>
                </c:pt>
              </c:numCache>
            </c:numRef>
          </c:val>
          <c:smooth val="0"/>
          <c:extLst>
            <c:ext xmlns:c16="http://schemas.microsoft.com/office/drawing/2014/chart" uri="{C3380CC4-5D6E-409C-BE32-E72D297353CC}">
              <c16:uniqueId val="{00000014-B0A8-4403-8424-0BA12DD7BD3C}"/>
            </c:ext>
          </c:extLst>
        </c:ser>
        <c:ser>
          <c:idx val="3"/>
          <c:order val="3"/>
          <c:tx>
            <c:strRef>
              <c:f>Pivot!$M$5</c:f>
              <c:strCache>
                <c:ptCount val="1"/>
                <c:pt idx="0">
                  <c:v>Sum of Net deposit (real)</c:v>
                </c:pt>
              </c:strCache>
            </c:strRef>
          </c:tx>
          <c:spPr>
            <a:ln w="28575" cap="rnd">
              <a:solidFill>
                <a:schemeClr val="accent4"/>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Pivot!$M$6:$M$21</c:f>
              <c:numCache>
                <c:formatCode>#,##0\ "€"</c:formatCode>
                <c:ptCount val="15"/>
                <c:pt idx="0">
                  <c:v>6000</c:v>
                </c:pt>
                <c:pt idx="1">
                  <c:v>12079.68932038835</c:v>
                </c:pt>
                <c:pt idx="2">
                  <c:v>18241.955471769252</c:v>
                </c:pt>
                <c:pt idx="3">
                  <c:v>24489.703519653125</c:v>
                </c:pt>
                <c:pt idx="4">
                  <c:v>30825.857548083914</c:v>
                </c:pt>
                <c:pt idx="5">
                  <c:v>37253.362118986704</c:v>
                </c:pt>
                <c:pt idx="6">
                  <c:v>43775.183728104952</c:v>
                </c:pt>
                <c:pt idx="7">
                  <c:v>50394.312258385798</c:v>
                </c:pt>
                <c:pt idx="8">
                  <c:v>57113.762431661642</c:v>
                </c:pt>
                <c:pt idx="9">
                  <c:v>63936.57525946651</c:v>
                </c:pt>
                <c:pt idx="10">
                  <c:v>70865.819493816613</c:v>
                </c:pt>
                <c:pt idx="11">
                  <c:v>77904.593078776015</c:v>
                </c:pt>
                <c:pt idx="12">
                  <c:v>85056.024603620215</c:v>
                </c:pt>
                <c:pt idx="13">
                  <c:v>92323.27475840316</c:v>
                </c:pt>
                <c:pt idx="14">
                  <c:v>99709.5377927261</c:v>
                </c:pt>
              </c:numCache>
            </c:numRef>
          </c:val>
          <c:smooth val="0"/>
          <c:extLst>
            <c:ext xmlns:c16="http://schemas.microsoft.com/office/drawing/2014/chart" uri="{C3380CC4-5D6E-409C-BE32-E72D297353CC}">
              <c16:uniqueId val="{00000015-B0A8-4403-8424-0BA12DD7BD3C}"/>
            </c:ext>
          </c:extLst>
        </c:ser>
        <c:dLbls>
          <c:showLegendKey val="0"/>
          <c:showVal val="0"/>
          <c:showCatName val="0"/>
          <c:showSerName val="0"/>
          <c:showPercent val="0"/>
          <c:showBubbleSize val="0"/>
        </c:dLbls>
        <c:smooth val="0"/>
        <c:axId val="1096953695"/>
        <c:axId val="1102402639"/>
      </c:lineChart>
      <c:catAx>
        <c:axId val="109695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402639"/>
        <c:crosses val="autoZero"/>
        <c:auto val="1"/>
        <c:lblAlgn val="ctr"/>
        <c:lblOffset val="100"/>
        <c:noMultiLvlLbl val="0"/>
      </c:catAx>
      <c:valAx>
        <c:axId val="1102402639"/>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5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[Passive Finance.xlsx]Pivot!PivotTable1</c:name>
    <c:fmtId val="2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6">
                <a:lumMod val="75000"/>
              </a:schemeClr>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6">
                <a:lumMod val="75000"/>
              </a:schemeClr>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6">
                <a:lumMod val="75000"/>
              </a:schemeClr>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Pivot!$J$5</c:f>
              <c:strCache>
                <c:ptCount val="1"/>
                <c:pt idx="0">
                  <c:v>Sum of Savings* (real, full inflation* max year)</c:v>
                </c:pt>
              </c:strCache>
            </c:strRef>
          </c:tx>
          <c:spPr>
            <a:ln w="28575" cap="rnd">
              <a:solidFill>
                <a:srgbClr val="C00000"/>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Pivot!$J$6:$J$21</c:f>
              <c:numCache>
                <c:formatCode>#,##0\ "€"</c:formatCode>
                <c:ptCount val="15"/>
                <c:pt idx="0">
                  <c:v>6000</c:v>
                </c:pt>
                <c:pt idx="1">
                  <c:v>11941.747572815535</c:v>
                </c:pt>
                <c:pt idx="2">
                  <c:v>17829.201621264965</c:v>
                </c:pt>
                <c:pt idx="3">
                  <c:v>23666.249667117223</c:v>
                </c:pt>
                <c:pt idx="4">
                  <c:v>29456.710783099068</c:v>
                </c:pt>
                <c:pt idx="5">
                  <c:v>35204.338456066173</c:v>
                </c:pt>
                <c:pt idx="6">
                  <c:v>40912.82338366453</c:v>
                </c:pt>
                <c:pt idx="7">
                  <c:v>46585.796206747262</c:v>
                </c:pt>
                <c:pt idx="8">
                  <c:v>52226.830179752178</c:v>
                </c:pt>
                <c:pt idx="9">
                  <c:v>57839.443781187772</c:v>
                </c:pt>
                <c:pt idx="10">
                  <c:v>63427.10326631934</c:v>
                </c:pt>
                <c:pt idx="11">
                  <c:v>68993.225164092873</c:v>
                </c:pt>
                <c:pt idx="12">
                  <c:v>74541.178720281663</c:v>
                </c:pt>
                <c:pt idx="13">
                  <c:v>80074.288288789889</c:v>
                </c:pt>
                <c:pt idx="14">
                  <c:v>85595.835672998481</c:v>
                </c:pt>
              </c:numCache>
            </c:numRef>
          </c:val>
          <c:smooth val="0"/>
          <c:extLst>
            <c:ext xmlns:c16="http://schemas.microsoft.com/office/drawing/2014/chart" uri="{C3380CC4-5D6E-409C-BE32-E72D297353CC}">
              <c16:uniqueId val="{00000000-BAE8-4DAC-B6DA-EE03712D6E65}"/>
            </c:ext>
          </c:extLst>
        </c:ser>
        <c:ser>
          <c:idx val="1"/>
          <c:order val="1"/>
          <c:tx>
            <c:strRef>
              <c:f>Pivot!$K$5</c:f>
              <c:strCache>
                <c:ptCount val="1"/>
                <c:pt idx="0">
                  <c:v>Sum of Savings (Real, adj. per year)</c:v>
                </c:pt>
              </c:strCache>
            </c:strRef>
          </c:tx>
          <c:spPr>
            <a:ln w="28575" cap="rnd">
              <a:solidFill>
                <a:schemeClr val="accent6">
                  <a:lumMod val="75000"/>
                </a:schemeClr>
              </a:solidFill>
              <a:prstDash val="dash"/>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Pivot!$K$6:$K$21</c:f>
              <c:numCache>
                <c:formatCode>#,##0\ "€"</c:formatCode>
                <c:ptCount val="15"/>
                <c:pt idx="0">
                  <c:v>6000</c:v>
                </c:pt>
                <c:pt idx="1">
                  <c:v>12116.504854368932</c:v>
                </c:pt>
                <c:pt idx="2">
                  <c:v>18351.776793288715</c:v>
                </c:pt>
                <c:pt idx="3">
                  <c:v>24708.121973740923</c:v>
                </c:pt>
                <c:pt idx="4">
                  <c:v>31187.891332454339</c:v>
                </c:pt>
                <c:pt idx="5">
                  <c:v>37793.481455414621</c:v>
                </c:pt>
                <c:pt idx="6">
                  <c:v>44527.335464257623</c:v>
                </c:pt>
                <c:pt idx="7">
                  <c:v>51391.943919874277</c:v>
                </c:pt>
                <c:pt idx="8">
                  <c:v>58389.845743561156</c:v>
                </c:pt>
                <c:pt idx="9">
                  <c:v>65523.62915605749</c:v>
                </c:pt>
                <c:pt idx="10">
                  <c:v>72795.932634815894</c:v>
                </c:pt>
                <c:pt idx="11">
                  <c:v>80209.445889860857</c:v>
                </c:pt>
                <c:pt idx="12">
                  <c:v>87766.91085859602</c:v>
                </c:pt>
                <c:pt idx="13">
                  <c:v>95471.122719927982</c:v>
                </c:pt>
                <c:pt idx="14">
                  <c:v>103324.93092808193</c:v>
                </c:pt>
              </c:numCache>
            </c:numRef>
          </c:val>
          <c:smooth val="0"/>
          <c:extLst>
            <c:ext xmlns:c16="http://schemas.microsoft.com/office/drawing/2014/chart" uri="{C3380CC4-5D6E-409C-BE32-E72D297353CC}">
              <c16:uniqueId val="{00000001-BAE8-4DAC-B6DA-EE03712D6E65}"/>
            </c:ext>
          </c:extLst>
        </c:ser>
        <c:ser>
          <c:idx val="2"/>
          <c:order val="2"/>
          <c:tx>
            <c:strRef>
              <c:f>Pivot!$L$5</c:f>
              <c:strCache>
                <c:ptCount val="1"/>
                <c:pt idx="0">
                  <c:v>Sum of Net Present value (real)</c:v>
                </c:pt>
              </c:strCache>
            </c:strRef>
          </c:tx>
          <c:spPr>
            <a:ln w="28575" cap="rnd">
              <a:solidFill>
                <a:schemeClr val="accent4">
                  <a:lumMod val="60000"/>
                  <a:lumOff val="40000"/>
                </a:schemeClr>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Pivot!$L$6:$L$21</c:f>
              <c:numCache>
                <c:formatCode>#,##0\ "€"</c:formatCode>
                <c:ptCount val="15"/>
                <c:pt idx="0">
                  <c:v>6000</c:v>
                </c:pt>
                <c:pt idx="1">
                  <c:v>12218.907961165049</c:v>
                </c:pt>
                <c:pt idx="2">
                  <c:v>18667.863521161278</c:v>
                </c:pt>
                <c:pt idx="3">
                  <c:v>25358.431538282479</c:v>
                </c:pt>
                <c:pt idx="4">
                  <c:v>32302.621683427999</c:v>
                </c:pt>
                <c:pt idx="5">
                  <c:v>39512.908826036895</c:v>
                </c:pt>
                <c:pt idx="6">
                  <c:v>47002.254249116369</c:v>
                </c:pt>
                <c:pt idx="7">
                  <c:v>54784.127729967171</c:v>
                </c:pt>
                <c:pt idx="8">
                  <c:v>62872.530524737347</c:v>
                </c:pt>
                <c:pt idx="9">
                  <c:v>71282.019296530154</c:v>
                </c:pt>
                <c:pt idx="10">
                  <c:v>80027.731028456299</c:v>
                </c:pt>
                <c:pt idx="11">
                  <c:v>89125.408964756207</c:v>
                </c:pt>
                <c:pt idx="12">
                  <c:v>98591.429624929035</c:v>
                </c:pt>
                <c:pt idx="13">
                  <c:v>108442.83093769479</c:v>
                </c:pt>
                <c:pt idx="14">
                  <c:v>118697.34154358596</c:v>
                </c:pt>
              </c:numCache>
            </c:numRef>
          </c:val>
          <c:smooth val="0"/>
          <c:extLst>
            <c:ext xmlns:c16="http://schemas.microsoft.com/office/drawing/2014/chart" uri="{C3380CC4-5D6E-409C-BE32-E72D297353CC}">
              <c16:uniqueId val="{00000002-BAE8-4DAC-B6DA-EE03712D6E65}"/>
            </c:ext>
          </c:extLst>
        </c:ser>
        <c:ser>
          <c:idx val="3"/>
          <c:order val="3"/>
          <c:tx>
            <c:strRef>
              <c:f>Pivot!$M$5</c:f>
              <c:strCache>
                <c:ptCount val="1"/>
                <c:pt idx="0">
                  <c:v>Sum of Net deposit (real)</c:v>
                </c:pt>
              </c:strCache>
            </c:strRef>
          </c:tx>
          <c:spPr>
            <a:ln w="28575" cap="rnd">
              <a:solidFill>
                <a:schemeClr val="accent1"/>
              </a:solidFill>
              <a:round/>
            </a:ln>
            <a:effectLst/>
          </c:spPr>
          <c:marker>
            <c:symbol val="none"/>
          </c:marker>
          <c:cat>
            <c:strRef>
              <c:f>Pivot!$I$6:$I$21</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Pivot!$M$6:$M$21</c:f>
              <c:numCache>
                <c:formatCode>#,##0\ "€"</c:formatCode>
                <c:ptCount val="15"/>
                <c:pt idx="0">
                  <c:v>6000</c:v>
                </c:pt>
                <c:pt idx="1">
                  <c:v>12079.68932038835</c:v>
                </c:pt>
                <c:pt idx="2">
                  <c:v>18241.955471769252</c:v>
                </c:pt>
                <c:pt idx="3">
                  <c:v>24489.703519653125</c:v>
                </c:pt>
                <c:pt idx="4">
                  <c:v>30825.857548083914</c:v>
                </c:pt>
                <c:pt idx="5">
                  <c:v>37253.362118986704</c:v>
                </c:pt>
                <c:pt idx="6">
                  <c:v>43775.183728104952</c:v>
                </c:pt>
                <c:pt idx="7">
                  <c:v>50394.312258385798</c:v>
                </c:pt>
                <c:pt idx="8">
                  <c:v>57113.762431661642</c:v>
                </c:pt>
                <c:pt idx="9">
                  <c:v>63936.57525946651</c:v>
                </c:pt>
                <c:pt idx="10">
                  <c:v>70865.819493816613</c:v>
                </c:pt>
                <c:pt idx="11">
                  <c:v>77904.593078776015</c:v>
                </c:pt>
                <c:pt idx="12">
                  <c:v>85056.024603620215</c:v>
                </c:pt>
                <c:pt idx="13">
                  <c:v>92323.27475840316</c:v>
                </c:pt>
                <c:pt idx="14">
                  <c:v>99709.5377927261</c:v>
                </c:pt>
              </c:numCache>
            </c:numRef>
          </c:val>
          <c:smooth val="0"/>
          <c:extLst>
            <c:ext xmlns:c16="http://schemas.microsoft.com/office/drawing/2014/chart" uri="{C3380CC4-5D6E-409C-BE32-E72D297353CC}">
              <c16:uniqueId val="{00000003-BAE8-4DAC-B6DA-EE03712D6E65}"/>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096953695"/>
        <c:axId val="1102402639"/>
      </c:lineChart>
      <c:catAx>
        <c:axId val="109695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402639"/>
        <c:crosses val="autoZero"/>
        <c:auto val="1"/>
        <c:lblAlgn val="ctr"/>
        <c:lblOffset val="100"/>
        <c:noMultiLvlLbl val="0"/>
      </c:catAx>
      <c:valAx>
        <c:axId val="11024026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5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25640BD-0A62-4901-9D8D-92875440CBFB}">
  <sheetPr/>
  <sheetViews>
    <sheetView zoomScale="8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A2BFA45-4A30-444E-B4B0-2BFBB2A446AD}">
  <sheetPr/>
  <sheetViews>
    <sheetView zoomScale="85"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ACB3E7F-FCB2-42E6-81D1-ABFA3A9070CD}">
  <sheetPr/>
  <sheetViews>
    <sheetView zoomScale="8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134471</xdr:colOff>
      <xdr:row>35</xdr:row>
      <xdr:rowOff>79114</xdr:rowOff>
    </xdr:from>
    <xdr:to>
      <xdr:col>3</xdr:col>
      <xdr:colOff>1076213</xdr:colOff>
      <xdr:row>55</xdr:row>
      <xdr:rowOff>95249</xdr:rowOff>
    </xdr:to>
    <xdr:graphicFrame macro="">
      <xdr:nvGraphicFramePr>
        <xdr:cNvPr id="6" name="Chart 5">
          <a:extLst>
            <a:ext uri="{FF2B5EF4-FFF2-40B4-BE49-F238E27FC236}">
              <a16:creationId xmlns:a16="http://schemas.microsoft.com/office/drawing/2014/main" id="{045C99CF-F37D-8C07-BD21-002B319884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42133</xdr:colOff>
      <xdr:row>35</xdr:row>
      <xdr:rowOff>85389</xdr:rowOff>
    </xdr:from>
    <xdr:to>
      <xdr:col>8</xdr:col>
      <xdr:colOff>549088</xdr:colOff>
      <xdr:row>55</xdr:row>
      <xdr:rowOff>128868</xdr:rowOff>
    </xdr:to>
    <xdr:graphicFrame macro="">
      <xdr:nvGraphicFramePr>
        <xdr:cNvPr id="7" name="Chart 6">
          <a:extLst>
            <a:ext uri="{FF2B5EF4-FFF2-40B4-BE49-F238E27FC236}">
              <a16:creationId xmlns:a16="http://schemas.microsoft.com/office/drawing/2014/main" id="{4CA61477-B02B-4ED1-A029-7B23AB70C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804410</xdr:colOff>
      <xdr:row>17</xdr:row>
      <xdr:rowOff>95910</xdr:rowOff>
    </xdr:from>
    <xdr:to>
      <xdr:col>16</xdr:col>
      <xdr:colOff>27196</xdr:colOff>
      <xdr:row>34</xdr:row>
      <xdr:rowOff>17198</xdr:rowOff>
    </xdr:to>
    <xdr:pic>
      <xdr:nvPicPr>
        <xdr:cNvPr id="4" name="Picture 3" descr="A screenshot of a computer program&#10;&#10;Description automatically generated">
          <a:extLst>
            <a:ext uri="{FF2B5EF4-FFF2-40B4-BE49-F238E27FC236}">
              <a16:creationId xmlns:a16="http://schemas.microsoft.com/office/drawing/2014/main" id="{121589B4-280A-2AA4-4047-EFC526240AD2}"/>
            </a:ext>
          </a:extLst>
        </xdr:cNvPr>
        <xdr:cNvPicPr>
          <a:picLocks noChangeAspect="1"/>
        </xdr:cNvPicPr>
      </xdr:nvPicPr>
      <xdr:blipFill>
        <a:blip xmlns:r="http://schemas.openxmlformats.org/officeDocument/2006/relationships" r:embed="rId3"/>
        <a:stretch>
          <a:fillRect/>
        </a:stretch>
      </xdr:blipFill>
      <xdr:spPr>
        <a:xfrm>
          <a:off x="12501110" y="3296310"/>
          <a:ext cx="2766086" cy="3178838"/>
        </a:xfrm>
        <a:prstGeom prst="rect">
          <a:avLst/>
        </a:prstGeom>
      </xdr:spPr>
    </xdr:pic>
    <xdr:clientData/>
  </xdr:twoCellAnchor>
  <xdr:twoCellAnchor editAs="oneCell">
    <xdr:from>
      <xdr:col>9</xdr:col>
      <xdr:colOff>96281</xdr:colOff>
      <xdr:row>17</xdr:row>
      <xdr:rowOff>99559</xdr:rowOff>
    </xdr:from>
    <xdr:to>
      <xdr:col>12</xdr:col>
      <xdr:colOff>802542</xdr:colOff>
      <xdr:row>33</xdr:row>
      <xdr:rowOff>177156</xdr:rowOff>
    </xdr:to>
    <xdr:pic>
      <xdr:nvPicPr>
        <xdr:cNvPr id="5" name="Picture 4">
          <a:extLst>
            <a:ext uri="{FF2B5EF4-FFF2-40B4-BE49-F238E27FC236}">
              <a16:creationId xmlns:a16="http://schemas.microsoft.com/office/drawing/2014/main" id="{5AB35F7C-6310-2DF4-8854-D22980E3E12F}"/>
            </a:ext>
          </a:extLst>
        </xdr:cNvPr>
        <xdr:cNvPicPr>
          <a:picLocks noChangeAspect="1"/>
        </xdr:cNvPicPr>
      </xdr:nvPicPr>
      <xdr:blipFill>
        <a:blip xmlns:r="http://schemas.openxmlformats.org/officeDocument/2006/relationships" r:embed="rId4"/>
        <a:stretch>
          <a:fillRect/>
        </a:stretch>
      </xdr:blipFill>
      <xdr:spPr>
        <a:xfrm>
          <a:off x="9697481" y="3299959"/>
          <a:ext cx="2801761" cy="31446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89612" cy="6065345"/>
    <xdr:graphicFrame macro="">
      <xdr:nvGraphicFramePr>
        <xdr:cNvPr id="2" name="Chart 1">
          <a:extLst>
            <a:ext uri="{FF2B5EF4-FFF2-40B4-BE49-F238E27FC236}">
              <a16:creationId xmlns:a16="http://schemas.microsoft.com/office/drawing/2014/main" id="{3F03B214-DB81-66E1-52C5-64D11EDE5A2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5279" cy="6073588"/>
    <xdr:graphicFrame macro="">
      <xdr:nvGraphicFramePr>
        <xdr:cNvPr id="2" name="Chart 1">
          <a:extLst>
            <a:ext uri="{FF2B5EF4-FFF2-40B4-BE49-F238E27FC236}">
              <a16:creationId xmlns:a16="http://schemas.microsoft.com/office/drawing/2014/main" id="{D8531545-6EDD-EEC3-01A8-1731B029FF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3715030" y="403132"/>
    <xdr:ext cx="7867370" cy="5388068"/>
    <xdr:graphicFrame macro="">
      <xdr:nvGraphicFramePr>
        <xdr:cNvPr id="2" name="Chart 1">
          <a:extLst>
            <a:ext uri="{FF2B5EF4-FFF2-40B4-BE49-F238E27FC236}">
              <a16:creationId xmlns:a16="http://schemas.microsoft.com/office/drawing/2014/main" id="{62604394-1641-4C89-A598-7C77AAC094F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3425599" y="332014"/>
    <xdr:ext cx="8577262" cy="6776997"/>
    <xdr:graphicFrame macro="">
      <xdr:nvGraphicFramePr>
        <xdr:cNvPr id="2" name="Chart 1">
          <a:extLst>
            <a:ext uri="{FF2B5EF4-FFF2-40B4-BE49-F238E27FC236}">
              <a16:creationId xmlns:a16="http://schemas.microsoft.com/office/drawing/2014/main" id="{065A976F-7A4C-4905-B62E-FB2622A587F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3867145" y="164725"/>
    <xdr:ext cx="9115559" cy="6372296"/>
    <xdr:graphicFrame macro="">
      <xdr:nvGraphicFramePr>
        <xdr:cNvPr id="2" name="Chart 1">
          <a:extLst>
            <a:ext uri="{FF2B5EF4-FFF2-40B4-BE49-F238E27FC236}">
              <a16:creationId xmlns:a16="http://schemas.microsoft.com/office/drawing/2014/main" id="{E2697D7E-C6E0-4929-8FF2-E768B824B5D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27246943" y="1284514"/>
    <xdr:ext cx="7035798" cy="7463519"/>
    <xdr:graphicFrame macro="">
      <xdr:nvGraphicFramePr>
        <xdr:cNvPr id="3" name="Chart 2">
          <a:extLst>
            <a:ext uri="{FF2B5EF4-FFF2-40B4-BE49-F238E27FC236}">
              <a16:creationId xmlns:a16="http://schemas.microsoft.com/office/drawing/2014/main" id="{264AE2CA-FC16-44F9-B8A9-AF123D4E339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20</xdr:col>
      <xdr:colOff>342032</xdr:colOff>
      <xdr:row>54</xdr:row>
      <xdr:rowOff>148069</xdr:rowOff>
    </xdr:from>
    <xdr:to>
      <xdr:col>47</xdr:col>
      <xdr:colOff>744683</xdr:colOff>
      <xdr:row>115</xdr:row>
      <xdr:rowOff>86590</xdr:rowOff>
    </xdr:to>
    <xdr:graphicFrame macro="">
      <xdr:nvGraphicFramePr>
        <xdr:cNvPr id="2" name="Chart 1">
          <a:extLst>
            <a:ext uri="{FF2B5EF4-FFF2-40B4-BE49-F238E27FC236}">
              <a16:creationId xmlns:a16="http://schemas.microsoft.com/office/drawing/2014/main" id="{9D7D533B-0B7A-6CA4-4E77-0A349C324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absoluteAnchor>
    <xdr:pos x="0" y="0"/>
    <xdr:ext cx="9289612" cy="6065345"/>
    <xdr:graphicFrame macro="">
      <xdr:nvGraphicFramePr>
        <xdr:cNvPr id="2" name="Chart 1">
          <a:extLst>
            <a:ext uri="{FF2B5EF4-FFF2-40B4-BE49-F238E27FC236}">
              <a16:creationId xmlns:a16="http://schemas.microsoft.com/office/drawing/2014/main" id="{A8E4B587-BA2A-FEAC-8DE1-8C065A2D3AA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815340" y="624840"/>
    <xdr:ext cx="9494520" cy="5570220"/>
    <xdr:graphicFrame macro="">
      <xdr:nvGraphicFramePr>
        <xdr:cNvPr id="2" name="Chart 1">
          <a:extLst>
            <a:ext uri="{FF2B5EF4-FFF2-40B4-BE49-F238E27FC236}">
              <a16:creationId xmlns:a16="http://schemas.microsoft.com/office/drawing/2014/main" id="{6FBC8680-BFE5-4EFB-B308-090375C321C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58ad06a9c1df9c05/Documenti/TUTTI%20DOCUMENTI/PROGRAMMI%20data/Elaborazione%20INPUT-OUTPUT/1%20Patrimionio%5e0Risparmi%5e0Rendimenti/risparmioforo%20MODIFY%20RIGHT.xlsx" TargetMode="External"/><Relationship Id="rId1" Type="http://schemas.openxmlformats.org/officeDocument/2006/relationships/externalLinkPath" Target="file:///C:\Users\paolo\OneDrive\Documenti\TUTTI%20DOCUMENTI\PROGRAMMI%20data\Elaborazione%20INPUT-OUTPUT\1%20Patrimionio&amp;Risparmi&amp;Rendimenti\risparmioforo%20MODIFY%20RIGH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rametri"/>
      <sheetName val="Calcoli"/>
      <sheetName val="Chart"/>
      <sheetName val="Chart Nominale"/>
      <sheetName val="Chart Reale"/>
    </sheetNames>
    <sheetDataSet>
      <sheetData sheetId="0">
        <row r="5">
          <cell r="B5">
            <v>0.03</v>
          </cell>
        </row>
      </sheetData>
      <sheetData sheetId="1"/>
      <sheetData sheetId="2" refreshError="1"/>
      <sheetData sheetId="3" refreshError="1"/>
      <sheetData sheetId="4" refreshError="1"/>
    </sheetDataSet>
  </externalBook>
</externalLink>
</file>

<file path=xl/persons/person.xml><?xml version="1.0" encoding="utf-8"?>
<personList xmlns="http://schemas.microsoft.com/office/spreadsheetml/2018/threadedcomments" xmlns:x="http://schemas.openxmlformats.org/spreadsheetml/2006/main">
  <person displayName="PAOLO REFUTO" id="{8A302270-0B77-4C29-8C99-EFFFF74A7DFB}" userId="58ad06a9c1df9c05"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O REFUTO" refreshedDate="45245.532380092591" createdVersion="8" refreshedVersion="8" minRefreshableVersion="3" recordCount="50" xr:uid="{90E1227D-5DC3-4EB2-832D-7B25181A64A2}">
  <cacheSource type="worksheet">
    <worksheetSource name="Table28"/>
  </cacheSource>
  <cacheFields count="24">
    <cacheField name="Years Group" numFmtId="0">
      <sharedItems containsSemiMixedTypes="0" containsString="0" containsNumber="1" containsInteger="1" minValue="5" maxValue="50" count="7">
        <n v="5"/>
        <n v="10"/>
        <n v="15"/>
        <n v="20"/>
        <n v="30"/>
        <n v="40"/>
        <n v="50"/>
      </sharedItems>
    </cacheField>
    <cacheField name="Timeline" numFmtId="0">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Savings (Nominal)" numFmtId="165">
      <sharedItems containsSemiMixedTypes="0" containsString="0" containsNumber="1" minValue="6000" maxValue="1256087.9742904415"/>
    </cacheField>
    <cacheField name="Forecast" numFmtId="0">
      <sharedItems containsString="0" containsBlank="1" containsNumber="1" minValue="404136.91255356907" maxValue="404136.91255356907"/>
    </cacheField>
    <cacheField name="Lower Confidence Bound" numFmtId="0">
      <sharedItems containsBlank="1"/>
    </cacheField>
    <cacheField name="Upper Confidence Bound" numFmtId="0">
      <sharedItems containsBlank="1"/>
    </cacheField>
    <cacheField name="Savings* (real, full inflation* max year)" numFmtId="165">
      <sharedItems containsSemiMixedTypes="0" containsString="0" containsNumber="1" minValue="6000" maxValue="295118.23656765278"/>
    </cacheField>
    <cacheField name="Savings (Real, adj. per year)" numFmtId="165">
      <sharedItems containsSemiMixedTypes="0" containsString="0" containsNumber="1" minValue="6000" maxValue="499280.67907416547"/>
    </cacheField>
    <cacheField name="Future value (Nominal)" numFmtId="165">
      <sharedItems containsSemiMixedTypes="0" containsString="0" containsNumber="1" minValue="6000" maxValue="4932521.4166962719"/>
    </cacheField>
    <cacheField name="Present value (Real)" numFmtId="165">
      <sharedItems containsSemiMixedTypes="0" containsString="0" containsNumber="1" minValue="6000" maxValue="1158897.348053897"/>
    </cacheField>
    <cacheField name="Net Present value (real)" numFmtId="165">
      <sharedItems containsSemiMixedTypes="0" containsString="0" containsNumber="1" minValue="6000" maxValue="943042.85529447161"/>
    </cacheField>
    <cacheField name="Tax (Nominal)" numFmtId="165">
      <sharedItems containsSemiMixedTypes="0" containsString="0" containsNumber="1" minValue="0" maxValue="918724.0873524372"/>
    </cacheField>
    <cacheField name="Tax (real)" numFmtId="165">
      <sharedItems containsSemiMixedTypes="0" containsString="0" containsNumber="1" minValue="0" maxValue="215854.49275942543"/>
    </cacheField>
    <cacheField name="Capital Gain (Nominal)" numFmtId="165">
      <sharedItems containsSemiMixedTypes="0" containsString="0" containsNumber="1" minValue="0" maxValue="3676433.4424058306"/>
    </cacheField>
    <cacheField name="Net Capital gain(Real)" numFmtId="165">
      <sharedItems containsSemiMixedTypes="0" containsString="0" containsNumber="1" minValue="0" maxValue="647924.61872681882"/>
    </cacheField>
    <cacheField name="Real Capital gain/net PV" numFmtId="9">
      <sharedItems containsSemiMixedTypes="0" containsString="0" containsNumber="1" minValue="0" maxValue="0.55908715276547249"/>
    </cacheField>
    <cacheField name="Real Capital gain/Savings (adj. per year)" numFmtId="9">
      <sharedItems containsSemiMixedTypes="0" containsString="0" containsNumber="1" minValue="0" maxValue="1.2977161862681961"/>
    </cacheField>
    <cacheField name="WRONG SOTTRAZIONE CUZ THE OTHER IS SAVINGS REAL)" numFmtId="9">
      <sharedItems containsSemiMixedTypes="0" containsString="0" containsNumber="1" minValue="0" maxValue="0.88880302166547009"/>
    </cacheField>
    <cacheField name="Check" numFmtId="9">
      <sharedItems containsSemiMixedTypes="0" containsString="0" containsNumber="1" minValue="0" maxValue="1.2977161862707951"/>
    </cacheField>
    <cacheField name="+10% Net Gain/Savings (real, adj.)'" numFmtId="165">
      <sharedItems containsSemiMixedTypes="0" containsString="0" containsNumber="1" minValue="-1000" maxValue="575694.59073304618"/>
    </cacheField>
    <cacheField name="+10% Real Yeald/Savings'" numFmtId="9">
      <sharedItems containsSemiMixedTypes="0" containsString="0" containsNumber="1" minValue="-9.9999999999999995E-7" maxValue="1.2280638700929565"/>
    </cacheField>
    <cacheField name="CHECK2" numFmtId="165">
      <sharedItems containsSemiMixedTypes="0" containsString="0" containsNumber="1" containsInteger="1" minValue="0" maxValue="0"/>
    </cacheField>
    <cacheField name="Deposit (nominal)" numFmtId="165">
      <sharedItems containsSemiMixedTypes="0" containsString="0" containsNumber="1" minValue="6000" maxValue="2212326.7038345118"/>
    </cacheField>
    <cacheField name="Net deposit (real)" numFmtId="165">
      <sharedItems containsSemiMixedTypes="0" containsString="0" containsNumber="1" minValue="6000" maxValue="461372.977556248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6000"/>
    <m/>
    <m/>
    <m/>
    <n v="6000"/>
    <n v="6000"/>
    <n v="6000"/>
    <n v="6000"/>
    <n v="6000"/>
    <n v="0"/>
    <n v="0"/>
    <n v="0"/>
    <n v="0"/>
    <n v="0"/>
    <n v="0"/>
    <n v="0"/>
    <n v="0"/>
    <n v="-1000"/>
    <n v="-9.9999999999999995E-7"/>
    <n v="0"/>
    <n v="6000"/>
    <n v="6000"/>
  </r>
  <r>
    <x v="0"/>
    <x v="1"/>
    <n v="12300"/>
    <m/>
    <m/>
    <m/>
    <n v="11941.747572815535"/>
    <n v="12116.504854368932"/>
    <n v="12676.32"/>
    <n v="12307.106796116504"/>
    <n v="12218.907961165049"/>
    <n v="90.844799999999807"/>
    <n v="88.198834951456121"/>
    <n v="376.31999999999937"/>
    <n v="277.16038834951416"/>
    <n v="2.2520352727006206E-2"/>
    <n v="2.2874615382727462E-2"/>
    <n v="8.4515384615384895E-3"/>
    <n v="2.2874615384615351E-2"/>
    <n v="-1000"/>
    <n v="-9.9999999999999995E-7"/>
    <n v="0"/>
    <n v="12492"/>
    <n v="12079.68932038835"/>
  </r>
  <r>
    <x v="0"/>
    <x v="2"/>
    <n v="18915"/>
    <m/>
    <m/>
    <m/>
    <n v="17829.201621264965"/>
    <n v="18351.776793288715"/>
    <n v="20088.16128"/>
    <n v="18935.018644547083"/>
    <n v="18667.863521161278"/>
    <n v="283.42487040000026"/>
    <n v="267.15512338580476"/>
    <n v="1173.1612800000012"/>
    <n v="838.66189989631528"/>
    <n v="4.4291580125202332E-2"/>
    <n v="4.56992208055471E-2"/>
    <n v="1.7223767019014596E-2"/>
    <n v="4.5699220808037282E-2"/>
    <n v="-1000"/>
    <n v="-9.9999999999999995E-7"/>
    <n v="0"/>
    <n v="19506.743999999999"/>
    <n v="18241.955471769252"/>
  </r>
  <r>
    <x v="0"/>
    <x v="3"/>
    <n v="25860.75"/>
    <m/>
    <m/>
    <m/>
    <n v="23666.249667117223"/>
    <n v="24708.121973740923"/>
    <n v="28299.474063360001"/>
    <n v="25898.027653164972"/>
    <n v="25358.431538282479"/>
    <n v="589.63124382720173"/>
    <n v="539.59611488249288"/>
    <n v="2438.7240633600077"/>
    <n v="1692.1818711652647"/>
    <n v="6.5340182939547006E-2"/>
    <n v="6.8486867310076416E-2"/>
    <n v="2.6319667890286693E-2"/>
    <n v="6.8486867312848254E-2"/>
    <n v="-1000"/>
    <n v="-9.9999999999999995E-7"/>
    <n v="0"/>
    <n v="27076.709808"/>
    <n v="24489.703519653125"/>
  </r>
  <r>
    <x v="0"/>
    <x v="4"/>
    <n v="33153.787499999999"/>
    <m/>
    <m/>
    <m/>
    <n v="29456.710783099068"/>
    <n v="31187.891332454339"/>
    <n v="37379.324076883204"/>
    <n v="33211.045302153798"/>
    <n v="32302.621683427999"/>
    <n v="1022.4387860879636"/>
    <n v="908.42361872579545"/>
    <n v="4225.5365768832089"/>
    <n v="2845.9109003289327"/>
    <n v="8.5691698826932144E-2"/>
    <n v="9.1250507124738089E-2"/>
    <n v="3.5742408458813088E-2"/>
    <n v="9.125050712766393E-2"/>
    <n v="-1000"/>
    <n v="-9.9999999999999995E-7"/>
    <n v="0"/>
    <n v="35236.202021855999"/>
    <n v="30825.857548083914"/>
  </r>
  <r>
    <x v="1"/>
    <x v="5"/>
    <n v="40811.476875"/>
    <m/>
    <m/>
    <m/>
    <n v="35204.338456066173"/>
    <n v="37793.481455414621"/>
    <n v="47402.286874327147"/>
    <n v="40889.629057692757"/>
    <n v="39512.908826036895"/>
    <n v="1595.9960721229268"/>
    <n v="1376.7202316558585"/>
    <n v="6590.8099993271453"/>
    <n v="4308.5703699707237"/>
    <n v="0.10537073724377695"/>
    <n v="0.11400300273843753"/>
    <n v="4.5495342170334345E-2"/>
    <n v="0.11400300274145399"/>
    <n v="4308.5703699707237"/>
    <n v="0.11400300273843753"/>
    <n v="0"/>
    <n v="44021.449861555397"/>
    <n v="37253.362118986704"/>
  </r>
  <r>
    <x v="1"/>
    <x v="6"/>
    <n v="48852.050718749997"/>
    <m/>
    <m/>
    <m/>
    <n v="40912.82338366453"/>
    <n v="44527.335464257623"/>
    <n v="58448.872005399913"/>
    <n v="48950.010125440407"/>
    <n v="47002.254249116369"/>
    <n v="2325.72237720257"/>
    <n v="1947.7558763240361"/>
    <n v="9596.8212866499143"/>
    <n v="6089.43086545184"/>
    <n v="0.12440101314395698"/>
    <n v="0.13675713585429131"/>
    <n v="5.5582009546593675E-2"/>
    <n v="0.1367571358573626"/>
    <n v="-1000"/>
    <n v="-9.9999999999999995E-7"/>
    <n v="0"/>
    <n v="53470.710100875171"/>
    <n v="43775.183728104952"/>
  </r>
  <r>
    <x v="1"/>
    <x v="7"/>
    <n v="57294.653254687495"/>
    <m/>
    <m/>
    <m/>
    <n v="46585.796206747262"/>
    <n v="51391.943919874277"/>
    <n v="70605.979267590912"/>
    <n v="57409.122392562997"/>
    <n v="54784.127729967171"/>
    <n v="3228.4123324063821"/>
    <n v="2624.9946625958269"/>
    <n v="13311.326012903426"/>
    <n v="8198.3315232199184"/>
    <n v="0.14280537948096947"/>
    <n v="0.15952561622970515"/>
    <n v="6.6006139315953574E-2"/>
    <n v="0.15952561623280925"/>
    <n v="-1000"/>
    <n v="-9.9999999999999995E-7"/>
    <n v="0"/>
    <n v="63624.375360040678"/>
    <n v="50394.312258385798"/>
  </r>
  <r>
    <x v="1"/>
    <x v="8"/>
    <n v="66159.385917421867"/>
    <m/>
    <m/>
    <m/>
    <n v="52226.830179752178"/>
    <n v="58389.845743561156"/>
    <n v="83967.389445024732"/>
    <n v="66284.632609137028"/>
    <n v="62872.530524737347"/>
    <n v="4322.3488351578244"/>
    <n v="3412.1020843996703"/>
    <n v="17808.003527602872"/>
    <n v="10645.70034498518"/>
    <n v="0.16060585855094764"/>
    <n v="0.18232109040940214"/>
    <n v="7.6771649660857533E-2"/>
    <n v="0.18232109041252462"/>
    <n v="-1000"/>
    <n v="-9.9999999999999995E-7"/>
    <n v="0"/>
    <n v="74525.08803429635"/>
    <n v="57113.762431661642"/>
  </r>
  <r>
    <x v="1"/>
    <x v="9"/>
    <n v="75467.355213292962"/>
    <m/>
    <m/>
    <m/>
    <n v="57839.443781187772"/>
    <n v="65523.62915605749"/>
    <n v="98634.29211776951"/>
    <n v="75594.971861927668"/>
    <n v="71282.019296530154"/>
    <n v="5627.4248504582192"/>
    <n v="4312.9525653975115"/>
    <n v="23166.936904476552"/>
    <n v="13442.575515342389"/>
    <n v="0.17782367221609063"/>
    <n v="0.20515615035792781"/>
    <n v="8.7882649582151778E-2"/>
    <n v="0.20515615036105883"/>
    <n v="13442.575515342389"/>
    <n v="0.20515615035792781"/>
    <n v="0"/>
    <n v="86217.860147264932"/>
    <n v="63936.57525946651"/>
  </r>
  <r>
    <x v="2"/>
    <x v="10"/>
    <n v="85240.722973957614"/>
    <m/>
    <m/>
    <m/>
    <n v="63427.10326631934"/>
    <n v="72795.932634815894"/>
    <n v="114715.85331759916"/>
    <n v="85359.36839581083"/>
    <n v="80027.731028456299"/>
    <n v="7165.2747867109265"/>
    <n v="5331.6373673545304"/>
    <n v="29475.130343641544"/>
    <n v="16600.627762136963"/>
    <n v="0.19447927104746174"/>
    <n v="0.22804334199805812"/>
    <n v="9.9343440380371947E-2"/>
    <n v="0.22804334200119072"/>
    <n v="-1000"/>
    <n v="-9.9999999999999995E-7"/>
    <n v="0"/>
    <n v="98750.199432642068"/>
    <n v="70865.819493816613"/>
  </r>
  <r>
    <x v="2"/>
    <x v="11"/>
    <n v="95502.759122655494"/>
    <m/>
    <m/>
    <m/>
    <n v="68993.225164092873"/>
    <n v="80209.445889860857"/>
    <n v="132329.82601308872"/>
    <n v="95597.881840467657"/>
    <n v="89125.408964756207"/>
    <n v="8959.4161819050478"/>
    <n v="6472.4728757114535"/>
    <n v="36827.066890433227"/>
    <n v="20132.18380066333"/>
    <n v="0.21059236242493726"/>
    <n v="0.25099517366142549"/>
    <n v="0.11115851725416796"/>
    <n v="0.2509951736645547"/>
    <n v="-1000"/>
    <n v="-9.9999999999999995E-7"/>
    <n v="0"/>
    <n v="112172.2419631845"/>
    <n v="77904.593078776015"/>
  </r>
  <r>
    <x v="2"/>
    <x v="12"/>
    <n v="106277.89707878827"/>
    <m/>
    <m/>
    <m/>
    <n v="74541.178720281663"/>
    <n v="87766.91085859602"/>
    <n v="151603.20662917887"/>
    <n v="106331.43890244405"/>
    <n v="98591.429624929035"/>
    <n v="11035.402491707429"/>
    <n v="7740.0092775149951"/>
    <n v="45325.309550390608"/>
    <n v="24050.250904647397"/>
    <n v="0.2261819376308318"/>
    <n v="0.27402412445758145"/>
    <n v="0.12333257101611712"/>
    <n v="0.27402412446070362"/>
    <n v="-1000"/>
    <n v="-9.9999999999999995E-7"/>
    <n v="0"/>
    <n v="126536.89166213918"/>
    <n v="85056.024603620215"/>
  </r>
  <r>
    <x v="2"/>
    <x v="13"/>
    <n v="117591.79193272769"/>
    <m/>
    <m/>
    <m/>
    <n v="80074.288288789889"/>
    <n v="95471.122719927982"/>
    <n v="172672.94104511736"/>
    <n v="117581.87058523568"/>
    <n v="108442.83093769479"/>
    <n v="13420.987830984301"/>
    <n v="9139.0396475408943"/>
    <n v="55081.14911238967"/>
    <n v="28368.542648904891"/>
    <n v="0.24126629797247326"/>
    <n v="0.29714265256761557"/>
    <n v="0.13587048992626102"/>
    <n v="0.29714265257072792"/>
    <n v="-1000"/>
    <n v="-9.9999999999999995E-7"/>
    <n v="0"/>
    <n v="141899.96704926706"/>
    <n v="92323.27475840316"/>
  </r>
  <r>
    <x v="2"/>
    <x v="14"/>
    <n v="129471.38152936408"/>
    <m/>
    <m/>
    <m/>
    <n v="85595.835672998481"/>
    <n v="103324.93092808193"/>
    <n v="195686.68377119908"/>
    <n v="129371.95100273714"/>
    <n v="118697.34154358596"/>
    <n v="16146.304584753225"/>
    <n v="10674.609459151165"/>
    <n v="66215.302241835016"/>
    <n v="33101.505870587498"/>
    <n v="0.25586307996778107"/>
    <n v="0.32036320346835789"/>
    <n v="0.1487773616437626"/>
    <n v="0.32036320347145841"/>
    <n v="33101.505870587498"/>
    <n v="0.32036320346835789"/>
    <n v="0"/>
    <n v="158320.35559148001"/>
    <n v="99709.5377927261"/>
  </r>
  <r>
    <x v="3"/>
    <x v="15"/>
    <n v="141944.95060583227"/>
    <m/>
    <m/>
    <m/>
    <n v="91109.062418990405"/>
    <n v="111331.2402664913"/>
    <n v="220803.61428029832"/>
    <n v="141725.43785418596"/>
    <n v="129373.41131702228"/>
    <n v="19244.054873888977"/>
    <n v="12352.026537163674"/>
    <n v="78858.66367446605"/>
    <n v="38264.348898031902"/>
    <n v="0.26998927962671881"/>
    <n v="0.34369821809310325"/>
    <n v="0.1620584752971746"/>
    <n v="0.34369821809619039"/>
    <n v="-1000"/>
    <n v="-9.9999999999999995E-7"/>
    <n v="0"/>
    <n v="175860.17604687557"/>
    <n v="107218.0429785006"/>
  </r>
  <r>
    <x v="3"/>
    <x v="16"/>
    <n v="155042.19813612389"/>
    <m/>
    <m/>
    <m/>
    <n v="96617.172062446843"/>
    <n v="119493.01192215132"/>
    <n v="248195.31476622957"/>
    <n v="154667.11463164413"/>
    <n v="140490.24316086469"/>
    <n v="22749.716935435648"/>
    <n v="14176.871470779433"/>
    <n v="93153.116630105695"/>
    <n v="43873.071098417866"/>
    <n v="0.28366127586035361"/>
    <n v="0.36716014093471544"/>
    <n v="0.17571932367386378"/>
    <n v="0.36716014093778804"/>
    <n v="-1000"/>
    <n v="-9.9999999999999995E-7"/>
    <n v="0"/>
    <n v="194584.9492106672"/>
    <n v="114852.05607749171"/>
  </r>
  <r>
    <x v="3"/>
    <x v="17"/>
    <n v="168794.30804293009"/>
    <m/>
    <m/>
    <m/>
    <n v="102123.33233096104"/>
    <n v="127813.26458083387"/>
    <n v="278046.71391900751"/>
    <n v="168222.83463409581"/>
    <n v="152067.82612868381"/>
    <n v="26701.767557500221"/>
    <n v="16155.008505412001"/>
    <n v="109252.40587607744"/>
    <n v="49944.493797722767"/>
    <n v="0.296894853048151"/>
    <n v="0.3907614280968878"/>
    <n v="0.18976560552923244"/>
    <n v="0.39076142809994502"/>
    <n v="-1000"/>
    <n v="-9.9999999999999995E-7"/>
    <n v="0"/>
    <n v="214563.77749221475"/>
    <n v="122614.88081442226"/>
  </r>
  <r>
    <x v="3"/>
    <x v="18"/>
    <n v="183234.0234450766"/>
    <m/>
    <m/>
    <m/>
    <n v="107630.67730347351"/>
    <n v="136295.07554356853"/>
    <n v="310557.10164873063"/>
    <n v="182419.56686540614"/>
    <n v="164126.96993230985"/>
    <n v="31141.921794838789"/>
    <n v="18292.596933096294"/>
    <n v="127323.07820365405"/>
    <n v="56496.29262883636"/>
    <n v="0.30970522279306945"/>
    <n v="0.41451455529926357"/>
    <n v="0.20420322801644059"/>
    <n v="0.41451455530230491"/>
    <n v="56496.29262883636"/>
    <n v="0.41451455529926357"/>
    <n v="0"/>
    <n v="235869.53377411215"/>
    <n v="130509.86035641441"/>
  </r>
  <r>
    <x v="3"/>
    <x v="19"/>
    <n v="198395.72461733044"/>
    <m/>
    <m/>
    <m/>
    <n v="113142.30952849019"/>
    <n v="144941.58186480287"/>
    <n v="345941.2200568422"/>
    <n v="197285.44389668634"/>
    <n v="176689.34089466525"/>
    <n v="36115.391283843441"/>
    <n v="20596.103002021104"/>
    <n v="147545.49543951172"/>
    <n v="63547.031366175041"/>
    <n v="0.32210704489299469"/>
    <n v="0.43843202584204827"/>
    <n v="0.21903830923741219"/>
    <n v="0.43843202584507318"/>
    <n v="-1000"/>
    <n v="-9.9999999999999995E-7"/>
    <n v="0"/>
    <n v="258579.06002713757"/>
    <n v="138540.37879953996"/>
  </r>
  <r>
    <x v="4"/>
    <x v="20"/>
    <n v="214315.51084819698"/>
    <m/>
    <m/>
    <m/>
    <n v="118661.30210270511"/>
    <n v="153755.98151266313"/>
    <n v="384430.43634780496"/>
    <n v="212849.81177705276"/>
    <n v="189777.49941041894"/>
    <n v="41671.162575179362"/>
    <n v="23072.312366633811"/>
    <n v="170114.92549960804"/>
    <n v="71116.197307713854"/>
    <n v="0.33411444755606501"/>
    <n v="0.46252637853568185"/>
    <n v="0.2342771809159771"/>
    <n v="0.46252637853869005"/>
    <n v="-1000"/>
    <n v="-9.9999999999999995E-7"/>
    <n v="0"/>
    <n v="282773.37617887248"/>
    <n v="146709.86266324687"/>
  </r>
  <r>
    <x v="4"/>
    <x v="21"/>
    <n v="231031.28639060684"/>
    <m/>
    <m/>
    <m/>
    <n v="124190.70071161009"/>
    <n v="162741.53455174397"/>
    <n v="426274.0037977873"/>
    <n v="229143.28208035778"/>
    <n v="203414.93897965061"/>
    <n v="47862.297009324982"/>
    <n v="25728.343100707159"/>
    <n v="195242.71740718049"/>
    <n v="79224.238268040543"/>
    <n v="0.345741046886478"/>
    <n v="0.48681019560107586"/>
    <n v="0.24992639119409593"/>
    <n v="0.48681019560406719"/>
    <n v="-1000"/>
    <n v="-9.9999999999999995E-7"/>
    <n v="0"/>
    <n v="308537.89975900628"/>
    <n v="155021.78239342672"/>
  </r>
  <r>
    <x v="4"/>
    <x v="22"/>
    <n v="248582.85071013717"/>
    <m/>
    <m/>
    <m/>
    <n v="129733.52563363589"/>
    <n v="171901.56434886521"/>
    <n v="471740.41735196346"/>
    <n v="246197.78617921087"/>
    <n v="217626.12688247135"/>
    <n v="54746.253775291385"/>
    <n v="28571.659296739512"/>
    <n v="223157.56664182627"/>
    <n v="87892.601248835446"/>
    <n v="0.35699996566645475"/>
    <n v="0.51129611054586288"/>
    <n v="0.26599270755215776"/>
    <n v="0.51129611054883728"/>
    <n v="87892.601248835446"/>
    <n v="0.51129611054586288"/>
    <n v="0"/>
    <n v="335962.67687082483"/>
    <n v="163479.65387488416"/>
  </r>
  <r>
    <x v="4"/>
    <x v="23"/>
    <n v="267011.99324564403"/>
    <m/>
    <m/>
    <m/>
    <n v="135292.77370933318"/>
    <n v="181239.45880224125"/>
    <n v="521118.87091082224"/>
    <n v="264046.63184151286"/>
    <n v="232436.54656543065"/>
    <n v="62385.237916437574"/>
    <n v="31610.085276082238"/>
    <n v="254106.87766517818"/>
    <n v="97143.772856097421"/>
    <n v="0.36790385145914328"/>
    <n v="0.53599681602205329"/>
    <n v="0.28248311985445124"/>
    <n v="0.53599681602501081"/>
    <n v="-1000"/>
    <n v="-9.9999999999999995E-7"/>
    <n v="0"/>
    <n v="365142.62506619812"/>
    <n v="172087.03995396692"/>
  </r>
  <r>
    <x v="4"/>
    <x v="24"/>
    <n v="286362.59290792624"/>
    <m/>
    <m/>
    <m/>
    <n v="140871.42027706606"/>
    <n v="190758.67159451777"/>
    <n v="574720.82389094587"/>
    <n v="282724.56224879419"/>
    <n v="247872.74181354031"/>
    <n v="70846.575180200307"/>
    <n v="34851.820435253889"/>
    <n v="288358.23098301957"/>
    <n v="107001.32153647422"/>
    <n v="0.37846489405638506"/>
    <n v="0.56092507167044259"/>
    <n v="0.2994048435209587"/>
    <n v="0.56092507167338301"/>
    <n v="-1000"/>
    <n v="-9.9999999999999995E-7"/>
    <n v="0"/>
    <n v="396177.7887305987"/>
    <n v="180847.55197211367"/>
  </r>
  <r>
    <x v="4"/>
    <x v="25"/>
    <n v="306680.72255332256"/>
    <m/>
    <m/>
    <m/>
    <n v="146472.42107665673"/>
    <n v="200462.72347013949"/>
    <n v="632881.68520977057"/>
    <n v="302267.81753989094"/>
    <n v="263962.36278487998"/>
    <n v="80203.115751410034"/>
    <n v="38305.454755010971"/>
    <n v="326200.96265644801"/>
    <n v="117489.94170822327"/>
    <n v="0.38869484229444434"/>
    <n v="0.58609371195706728"/>
    <n v="0.31676532282671127"/>
    <n v="0.58609371195999105"/>
    <n v="-1000"/>
    <n v="-9.9999999999999995E-7"/>
    <n v="0"/>
    <n v="429173.6076153742"/>
    <n v="189764.85131107425"/>
  </r>
  <r>
    <x v="4"/>
    <x v="26"/>
    <n v="328014.75868098869"/>
    <m/>
    <m/>
    <m/>
    <n v="152098.71412238787"/>
    <n v="210355.20353752084"/>
    <n v="695962.62344975083"/>
    <n v="322714.19898791873"/>
    <n v="280734.21398801589"/>
    <n v="90533.669062411907"/>
    <n v="41979.984999902852"/>
    <n v="367947.86476876214"/>
    <n v="128635.49986562802"/>
    <n v="0.39860502025999534"/>
    <n v="0.61151565400697072"/>
    <n v="0.33457223433002276"/>
    <n v="0.61151565400987784"/>
    <n v="128635.49986562802"/>
    <n v="0.61151565400697072"/>
    <n v="0"/>
    <n v="464241.19918673229"/>
    <n v="198842.65095055691"/>
  </r>
  <r>
    <x v="4"/>
    <x v="27"/>
    <n v="350415.49661503814"/>
    <m/>
    <m/>
    <m/>
    <n v="157753.22154673623"/>
    <n v="220439.77059650182"/>
    <n v="764352.5126082272"/>
    <n v="344103.13592311455"/>
    <n v="298218.30428587017"/>
    <n v="101923.47203824864"/>
    <n v="45884.83163724441"/>
    <n v="413937.01599318912"/>
    <n v="140465.08273913397"/>
    <n v="0.40820634290789626"/>
    <n v="0.63720390544049044"/>
    <n v="0.35283349043098039"/>
    <n v="0.63720390544338112"/>
    <n v="-1000"/>
    <n v="-9.9999999999999995E-7"/>
    <n v="0"/>
    <n v="501497.65549475717"/>
    <n v="208084.71703905522"/>
  </r>
  <r>
    <x v="4"/>
    <x v="28"/>
    <n v="373936.27144579007"/>
    <m/>
    <m/>
    <m/>
    <n v="163438.85141618084"/>
    <n v="230720.15449157954"/>
    <n v="838470.02353848284"/>
    <n v="366475.75551893038"/>
    <n v="316445.89901323314"/>
    <n v="114464.69331254854"/>
    <n v="50029.856505697244"/>
    <n v="464533.75209269283"/>
    <n v="153007.04759705235"/>
    <n v="0.41750933111153055"/>
    <n v="0.66317157221725676"/>
    <n v="0.37155724306166882"/>
    <n v="0.66317157222013112"/>
    <n v="-1000"/>
    <n v="-9.9999999999999995E-7"/>
    <n v="0"/>
    <n v="541066.35530134127"/>
    <n v="217494.87047860798"/>
  </r>
  <r>
    <x v="4"/>
    <x v="29"/>
    <n v="398633.08501807961"/>
    <m/>
    <m/>
    <m/>
    <n v="169158.49952040048"/>
    <n v="241200.15749141603"/>
    <n v="918765.87193853618"/>
    <n v="389874.95556377713"/>
    <n v="335449.5742988158"/>
    <n v="128256.97614041688"/>
    <n v="54425.381264961317"/>
    <n v="520132.78692045662"/>
    <n v="166291.07477841541"/>
    <n v="0.42652412616578167"/>
    <n v="0.68943186649305577"/>
    <n v="0.39075188750966705"/>
    <n v="0.68943186649591415"/>
    <n v="-1000"/>
    <n v="-9.9999999999999995E-7"/>
    <n v="0"/>
    <n v="583077.2922432737"/>
    <n v="227076.98852424507"/>
  </r>
  <r>
    <x v="5"/>
    <x v="30"/>
    <n v="424564.7392689836"/>
    <m/>
    <m/>
    <m/>
    <n v="174915.05113614447"/>
    <n v="251883.65569513285"/>
    <n v="1005725.23455101"/>
    <n v="414345.48034604598"/>
    <n v="355263.2736866023"/>
    <n v="143408.02293953946"/>
    <n v="59082.206659443706"/>
    <n v="581160.49528202636"/>
    <n v="180348.22255045784"/>
    <n v="0.43526050376200953"/>
    <n v="0.71599811449467821"/>
    <n v="0.41042606637643403"/>
    <n v="0.71599811449752082"/>
    <n v="180348.22255045784"/>
    <n v="0.71599811449467821"/>
    <n v="0"/>
    <n v="627667.41984596243"/>
    <n v="236835.00639887332"/>
  </r>
  <r>
    <x v="5"/>
    <x v="31"/>
    <n v="451792.97623243276"/>
    <m/>
    <m/>
    <m/>
    <n v="180711.382767036"/>
    <n v="262774.60046591214"/>
    <n v="1099870.3461040757"/>
    <n v="439933.99978549225"/>
    <n v="375922.36715529615"/>
    <n v="160034.22461094009"/>
    <n v="64011.632630196109"/>
    <n v="648077.36987164302"/>
    <n v="195210.9843882602"/>
    <n v="0.44372788745373276"/>
    <n v="0.74288376441786519"/>
    <n v="0.43058867367229375"/>
    <n v="0.74288376442069226"/>
    <n v="-1000"/>
    <n v="-9.9999999999999995E-7"/>
    <n v="0"/>
    <n v="674981.01424448239"/>
    <n v="246772.91892435643"/>
  </r>
  <r>
    <x v="5"/>
    <x v="32"/>
    <n v="480382.62504405441"/>
    <m/>
    <m/>
    <m/>
    <n v="186550.36386053814"/>
    <n v="273877.01989243471"/>
    <n v="1201763.2904544175"/>
    <n v="466689.19194974931"/>
    <n v="397463.71263885312"/>
    <n v="178261.33802752511"/>
    <n v="69225.479310896204"/>
    <n v="721380.66541036312"/>
    <n v="210913.348778315"/>
    <n v="0.45193536163106929"/>
    <n v="0.7701023943534262"/>
    <n v="0.45124885904979223"/>
    <n v="0.77010239435623806"/>
    <n v="-1000"/>
    <n v="-9.9999999999999995E-7"/>
    <n v="0"/>
    <n v="725170.05551192746"/>
    <n v="256894.782169546"/>
  </r>
  <r>
    <x v="5"/>
    <x v="33"/>
    <n v="510401.75629625714"/>
    <m/>
    <m/>
    <m/>
    <n v="192434.85850328821"/>
    <n v="285195.02027869556"/>
    <n v="1312009.0003931785"/>
    <n v="494661.82910067186"/>
    <n v="419925.72015547677"/>
    <n v="198225.21533292872"/>
    <n v="74736.108945195068"/>
    <n v="801607.24409692129"/>
    <n v="227490.86165218856"/>
    <n v="0.45989168402137054"/>
    <n v="0.79766772024660326"/>
    <n v="0.47241603217728328"/>
    <n v="0.79766772024940025"/>
    <n v="-1000"/>
    <n v="-9.9999999999999995E-7"/>
    <n v="0"/>
    <n v="778394.62854051183"/>
    <n v="267204.71511601994"/>
  </r>
  <r>
    <x v="5"/>
    <x v="34"/>
    <n v="541921.84411107004"/>
    <m/>
    <m/>
    <m/>
    <n v="198367.7270959827"/>
    <n v="296732.7876627479"/>
    <n v="1431258.4816500414"/>
    <n v="523904.86742139119"/>
    <n v="443348.41865702515"/>
    <n v="220072.58896655604"/>
    <n v="80556.44876436601"/>
    <n v="889336.63753897138"/>
    <n v="244980.69156104248"/>
    <n v="0.46760529773287485"/>
    <n v="0.82559360389472713"/>
    <n v="0.49409986725468796"/>
    <n v="0.82559360389750946"/>
    <n v="244980.69156104248"/>
    <n v="0.82559360389472713"/>
    <n v="0"/>
    <n v="834823.34446862107"/>
    <n v="277706.90134229045"/>
  </r>
  <r>
    <x v="5"/>
    <x v="35"/>
    <n v="575017.93631662359"/>
    <m/>
    <m/>
    <m/>
    <n v="204351.82800896859"/>
    <n v="308494.58936493716"/>
    <n v="1560212.2777844812"/>
    <n v="554473.54058141238"/>
    <n v="467773.52571554168"/>
    <n v="243961.91662452655"/>
    <n v="86700.014865870748"/>
    <n v="985194.34146785759"/>
    <n v="263421.69770657312"/>
    <n v="0.47508434285763174"/>
    <n v="0.85389406098821896"/>
    <n v="0.51631030767344743"/>
    <n v="0.85389406099098697"/>
    <n v="-1000"/>
    <n v="-9.9999999999999995E-7"/>
    <n v="0"/>
    <n v="894633.78369717055"/>
    <n v="288405.59072724282"/>
  </r>
  <r>
    <x v="5"/>
    <x v="36"/>
    <n v="609768.83313245478"/>
    <n v="404136.91255356907"/>
    <e v="#NUM!"/>
    <e v="#NUM!"/>
    <n v="210390.01921967702"/>
    <n v="320484.77556619811"/>
    <n v="1699624.1938926717"/>
    <n v="586425.45730380493"/>
    <n v="493244.5201685928"/>
    <n v="270064.29068196414"/>
    <n v="93180.937135212051"/>
    <n v="1089855.3607602171"/>
    <n v="282854.50094891584"/>
    <n v="0.48233666764938199"/>
    <n v="0.88258326919996832"/>
    <n v="0.53905757082276784"/>
    <n v="0.88258326920272223"/>
    <n v="-1000"/>
    <n v="-9.9999999999999995E-7"/>
    <n v="0"/>
    <n v="958012.96159131126"/>
    <n v="299305.1011735716"/>
  </r>
  <r>
    <x v="5"/>
    <x v="37"/>
    <n v="646257.27478907746"/>
    <m/>
    <m/>
    <m/>
    <n v="216485.1599330107"/>
    <n v="332707.7809169981"/>
    <n v="1850305.2983899298"/>
    <n v="619820.70310554758"/>
    <n v="519806.717850279"/>
    <n v="298564.4169413987"/>
    <n v="100013.98525526848"/>
    <n v="1204048.0236008526"/>
    <n v="303321.55791726842"/>
    <n v="0.48936983929154049"/>
    <n v="0.91167557632812779"/>
    <n v="0.56235215304434738"/>
    <n v="0.91167557633086804"/>
    <n v="303321.55791726842"/>
    <n v="0.91167557632812779"/>
    <n v="0"/>
    <n v="1025157.818018856"/>
    <n v="310409.82035198272"/>
  </r>
  <r>
    <x v="5"/>
    <x v="38"/>
    <n v="684570.1385285313"/>
    <m/>
    <m/>
    <m/>
    <n v="222640.11218577737"/>
    <n v="345168.12617752235"/>
    <n v="2013128.2235586955"/>
    <n v="654721.94638940215"/>
    <n v="547507.35054019"/>
    <n v="329661.66793669225"/>
    <n v="107214.59584921213"/>
    <n v="1328558.0850301646"/>
    <n v="324867.23835441272"/>
    <n v="0.4961911542699009"/>
    <n v="0.94118550849735783"/>
    <n v="0.58620483473784946"/>
    <n v="0.94118550850008453"/>
    <n v="-1000"/>
    <n v="-9.9999999999999995E-7"/>
    <n v="0"/>
    <n v="1096275.7319349134"/>
    <n v="321724.20746693551"/>
  </r>
  <r>
    <x v="5"/>
    <x v="39"/>
    <n v="724798.64545495785"/>
    <m/>
    <m/>
    <m/>
    <n v="228857.74243624054"/>
    <n v="357870.41988970723"/>
    <n v="2189031.7870882372"/>
    <n v="691194.54907330673"/>
    <n v="576395.6482682114"/>
    <n v="363571.21641376097"/>
    <n v="114798.90080509534"/>
    <n v="1464233.1416332792"/>
    <n v="347537.9058319708"/>
    <n v="0.50280764836418135"/>
    <n v="0.97112777842356468"/>
    <n v="0.61062668561948164"/>
    <n v="0.97112777842627829"/>
    <n v="-1000"/>
    <n v="-9.9999999999999995E-7"/>
    <n v="0"/>
    <n v="1171585.0622832573"/>
    <n v="333252.79504470114"/>
  </r>
  <r>
    <x v="6"/>
    <x v="40"/>
    <n v="767038.57772770571"/>
    <m/>
    <m/>
    <m/>
    <n v="235140.92313983955"/>
    <n v="370819.36008174042"/>
    <n v="2379025.9584823614"/>
    <n v="729306.68195123051"/>
    <n v="606522.92511896684"/>
    <n v="400525.25503046805"/>
    <n v="122783.75683226358"/>
    <n v="1611987.3807546555"/>
    <n v="371382.00197912729"/>
    <n v="0.50922610627203801"/>
    <n v="1.0015172937471801"/>
    <n v="0.63562907013611647"/>
    <n v="1.0015172937498809"/>
    <n v="371382.00197912729"/>
    <n v="1.0015172937471801"/>
    <n v="0"/>
    <n v="1251315.7165490694"/>
    <n v="345000.19074452063"/>
  </r>
  <r>
    <x v="6"/>
    <x v="41"/>
    <n v="811390.50661409099"/>
    <m/>
    <m/>
    <m/>
    <n v="241492.53431211103"/>
    <n v="384019.7360056577"/>
    <n v="2584197.1959838737"/>
    <n v="769129.44498771499"/>
    <n v="637942.66868580703"/>
    <n v="440774.30877057282"/>
    <n v="131186.77630190802"/>
    <n v="1772806.6893697828"/>
    <n v="396450.134373696"/>
    <n v="0.51545307087870373"/>
    <n v="1.0323691654400355"/>
    <n v="0.6612236530374791"/>
    <n v="1.0323691654427238"/>
    <n v="-1000"/>
    <n v="-9.9999999999999995E-7"/>
    <n v="0"/>
    <n v="1335709.748365025"/>
    <n v="356971.07919364725"/>
  </r>
  <r>
    <x v="6"/>
    <x v="42"/>
    <n v="857960.03194479551"/>
    <m/>
    <m/>
    <m/>
    <n v="247915.46507982927"/>
    <n v="397476.42990868021"/>
    <n v="2805714.1815683991"/>
    <n v="810736.99275697558"/>
    <n v="670710.63333065121"/>
    <n v="484588.64705289097"/>
    <n v="140026.3594263244"/>
    <n v="1947754.1496236038"/>
    <n v="422795.168250822"/>
    <n v="0.52149485218495328"/>
    <n v="1.0636987162909133"/>
    <n v="0.68742240510901809"/>
    <n v="1.0636987162935894"/>
    <n v="-1000"/>
    <n v="-9.9999999999999995E-7"/>
    <n v="0"/>
    <n v="1425021.9856434106"/>
    <n v="369170.22384706832"/>
  </r>
  <r>
    <x v="6"/>
    <x v="43"/>
    <n v="906858.03354203526"/>
    <m/>
    <m/>
    <m/>
    <n v="254412.61522136204"/>
    <n v="411194.41883894586"/>
    <n v="3044833.9836052177"/>
    <n v="854206.66524643451"/>
    <n v="704884.93741264695"/>
    <n v="532259.80303934834"/>
    <n v="149321.72783378765"/>
    <n v="2137975.950063183"/>
    <n v="450472.32219128503"/>
    <n v="0.52735753590565837"/>
    <n v="1.0955214894748553"/>
    <n v="0.71423760906816203"/>
    <n v="1.0955214894775196"/>
    <n v="-1000"/>
    <n v="-9.9999999999999995E-7"/>
    <n v="0"/>
    <n v="1519520.6907812397"/>
    <n v="381602.46887270291"/>
  </r>
  <r>
    <x v="6"/>
    <x v="44"/>
    <n v="958200.935219137"/>
    <m/>
    <m/>
    <m/>
    <n v="260986.89669722426"/>
    <n v="425178.77648630406"/>
    <n v="3302908.6789794303"/>
    <n v="899619.12425396475"/>
    <n v="740526.1646555654"/>
    <n v="584102.20820709877"/>
    <n v="159092.95959839938"/>
    <n v="2344707.7437602933"/>
    <n v="479539.26795834111"/>
    <n v="0.5330469917507682"/>
    <n v="1.1278532572113469"/>
    <n v="0.74168186562675087"/>
    <n v="1.1278532572139994"/>
    <n v="-1000"/>
    <n v="-9.9999999999999995E-7"/>
    <n v="0"/>
    <n v="1619488.2545633412"/>
    <n v="394272.74106288026"/>
  </r>
  <r>
    <x v="6"/>
    <x v="45"/>
    <n v="1012110.9819800939"/>
    <m/>
    <m/>
    <m/>
    <n v="267641.23517179646"/>
    <n v="439434.6750588537"/>
    <n v="3581392.4688292653"/>
    <n v="947058.49561791075"/>
    <n v="777697.46983109543"/>
    <n v="640454.95085322647"/>
    <n v="169361.02578681539"/>
    <n v="2569281.4868491711"/>
    <n v="510056.23465929885"/>
    <n v="0.53856888140014469"/>
    <n v="1.1607100295165056"/>
    <n v="0.76976809972253102"/>
    <n v="1.160710029519147"/>
    <n v="-1000"/>
    <n v="-9.9999999999999995E-7"/>
    <n v="0"/>
    <n v="1725221.9254703252"/>
    <n v="407186.05177291034"/>
  </r>
  <r>
    <x v="6"/>
    <x v="46"/>
    <n v="1068716.5310790986"/>
    <m/>
    <m/>
    <m/>
    <n v="274378.57152715878"/>
    <n v="453967.38719591883"/>
    <n v="3881849.3245867761"/>
    <n v="996612.51752917352"/>
    <n v="816464.68894275546"/>
    <n v="701683.66784886457"/>
    <n v="180147.82858641809"/>
    <n v="2813132.7935076775"/>
    <n v="542086.11741559673"/>
    <n v="0.54392866618327973"/>
    <n v="1.1941080630544378"/>
    <n v="0.79850956692268638"/>
    <n v="1.1941080630570682"/>
    <n v="-1000"/>
    <n v="-9.9999999999999995E-7"/>
    <n v="0"/>
    <n v="1837034.5761843801"/>
    <n v="420347.49888756423"/>
  </r>
  <r>
    <x v="6"/>
    <x v="47"/>
    <n v="1128152.3576330536"/>
    <m/>
    <m/>
    <m/>
    <n v="281201.8633699778"/>
    <n v="468782.28791816969"/>
    <n v="4205961.2037324831"/>
    <n v="1048372.695185295"/>
    <n v="856896.45410302398"/>
    <n v="768182.57965619664"/>
    <n v="191476.24108227095"/>
    <n v="3077808.8460994293"/>
    <n v="575694.59073304618"/>
    <n v="0.54913161447454684"/>
    <n v="1.2280638700929565"/>
    <n v="0.82791986000248208"/>
    <n v="1.2280638700955762"/>
    <n v="575694.59073304618"/>
    <n v="1.2280638700929565"/>
    <n v="0"/>
    <n v="1955255.5091762352"/>
    <n v="433762.26881628996"/>
  </r>
  <r>
    <x v="6"/>
    <x v="48"/>
    <n v="1190559.9755147062"/>
    <m/>
    <m/>
    <m/>
    <n v="288114.08653237013"/>
    <n v="483884.8566156099"/>
    <n v="4555536.8775985874"/>
    <n v="1102434.4620575816"/>
    <n v="899064.31330449821"/>
    <n v="840376.67937034345"/>
    <n v="203370.14875308328"/>
    <n v="3364976.9020838817"/>
    <n v="610950.22677212837"/>
    <n v="0.55418280881426152"/>
    <n v="1.2625942275688831"/>
    <n v="0.85801291570217497"/>
    <n v="1.2625942275714925"/>
    <n v="-1000"/>
    <n v="-9.9999999999999995E-7"/>
    <n v="0"/>
    <n v="2080231.3033515273"/>
    <n v="447435.63851799659"/>
  </r>
  <r>
    <x v="6"/>
    <x v="49"/>
    <n v="1256087.9742904415"/>
    <m/>
    <m/>
    <m/>
    <n v="295118.23656765278"/>
    <n v="499280.67907416547"/>
    <n v="4932521.4166962719"/>
    <n v="1158897.348053897"/>
    <n v="943042.85529447161"/>
    <n v="918724.0873524372"/>
    <n v="215854.49275942543"/>
    <n v="3676433.4424058306"/>
    <n v="647924.61872681882"/>
    <n v="0.55908715276547249"/>
    <n v="1.2977161862681961"/>
    <n v="0.88880302166547009"/>
    <n v="1.2977161862707951"/>
    <n v="-1000"/>
    <n v="-9.9999999999999995E-7"/>
    <n v="0"/>
    <n v="2212326.7038345118"/>
    <n v="461372.977556248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5EE19E-88A4-4F3F-86BE-6CA8655B21DC}" name="PivotTable1" cacheId="0" applyNumberFormats="0" applyBorderFormats="0" applyFontFormats="0" applyPatternFormats="0" applyAlignmentFormats="0" applyWidthHeightFormats="1" dataCaption="Values" updatedVersion="8" minRefreshableVersion="3" useAutoFormatting="1" pageOverThenDown="1" itemPrintTitles="1" createdVersion="8" indent="0" outline="1" outlineData="1" multipleFieldFilters="0" chartFormat="29" fieldListSortAscending="1">
  <location ref="I5:M21" firstHeaderRow="0" firstDataRow="1" firstDataCol="1" rowPageCount="1" colPageCount="1"/>
  <pivotFields count="24">
    <pivotField axis="axisPage" multipleItemSelectionAllowed="1" showAll="0">
      <items count="8">
        <item x="0"/>
        <item x="1"/>
        <item x="2"/>
        <item h="1" x="3"/>
        <item h="1" x="4"/>
        <item h="1" x="5"/>
        <item h="1" x="6"/>
        <item t="default"/>
      </items>
    </pivotField>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umFmtId="165" showAll="0"/>
    <pivotField showAll="0"/>
    <pivotField showAll="0"/>
    <pivotField showAll="0"/>
    <pivotField dataField="1" numFmtId="165" showAll="0"/>
    <pivotField dataField="1" numFmtId="165" showAll="0"/>
    <pivotField numFmtId="165" showAll="0"/>
    <pivotField numFmtId="165" showAll="0"/>
    <pivotField dataField="1" numFmtId="165" showAll="0"/>
    <pivotField numFmtId="165" showAll="0"/>
    <pivotField numFmtId="165" showAll="0"/>
    <pivotField numFmtId="165" showAll="0"/>
    <pivotField numFmtId="165" showAll="0"/>
    <pivotField numFmtId="9" showAll="0"/>
    <pivotField numFmtId="9" showAll="0"/>
    <pivotField numFmtId="9" showAll="0"/>
    <pivotField numFmtId="9" showAll="0"/>
    <pivotField numFmtId="165" showAll="0"/>
    <pivotField numFmtId="9" showAll="0"/>
    <pivotField numFmtId="165" showAll="0"/>
    <pivotField numFmtId="165" showAll="0"/>
    <pivotField dataField="1" numFmtId="165" showAll="0"/>
  </pivotFields>
  <rowFields count="1">
    <field x="1"/>
  </rowFields>
  <rowItems count="16">
    <i>
      <x/>
    </i>
    <i>
      <x v="1"/>
    </i>
    <i>
      <x v="2"/>
    </i>
    <i>
      <x v="3"/>
    </i>
    <i>
      <x v="4"/>
    </i>
    <i>
      <x v="5"/>
    </i>
    <i>
      <x v="6"/>
    </i>
    <i>
      <x v="7"/>
    </i>
    <i>
      <x v="8"/>
    </i>
    <i>
      <x v="9"/>
    </i>
    <i>
      <x v="10"/>
    </i>
    <i>
      <x v="11"/>
    </i>
    <i>
      <x v="12"/>
    </i>
    <i>
      <x v="13"/>
    </i>
    <i>
      <x v="14"/>
    </i>
    <i t="grand">
      <x/>
    </i>
  </rowItems>
  <colFields count="1">
    <field x="-2"/>
  </colFields>
  <colItems count="4">
    <i>
      <x/>
    </i>
    <i i="1">
      <x v="1"/>
    </i>
    <i i="2">
      <x v="2"/>
    </i>
    <i i="3">
      <x v="3"/>
    </i>
  </colItems>
  <pageFields count="1">
    <pageField fld="0" hier="-1"/>
  </pageFields>
  <dataFields count="4">
    <dataField name="Sum of Savings* (real, full inflation* max year)" fld="6" baseField="0" baseItem="0" numFmtId="165"/>
    <dataField name="Sum of Savings (Real, adj. per year)" fld="7" baseField="0" baseItem="0" numFmtId="165"/>
    <dataField name="Sum of Net Present value (real)" fld="10" baseField="0" baseItem="0" numFmtId="165"/>
    <dataField name="Sum of Net deposit (real)" fld="23" baseField="0" baseItem="0" numFmtId="165"/>
  </dataFields>
  <formats count="2">
    <format dxfId="1">
      <pivotArea outline="0" collapsedLevelsAreSubtotals="1" fieldPosition="0">
        <references count="1">
          <reference field="4294967294" count="3" selected="0">
            <x v="0"/>
            <x v="1"/>
            <x v="2"/>
          </reference>
        </references>
      </pivotArea>
    </format>
    <format dxfId="0">
      <pivotArea outline="0" collapsedLevelsAreSubtotals="1" fieldPosition="0">
        <references count="1">
          <reference field="4294967294" count="1" selected="0">
            <x v="3"/>
          </reference>
        </references>
      </pivotArea>
    </format>
  </formats>
  <chartFormats count="12">
    <chartFormat chart="2" format="19" series="1">
      <pivotArea type="data" outline="0" fieldPosition="0">
        <references count="1">
          <reference field="4294967294" count="1" selected="0">
            <x v="0"/>
          </reference>
        </references>
      </pivotArea>
    </chartFormat>
    <chartFormat chart="2" format="20" series="1">
      <pivotArea type="data" outline="0" fieldPosition="0">
        <references count="1">
          <reference field="4294967294" count="1" selected="0">
            <x v="1"/>
          </reference>
        </references>
      </pivotArea>
    </chartFormat>
    <chartFormat chart="2" format="23" series="1">
      <pivotArea type="data" outline="0" fieldPosition="0">
        <references count="1">
          <reference field="4294967294" count="1" selected="0">
            <x v="2"/>
          </reference>
        </references>
      </pivotArea>
    </chartFormat>
    <chartFormat chart="2" format="34" series="1">
      <pivotArea type="data" outline="0" fieldPosition="0">
        <references count="1">
          <reference field="4294967294" count="1" selected="0">
            <x v="3"/>
          </reference>
        </references>
      </pivotArea>
    </chartFormat>
    <chartFormat chart="8" format="77" series="1">
      <pivotArea type="data" outline="0" fieldPosition="0">
        <references count="1">
          <reference field="4294967294" count="1" selected="0">
            <x v="0"/>
          </reference>
        </references>
      </pivotArea>
    </chartFormat>
    <chartFormat chart="8" format="78" series="1">
      <pivotArea type="data" outline="0" fieldPosition="0">
        <references count="1">
          <reference field="4294967294" count="1" selected="0">
            <x v="1"/>
          </reference>
        </references>
      </pivotArea>
    </chartFormat>
    <chartFormat chart="8" format="79" series="1">
      <pivotArea type="data" outline="0" fieldPosition="0">
        <references count="1">
          <reference field="4294967294" count="1" selected="0">
            <x v="2"/>
          </reference>
        </references>
      </pivotArea>
    </chartFormat>
    <chartFormat chart="8" format="80" series="1">
      <pivotArea type="data" outline="0" fieldPosition="0">
        <references count="1">
          <reference field="4294967294" count="1" selected="0">
            <x v="3"/>
          </reference>
        </references>
      </pivotArea>
    </chartFormat>
    <chartFormat chart="24" format="89" series="1">
      <pivotArea type="data" outline="0" fieldPosition="0">
        <references count="1">
          <reference field="4294967294" count="1" selected="0">
            <x v="0"/>
          </reference>
        </references>
      </pivotArea>
    </chartFormat>
    <chartFormat chart="24" format="90" series="1">
      <pivotArea type="data" outline="0" fieldPosition="0">
        <references count="1">
          <reference field="4294967294" count="1" selected="0">
            <x v="1"/>
          </reference>
        </references>
      </pivotArea>
    </chartFormat>
    <chartFormat chart="24" format="91" series="1">
      <pivotArea type="data" outline="0" fieldPosition="0">
        <references count="1">
          <reference field="4294967294" count="1" selected="0">
            <x v="2"/>
          </reference>
        </references>
      </pivotArea>
    </chartFormat>
    <chartFormat chart="24" format="92"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800DC0F-99BD-DF4E-A215-D55BA6D0943A}" name="Table215" displayName="Table215" ref="T2:T17" totalsRowShown="0" headerRowDxfId="63" dataDxfId="61" headerRowBorderDxfId="62" tableBorderDxfId="60" totalsRowBorderDxfId="59">
  <autoFilter ref="T2:T17" xr:uid="{7B4A7191-76A8-4E87-9665-3B52A3103BEC}"/>
  <tableColumns count="1">
    <tableColumn id="1" xr3:uid="{09926191-07A6-2C43-BA4A-3D12D6A985F0}" name="Anni" dataDxfId="5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0936798-401E-0948-BE9A-E886755C6D71}" name="Table416" displayName="Table416" ref="S2:S18" totalsRowShown="0" headerRowDxfId="57" dataDxfId="55" headerRowBorderDxfId="56" tableBorderDxfId="54" totalsRowBorderDxfId="53">
  <autoFilter ref="S2:S18" xr:uid="{5E5CF4B3-7134-4B8E-8832-9A6153672E07}"/>
  <tableColumns count="1">
    <tableColumn id="1" xr3:uid="{9A59C0C8-7441-4E48-A08F-5D202C157849}" name="Inflazione Long term"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1E097BE-ED7F-E34E-BDE4-23AF35A65381}" name="Table617" displayName="Table617" ref="R2:R13" totalsRowShown="0" headerRowDxfId="51" dataDxfId="49" headerRowBorderDxfId="50" tableBorderDxfId="48" totalsRowBorderDxfId="47">
  <autoFilter ref="R2:R13" xr:uid="{D8197383-1051-4EE4-B0E1-4A8C78E842D4}"/>
  <tableColumns count="1">
    <tableColumn id="1" xr3:uid="{5FDA4F2E-E191-414D-8887-2D5D56381719}" name="%4°pilastro" dataDxfId="4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E777739-B4D5-C040-9D2E-6DC50B3D6010}" name="Table1118" displayName="Table1118" ref="U2:U12" totalsRowShown="0" headerRowDxfId="45" dataDxfId="43" headerRowBorderDxfId="44" tableBorderDxfId="42" totalsRowBorderDxfId="41">
  <autoFilter ref="U2:U12" xr:uid="{2136D065-3782-42E6-A30D-46EEA9187606}"/>
  <tableColumns count="1">
    <tableColumn id="1" xr3:uid="{DBC0087E-C4DD-6F4C-AEA0-781A4315A06D}" name="Tasso stipendio annuo" dataDxfId="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F663577-CE6B-2B4F-AF3A-4C732E87160C}" name="Table1219" displayName="Table1219" ref="V2:V73" totalsRowShown="0" headerRowDxfId="39" dataDxfId="37" headerRowBorderDxfId="38" tableBorderDxfId="36" totalsRowBorderDxfId="35">
  <autoFilter ref="V2:V73" xr:uid="{D891A223-53B1-4E73-A046-EE64D74BA422}"/>
  <tableColumns count="1">
    <tableColumn id="1" xr3:uid="{9D2914C4-367D-A749-B3D2-465A13CE0533}" name="Rendita " dataDxfId="3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A25FAB-CCB2-644D-9085-3664657CD3B5}" name="T" displayName="T" ref="W2:W52" totalsRowShown="0" headerRowDxfId="33" dataDxfId="31" headerRowBorderDxfId="32" tableBorderDxfId="30" totalsRowBorderDxfId="29">
  <autoFilter ref="W2:W52" xr:uid="{49A77DBD-B192-4509-8DA4-0EB405A35838}"/>
  <tableColumns count="1">
    <tableColumn id="1" xr3:uid="{03B8A726-5204-3D42-A5B9-0A6D03A5CDBB}" name="t" dataDxfId="2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2034BC9-31F2-4471-9860-6F9EE1C06757}" name="Table28" displayName="Table28" ref="B2:AD52" totalsRowShown="0">
  <autoFilter ref="B2:AD52" xr:uid="{32034BC9-31F2-4471-9860-6F9EE1C06757}"/>
  <tableColumns count="29">
    <tableColumn id="24" xr3:uid="{5A410302-CA6D-488D-BF5A-CC8BF941F2D0}" name="Years Group"/>
    <tableColumn id="1" xr3:uid="{A10C03AA-2B14-4F1A-9B98-DC554AB945E7}" name="Timeline"/>
    <tableColumn id="2" xr3:uid="{49DDA3B1-22F2-4AE6-B69C-A05F38C43989}" name="Savings (Nominal)" dataDxfId="27"/>
    <tableColumn id="6" xr3:uid="{17AA7CD6-1A4E-48A9-8911-2906AB1E1A8E}" name="Savings* (real, full inflation* max year)" dataDxfId="26"/>
    <tableColumn id="12" xr3:uid="{A3276AC8-A0BA-49C8-B2A1-CCE29B32F25E}" name="Savings (Real, adj. per year)" dataDxfId="25">
      <calculatedColumnFormula>SUM($AX$3:$AX3)</calculatedColumnFormula>
    </tableColumn>
    <tableColumn id="7" xr3:uid="{07651BCA-4138-4CA3-90FF-FAB57CA99FF4}" name="Future value (Nominal)" dataDxfId="24"/>
    <tableColumn id="28" xr3:uid="{12C80F6F-12B2-4437-9652-767C6DE60E33}" name="inflation on net future value" dataDxfId="23">
      <calculatedColumnFormula>((G3-L3)) - ( (G3-L3)*(1/(1+r_i)^(AU3-1)))</calculatedColumnFormula>
    </tableColumn>
    <tableColumn id="29" xr3:uid="{5A629D4A-97AF-4613-A562-547377AF2290}" name="Check" dataDxfId="22"/>
    <tableColumn id="8" xr3:uid="{C6336B7F-CBC2-4429-8128-5E8A826AB843}" name="Present value (Real)" dataDxfId="21">
      <calculatedColumnFormula>$BK3*(1/(1+r_i)^($AU3-1))</calculatedColumnFormula>
    </tableColumn>
    <tableColumn id="10" xr3:uid="{C9A53974-6650-4F3D-A9EC-9A4906C16C04}" name="Net Present value (real)" dataDxfId="20">
      <calculatedColumnFormula>$BX3*(1/(1+r_i)^($AU3-1))</calculatedColumnFormula>
    </tableColumn>
    <tableColumn id="9" xr3:uid="{9BBD88B3-ECBE-4C93-8693-05FA7EF4B4A3}" name="Tax (Nominal)" dataDxfId="19">
      <calculatedColumnFormula>$BD3*r_tax + $BH3*r_tax + $BJ3*r_tax_btp</calculatedColumnFormula>
    </tableColumn>
    <tableColumn id="11" xr3:uid="{AD8C41C2-6CD7-46AC-BD1C-32E8AA2169A4}" name="Tax (real)" dataDxfId="18">
      <calculatedColumnFormula>$BV3*(1/(1+r_i)^($AU3-1))</calculatedColumnFormula>
    </tableColumn>
    <tableColumn id="13" xr3:uid="{911476F1-DF8B-442C-9BF6-8200202FA607}" name="Capital Gain (Nominal)" dataDxfId="17">
      <calculatedColumnFormula>$BD3+$BH3+$BJ3</calculatedColumnFormula>
    </tableColumn>
    <tableColumn id="14" xr3:uid="{C84DEB44-1372-4358-8B3F-27DE3213CB1A}" name="Net Capital gain(Real)" dataDxfId="16">
      <calculatedColumnFormula>($BL3-$BV3)*(1/(1+r_i)^($AU3-1))</calculatedColumnFormula>
    </tableColumn>
    <tableColumn id="15" xr3:uid="{DFD7E41E-04D2-440C-9132-5B1EB8408496}" name="Real Capital gain/net PV" dataDxfId="15">
      <calculatedColumnFormula>BO3/(BM3+0.0001)</calculatedColumnFormula>
    </tableColumn>
    <tableColumn id="16" xr3:uid="{5A5364BC-317B-4D9D-9A57-12FCFF17CE73}" name="Real Capital gain/Savings (adj. per year)">
      <calculatedColumnFormula>BO3/(BB3+0.000001)</calculatedColumnFormula>
    </tableColumn>
    <tableColumn id="20" xr3:uid="{34ED3DB3-42A4-47CA-98F3-A2FB035E1005}" name="Check3" dataDxfId="14">
      <calculatedColumnFormula>Table28[[#This Row],[Net Capital gain(Real)]]/Table28[[#This Row],[Savings (Real, adj. per year)]]</calculatedColumnFormula>
    </tableColumn>
    <tableColumn id="17" xr3:uid="{26CF90B7-19F3-4F80-B04B-5BE5CB7FBDB0}" name="+10% Net Gain/Savings (real, adj.)'" dataDxfId="13">
      <calculatedColumnFormula>IF(AND($CC3&gt;$CC2,$CC2=0),$CC3,IF(AND($CD3&gt;$CD2,$CD2=0),$CD3,IF(AND($CE3&gt;$CE2,$CE2=0),$CE3,IF(AND($CF3&gt;$CF2,$CF2=0),$CF3,IF(AND($CG3&gt;$CG2,$CG2=0),$CG3,IF(AND($CH3&gt;$CH2,$CH2=0),$CH3,IF(AND($CI3&gt;$CI2,$CI2=0),$CI3,IF(AND($CJ3&gt;$CJ2,$CJ2=0),$CJ3,IF(AND($CK3&gt;$CK2,$CK2=0),$CK3,IF(AND($CL3&gt;$CL2,$CL2=0),$CL3,IF(AND($CM3&gt;$CM2,$CM2=0),$CM3,IF(AND($CN3&gt;$CN2,$CN2=0),$CN3,IF(AND($CO3&gt;$CO2,$CO2=0),$CO3,IF(AND($CP3&gt;$CP2,$CP2=0),$CP3,IF(AND($CQ3&gt;$CQ2,$CQ2=0),$CQ3,IF(AND($CR3&gt;$CR2,$CR2=0),$CR3,IF(AND($CS3&gt;$CS2,$CS2=0),$CS3,IF(AND($CT3&gt;$CT2,$CT2=0),$CT3,IF(AND($CU3&gt;$CU2,$CU2=0),$CU3,IF(AND($CV3&gt;$CV2,$CV2=0),$CV3,-1000))))))))))))))))))))</calculatedColumnFormula>
    </tableColumn>
    <tableColumn id="18" xr3:uid="{F590597D-1217-4F86-BA2A-915FC09F0B63}" name="+10% Real capital gain/Savings'" dataDxfId="12">
      <calculatedColumnFormula>IF(Table28[[#This Row],[+10% Net Gain/Savings (real, adj.)'']]&gt;0,Table28[[#This Row],[Real Capital gain/Savings (adj. per year)]],-0.000001)</calculatedColumnFormula>
    </tableColumn>
    <tableColumn id="19" xr3:uid="{87F4DE6A-2271-4F8E-BB53-99D10D62DBAB}" name="Real Capital gain/Savings* (all inflation)" dataDxfId="11">
      <calculatedColumnFormula>((Table28[[#This Row],[Net Present value (real)]]-Table28[[#This Row],[Savings* (real, full inflation* max year)]])) /Table28[[#This Row],[Savings* (real, full inflation* max year)]]</calculatedColumnFormula>
    </tableColumn>
    <tableColumn id="3" xr3:uid="{AEE11251-7ABA-482C-9F99-B5AC08D90551}" name="Column1" dataDxfId="10"/>
    <tableColumn id="4" xr3:uid="{C90FA0BD-2AFA-4A1E-9CD0-4B70767FA76E}" name="+10% Net Gain/Savings* (real full inflation*)'" dataDxfId="9">
      <calculatedColumnFormula>IF(Table28[[#This Row],[Column1]]&gt;0,Table28[[#This Row],[Net Capital gain(Real)]],-1000)</calculatedColumnFormula>
    </tableColumn>
    <tableColumn id="21" xr3:uid="{55A41887-28A5-43BB-8344-FBAE099FC649}" name="CHECK2" dataDxfId="8">
      <calculatedColumnFormula>Table28[[#This Row],[Net Present value (real)]]-Table28[[#This Row],[Net Capital gain(Real)]]-Table28[[#This Row],[Savings* (real, full inflation* max year)]]</calculatedColumnFormula>
    </tableColumn>
    <tableColumn id="22" xr3:uid="{C81D8A90-AC4B-43C8-9BDE-5C3314B1B082}" name="Deposit (nominal)" dataDxfId="7"/>
    <tableColumn id="23" xr3:uid="{F7DE5A1B-276C-494C-BC8D-7EF954AF3727}" name="Net deposit (real)" dataDxfId="6">
      <calculatedColumnFormula>$DC3-$DB3</calculatedColumnFormula>
    </tableColumn>
    <tableColumn id="27" xr3:uid="{0938354B-23DB-4C74-BAF3-792062E5353B}" name="Net gain on deposit" dataDxfId="5">
      <calculatedColumnFormula>((Table28[[#This Row],[Net Present value (real)]]-Table28[[#This Row],[Net deposit (real)]]))</calculatedColumnFormula>
    </tableColumn>
    <tableColumn id="5" xr3:uid="{E1B51E87-A70D-47EA-830C-F449472D9316}" name="Net gain on deposit/Deposit" dataDxfId="4">
      <calculatedColumnFormula>((Table28[[#This Row],[Net gain on deposit]] / Table28[[#This Row],[Net deposit (real)]]))</calculatedColumnFormula>
    </tableColumn>
    <tableColumn id="25" xr3:uid="{44B1079A-2934-41A1-8E30-8901AA18C604}" name="Column13" dataDxfId="3">
      <calculatedColumnFormula>IF(AB2=0,0,IF(Table28[[#This Row],[Real Capital gain/Savings* (all inflation)]]&gt;ROUNDUP(AB2,1),Table28[[#This Row],[Real Capital gain/Savings* (all inflation)]],0))</calculatedColumnFormula>
    </tableColumn>
    <tableColumn id="26" xr3:uid="{46BC467A-8989-4120-AAC2-93E962E671FA}" name="+10% Net gain on deposit/Net deposit '" dataDxfId="2">
      <calculatedColumnFormula>IF(Table28[[#This Row],[Column13]]&gt;0,Table28[[#This Row],[Net gain on deposit]],-1000)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3-11-11T15:13:09.40" personId="{8A302270-0B77-4C29-8C99-EFFFF74A7DFB}" id="{EC46812D-79D0-2D47-8CF3-9E9FCBD22A3F}">
    <text>AGGIUNGERE GIAGENZA E +tax</text>
  </threadedComment>
  <threadedComment ref="B27" dT="2023-11-11T18:06:32.24" personId="{8A302270-0B77-4C29-8C99-EFFFF74A7DFB}" id="{396489AD-0B2D-E645-9875-7599CACD886D}">
    <text>QUESTE QUATTRO CASELLE IN ITALIC SONO ADATTATE A INFLAZIONE (sottrazione) QUINDI NON VANNO TEORICAMENTE NON VANNO BENE</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3.xml"/><Relationship Id="rId11" Type="http://schemas.microsoft.com/office/2017/10/relationships/threadedComment" Target="../threadedComments/threadedComment1.xml"/><Relationship Id="rId5" Type="http://schemas.openxmlformats.org/officeDocument/2006/relationships/table" Target="../tables/table2.xml"/><Relationship Id="rId10" Type="http://schemas.openxmlformats.org/officeDocument/2006/relationships/comments" Target="../comments1.xml"/><Relationship Id="rId4" Type="http://schemas.openxmlformats.org/officeDocument/2006/relationships/table" Target="../tables/table1.xml"/><Relationship Id="rId9" Type="http://schemas.openxmlformats.org/officeDocument/2006/relationships/table" Target="../tables/table6.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D4D8-C0AF-EA4F-AF3E-C31446927FAA}">
  <sheetPr codeName="Sheet2"/>
  <dimension ref="A1:CF73"/>
  <sheetViews>
    <sheetView tabSelected="1" zoomScale="65" zoomScaleNormal="25" workbookViewId="0">
      <selection activeCell="M45" sqref="M45"/>
    </sheetView>
  </sheetViews>
  <sheetFormatPr defaultRowHeight="14.4" x14ac:dyDescent="0.3"/>
  <cols>
    <col min="1" max="1" width="23.5546875" bestFit="1" customWidth="1"/>
    <col min="2" max="2" width="13.88671875" customWidth="1"/>
    <col min="3" max="3" width="16" customWidth="1"/>
    <col min="4" max="4" width="15.44140625" bestFit="1" customWidth="1"/>
    <col min="5" max="5" width="17.44140625" customWidth="1"/>
    <col min="6" max="6" width="16.109375" bestFit="1" customWidth="1"/>
    <col min="7" max="7" width="14" customWidth="1"/>
    <col min="8" max="8" width="12.77734375" customWidth="1"/>
    <col min="9" max="9" width="10.44140625" customWidth="1"/>
    <col min="10" max="10" width="10.109375" customWidth="1"/>
    <col min="11" max="12" width="10.21875" bestFit="1" customWidth="1"/>
    <col min="13" max="13" width="12.77734375" bestFit="1" customWidth="1"/>
    <col min="14" max="15" width="12.77734375" customWidth="1"/>
    <col min="16" max="16" width="13.21875" customWidth="1"/>
    <col min="17" max="17" width="16.109375" bestFit="1" customWidth="1"/>
    <col min="18" max="18" width="14.77734375" bestFit="1" customWidth="1"/>
    <col min="19" max="19" width="19.77734375" bestFit="1" customWidth="1"/>
    <col min="20" max="20" width="6.88671875" bestFit="1" customWidth="1"/>
    <col min="21" max="21" width="24.77734375" bestFit="1" customWidth="1"/>
    <col min="22" max="22" width="19.5546875" customWidth="1"/>
    <col min="23" max="23" width="10.44140625" customWidth="1"/>
    <col min="24" max="24" width="11.109375" style="70" customWidth="1"/>
    <col min="25" max="25" width="9.77734375" style="70" customWidth="1"/>
    <col min="26" max="26" width="10.21875" style="70" customWidth="1"/>
    <col min="27" max="27" width="9.77734375" style="67" customWidth="1"/>
    <col min="28" max="28" width="11.109375" style="68" customWidth="1"/>
    <col min="29" max="30" width="11.88671875" style="70" bestFit="1" customWidth="1"/>
    <col min="31" max="31" width="10.44140625" style="70" customWidth="1"/>
    <col min="32" max="32" width="11.109375" style="67" bestFit="1" customWidth="1"/>
    <col min="33" max="33" width="11.109375" style="68" bestFit="1" customWidth="1"/>
    <col min="34" max="34" width="11.109375" style="68" customWidth="1"/>
    <col min="35" max="35" width="10.44140625" style="70" bestFit="1" customWidth="1"/>
    <col min="36" max="36" width="10.44140625" style="72" customWidth="1"/>
    <col min="37" max="37" width="10.44140625" style="70" bestFit="1" customWidth="1"/>
    <col min="38" max="38" width="10.44140625" style="72" customWidth="1"/>
    <col min="39" max="39" width="10.44140625" style="70" bestFit="1" customWidth="1"/>
    <col min="40" max="40" width="10.44140625" style="72" customWidth="1"/>
    <col min="41" max="41" width="10.88671875" style="81" bestFit="1" customWidth="1"/>
    <col min="42" max="43" width="10.44140625" style="63" bestFit="1" customWidth="1"/>
    <col min="44" max="45" width="8.44140625" style="63"/>
    <col min="46" max="46" width="9.5546875" style="63" bestFit="1" customWidth="1"/>
    <col min="47" max="47" width="10.109375" style="63" bestFit="1" customWidth="1"/>
    <col min="48" max="48" width="9.5546875" style="63" bestFit="1" customWidth="1"/>
    <col min="49" max="49" width="12.44140625" style="68" bestFit="1" customWidth="1"/>
    <col min="50" max="50" width="10.44140625" style="68" customWidth="1"/>
    <col min="51" max="51" width="9.5546875" style="63" bestFit="1" customWidth="1"/>
    <col min="52" max="52" width="9.109375" style="63" bestFit="1" customWidth="1"/>
    <col min="53" max="53" width="9.5546875" style="63" bestFit="1" customWidth="1"/>
    <col min="54" max="54" width="10.109375" style="66" bestFit="1" customWidth="1"/>
    <col min="55" max="56" width="9" style="66" bestFit="1" customWidth="1"/>
    <col min="57" max="57" width="9.5546875" style="68" bestFit="1" customWidth="1"/>
    <col min="58" max="58" width="16.77734375" style="63" bestFit="1" customWidth="1"/>
    <col min="59" max="59" width="10.88671875" style="63" bestFit="1" customWidth="1"/>
    <col min="60" max="60" width="11.44140625" style="63" bestFit="1" customWidth="1"/>
    <col min="61" max="61" width="10.109375" style="63" customWidth="1"/>
    <col min="62" max="62" width="8.44140625" style="63"/>
    <col min="63" max="63" width="10.21875" style="63" customWidth="1"/>
    <col min="64" max="64" width="12.109375" style="63" bestFit="1" customWidth="1"/>
    <col min="65" max="65" width="12.21875" style="63" bestFit="1" customWidth="1"/>
    <col min="66" max="66" width="8.44140625" style="63"/>
    <col min="67" max="67" width="11.109375" style="63" bestFit="1" customWidth="1"/>
    <col min="68" max="69" width="8.44140625" style="63"/>
    <col min="70" max="70" width="12.44140625" style="63" bestFit="1" customWidth="1"/>
    <col min="71" max="71" width="8.44140625" style="63"/>
    <col min="72" max="72" width="9.109375" style="63"/>
    <col min="73" max="73" width="11.44140625" style="63" bestFit="1" customWidth="1"/>
    <col min="74" max="74" width="11.44140625" style="256" customWidth="1"/>
    <col min="75" max="75" width="11" style="244" customWidth="1"/>
    <col min="76" max="76" width="20.33203125" style="244" customWidth="1"/>
    <col min="78" max="78" width="9" style="63" customWidth="1"/>
    <col min="79" max="84" width="8.44140625" style="63"/>
  </cols>
  <sheetData>
    <row r="1" spans="1:80" ht="15" thickBot="1" x14ac:dyDescent="0.35">
      <c r="A1" s="6" t="s">
        <v>2</v>
      </c>
      <c r="B1" s="106" t="s">
        <v>121</v>
      </c>
      <c r="D1" s="17" t="s">
        <v>3</v>
      </c>
      <c r="E1" s="12" t="s">
        <v>4</v>
      </c>
      <c r="F1" s="12" t="s">
        <v>120</v>
      </c>
      <c r="G1" s="12" t="s">
        <v>5</v>
      </c>
      <c r="H1" s="302" t="s">
        <v>119</v>
      </c>
      <c r="I1" s="303"/>
      <c r="J1" s="12" t="s">
        <v>6</v>
      </c>
      <c r="K1" s="12" t="s">
        <v>151</v>
      </c>
      <c r="L1" s="57" t="s">
        <v>7</v>
      </c>
      <c r="M1" s="57" t="s">
        <v>227</v>
      </c>
      <c r="N1" s="57" t="s">
        <v>237</v>
      </c>
      <c r="O1" s="57" t="s">
        <v>239</v>
      </c>
      <c r="P1" s="12" t="s">
        <v>8</v>
      </c>
      <c r="Q1" s="12" t="s">
        <v>9</v>
      </c>
      <c r="R1" s="304" t="s">
        <v>10</v>
      </c>
      <c r="S1" s="305"/>
      <c r="T1" s="305"/>
      <c r="U1" s="305"/>
      <c r="V1" s="305"/>
      <c r="W1" s="306"/>
      <c r="X1" s="307" t="s">
        <v>11</v>
      </c>
      <c r="Y1" s="308"/>
      <c r="Z1" s="308"/>
      <c r="AA1" s="308"/>
      <c r="AB1" s="308"/>
      <c r="AC1" s="309" t="s">
        <v>221</v>
      </c>
      <c r="AD1" s="269"/>
      <c r="AE1" s="269"/>
      <c r="AF1" s="269"/>
      <c r="AG1" s="269"/>
      <c r="AH1" s="82" t="s">
        <v>12</v>
      </c>
      <c r="AI1" s="310" t="s">
        <v>13</v>
      </c>
      <c r="AJ1" s="311"/>
      <c r="AK1" s="311"/>
      <c r="AL1" s="311"/>
      <c r="AM1" s="311"/>
      <c r="AN1" s="311"/>
      <c r="AO1" s="311"/>
      <c r="AP1" s="312"/>
      <c r="AQ1" s="309" t="s">
        <v>14</v>
      </c>
      <c r="AR1" s="269"/>
      <c r="AS1" s="313"/>
      <c r="AT1" s="309" t="s">
        <v>15</v>
      </c>
      <c r="AU1" s="269"/>
      <c r="AV1" s="269"/>
      <c r="AW1" s="269"/>
      <c r="AX1" s="75" t="s">
        <v>231</v>
      </c>
      <c r="AY1" s="267" t="s">
        <v>16</v>
      </c>
      <c r="AZ1" s="268"/>
      <c r="BA1" s="268"/>
      <c r="BB1" s="268"/>
      <c r="BC1" s="268"/>
      <c r="BD1" s="268"/>
      <c r="BF1" s="269" t="s">
        <v>17</v>
      </c>
      <c r="BG1" s="269"/>
      <c r="BH1" s="269" t="s">
        <v>18</v>
      </c>
      <c r="BI1" s="269"/>
      <c r="BK1" s="269" t="s">
        <v>19</v>
      </c>
      <c r="BL1" s="269"/>
      <c r="BO1" s="79" t="s">
        <v>20</v>
      </c>
      <c r="BP1" s="79"/>
      <c r="BQ1" s="79"/>
      <c r="BR1" s="269" t="s">
        <v>220</v>
      </c>
      <c r="BS1" s="269"/>
      <c r="BT1" s="274" t="s">
        <v>230</v>
      </c>
      <c r="BU1" s="274" t="s">
        <v>235</v>
      </c>
      <c r="BV1" s="257"/>
      <c r="BW1" s="265" t="s">
        <v>229</v>
      </c>
      <c r="BX1" s="265" t="s">
        <v>228</v>
      </c>
      <c r="CB1" s="63" t="s">
        <v>242</v>
      </c>
    </row>
    <row r="2" spans="1:80" ht="15" thickBot="1" x14ac:dyDescent="0.35">
      <c r="A2" s="64" t="s">
        <v>21</v>
      </c>
      <c r="B2" s="83">
        <v>6000</v>
      </c>
      <c r="D2" s="17">
        <v>1</v>
      </c>
      <c r="E2" s="7" t="s">
        <v>22</v>
      </c>
      <c r="F2" t="s">
        <v>23</v>
      </c>
      <c r="G2" s="38">
        <v>0</v>
      </c>
      <c r="H2" s="300" t="s">
        <v>24</v>
      </c>
      <c r="I2" s="301"/>
      <c r="J2" s="20"/>
      <c r="K2" s="20"/>
      <c r="L2" s="258"/>
      <c r="M2" s="57"/>
      <c r="N2" s="57"/>
      <c r="O2" s="57"/>
      <c r="P2" s="20" t="s">
        <v>25</v>
      </c>
      <c r="Q2" s="28" t="s">
        <v>26</v>
      </c>
      <c r="R2" s="60" t="s">
        <v>27</v>
      </c>
      <c r="S2" s="60" t="s">
        <v>28</v>
      </c>
      <c r="T2" s="60" t="s">
        <v>29</v>
      </c>
      <c r="U2" s="60" t="s">
        <v>30</v>
      </c>
      <c r="V2" s="61" t="s">
        <v>31</v>
      </c>
      <c r="W2" s="62" t="s">
        <v>32</v>
      </c>
      <c r="X2" s="70" t="s">
        <v>33</v>
      </c>
      <c r="Y2" s="70" t="s">
        <v>34</v>
      </c>
      <c r="Z2" s="70" t="s">
        <v>35</v>
      </c>
      <c r="AA2" s="67" t="s">
        <v>36</v>
      </c>
      <c r="AB2" s="76" t="s">
        <v>0</v>
      </c>
      <c r="AC2" s="71" t="s">
        <v>37</v>
      </c>
      <c r="AD2" s="70" t="s">
        <v>38</v>
      </c>
      <c r="AE2" s="70" t="s">
        <v>39</v>
      </c>
      <c r="AF2" s="67" t="s">
        <v>40</v>
      </c>
      <c r="AG2" s="253" t="s">
        <v>41</v>
      </c>
      <c r="AH2" s="68" t="s">
        <v>42</v>
      </c>
      <c r="AI2" s="71" t="s">
        <v>43</v>
      </c>
      <c r="AJ2" s="72" t="s">
        <v>44</v>
      </c>
      <c r="AK2" s="70" t="s">
        <v>45</v>
      </c>
      <c r="AL2" s="72" t="s">
        <v>44</v>
      </c>
      <c r="AM2" s="70" t="s">
        <v>35</v>
      </c>
      <c r="AN2" s="72" t="s">
        <v>44</v>
      </c>
      <c r="AO2" s="77" t="s">
        <v>40</v>
      </c>
      <c r="AP2" s="254" t="s">
        <v>105</v>
      </c>
      <c r="AQ2" s="69" t="s">
        <v>46</v>
      </c>
      <c r="AR2" s="63" t="s">
        <v>47</v>
      </c>
      <c r="AS2" s="63" t="s">
        <v>48</v>
      </c>
      <c r="AT2" s="69" t="s">
        <v>43</v>
      </c>
      <c r="AU2" s="63" t="s">
        <v>45</v>
      </c>
      <c r="AV2" s="63" t="s">
        <v>35</v>
      </c>
      <c r="AW2" s="68" t="s">
        <v>0</v>
      </c>
      <c r="AX2" s="68" t="s">
        <v>49</v>
      </c>
      <c r="AY2" s="78" t="s">
        <v>50</v>
      </c>
      <c r="AZ2" s="79" t="s">
        <v>51</v>
      </c>
      <c r="BA2" s="79" t="s">
        <v>52</v>
      </c>
      <c r="BB2" s="74" t="s">
        <v>53</v>
      </c>
      <c r="BC2" s="74" t="s">
        <v>54</v>
      </c>
      <c r="BD2" s="74" t="s">
        <v>55</v>
      </c>
      <c r="BE2" s="68" t="s">
        <v>0</v>
      </c>
      <c r="BF2" s="80" t="s">
        <v>146</v>
      </c>
      <c r="BG2" s="63" t="s">
        <v>145</v>
      </c>
      <c r="BH2" s="63" t="s">
        <v>40</v>
      </c>
      <c r="BI2" s="63" t="s">
        <v>44</v>
      </c>
      <c r="BK2" s="63" t="s">
        <v>56</v>
      </c>
      <c r="BL2" s="63" t="s">
        <v>57</v>
      </c>
      <c r="BM2" s="63" t="s">
        <v>58</v>
      </c>
      <c r="BO2" s="63" t="s">
        <v>59</v>
      </c>
      <c r="BR2" s="269"/>
      <c r="BS2" s="269"/>
      <c r="BT2" s="274"/>
      <c r="BU2" s="274"/>
      <c r="BV2" s="257" t="s">
        <v>236</v>
      </c>
      <c r="BW2" s="265"/>
      <c r="BX2" s="265"/>
      <c r="BZ2" s="63" t="s">
        <v>240</v>
      </c>
    </row>
    <row r="3" spans="1:80" ht="15" thickBot="1" x14ac:dyDescent="0.35">
      <c r="A3" s="12" t="s">
        <v>60</v>
      </c>
      <c r="B3" s="50">
        <v>15</v>
      </c>
      <c r="D3" s="17">
        <v>2</v>
      </c>
      <c r="E3" s="16" t="s">
        <v>61</v>
      </c>
      <c r="F3" t="s">
        <v>62</v>
      </c>
      <c r="G3" s="48">
        <v>3.4000000000000002E-2</v>
      </c>
      <c r="H3" s="319" t="s">
        <v>33</v>
      </c>
      <c r="I3" s="320"/>
      <c r="J3" s="59">
        <f>r_tax</f>
        <v>0.26</v>
      </c>
      <c r="K3" s="229">
        <v>2E-3</v>
      </c>
      <c r="L3" s="247"/>
      <c r="M3" s="248">
        <f>r_d</f>
        <v>3.4000000000000002E-2</v>
      </c>
      <c r="N3" s="248">
        <f>J3</f>
        <v>0.26</v>
      </c>
      <c r="O3" s="248">
        <f>(r_d-K3)*(1-J3)</f>
        <v>2.368E-2</v>
      </c>
      <c r="P3" s="40" t="s">
        <v>63</v>
      </c>
      <c r="Q3" s="28" t="s">
        <v>64</v>
      </c>
      <c r="R3" s="8">
        <v>0</v>
      </c>
      <c r="S3" s="264">
        <v>0</v>
      </c>
      <c r="T3" s="10">
        <v>3</v>
      </c>
      <c r="U3" s="34">
        <v>0</v>
      </c>
      <c r="V3" s="13">
        <v>0</v>
      </c>
      <c r="W3" s="35">
        <v>1</v>
      </c>
      <c r="X3" s="70" cm="1">
        <f t="array" ref="X3:X52">(  (Capital*q_s)* ((((1+r_s-r_c)^(T[t]-1)-1)*(1-r_tax))+1) * (1+r_a)^(T_t-T[t])  )* (1/(1+r_i)^(T_t-1))</f>
        <v>6450.2228354922991</v>
      </c>
      <c r="Y3" s="70" cm="1">
        <f t="array" ref="Y3:Y52">(  (Capital*(1-q_b_BTP)*q_b) * ((((1+r_b-r_c)^(T[t]-1)-1)*(1-r_tax))+1) * (1+r_a)^(T_t-T[t])  ) * (1/(1+r_i)^(T_t-1))</f>
        <v>0</v>
      </c>
      <c r="Z3" s="70" cm="1">
        <f t="array" ref="Z3:Z52">(  (Capital*q_b*q_b_BTP) * ((((1+r_b_btp-r_c)^(T[t]-1)-1)*(1-r_tax_btp))+1)  * (1+r_a)^(T_t-T[t])  ) * (1/(1+r_i)^(T_t-1))</f>
        <v>9675.3342532384486</v>
      </c>
      <c r="AA3" s="67" cm="1">
        <f t="array" ref="AA3:AA52">_xlfn.ANCHORARRAY(X3)+_xlfn.ANCHORARRAY(Y3)+_xlfn.ANCHORARRAY(Z3)</f>
        <v>16125.557088730748</v>
      </c>
      <c r="AB3" s="255" cm="1">
        <f t="array" ref="AB3:AB52">(   (  (Capital*q_s)* ((((1+r_s-r_c)^(T[t]-1)-1)*(1-r_tax))+1) * (1+r_a)^(T_t-T[t])  ) +
(  (Capital*(1-q_b_BTP)*q_b) * ((((1+r_b-r_c)^(T[t]-1)-1)*(1-r_tax))+1) * (1+r_a)^(T_t-T[t])  ) +
(  (Capital*q_b*q_b_BTP) * ((((1+r_b_btp-r_c)^(T[t]-1)-1)*(1-r_tax_btp))+1) * (1+r_a)^(T_t-T[t])  )   ) * (1/(1+r_i)^(T_t-1))</f>
        <v>16125.557088730746</v>
      </c>
      <c r="AC3" s="71" cm="1">
        <f t="array" ref="AC3:AC52">(  (Capital*q_s)* ((((1+r_s-r_c)^(T[t]-1)-1)*(1-r_tax))+1) * (1+r_a)^(T_t-T[t])  )</f>
        <v>9113.996005997793</v>
      </c>
      <c r="AD3" s="70" cm="1">
        <f t="array" ref="AD3:AD52">(  (Capital*(1-q_b_BTP)*q_b) * ((((1+r_b-r_c)^(T[t]-1)-1)*(1-r_tax))+1) * (1+r_a)^(T_t-T[t])  )</f>
        <v>0</v>
      </c>
      <c r="AE3" s="70" cm="1">
        <f t="array" ref="AE3:AE52">(  (Capital*q_b*q_b_BTP) * ((((1+r_b_btp-r_c)^(T[t]-1)-1)*(1-r_tax_btp))+1) * (1+r_a)^(T_t-T[t])  )</f>
        <v>13670.994008996689</v>
      </c>
      <c r="AF3" s="67" cm="1">
        <f t="array" ref="AF3:AF52">_xlfn.ANCHORARRAY(AC3)+_xlfn.ANCHORARRAY(AD3)+_xlfn.ANCHORARRAY(AE3)</f>
        <v>22784.990014994481</v>
      </c>
      <c r="AG3" s="253" cm="1">
        <f t="array" ref="AG3:AG52">(  (Capital*q_s)* ((((1+r_s-r_c)^(T[t]-1)-1)*(1-r_tax))+1) * (1+r_a)^(T_t-T[t])  ) +
(  (Capital*(1-q_b_BTP)*q_b) * ((((1+r_b-r_c)^(T[t]-1)-1)*(1-r_tax))+1) * (1+r_a)^(T_t-T[t])  ) +
(  (Capital*q_b*q_b_BTP) * ((((1+r_b_btp-r_c)^(T[t]-1)-1)*(1-r_tax_btp))+1) * (1+r_a)^(T_t-T[t])  )</f>
        <v>22784.990014994481</v>
      </c>
      <c r="AH3" s="68" cm="1">
        <f t="array" ref="AH3:AH52">_xlfn.ANCHORARRAY(AG3)*(1/(1+r_i)^(T_t-1))</f>
        <v>16125.557088730746</v>
      </c>
      <c r="AI3" s="71" cm="1">
        <f t="array" ref="AI3:AI52">_xlfn.ANCHORARRAY(AP3)*q_s</f>
        <v>9113.9960059977948</v>
      </c>
      <c r="AJ3" s="72" cm="1">
        <f t="array" ref="AJ3:AJ52">(Capital*q_s*(1+r_a)^(T_t-T[t]))</f>
        <v>9113.996005997793</v>
      </c>
      <c r="AK3" s="70" cm="1">
        <f t="array" ref="AK3:AK52">_xlfn.ANCHORARRAY(AP3)*q_b*(1-q_b_BTP)</f>
        <v>0</v>
      </c>
      <c r="AL3" s="72" cm="1">
        <f t="array" ref="AL3:AL52">(Capital*q_b*(1-q_b_BTP)*(1+r_a)^(T_t-T[t]))</f>
        <v>0</v>
      </c>
      <c r="AM3" s="70" cm="1">
        <f t="array" ref="AM3:AM52">_xlfn.ANCHORARRAY(AP3)*q_b*q_b_BTP</f>
        <v>13670.994008996689</v>
      </c>
      <c r="AN3" s="72" cm="1">
        <f t="array" ref="AN3:AN52">(Capital*q_b*q_b_BTP*(1+r_a)^(T_t-T[t]))</f>
        <v>13670.994008996689</v>
      </c>
      <c r="AO3" s="81" cm="1">
        <f t="array" ref="AO3:AO52">_xlfn.ANCHORARRAY(AI3)+_xlfn.ANCHORARRAY(AK3)+_xlfn.ANCHORARRAY(AM3)</f>
        <v>22784.990014994484</v>
      </c>
      <c r="AP3" s="254" cm="1">
        <f t="array" ref="AP3:AP52">(Capital*(1+r_a)^(T_t-T[t]))</f>
        <v>22784.990014994484</v>
      </c>
      <c r="AQ3" s="69" cm="1">
        <f t="array" ref="AQ3:AQ52">(   (  (Capital*q_s)* ((1+r_s-r_c)^(T[t]-1)) * (1+r_a)^(T_t-T[t])  ) +
(  (Capital*(1-q_b_BTP)*q_b) * ((1+r_b-r_c)^(T[t]-1)) * (1+r_a)^(T_t-T[t])  ) +
(  (Capital*q_b*q_b_BTP) * ((1+r_b_btp-r_c)^(T[t]-1)) * (1+r_a)^(T_t-T[t])  )   ) * (1/(1+r_i)^(T_t-1))</f>
        <v>16125.557088730746</v>
      </c>
      <c r="AT3" s="69" cm="1">
        <f t="array" ref="AT3:AT52">(  (Capital*q_s)* ((1+r_s-r_c)^(T[t]-1)) * (1+r_a)^(T_t-T[t])  )</f>
        <v>9113.996005997793</v>
      </c>
      <c r="AU3" s="63" cm="1">
        <f t="array" ref="AU3:AU52">(  (Capital*(1-q_b_BTP)*q_b) * ((1+r_b-r_c)^(T[t]-1)) * (1+r_a)^(T_t-T[t])  )</f>
        <v>0</v>
      </c>
      <c r="AV3" s="63" cm="1">
        <f t="array" ref="AV3:AV52">(  (Capital*q_b*q_b_BTP) * ((1+r_b_btp-r_c)^(T[t]-1)) * (1+r_a)^(T_t-T[t])  )</f>
        <v>13670.994008996689</v>
      </c>
      <c r="AW3" s="68" cm="1">
        <f t="array" ref="AW3:AW52">_xlfn.ANCHORARRAY(AT3)+_xlfn.ANCHORARRAY(AU3)+_xlfn.ANCHORARRAY(AV3)</f>
        <v>22784.990014994481</v>
      </c>
      <c r="AX3" s="68" cm="1">
        <f t="array" ref="AX3:AX52">_xlfn.ANCHORARRAY(AG3)-_xlfn.ANCHORARRAY(AW3)</f>
        <v>0</v>
      </c>
      <c r="AY3" s="69" cm="1">
        <f t="array" ref="AY3:AY52">_xlfn.ANCHORARRAY(AT3)-_xlfn.ANCHORARRAY(AI3)</f>
        <v>0</v>
      </c>
      <c r="AZ3" s="63" cm="1">
        <f t="array" ref="AZ3:AZ52">_xlfn.ANCHORARRAY(AU3)-_xlfn.ANCHORARRAY(AK3)</f>
        <v>0</v>
      </c>
      <c r="BA3" s="63" cm="1">
        <f t="array" ref="BA3:BA52">_xlfn.ANCHORARRAY(AV3)-_xlfn.ANCHORARRAY(AM3)</f>
        <v>0</v>
      </c>
      <c r="BB3" s="66" cm="1">
        <f t="array" ref="BB3:BB52">-_xlfn.ANCHORARRAY(AY3)*r_tax</f>
        <v>0</v>
      </c>
      <c r="BC3" s="66" cm="1">
        <f t="array" ref="BC3:BC52">-_xlfn.ANCHORARRAY(AZ3)*r_tax</f>
        <v>0</v>
      </c>
      <c r="BD3" s="66" cm="1">
        <f t="array" ref="BD3:BD52">-_xlfn.ANCHORARRAY(BA3)*r_tax_btp</f>
        <v>0</v>
      </c>
      <c r="BE3" s="68" cm="1">
        <f t="array" ref="BE3:BE52">_xlfn.ANCHORARRAY(BB3)+_xlfn.ANCHORARRAY(BD3)+_xlfn.ANCHORARRAY(BC3)</f>
        <v>0</v>
      </c>
      <c r="BF3" s="63" cm="1">
        <f t="array" ref="BF3:BF52">_xlfn.ANCHORARRAY(AW3)+_xlfn.ANCHORARRAY(BE3)</f>
        <v>22784.990014994481</v>
      </c>
      <c r="BG3" s="73" cm="1">
        <f t="array" ref="BG3:BG52">_xlfn.ANCHORARRAY(BF3)-_xlfn.ANCHORARRAY(AG3)</f>
        <v>0</v>
      </c>
      <c r="BH3" s="63" cm="1">
        <f t="array" ref="BH3:BH52">_xlfn.ANCHORARRAY(BF3)*(1/(1+r_i)^(T_t-1))</f>
        <v>16125.557088730746</v>
      </c>
      <c r="BI3" s="63" cm="1">
        <f t="array" ref="BI3:BI52">_xlfn.ANCHORARRAY(BH3)-_xlfn.ANCHORARRAY(AB3)</f>
        <v>0</v>
      </c>
      <c r="BK3" s="63" cm="1">
        <f t="array" ref="BK3:BK52">(  (Capital)* ((((1+r_d-r_c)^(T[t]-1)-1)*(1-r_tax))+1) * (1+r_a)^(T_t-T[t])  )* (1/(1+r_i)^(T_t-1))</f>
        <v>16125.557088730748</v>
      </c>
      <c r="BL3" s="63" cm="1">
        <f t="array" ref="BL3:BL52">(  (Capital)* ((((1+r_d)^(T[t]-1)-1)*(1-r_tax))+1) * (1+r_a)^(T_t-T[t])  )</f>
        <v>22784.990014994484</v>
      </c>
      <c r="BM3" s="63" cm="1">
        <f t="array" ref="BM3:BM52">(  (Capital)* ((1+r_d-r_c)^(T[t]-1)) * (1+r_a)^(T_t-T[t])  )</f>
        <v>22784.990014994484</v>
      </c>
      <c r="BO3" s="63" cm="1">
        <f t="array" ref="BO3:BO52">(Capital*(1+r_a)^(T[t])*(1/(1+r_i)^(T[t])))</f>
        <v>6439.0243902439042</v>
      </c>
      <c r="BR3" s="63" cm="1">
        <f t="array" ref="BR3:BR52">_xlfn.ANCHORARRAY(AG3)-_xlfn.ANCHORARRAY(AH3)</f>
        <v>6659.4329262637348</v>
      </c>
      <c r="BT3" s="63" cm="1">
        <f t="array" ref="BT3:BT52">_xlfn.ANCHORARRAY(AW3)-_xlfn.ANCHORARRAY(AP3)</f>
        <v>0</v>
      </c>
      <c r="BU3" s="63" cm="1">
        <f t="array" ref="BU3:BU52">_xlfn.ANCHORARRAY(AG3)-_xlfn.ANCHORARRAY(AP3)</f>
        <v>0</v>
      </c>
      <c r="BV3" s="256" t="e" cm="1">
        <f t="array" ref="BV3:BV52">(1-(_xlfn.ANCHORARRAY(BU3)/_xlfn.ANCHORARRAY(BT3)))</f>
        <v>#DIV/0!</v>
      </c>
      <c r="BW3" s="244" t="e" cm="1">
        <f t="array" ref="BW3:BW52">(_xlfn.ANCHORARRAY(BT3)/_xlfn.ANCHORARRAY(AP3)+1)^(1/(T[t]-1))-1</f>
        <v>#DIV/0!</v>
      </c>
      <c r="BX3" s="244" t="e" cm="1">
        <f t="array" ref="BX3:BX52">(_xlfn.ANCHORARRAY(BU3)/_xlfn.ANCHORARRAY(AP3)+1)^(1/(T[t]-1))-1</f>
        <v>#DIV/0!</v>
      </c>
    </row>
    <row r="4" spans="1:80" ht="15.6" thickTop="1" thickBot="1" x14ac:dyDescent="0.35">
      <c r="A4" s="12" t="s">
        <v>65</v>
      </c>
      <c r="B4" s="51">
        <v>2.5000000000000001E-2</v>
      </c>
      <c r="C4" s="15"/>
      <c r="D4" s="321">
        <v>3</v>
      </c>
      <c r="E4" s="323" t="s">
        <v>66</v>
      </c>
      <c r="F4" s="46" t="s">
        <v>67</v>
      </c>
      <c r="G4" s="53">
        <v>0.06</v>
      </c>
      <c r="H4" s="331">
        <v>0.6</v>
      </c>
      <c r="I4" s="56">
        <v>0</v>
      </c>
      <c r="J4" s="252">
        <v>0.26</v>
      </c>
      <c r="K4" s="314">
        <v>2E-3</v>
      </c>
      <c r="L4" s="249">
        <f>q_b*I4</f>
        <v>0</v>
      </c>
      <c r="M4" s="271">
        <f>(r_b-r_c)*L4+(r_b_btp-r_c)*L5+(r_s-r_c)*L6</f>
        <v>5.04E-2</v>
      </c>
      <c r="N4" s="281">
        <f>L4*r_tax+r_tax_btp*L5+r_tax*L6</f>
        <v>0.17899999999999999</v>
      </c>
      <c r="O4" s="281">
        <f>(r_b-r_c)*L4*(1-r_tax)+(r_b_btp-r_c)*L5*(1-r_tax_btp)+(r_s-r_c)*L6*(1-r_tax)</f>
        <v>3.7296000000000003E-2</v>
      </c>
      <c r="P4" s="40" t="s">
        <v>63</v>
      </c>
      <c r="Q4" s="28" t="s">
        <v>63</v>
      </c>
      <c r="R4" s="8">
        <v>0.1</v>
      </c>
      <c r="S4" s="264">
        <v>0.01</v>
      </c>
      <c r="T4" s="10">
        <v>4</v>
      </c>
      <c r="U4" s="8">
        <v>0.02</v>
      </c>
      <c r="V4" s="13">
        <v>2E-3</v>
      </c>
      <c r="W4" s="35">
        <v>2</v>
      </c>
      <c r="X4" s="70">
        <v>6410.5832842487271</v>
      </c>
      <c r="Y4" s="70">
        <v>0</v>
      </c>
      <c r="Z4" s="70">
        <v>8795.7584120349511</v>
      </c>
      <c r="AA4" s="67">
        <v>15206.341696283678</v>
      </c>
      <c r="AB4" s="255">
        <v>15206.341696283678</v>
      </c>
      <c r="AC4" s="71">
        <v>9057.9863578154782</v>
      </c>
      <c r="AD4" s="70">
        <v>0</v>
      </c>
      <c r="AE4" s="70">
        <v>12428.176371815171</v>
      </c>
      <c r="AF4" s="67">
        <v>21486.162729630647</v>
      </c>
      <c r="AG4" s="253">
        <v>21486.162729630647</v>
      </c>
      <c r="AH4" s="68">
        <v>15206.341696283678</v>
      </c>
      <c r="AI4" s="71">
        <v>8285.4509145434477</v>
      </c>
      <c r="AJ4" s="72">
        <v>8285.4509145434477</v>
      </c>
      <c r="AK4" s="70">
        <v>0</v>
      </c>
      <c r="AL4" s="72">
        <v>0</v>
      </c>
      <c r="AM4" s="70">
        <v>12428.176371815169</v>
      </c>
      <c r="AN4" s="72">
        <v>12428.176371815171</v>
      </c>
      <c r="AO4" s="81">
        <v>20713.627286358616</v>
      </c>
      <c r="AP4" s="254">
        <v>20713.627286358616</v>
      </c>
      <c r="AQ4" s="69">
        <v>15398.441060002524</v>
      </c>
      <c r="AT4" s="69">
        <v>9329.4177297759215</v>
      </c>
      <c r="AU4" s="63">
        <v>0</v>
      </c>
      <c r="AV4" s="63">
        <v>12428.176371815171</v>
      </c>
      <c r="AW4" s="68">
        <v>21757.594101591094</v>
      </c>
      <c r="AX4" s="68">
        <v>-271.431371960447</v>
      </c>
      <c r="AY4" s="69">
        <v>1043.9668152324739</v>
      </c>
      <c r="AZ4" s="63">
        <v>0</v>
      </c>
      <c r="BA4" s="63">
        <v>0</v>
      </c>
      <c r="BB4" s="66">
        <v>-271.43137196044324</v>
      </c>
      <c r="BC4" s="66">
        <v>0</v>
      </c>
      <c r="BD4" s="66">
        <v>0</v>
      </c>
      <c r="BE4" s="68">
        <v>-271.43137196044324</v>
      </c>
      <c r="BF4" s="63">
        <v>21486.162729630651</v>
      </c>
      <c r="BG4" s="73">
        <v>0</v>
      </c>
      <c r="BH4" s="63">
        <v>15206.34169628368</v>
      </c>
      <c r="BI4" s="63">
        <v>0</v>
      </c>
      <c r="BK4" s="63">
        <v>15006.736618719899</v>
      </c>
      <c r="BL4" s="63">
        <v>21234.782148883402</v>
      </c>
      <c r="BM4" s="63">
        <v>21376.463359522095</v>
      </c>
      <c r="BO4" s="63">
        <v>6910.172516359311</v>
      </c>
      <c r="BR4" s="63">
        <v>6279.8210333469688</v>
      </c>
      <c r="BT4" s="63">
        <v>1043.9668152324775</v>
      </c>
      <c r="BU4" s="63">
        <v>772.53544327203053</v>
      </c>
      <c r="BV4" s="256">
        <v>0.26000000000000267</v>
      </c>
      <c r="BW4" s="244">
        <v>5.0400000000000222E-2</v>
      </c>
      <c r="BX4" s="244">
        <v>3.7295999999999996E-2</v>
      </c>
      <c r="BZ4" s="244">
        <f t="shared" ref="BZ4:BZ35" si="0">BW4*(1-r_tax)</f>
        <v>3.7296000000000162E-2</v>
      </c>
    </row>
    <row r="5" spans="1:80" ht="15.6" thickTop="1" thickBot="1" x14ac:dyDescent="0.35">
      <c r="A5" s="12" t="s">
        <v>68</v>
      </c>
      <c r="B5" s="52">
        <v>0.1</v>
      </c>
      <c r="C5" s="15"/>
      <c r="D5" s="322"/>
      <c r="E5" s="324"/>
      <c r="F5" s="47" t="s">
        <v>69</v>
      </c>
      <c r="G5" s="54">
        <v>2E-3</v>
      </c>
      <c r="H5" s="332"/>
      <c r="I5" s="49">
        <f>1-I4</f>
        <v>1</v>
      </c>
      <c r="J5" s="58">
        <v>0.125</v>
      </c>
      <c r="K5" s="315"/>
      <c r="L5" s="250">
        <f>q_b*q_b_BTP</f>
        <v>0.6</v>
      </c>
      <c r="M5" s="272"/>
      <c r="N5" s="282"/>
      <c r="O5" s="282"/>
      <c r="P5" s="40" t="s">
        <v>63</v>
      </c>
      <c r="Q5" s="28" t="s">
        <v>63</v>
      </c>
      <c r="R5" s="8">
        <v>0.2</v>
      </c>
      <c r="S5" s="264">
        <v>0.02</v>
      </c>
      <c r="T5" s="10">
        <v>5</v>
      </c>
      <c r="U5" s="8">
        <v>0.03</v>
      </c>
      <c r="V5" s="13">
        <v>4.0000000000000001E-3</v>
      </c>
      <c r="W5" s="35">
        <v>3</v>
      </c>
      <c r="X5" s="70">
        <v>6387.4703766774774</v>
      </c>
      <c r="Y5" s="70">
        <v>0</v>
      </c>
      <c r="Z5" s="70">
        <v>7996.144010940865</v>
      </c>
      <c r="AA5" s="67">
        <v>14383.614387618341</v>
      </c>
      <c r="AB5" s="255">
        <v>14383.614387618341</v>
      </c>
      <c r="AC5" s="71">
        <v>9025.3284244907154</v>
      </c>
      <c r="AD5" s="70">
        <v>0</v>
      </c>
      <c r="AE5" s="70">
        <v>11298.342156195609</v>
      </c>
      <c r="AF5" s="67">
        <v>20323.670580686325</v>
      </c>
      <c r="AG5" s="253">
        <v>20323.670580686325</v>
      </c>
      <c r="AH5" s="68">
        <v>14383.614387618341</v>
      </c>
      <c r="AI5" s="71">
        <v>7532.2281041304059</v>
      </c>
      <c r="AJ5" s="72">
        <v>7532.2281041304059</v>
      </c>
      <c r="AK5" s="70">
        <v>0</v>
      </c>
      <c r="AL5" s="72">
        <v>0</v>
      </c>
      <c r="AM5" s="70">
        <v>11298.342156195607</v>
      </c>
      <c r="AN5" s="72">
        <v>11298.342156195609</v>
      </c>
      <c r="AO5" s="81">
        <v>18830.570260326014</v>
      </c>
      <c r="AP5" s="254">
        <v>18830.570260326014</v>
      </c>
      <c r="AQ5" s="69">
        <v>14754.890066951306</v>
      </c>
      <c r="AT5" s="69">
        <v>9549.9312397524445</v>
      </c>
      <c r="AU5" s="63">
        <v>0</v>
      </c>
      <c r="AV5" s="63">
        <v>11298.342156195609</v>
      </c>
      <c r="AW5" s="68">
        <v>20848.273395948054</v>
      </c>
      <c r="AX5" s="68">
        <v>-524.60281526172912</v>
      </c>
      <c r="AY5" s="69">
        <v>2017.7031356220386</v>
      </c>
      <c r="AZ5" s="63">
        <v>0</v>
      </c>
      <c r="BA5" s="63">
        <v>0</v>
      </c>
      <c r="BB5" s="66">
        <v>-524.60281526173003</v>
      </c>
      <c r="BC5" s="66">
        <v>0</v>
      </c>
      <c r="BD5" s="66">
        <v>0</v>
      </c>
      <c r="BE5" s="68">
        <v>-524.60281526173003</v>
      </c>
      <c r="BF5" s="63">
        <v>20323.670580686325</v>
      </c>
      <c r="BG5" s="73">
        <v>0</v>
      </c>
      <c r="BH5" s="63">
        <v>14383.614387618341</v>
      </c>
      <c r="BI5" s="63">
        <v>0</v>
      </c>
      <c r="BK5" s="63">
        <v>13968.167582307924</v>
      </c>
      <c r="BL5" s="63">
        <v>19794.232978849115</v>
      </c>
      <c r="BM5" s="63">
        <v>20055.009260933457</v>
      </c>
      <c r="BO5" s="63">
        <v>7415.7948956051168</v>
      </c>
      <c r="BR5" s="63">
        <v>5940.0561930679833</v>
      </c>
      <c r="BT5" s="63">
        <v>2017.7031356220396</v>
      </c>
      <c r="BU5" s="63">
        <v>1493.1003203603104</v>
      </c>
      <c r="BV5" s="256">
        <v>0.25999999999999945</v>
      </c>
      <c r="BW5" s="244">
        <v>5.2212145909749541E-2</v>
      </c>
      <c r="BX5" s="244">
        <v>3.8889453214344671E-2</v>
      </c>
      <c r="BZ5" s="244">
        <f t="shared" si="0"/>
        <v>3.8636987973214659E-2</v>
      </c>
    </row>
    <row r="6" spans="1:80" ht="15.6" thickTop="1" thickBot="1" x14ac:dyDescent="0.35">
      <c r="C6" s="15"/>
      <c r="D6" s="42">
        <v>4</v>
      </c>
      <c r="E6" s="43" t="s">
        <v>70</v>
      </c>
      <c r="F6" s="44" t="s">
        <v>71</v>
      </c>
      <c r="G6" s="55">
        <v>0.128</v>
      </c>
      <c r="H6" s="317">
        <f>1-q_b</f>
        <v>0.4</v>
      </c>
      <c r="I6" s="318"/>
      <c r="J6" s="59">
        <f>r_tax</f>
        <v>0.26</v>
      </c>
      <c r="K6" s="316"/>
      <c r="L6" s="251">
        <f>q_s</f>
        <v>0.4</v>
      </c>
      <c r="M6" s="273"/>
      <c r="N6" s="283"/>
      <c r="O6" s="283"/>
      <c r="P6" s="41" t="s">
        <v>63</v>
      </c>
      <c r="Q6" s="29" t="s">
        <v>63</v>
      </c>
      <c r="R6" s="8">
        <v>0.3</v>
      </c>
      <c r="S6" s="264">
        <v>2.5000000000000001E-2</v>
      </c>
      <c r="T6" s="10">
        <v>6</v>
      </c>
      <c r="U6" s="8">
        <v>0.05</v>
      </c>
      <c r="V6" s="13">
        <v>6.0000000000000001E-3</v>
      </c>
      <c r="W6" s="35">
        <v>4</v>
      </c>
      <c r="X6" s="70">
        <v>6379.6871444908093</v>
      </c>
      <c r="Y6" s="70">
        <v>0</v>
      </c>
      <c r="Z6" s="70">
        <v>7269.2218281280593</v>
      </c>
      <c r="AA6" s="67">
        <v>13648.908972618869</v>
      </c>
      <c r="AB6" s="255">
        <v>13648.908972618869</v>
      </c>
      <c r="AC6" s="71">
        <v>9014.3309211683936</v>
      </c>
      <c r="AD6" s="70">
        <v>0</v>
      </c>
      <c r="AE6" s="70">
        <v>10271.220141996009</v>
      </c>
      <c r="AF6" s="67">
        <v>19285.551063164403</v>
      </c>
      <c r="AG6" s="253">
        <v>19285.551063164403</v>
      </c>
      <c r="AH6" s="68">
        <v>13648.908972618869</v>
      </c>
      <c r="AI6" s="71">
        <v>6847.4800946640062</v>
      </c>
      <c r="AJ6" s="72">
        <v>6847.4800946640062</v>
      </c>
      <c r="AK6" s="70">
        <v>0</v>
      </c>
      <c r="AL6" s="72">
        <v>0</v>
      </c>
      <c r="AM6" s="70">
        <v>10271.220141996007</v>
      </c>
      <c r="AN6" s="72">
        <v>10271.220141996009</v>
      </c>
      <c r="AO6" s="81">
        <v>17118.700236660014</v>
      </c>
      <c r="AP6" s="254">
        <v>17118.700236660014</v>
      </c>
      <c r="AQ6" s="69">
        <v>14187.720063644201</v>
      </c>
      <c r="AT6" s="69">
        <v>9775.6568872375028</v>
      </c>
      <c r="AU6" s="63">
        <v>0</v>
      </c>
      <c r="AV6" s="63">
        <v>10271.220141996009</v>
      </c>
      <c r="AW6" s="68">
        <v>20046.87702923351</v>
      </c>
      <c r="AX6" s="68">
        <v>-761.32596606910738</v>
      </c>
      <c r="AY6" s="69">
        <v>2928.1767925734966</v>
      </c>
      <c r="AZ6" s="63">
        <v>0</v>
      </c>
      <c r="BA6" s="63">
        <v>0</v>
      </c>
      <c r="BB6" s="66">
        <v>-761.3259660691092</v>
      </c>
      <c r="BC6" s="66">
        <v>0</v>
      </c>
      <c r="BD6" s="66">
        <v>0</v>
      </c>
      <c r="BE6" s="68">
        <v>-761.3259660691092</v>
      </c>
      <c r="BF6" s="63">
        <v>19285.551063164399</v>
      </c>
      <c r="BG6" s="73">
        <v>0</v>
      </c>
      <c r="BH6" s="63">
        <v>13648.908972618867</v>
      </c>
      <c r="BI6" s="63">
        <v>0</v>
      </c>
      <c r="BK6" s="63">
        <v>13003.880983021272</v>
      </c>
      <c r="BL6" s="63">
        <v>18455.249690026096</v>
      </c>
      <c r="BM6" s="63">
        <v>18815.245052075748</v>
      </c>
      <c r="BO6" s="63">
        <v>7958.4140343079307</v>
      </c>
      <c r="BR6" s="63">
        <v>5636.6420905455343</v>
      </c>
      <c r="BT6" s="63">
        <v>2928.1767925734966</v>
      </c>
      <c r="BU6" s="63">
        <v>2166.8508265043893</v>
      </c>
      <c r="BV6" s="256">
        <v>0.25999999999999945</v>
      </c>
      <c r="BW6" s="244">
        <v>5.4043771788812256E-2</v>
      </c>
      <c r="BX6" s="244">
        <v>4.0527961498274756E-2</v>
      </c>
      <c r="BZ6" s="244">
        <f t="shared" si="0"/>
        <v>3.999239112372107E-2</v>
      </c>
    </row>
    <row r="7" spans="1:80" ht="14.4" customHeight="1" x14ac:dyDescent="0.3">
      <c r="A7" s="64" t="s">
        <v>72</v>
      </c>
      <c r="B7" s="110" t="e">
        <f>#REF!</f>
        <v>#REF!</v>
      </c>
      <c r="C7" s="105"/>
      <c r="L7" s="107">
        <f>SUM(L4:L6)</f>
        <v>1</v>
      </c>
      <c r="M7" s="107"/>
      <c r="N7" s="107"/>
      <c r="O7" s="107"/>
      <c r="R7" s="8">
        <v>0.4</v>
      </c>
      <c r="S7" s="264">
        <v>0.03</v>
      </c>
      <c r="T7" s="10">
        <v>7</v>
      </c>
      <c r="U7" s="8">
        <v>7.0000000000000007E-2</v>
      </c>
      <c r="V7" s="13">
        <v>8.0000000000000002E-3</v>
      </c>
      <c r="W7" s="35">
        <v>5</v>
      </c>
      <c r="X7" s="70">
        <v>6386.1526545184861</v>
      </c>
      <c r="Y7" s="70">
        <v>0</v>
      </c>
      <c r="Z7" s="70">
        <v>6608.3834801164176</v>
      </c>
      <c r="AA7" s="67">
        <v>12994.536134634904</v>
      </c>
      <c r="AB7" s="255">
        <v>12994.536134634904</v>
      </c>
      <c r="AC7" s="71">
        <v>9023.4665175767441</v>
      </c>
      <c r="AD7" s="70">
        <v>0</v>
      </c>
      <c r="AE7" s="70">
        <v>9337.4728563600074</v>
      </c>
      <c r="AF7" s="67">
        <v>18360.939373936752</v>
      </c>
      <c r="AG7" s="253">
        <v>18360.939373936752</v>
      </c>
      <c r="AH7" s="68">
        <v>12994.536134634904</v>
      </c>
      <c r="AI7" s="71">
        <v>6224.981904240005</v>
      </c>
      <c r="AJ7" s="72">
        <v>6224.981904240004</v>
      </c>
      <c r="AK7" s="70">
        <v>0</v>
      </c>
      <c r="AL7" s="72">
        <v>0</v>
      </c>
      <c r="AM7" s="70">
        <v>9337.4728563600056</v>
      </c>
      <c r="AN7" s="72">
        <v>9337.4728563600074</v>
      </c>
      <c r="AO7" s="81">
        <v>15562.454760600011</v>
      </c>
      <c r="AP7" s="254">
        <v>15562.454760600011</v>
      </c>
      <c r="AQ7" s="69">
        <v>13690.409855744761</v>
      </c>
      <c r="AT7" s="69">
        <v>10006.717868208571</v>
      </c>
      <c r="AU7" s="63">
        <v>0</v>
      </c>
      <c r="AV7" s="63">
        <v>9337.4728563600074</v>
      </c>
      <c r="AW7" s="68">
        <v>19344.19072456858</v>
      </c>
      <c r="AX7" s="68">
        <v>-983.25135063182825</v>
      </c>
      <c r="AY7" s="69">
        <v>3781.7359639685656</v>
      </c>
      <c r="AZ7" s="63">
        <v>0</v>
      </c>
      <c r="BA7" s="63">
        <v>0</v>
      </c>
      <c r="BB7" s="66">
        <v>-983.25135063182711</v>
      </c>
      <c r="BC7" s="66">
        <v>0</v>
      </c>
      <c r="BD7" s="66">
        <v>0</v>
      </c>
      <c r="BE7" s="68">
        <v>-983.25135063182711</v>
      </c>
      <c r="BF7" s="63">
        <v>18360.939373936752</v>
      </c>
      <c r="BG7" s="73">
        <v>0</v>
      </c>
      <c r="BH7" s="63">
        <v>12994.536134634904</v>
      </c>
      <c r="BI7" s="63">
        <v>0</v>
      </c>
      <c r="BK7" s="63">
        <v>12108.368453146581</v>
      </c>
      <c r="BL7" s="63">
        <v>17210.362608540818</v>
      </c>
      <c r="BM7" s="63">
        <v>17652.120812492882</v>
      </c>
      <c r="BO7" s="63">
        <v>8540.7370124280242</v>
      </c>
      <c r="BR7" s="63">
        <v>5366.4032393018479</v>
      </c>
      <c r="BT7" s="63">
        <v>3781.7359639685692</v>
      </c>
      <c r="BU7" s="63">
        <v>2798.4846133367409</v>
      </c>
      <c r="BV7" s="256">
        <v>0.26000000000000012</v>
      </c>
      <c r="BW7" s="244">
        <v>5.5888636163178296E-2</v>
      </c>
      <c r="BX7" s="244">
        <v>4.22075108493003E-2</v>
      </c>
      <c r="BZ7" s="244">
        <f t="shared" si="0"/>
        <v>4.135759076075194E-2</v>
      </c>
    </row>
    <row r="8" spans="1:80" ht="14.25" customHeight="1" x14ac:dyDescent="0.3">
      <c r="I8" s="45"/>
      <c r="J8" s="45"/>
      <c r="K8" s="45"/>
      <c r="L8" s="45"/>
      <c r="M8" s="277" t="s">
        <v>232</v>
      </c>
      <c r="N8" s="284" t="s">
        <v>238</v>
      </c>
      <c r="O8" s="279" t="s">
        <v>233</v>
      </c>
      <c r="R8" s="8">
        <v>0.5</v>
      </c>
      <c r="S8" s="264">
        <v>3.5000000000000003E-2</v>
      </c>
      <c r="T8" s="10">
        <v>8</v>
      </c>
      <c r="U8" s="9">
        <v>0.1</v>
      </c>
      <c r="V8" s="13">
        <v>0.01</v>
      </c>
      <c r="W8" s="35">
        <v>6</v>
      </c>
      <c r="X8" s="70">
        <v>6405.8916307109739</v>
      </c>
      <c r="Y8" s="70">
        <v>0</v>
      </c>
      <c r="Z8" s="70">
        <v>6007.6213455603784</v>
      </c>
      <c r="AA8" s="67">
        <v>12413.512976271351</v>
      </c>
      <c r="AB8" s="255">
        <v>12413.512976271351</v>
      </c>
      <c r="AC8" s="71">
        <v>9051.3571741895539</v>
      </c>
      <c r="AD8" s="70">
        <v>0</v>
      </c>
      <c r="AE8" s="70">
        <v>8488.6116876000051</v>
      </c>
      <c r="AF8" s="67">
        <v>17539.968861789559</v>
      </c>
      <c r="AG8" s="253">
        <v>17539.968861789559</v>
      </c>
      <c r="AH8" s="68">
        <v>12413.512976271351</v>
      </c>
      <c r="AI8" s="71">
        <v>5659.074458400004</v>
      </c>
      <c r="AJ8" s="72">
        <v>5659.0744584000031</v>
      </c>
      <c r="AK8" s="70">
        <v>0</v>
      </c>
      <c r="AL8" s="72">
        <v>0</v>
      </c>
      <c r="AM8" s="70">
        <v>8488.6116876000051</v>
      </c>
      <c r="AN8" s="72">
        <v>8488.6116876000051</v>
      </c>
      <c r="AO8" s="81">
        <v>14147.686146000009</v>
      </c>
      <c r="AP8" s="254">
        <v>14147.686146000009</v>
      </c>
      <c r="AQ8" s="69">
        <v>13257.041071885389</v>
      </c>
      <c r="AT8" s="69">
        <v>10243.240290548047</v>
      </c>
      <c r="AU8" s="63">
        <v>0</v>
      </c>
      <c r="AV8" s="63">
        <v>8488.6116876000051</v>
      </c>
      <c r="AW8" s="68">
        <v>18731.85197814805</v>
      </c>
      <c r="AX8" s="68">
        <v>-1191.883116358491</v>
      </c>
      <c r="AY8" s="69">
        <v>4584.1658321480427</v>
      </c>
      <c r="AZ8" s="63">
        <v>0</v>
      </c>
      <c r="BA8" s="63">
        <v>0</v>
      </c>
      <c r="BB8" s="66">
        <v>-1191.8831163584912</v>
      </c>
      <c r="BC8" s="66">
        <v>0</v>
      </c>
      <c r="BD8" s="66">
        <v>0</v>
      </c>
      <c r="BE8" s="68">
        <v>-1191.8831163584912</v>
      </c>
      <c r="BF8" s="63">
        <v>17539.968861789559</v>
      </c>
      <c r="BG8" s="73">
        <v>0</v>
      </c>
      <c r="BH8" s="63">
        <v>12413.512976271351</v>
      </c>
      <c r="BI8" s="63">
        <v>0</v>
      </c>
      <c r="BK8" s="63">
        <v>11276.545447929993</v>
      </c>
      <c r="BL8" s="63">
        <v>16052.675306497727</v>
      </c>
      <c r="BM8" s="63">
        <v>16560.898798629685</v>
      </c>
      <c r="BO8" s="63">
        <v>9165.668988947149</v>
      </c>
      <c r="BR8" s="63">
        <v>5126.4558855182077</v>
      </c>
      <c r="BT8" s="63">
        <v>4584.1658321480409</v>
      </c>
      <c r="BU8" s="63">
        <v>3392.2827157895499</v>
      </c>
      <c r="BV8" s="256">
        <v>0.26000000000000012</v>
      </c>
      <c r="BW8" s="244">
        <v>5.7740321345791656E-2</v>
      </c>
      <c r="BX8" s="244">
        <v>4.3923514539573105E-2</v>
      </c>
      <c r="BZ8" s="244">
        <f t="shared" si="0"/>
        <v>4.2727837795885827E-2</v>
      </c>
    </row>
    <row r="9" spans="1:80" x14ac:dyDescent="0.3">
      <c r="A9" s="333" t="s">
        <v>73</v>
      </c>
      <c r="B9" s="334"/>
      <c r="D9" s="262"/>
      <c r="E9" s="244"/>
      <c r="F9" s="244"/>
      <c r="G9" s="275"/>
      <c r="M9" s="277"/>
      <c r="N9" s="284"/>
      <c r="O9" s="279"/>
      <c r="R9" s="8">
        <v>0.6</v>
      </c>
      <c r="S9" s="264">
        <v>0.04</v>
      </c>
      <c r="T9" s="10">
        <v>9</v>
      </c>
      <c r="U9" s="9">
        <v>0.15</v>
      </c>
      <c r="V9" s="13">
        <v>1.2E-2</v>
      </c>
      <c r="W9" s="35">
        <v>7</v>
      </c>
      <c r="X9" s="70">
        <v>6438.025023630471</v>
      </c>
      <c r="Y9" s="70">
        <v>0</v>
      </c>
      <c r="Z9" s="70">
        <v>5461.473950509434</v>
      </c>
      <c r="AA9" s="67">
        <v>11899.498974139904</v>
      </c>
      <c r="AB9" s="255">
        <v>11899.498974139906</v>
      </c>
      <c r="AC9" s="71">
        <v>9096.7608171638676</v>
      </c>
      <c r="AD9" s="70">
        <v>0</v>
      </c>
      <c r="AE9" s="70">
        <v>7716.919716000004</v>
      </c>
      <c r="AF9" s="67">
        <v>16813.680533163872</v>
      </c>
      <c r="AG9" s="253">
        <v>16813.680533163872</v>
      </c>
      <c r="AH9" s="68">
        <v>11899.498974139906</v>
      </c>
      <c r="AI9" s="71">
        <v>5144.6131440000026</v>
      </c>
      <c r="AJ9" s="72">
        <v>5144.6131440000026</v>
      </c>
      <c r="AK9" s="70">
        <v>0</v>
      </c>
      <c r="AL9" s="72">
        <v>0</v>
      </c>
      <c r="AM9" s="70">
        <v>7716.919716000004</v>
      </c>
      <c r="AN9" s="72">
        <v>7716.919716000004</v>
      </c>
      <c r="AO9" s="81">
        <v>12861.532860000007</v>
      </c>
      <c r="AP9" s="254">
        <v>12861.532860000007</v>
      </c>
      <c r="AQ9" s="69">
        <v>12882.243597638493</v>
      </c>
      <c r="AT9" s="69">
        <v>10485.353242870093</v>
      </c>
      <c r="AU9" s="63">
        <v>0</v>
      </c>
      <c r="AV9" s="63">
        <v>7716.919716000004</v>
      </c>
      <c r="AW9" s="68">
        <v>18202.272958870097</v>
      </c>
      <c r="AX9" s="68">
        <v>-1388.5924257062252</v>
      </c>
      <c r="AY9" s="69">
        <v>5340.7400988700902</v>
      </c>
      <c r="AZ9" s="63">
        <v>0</v>
      </c>
      <c r="BA9" s="63">
        <v>0</v>
      </c>
      <c r="BB9" s="66">
        <v>-1388.5924257062236</v>
      </c>
      <c r="BC9" s="66">
        <v>0</v>
      </c>
      <c r="BD9" s="66">
        <v>0</v>
      </c>
      <c r="BE9" s="68">
        <v>-1388.5924257062236</v>
      </c>
      <c r="BF9" s="63">
        <v>16813.680533163872</v>
      </c>
      <c r="BG9" s="73">
        <v>0</v>
      </c>
      <c r="BH9" s="63">
        <v>11899.498974139906</v>
      </c>
      <c r="BI9" s="63">
        <v>0</v>
      </c>
      <c r="BK9" s="63">
        <v>10503.717472368466</v>
      </c>
      <c r="BL9" s="63">
        <v>14975.818837625464</v>
      </c>
      <c r="BM9" s="63">
        <v>15537.134145623484</v>
      </c>
      <c r="BO9" s="63">
        <v>9836.3276954554785</v>
      </c>
      <c r="BR9" s="63">
        <v>4914.1815590239657</v>
      </c>
      <c r="BT9" s="63">
        <v>5340.7400988700902</v>
      </c>
      <c r="BU9" s="63">
        <v>3952.147673163865</v>
      </c>
      <c r="BV9" s="256">
        <v>0.26000000000000034</v>
      </c>
      <c r="BW9" s="244">
        <v>5.9592352537240822E-2</v>
      </c>
      <c r="BX9" s="244">
        <v>4.5670870530063024E-2</v>
      </c>
      <c r="BZ9" s="244">
        <f t="shared" si="0"/>
        <v>4.4098340877558206E-2</v>
      </c>
    </row>
    <row r="10" spans="1:80" ht="14.25" customHeight="1" x14ac:dyDescent="0.3">
      <c r="A10" s="335">
        <f>SUMIFS(_xlfn.ANCHORARRAY(BK3),W3:W52,"&lt;="&amp;T_t)</f>
        <v>153990.95459050397</v>
      </c>
      <c r="B10" s="336"/>
      <c r="D10" s="262"/>
      <c r="E10" s="244"/>
      <c r="F10" s="244"/>
      <c r="G10" s="275"/>
      <c r="H10" s="263"/>
      <c r="M10" s="277"/>
      <c r="N10" s="284"/>
      <c r="O10" s="279"/>
      <c r="R10" s="8">
        <v>0.7</v>
      </c>
      <c r="S10" s="264">
        <v>4.4999999999999998E-2</v>
      </c>
      <c r="T10" s="10">
        <v>10</v>
      </c>
      <c r="U10" s="9">
        <v>0.2</v>
      </c>
      <c r="V10" s="13">
        <v>1.4E-2</v>
      </c>
      <c r="W10" s="39">
        <v>8</v>
      </c>
      <c r="X10" s="70">
        <v>6481.7614413898045</v>
      </c>
      <c r="Y10" s="70">
        <v>0</v>
      </c>
      <c r="Z10" s="70">
        <v>4964.9763186449409</v>
      </c>
      <c r="AA10" s="67">
        <v>11446.737760034746</v>
      </c>
      <c r="AB10" s="255">
        <v>11446.737760034744</v>
      </c>
      <c r="AC10" s="71">
        <v>9158.5592304809779</v>
      </c>
      <c r="AD10" s="70">
        <v>0</v>
      </c>
      <c r="AE10" s="70">
        <v>7015.3815600000044</v>
      </c>
      <c r="AF10" s="67">
        <v>16173.940790480981</v>
      </c>
      <c r="AG10" s="253">
        <v>16173.940790480981</v>
      </c>
      <c r="AH10" s="68">
        <v>11446.737760034744</v>
      </c>
      <c r="AI10" s="71">
        <v>4676.9210400000029</v>
      </c>
      <c r="AJ10" s="72">
        <v>4676.9210400000029</v>
      </c>
      <c r="AK10" s="70">
        <v>0</v>
      </c>
      <c r="AL10" s="72">
        <v>0</v>
      </c>
      <c r="AM10" s="70">
        <v>7015.3815600000034</v>
      </c>
      <c r="AN10" s="72">
        <v>7015.3815600000044</v>
      </c>
      <c r="AO10" s="81">
        <v>11692.302600000006</v>
      </c>
      <c r="AP10" s="254">
        <v>11692.302600000006</v>
      </c>
      <c r="AQ10" s="69">
        <v>12561.145975615233</v>
      </c>
      <c r="AT10" s="69">
        <v>10733.188864974296</v>
      </c>
      <c r="AU10" s="63">
        <v>0</v>
      </c>
      <c r="AV10" s="63">
        <v>7015.3815600000044</v>
      </c>
      <c r="AW10" s="68">
        <v>17748.570424974299</v>
      </c>
      <c r="AX10" s="68">
        <v>-1574.629634493318</v>
      </c>
      <c r="AY10" s="69">
        <v>6056.267824974293</v>
      </c>
      <c r="AZ10" s="63">
        <v>0</v>
      </c>
      <c r="BA10" s="63">
        <v>0</v>
      </c>
      <c r="BB10" s="66">
        <v>-1574.6296344933162</v>
      </c>
      <c r="BC10" s="66">
        <v>0</v>
      </c>
      <c r="BD10" s="66">
        <v>0</v>
      </c>
      <c r="BE10" s="68">
        <v>-1574.6296344933162</v>
      </c>
      <c r="BF10" s="63">
        <v>16173.940790480983</v>
      </c>
      <c r="BG10" s="73">
        <v>0</v>
      </c>
      <c r="BH10" s="63">
        <v>11446.737760034746</v>
      </c>
      <c r="BI10" s="63">
        <v>0</v>
      </c>
      <c r="BK10" s="63">
        <v>9785.5490842762356</v>
      </c>
      <c r="BL10" s="63">
        <v>13973.909752383939</v>
      </c>
      <c r="BM10" s="63">
        <v>14576.656762075851</v>
      </c>
      <c r="BO10" s="63">
        <v>10556.058990244903</v>
      </c>
      <c r="BR10" s="63">
        <v>4727.2030304462369</v>
      </c>
      <c r="BT10" s="63">
        <v>6056.267824974293</v>
      </c>
      <c r="BU10" s="63">
        <v>4481.638190480975</v>
      </c>
      <c r="BV10" s="256">
        <v>0.26000000000000034</v>
      </c>
      <c r="BW10" s="244">
        <v>6.1438318065601516E-2</v>
      </c>
      <c r="BX10" s="244">
        <v>4.7444037509383419E-2</v>
      </c>
      <c r="BZ10" s="244">
        <f t="shared" si="0"/>
        <v>4.5464355368545123E-2</v>
      </c>
    </row>
    <row r="11" spans="1:80" x14ac:dyDescent="0.3">
      <c r="D11" s="262"/>
      <c r="E11" s="244"/>
      <c r="F11" s="244"/>
      <c r="G11" s="275"/>
      <c r="M11" s="278"/>
      <c r="N11" s="285"/>
      <c r="O11" s="280"/>
      <c r="R11" s="8">
        <v>0.8</v>
      </c>
      <c r="S11" s="264">
        <v>0.05</v>
      </c>
      <c r="T11" s="10">
        <v>15</v>
      </c>
      <c r="U11" s="8">
        <v>0.25</v>
      </c>
      <c r="V11" s="13">
        <v>1.6E-2</v>
      </c>
      <c r="W11" s="36">
        <v>9</v>
      </c>
      <c r="X11" s="70">
        <v>6536.3893638233758</v>
      </c>
      <c r="Y11" s="70">
        <v>0</v>
      </c>
      <c r="Z11" s="70">
        <v>4513.6148351317634</v>
      </c>
      <c r="AA11" s="67">
        <v>11050.004198955139</v>
      </c>
      <c r="AB11" s="255">
        <v>11050.004198955139</v>
      </c>
      <c r="AC11" s="71">
        <v>9235.7470547737994</v>
      </c>
      <c r="AD11" s="70">
        <v>0</v>
      </c>
      <c r="AE11" s="70">
        <v>6377.6196000000027</v>
      </c>
      <c r="AF11" s="67">
        <v>15613.366654773803</v>
      </c>
      <c r="AG11" s="253">
        <v>15613.366654773803</v>
      </c>
      <c r="AH11" s="68">
        <v>11050.004198955139</v>
      </c>
      <c r="AI11" s="71">
        <v>4251.7464000000027</v>
      </c>
      <c r="AJ11" s="72">
        <v>4251.7464000000018</v>
      </c>
      <c r="AK11" s="70">
        <v>0</v>
      </c>
      <c r="AL11" s="72">
        <v>0</v>
      </c>
      <c r="AM11" s="70">
        <v>6377.6196000000027</v>
      </c>
      <c r="AN11" s="72">
        <v>6377.6196000000027</v>
      </c>
      <c r="AO11" s="81">
        <v>10629.366000000005</v>
      </c>
      <c r="AP11" s="254">
        <v>10629.366000000005</v>
      </c>
      <c r="AQ11" s="69">
        <v>12289.330320357716</v>
      </c>
      <c r="AT11" s="69">
        <v>10986.882419964597</v>
      </c>
      <c r="AU11" s="63">
        <v>0</v>
      </c>
      <c r="AV11" s="63">
        <v>6377.6196000000027</v>
      </c>
      <c r="AW11" s="68">
        <v>17364.502019964599</v>
      </c>
      <c r="AX11" s="68">
        <v>-1751.1353651907957</v>
      </c>
      <c r="AY11" s="69">
        <v>6735.1360199645942</v>
      </c>
      <c r="AZ11" s="63">
        <v>0</v>
      </c>
      <c r="BA11" s="63">
        <v>0</v>
      </c>
      <c r="BB11" s="66">
        <v>-1751.1353651907946</v>
      </c>
      <c r="BC11" s="66">
        <v>0</v>
      </c>
      <c r="BD11" s="66">
        <v>0</v>
      </c>
      <c r="BE11" s="68">
        <v>-1751.1353651907946</v>
      </c>
      <c r="BF11" s="63">
        <v>15613.366654773805</v>
      </c>
      <c r="BG11" s="73">
        <v>0</v>
      </c>
      <c r="BH11" s="63">
        <v>11050.004198955141</v>
      </c>
      <c r="BI11" s="63">
        <v>0</v>
      </c>
      <c r="BK11" s="63">
        <v>9118.03543941321</v>
      </c>
      <c r="BL11" s="63">
        <v>13041.511571800898</v>
      </c>
      <c r="BM11" s="63">
        <v>13675.554344056614</v>
      </c>
      <c r="BO11" s="63">
        <v>11328.453550506729</v>
      </c>
      <c r="BR11" s="63">
        <v>4563.3624558186639</v>
      </c>
      <c r="BT11" s="63">
        <v>6735.1360199645933</v>
      </c>
      <c r="BU11" s="63">
        <v>4984.0006547737976</v>
      </c>
      <c r="BV11" s="256">
        <v>0.26000000000000023</v>
      </c>
      <c r="BW11" s="244">
        <v>6.327198548503099E-2</v>
      </c>
      <c r="BX11" s="244">
        <v>4.9237127134778902E-2</v>
      </c>
      <c r="BZ11" s="244">
        <f t="shared" si="0"/>
        <v>4.682126925892293E-2</v>
      </c>
    </row>
    <row r="12" spans="1:80" x14ac:dyDescent="0.3">
      <c r="A12" s="337" t="s">
        <v>74</v>
      </c>
      <c r="B12" s="338"/>
      <c r="D12" s="68"/>
      <c r="F12" s="244"/>
      <c r="G12" s="261"/>
      <c r="M12" s="259">
        <f>SUMIFS(BW4:BW52,W4:W52,"&lt;="&amp;T_t) /(T_t-1)</f>
        <v>6.2238736872737302E-2</v>
      </c>
      <c r="N12" s="259">
        <f>SUMIFS(BV4:BV52,W4:W52,"&lt;="&amp;T_t) /(T_t-1)</f>
        <v>0.26000000000000023</v>
      </c>
      <c r="O12" s="260">
        <f>SUMIFS(BX4:BX52,W4:W52,"&lt;="&amp;T_t) /(T_t-1)</f>
        <v>4.8472196955470573E-2</v>
      </c>
      <c r="R12" s="8">
        <v>0.9</v>
      </c>
      <c r="S12" s="264">
        <v>5.5E-2</v>
      </c>
      <c r="T12" s="10">
        <v>20</v>
      </c>
      <c r="U12" s="9">
        <v>0.3</v>
      </c>
      <c r="V12" s="13">
        <v>1.7999999999999999E-2</v>
      </c>
      <c r="W12" s="57">
        <v>10</v>
      </c>
      <c r="X12" s="70">
        <v>6601.2700687871329</v>
      </c>
      <c r="Y12" s="70">
        <v>0</v>
      </c>
      <c r="Z12" s="70">
        <v>4103.2862137561478</v>
      </c>
      <c r="AA12" s="67">
        <v>10704.556282543281</v>
      </c>
      <c r="AB12" s="255">
        <v>10704.556282543281</v>
      </c>
      <c r="AC12" s="71">
        <v>9327.4217923739106</v>
      </c>
      <c r="AD12" s="70">
        <v>0</v>
      </c>
      <c r="AE12" s="70">
        <v>5797.8360000000021</v>
      </c>
      <c r="AF12" s="67">
        <v>15125.257792373912</v>
      </c>
      <c r="AG12" s="253">
        <v>15125.257792373912</v>
      </c>
      <c r="AH12" s="68">
        <v>10704.556282543281</v>
      </c>
      <c r="AI12" s="71">
        <v>3865.2240000000015</v>
      </c>
      <c r="AJ12" s="72">
        <v>3865.2240000000015</v>
      </c>
      <c r="AK12" s="70">
        <v>0</v>
      </c>
      <c r="AL12" s="72">
        <v>0</v>
      </c>
      <c r="AM12" s="70">
        <v>5797.8360000000021</v>
      </c>
      <c r="AN12" s="72">
        <v>5797.8360000000021</v>
      </c>
      <c r="AO12" s="81">
        <v>9663.0600000000031</v>
      </c>
      <c r="AP12" s="254">
        <v>9663.0600000000031</v>
      </c>
      <c r="AQ12" s="69">
        <v>12062.791337723804</v>
      </c>
      <c r="AT12" s="69">
        <v>11246.57236807285</v>
      </c>
      <c r="AU12" s="63">
        <v>0</v>
      </c>
      <c r="AV12" s="63">
        <v>5797.8360000000021</v>
      </c>
      <c r="AW12" s="68">
        <v>17044.408368072851</v>
      </c>
      <c r="AX12" s="68">
        <v>-1919.1505756989391</v>
      </c>
      <c r="AY12" s="69">
        <v>7381.3483680728477</v>
      </c>
      <c r="AZ12" s="63">
        <v>0</v>
      </c>
      <c r="BA12" s="63">
        <v>0</v>
      </c>
      <c r="BB12" s="66">
        <v>-1919.1505756989404</v>
      </c>
      <c r="BC12" s="66">
        <v>0</v>
      </c>
      <c r="BD12" s="66">
        <v>0</v>
      </c>
      <c r="BE12" s="68">
        <v>-1919.1505756989404</v>
      </c>
      <c r="BF12" s="63">
        <v>15125.25779237391</v>
      </c>
      <c r="BG12" s="73">
        <v>0</v>
      </c>
      <c r="BH12" s="63">
        <v>10704.556282543279</v>
      </c>
      <c r="BI12" s="63">
        <v>0</v>
      </c>
      <c r="BK12" s="63">
        <v>8497.4761646308525</v>
      </c>
      <c r="BL12" s="63">
        <v>12173.599427092844</v>
      </c>
      <c r="BM12" s="63">
        <v>12830.156439151297</v>
      </c>
      <c r="BO12" s="63">
        <v>12157.36478590966</v>
      </c>
      <c r="BR12" s="63">
        <v>4420.701509830631</v>
      </c>
      <c r="BT12" s="63">
        <v>7381.3483680728477</v>
      </c>
      <c r="BU12" s="63">
        <v>5462.1977923739087</v>
      </c>
      <c r="BV12" s="256">
        <v>0.25999999999999979</v>
      </c>
      <c r="BW12" s="244">
        <v>6.508740864403606E-2</v>
      </c>
      <c r="BX12" s="244">
        <v>5.104400892968286E-2</v>
      </c>
      <c r="BZ12" s="244">
        <f t="shared" si="0"/>
        <v>4.816468239658668E-2</v>
      </c>
    </row>
    <row r="13" spans="1:80" x14ac:dyDescent="0.3">
      <c r="A13" s="329">
        <f>B18+F18</f>
        <v>134917.49623044048</v>
      </c>
      <c r="B13" s="330"/>
      <c r="D13" s="262"/>
      <c r="M13" s="276" t="s">
        <v>241</v>
      </c>
      <c r="N13" s="276"/>
      <c r="P13" s="244"/>
      <c r="R13" s="9">
        <v>1</v>
      </c>
      <c r="S13" s="264">
        <v>0.06</v>
      </c>
      <c r="T13" s="10">
        <v>30</v>
      </c>
      <c r="U13" s="11"/>
      <c r="V13" s="13">
        <v>0.02</v>
      </c>
      <c r="W13" s="14">
        <v>11</v>
      </c>
      <c r="X13" s="70">
        <v>6675.8312059507962</v>
      </c>
      <c r="Y13" s="70">
        <v>0</v>
      </c>
      <c r="Z13" s="70">
        <v>3730.2601943237705</v>
      </c>
      <c r="AA13" s="67">
        <v>10406.091400274567</v>
      </c>
      <c r="AB13" s="255">
        <v>10406.091400274567</v>
      </c>
      <c r="AC13" s="71">
        <v>9432.7747272482011</v>
      </c>
      <c r="AD13" s="70">
        <v>0</v>
      </c>
      <c r="AE13" s="70">
        <v>5270.7600000000011</v>
      </c>
      <c r="AF13" s="67">
        <v>14703.534727248203</v>
      </c>
      <c r="AG13" s="253">
        <v>14703.534727248203</v>
      </c>
      <c r="AH13" s="68">
        <v>10406.091400274567</v>
      </c>
      <c r="AI13" s="71">
        <v>3513.8400000000011</v>
      </c>
      <c r="AJ13" s="72">
        <v>3513.8400000000011</v>
      </c>
      <c r="AK13" s="70">
        <v>0</v>
      </c>
      <c r="AL13" s="72">
        <v>0</v>
      </c>
      <c r="AM13" s="70">
        <v>5270.7600000000011</v>
      </c>
      <c r="AN13" s="72">
        <v>5270.7600000000011</v>
      </c>
      <c r="AO13" s="81">
        <v>8784.6000000000022</v>
      </c>
      <c r="AP13" s="254">
        <v>8784.6000000000022</v>
      </c>
      <c r="AQ13" s="69">
        <v>11877.899075767027</v>
      </c>
      <c r="AT13" s="69">
        <v>11512.400442227299</v>
      </c>
      <c r="AU13" s="63">
        <v>0</v>
      </c>
      <c r="AV13" s="63">
        <v>5270.7600000000011</v>
      </c>
      <c r="AW13" s="68">
        <v>16783.160442227301</v>
      </c>
      <c r="AX13" s="68">
        <v>-2079.6257149790981</v>
      </c>
      <c r="AY13" s="69">
        <v>7998.5604422272982</v>
      </c>
      <c r="AZ13" s="63">
        <v>0</v>
      </c>
      <c r="BA13" s="63">
        <v>0</v>
      </c>
      <c r="BB13" s="66">
        <v>-2079.6257149790977</v>
      </c>
      <c r="BC13" s="66">
        <v>0</v>
      </c>
      <c r="BD13" s="66">
        <v>0</v>
      </c>
      <c r="BE13" s="68">
        <v>-2079.6257149790977</v>
      </c>
      <c r="BF13" s="63">
        <v>14703.534727248203</v>
      </c>
      <c r="BG13" s="73">
        <v>0</v>
      </c>
      <c r="BH13" s="63">
        <v>10406.091400274567</v>
      </c>
      <c r="BI13" s="63">
        <v>0</v>
      </c>
      <c r="BK13" s="63">
        <v>7920.451363395412</v>
      </c>
      <c r="BL13" s="63">
        <v>11365.527597467271</v>
      </c>
      <c r="BM13" s="63">
        <v>12037.019495640123</v>
      </c>
      <c r="BO13" s="63">
        <v>13046.928062927444</v>
      </c>
      <c r="BR13" s="63">
        <v>4297.4433269736364</v>
      </c>
      <c r="BT13" s="63">
        <v>7998.5604422272991</v>
      </c>
      <c r="BU13" s="63">
        <v>5918.9347272482009</v>
      </c>
      <c r="BV13" s="256">
        <v>0.26</v>
      </c>
      <c r="BW13" s="244">
        <v>6.6879021590278809E-2</v>
      </c>
      <c r="BX13" s="244">
        <v>5.2858423407071031E-2</v>
      </c>
      <c r="BZ13" s="244">
        <f t="shared" si="0"/>
        <v>4.9490475976806315E-2</v>
      </c>
    </row>
    <row r="14" spans="1:80" x14ac:dyDescent="0.3">
      <c r="M14" s="276"/>
      <c r="N14" s="276"/>
      <c r="S14" s="264">
        <v>6.5000000000000002E-2</v>
      </c>
      <c r="T14" s="6">
        <v>35</v>
      </c>
      <c r="V14" s="13">
        <v>2.1999999999999999E-2</v>
      </c>
      <c r="W14" s="35">
        <v>12</v>
      </c>
      <c r="X14" s="70">
        <v>6759.5609593241506</v>
      </c>
      <c r="Y14" s="70">
        <v>0</v>
      </c>
      <c r="Z14" s="70">
        <v>3391.1456312034279</v>
      </c>
      <c r="AA14" s="67">
        <v>10150.706590527578</v>
      </c>
      <c r="AB14" s="255">
        <v>10150.706590527578</v>
      </c>
      <c r="AC14" s="71">
        <v>9551.0826768013412</v>
      </c>
      <c r="AD14" s="70">
        <v>0</v>
      </c>
      <c r="AE14" s="70">
        <v>4791.6000000000013</v>
      </c>
      <c r="AF14" s="67">
        <v>14342.682676801342</v>
      </c>
      <c r="AG14" s="253">
        <v>14342.682676801342</v>
      </c>
      <c r="AH14" s="68">
        <v>10150.706590527578</v>
      </c>
      <c r="AI14" s="71">
        <v>3194.4000000000015</v>
      </c>
      <c r="AJ14" s="72">
        <v>3194.400000000001</v>
      </c>
      <c r="AK14" s="70">
        <v>0</v>
      </c>
      <c r="AL14" s="72">
        <v>0</v>
      </c>
      <c r="AM14" s="70">
        <v>4791.6000000000013</v>
      </c>
      <c r="AN14" s="72">
        <v>4791.6000000000013</v>
      </c>
      <c r="AO14" s="81">
        <v>7986.0000000000027</v>
      </c>
      <c r="AP14" s="254">
        <v>7986.0000000000027</v>
      </c>
      <c r="AQ14" s="69">
        <v>11731.365068026253</v>
      </c>
      <c r="AT14" s="69">
        <v>11784.511725407217</v>
      </c>
      <c r="AU14" s="63">
        <v>0</v>
      </c>
      <c r="AV14" s="63">
        <v>4791.6000000000013</v>
      </c>
      <c r="AW14" s="68">
        <v>16576.11172540722</v>
      </c>
      <c r="AX14" s="68">
        <v>-2233.4290486058781</v>
      </c>
      <c r="AY14" s="69">
        <v>8590.111725407216</v>
      </c>
      <c r="AZ14" s="63">
        <v>0</v>
      </c>
      <c r="BA14" s="63">
        <v>0</v>
      </c>
      <c r="BB14" s="66">
        <v>-2233.4290486058762</v>
      </c>
      <c r="BC14" s="66">
        <v>0</v>
      </c>
      <c r="BD14" s="66">
        <v>0</v>
      </c>
      <c r="BE14" s="68">
        <v>-2233.4290486058762</v>
      </c>
      <c r="BF14" s="63">
        <v>14342.682676801343</v>
      </c>
      <c r="BG14" s="73">
        <v>0</v>
      </c>
      <c r="BH14" s="63">
        <v>10150.706590527579</v>
      </c>
      <c r="BI14" s="63">
        <v>0</v>
      </c>
      <c r="BK14" s="63">
        <v>7383.7995748449484</v>
      </c>
      <c r="BL14" s="63">
        <v>10612.999701619236</v>
      </c>
      <c r="BM14" s="63">
        <v>11292.912835909643</v>
      </c>
      <c r="BO14" s="63">
        <v>14001.581335824574</v>
      </c>
      <c r="BR14" s="63">
        <v>4191.9760862737639</v>
      </c>
      <c r="BT14" s="63">
        <v>8590.111725407216</v>
      </c>
      <c r="BU14" s="63">
        <v>6356.6826768013389</v>
      </c>
      <c r="BV14" s="256">
        <v>0.26000000000000012</v>
      </c>
      <c r="BW14" s="244">
        <v>6.864171620392745E-2</v>
      </c>
      <c r="BX14" s="244">
        <v>5.4674098440731456E-2</v>
      </c>
      <c r="BZ14" s="244">
        <f t="shared" si="0"/>
        <v>5.0794869990906315E-2</v>
      </c>
    </row>
    <row r="15" spans="1:80" ht="15" thickBot="1" x14ac:dyDescent="0.35">
      <c r="S15" s="264">
        <v>7.0000000000000007E-2</v>
      </c>
      <c r="T15" s="10">
        <v>40</v>
      </c>
      <c r="U15" s="11"/>
      <c r="V15" s="13">
        <v>2.4E-2</v>
      </c>
      <c r="W15" s="35">
        <v>13</v>
      </c>
      <c r="X15" s="70">
        <v>6852.0027451031901</v>
      </c>
      <c r="Y15" s="70">
        <v>0</v>
      </c>
      <c r="Z15" s="70">
        <v>3082.8596647303889</v>
      </c>
      <c r="AA15" s="67">
        <v>9934.8624098335786</v>
      </c>
      <c r="AB15" s="255">
        <v>9934.8624098335804</v>
      </c>
      <c r="AC15" s="71">
        <v>9681.7005000711888</v>
      </c>
      <c r="AD15" s="70">
        <v>0</v>
      </c>
      <c r="AE15" s="70">
        <v>4356.0000000000009</v>
      </c>
      <c r="AF15" s="67">
        <v>14037.700500071191</v>
      </c>
      <c r="AG15" s="253">
        <v>14037.700500071191</v>
      </c>
      <c r="AH15" s="68">
        <v>9934.8624098335804</v>
      </c>
      <c r="AI15" s="71">
        <v>2904.0000000000005</v>
      </c>
      <c r="AJ15" s="72">
        <v>2904.0000000000005</v>
      </c>
      <c r="AK15" s="70">
        <v>0</v>
      </c>
      <c r="AL15" s="72">
        <v>0</v>
      </c>
      <c r="AM15" s="70">
        <v>4356</v>
      </c>
      <c r="AN15" s="72">
        <v>4356.0000000000009</v>
      </c>
      <c r="AO15" s="81">
        <v>7260</v>
      </c>
      <c r="AP15" s="254">
        <v>7260.0000000000009</v>
      </c>
      <c r="AQ15" s="69">
        <v>11620.211560969025</v>
      </c>
      <c r="AT15" s="69">
        <v>12063.054729825932</v>
      </c>
      <c r="AU15" s="63">
        <v>0</v>
      </c>
      <c r="AV15" s="63">
        <v>4356.0000000000009</v>
      </c>
      <c r="AW15" s="68">
        <v>16419.054729825933</v>
      </c>
      <c r="AX15" s="68">
        <v>-2381.3542297547428</v>
      </c>
      <c r="AY15" s="69">
        <v>9159.0547298259316</v>
      </c>
      <c r="AZ15" s="63">
        <v>0</v>
      </c>
      <c r="BA15" s="63">
        <v>0</v>
      </c>
      <c r="BB15" s="66">
        <v>-2381.3542297547424</v>
      </c>
      <c r="BC15" s="66">
        <v>0</v>
      </c>
      <c r="BD15" s="66">
        <v>0</v>
      </c>
      <c r="BE15" s="68">
        <v>-2381.3542297547424</v>
      </c>
      <c r="BF15" s="63">
        <v>14037.700500071191</v>
      </c>
      <c r="BG15" s="73">
        <v>0</v>
      </c>
      <c r="BH15" s="63">
        <v>9934.8624098335804</v>
      </c>
      <c r="BI15" s="63">
        <v>0</v>
      </c>
      <c r="BK15" s="63">
        <v>6884.5975228672414</v>
      </c>
      <c r="BL15" s="63">
        <v>9912.041319522079</v>
      </c>
      <c r="BM15" s="63">
        <v>10594.805496962499</v>
      </c>
      <c r="BO15" s="63">
        <v>15026.087287226372</v>
      </c>
      <c r="BR15" s="63">
        <v>4102.8380902376102</v>
      </c>
      <c r="BT15" s="63">
        <v>9159.0547298259335</v>
      </c>
      <c r="BU15" s="63">
        <v>6777.7005000711897</v>
      </c>
      <c r="BV15" s="256">
        <v>0.26000000000000012</v>
      </c>
      <c r="BW15" s="244">
        <v>7.0370901625793403E-2</v>
      </c>
      <c r="BX15" s="244">
        <v>5.6484863757358283E-2</v>
      </c>
      <c r="BZ15" s="244">
        <f t="shared" si="0"/>
        <v>5.2074467203087116E-2</v>
      </c>
    </row>
    <row r="16" spans="1:80" ht="15" customHeight="1" thickTop="1" x14ac:dyDescent="0.3">
      <c r="A16" s="326" t="s">
        <v>75</v>
      </c>
      <c r="B16" s="295" t="str">
        <f>"Nominal value    (year " &amp;T_t &amp;" value)"</f>
        <v>Nominal value    (year 15 value)</v>
      </c>
      <c r="C16" s="297" t="s">
        <v>117</v>
      </c>
      <c r="D16" s="295" t="s">
        <v>136</v>
      </c>
      <c r="E16" s="297" t="s">
        <v>134</v>
      </c>
      <c r="F16" s="290" t="s">
        <v>107</v>
      </c>
      <c r="G16" s="266" t="s">
        <v>108</v>
      </c>
      <c r="H16" s="270" t="s">
        <v>114</v>
      </c>
      <c r="I16" s="270"/>
      <c r="J16" s="180"/>
      <c r="S16" s="264">
        <v>7.4999999999999997E-2</v>
      </c>
      <c r="T16" s="6">
        <v>45</v>
      </c>
      <c r="U16" s="11"/>
      <c r="V16" s="13">
        <v>2.5999999999999999E-2</v>
      </c>
      <c r="W16" s="35">
        <v>14</v>
      </c>
      <c r="X16" s="70">
        <v>6952.7503962804376</v>
      </c>
      <c r="Y16" s="70">
        <v>0</v>
      </c>
      <c r="Z16" s="70">
        <v>2802.5996952094442</v>
      </c>
      <c r="AA16" s="67">
        <v>9755.3500914898814</v>
      </c>
      <c r="AB16" s="255">
        <v>9755.3500914898814</v>
      </c>
      <c r="AC16" s="71">
        <v>9824.0542937092359</v>
      </c>
      <c r="AD16" s="70">
        <v>0</v>
      </c>
      <c r="AE16" s="70">
        <v>3960.0000000000005</v>
      </c>
      <c r="AF16" s="67">
        <v>13784.054293709236</v>
      </c>
      <c r="AG16" s="253">
        <v>13784.054293709236</v>
      </c>
      <c r="AH16" s="68">
        <v>9755.3500914898814</v>
      </c>
      <c r="AI16" s="71">
        <v>2640.0000000000005</v>
      </c>
      <c r="AJ16" s="72">
        <v>2640</v>
      </c>
      <c r="AK16" s="70">
        <v>0</v>
      </c>
      <c r="AL16" s="72">
        <v>0</v>
      </c>
      <c r="AM16" s="70">
        <v>3960.0000000000005</v>
      </c>
      <c r="AN16" s="72">
        <v>3960.0000000000005</v>
      </c>
      <c r="AO16" s="81">
        <v>6600.0000000000009</v>
      </c>
      <c r="AP16" s="254">
        <v>6600.0000000000009</v>
      </c>
      <c r="AQ16" s="69">
        <v>11541.743545359175</v>
      </c>
      <c r="AT16" s="69">
        <v>12348.181477985454</v>
      </c>
      <c r="AU16" s="63">
        <v>0</v>
      </c>
      <c r="AV16" s="63">
        <v>3960.0000000000005</v>
      </c>
      <c r="AW16" s="68">
        <v>16308.181477985454</v>
      </c>
      <c r="AX16" s="68">
        <v>-2524.127184276218</v>
      </c>
      <c r="AY16" s="69">
        <v>9708.181477985454</v>
      </c>
      <c r="AZ16" s="63">
        <v>0</v>
      </c>
      <c r="BA16" s="63">
        <v>0</v>
      </c>
      <c r="BB16" s="66">
        <v>-2524.127184276218</v>
      </c>
      <c r="BC16" s="66">
        <v>0</v>
      </c>
      <c r="BD16" s="66">
        <v>0</v>
      </c>
      <c r="BE16" s="68">
        <v>-2524.127184276218</v>
      </c>
      <c r="BF16" s="63">
        <v>13784.054293709236</v>
      </c>
      <c r="BG16" s="73">
        <v>0</v>
      </c>
      <c r="BH16" s="63">
        <v>9755.3500914898814</v>
      </c>
      <c r="BI16" s="63">
        <v>0</v>
      </c>
      <c r="BK16" s="63">
        <v>6420.1415056800588</v>
      </c>
      <c r="BL16" s="63">
        <v>9258.9748403507529</v>
      </c>
      <c r="BM16" s="63">
        <v>9939.8538844230006</v>
      </c>
      <c r="BO16" s="63">
        <v>16125.557088730748</v>
      </c>
      <c r="BR16" s="63">
        <v>4028.7042022193546</v>
      </c>
      <c r="BT16" s="63">
        <v>9708.181477985454</v>
      </c>
      <c r="BU16" s="63">
        <v>7184.054293709235</v>
      </c>
      <c r="BV16" s="256">
        <v>0.26000000000000012</v>
      </c>
      <c r="BW16" s="244">
        <v>7.2062544744342816E-2</v>
      </c>
      <c r="BX16" s="244">
        <v>5.8284758680825499E-2</v>
      </c>
      <c r="BZ16" s="244">
        <f t="shared" si="0"/>
        <v>5.332628311081368E-2</v>
      </c>
    </row>
    <row r="17" spans="1:78" x14ac:dyDescent="0.3">
      <c r="A17" s="327"/>
      <c r="B17" s="328"/>
      <c r="C17" s="298"/>
      <c r="D17" s="296"/>
      <c r="E17" s="298"/>
      <c r="F17" s="290"/>
      <c r="G17" s="266"/>
      <c r="H17" s="270"/>
      <c r="I17" s="270"/>
      <c r="J17" s="180"/>
      <c r="S17" s="264">
        <v>0.08</v>
      </c>
      <c r="T17" s="10">
        <v>50</v>
      </c>
      <c r="U17" s="11"/>
      <c r="V17" s="13">
        <v>2.8000000000000001E-2</v>
      </c>
      <c r="W17" s="35">
        <v>15</v>
      </c>
      <c r="X17" s="70">
        <v>7061.4437898803626</v>
      </c>
      <c r="Y17" s="70">
        <v>0</v>
      </c>
      <c r="Z17" s="70">
        <v>2547.8179047358581</v>
      </c>
      <c r="AA17" s="67">
        <v>9609.2616946162198</v>
      </c>
      <c r="AB17" s="255">
        <v>9609.2616946162216</v>
      </c>
      <c r="AC17" s="71">
        <v>9977.6352133787277</v>
      </c>
      <c r="AD17" s="70">
        <v>0</v>
      </c>
      <c r="AE17" s="70">
        <v>3600</v>
      </c>
      <c r="AF17" s="67">
        <v>13577.635213378728</v>
      </c>
      <c r="AG17" s="253">
        <v>13577.635213378728</v>
      </c>
      <c r="AH17" s="68">
        <v>9609.2616946162216</v>
      </c>
      <c r="AI17" s="71">
        <v>2400</v>
      </c>
      <c r="AJ17" s="72">
        <v>2400</v>
      </c>
      <c r="AK17" s="70">
        <v>0</v>
      </c>
      <c r="AL17" s="72">
        <v>0</v>
      </c>
      <c r="AM17" s="70">
        <v>3600</v>
      </c>
      <c r="AN17" s="72">
        <v>3600</v>
      </c>
      <c r="AO17" s="81">
        <v>6000</v>
      </c>
      <c r="AP17" s="254">
        <v>6000</v>
      </c>
      <c r="AQ17" s="69">
        <v>11493.52333679822</v>
      </c>
      <c r="AT17" s="69">
        <v>12640.047585646929</v>
      </c>
      <c r="AU17" s="63">
        <v>0</v>
      </c>
      <c r="AV17" s="63">
        <v>3600</v>
      </c>
      <c r="AW17" s="68">
        <v>16240.047585646929</v>
      </c>
      <c r="AX17" s="68">
        <v>-2662.4123722682016</v>
      </c>
      <c r="AY17" s="69">
        <v>10240.047585646929</v>
      </c>
      <c r="AZ17" s="63">
        <v>0</v>
      </c>
      <c r="BA17" s="63">
        <v>0</v>
      </c>
      <c r="BB17" s="66">
        <v>-2662.4123722682016</v>
      </c>
      <c r="BC17" s="66">
        <v>0</v>
      </c>
      <c r="BD17" s="66">
        <v>0</v>
      </c>
      <c r="BE17" s="68">
        <v>-2662.4123722682016</v>
      </c>
      <c r="BF17" s="63">
        <v>13577.635213378728</v>
      </c>
      <c r="BG17" s="73">
        <v>0</v>
      </c>
      <c r="BH17" s="63">
        <v>9609.2616946162216</v>
      </c>
      <c r="BI17" s="63">
        <v>0</v>
      </c>
      <c r="BK17" s="63">
        <v>5987.930289171135</v>
      </c>
      <c r="BL17" s="63">
        <v>8650.3963499297079</v>
      </c>
      <c r="BM17" s="63">
        <v>9325.3901897495762</v>
      </c>
      <c r="BO17" s="63">
        <v>17305.475900101286</v>
      </c>
      <c r="BR17" s="63">
        <v>3968.3735187625061</v>
      </c>
      <c r="BT17" s="63">
        <v>10240.047585646929</v>
      </c>
      <c r="BU17" s="63">
        <v>7577.6352133787277</v>
      </c>
      <c r="BV17" s="256">
        <v>0.26</v>
      </c>
      <c r="BW17" s="244">
        <v>7.3713192114538417E-2</v>
      </c>
      <c r="BX17" s="244">
        <v>6.0068128885200744E-2</v>
      </c>
      <c r="BZ17" s="244">
        <f t="shared" si="0"/>
        <v>5.4547762164758429E-2</v>
      </c>
    </row>
    <row r="18" spans="1:78" x14ac:dyDescent="0.3">
      <c r="A18" s="152" t="s">
        <v>124</v>
      </c>
      <c r="B18" s="122">
        <f>SUMIFS(_xlfn.ANCHORARRAY(AP3),W3:W52,"&lt;="&amp;T_t)</f>
        <v>190634.89016493916</v>
      </c>
      <c r="C18" s="154">
        <f t="shared" ref="C18:C25" si="1">B18/$B$22</f>
        <v>0.69020575717811949</v>
      </c>
      <c r="D18" s="197">
        <f t="shared" ref="D18:D25" si="2">B18*(1/(1+r_i)^(T_t-1))</f>
        <v>134917.49623044048</v>
      </c>
      <c r="E18" s="202">
        <f t="shared" ref="E18:E25" si="3">D18/$D$27</f>
        <v>0.75066956570450205</v>
      </c>
      <c r="F18" s="97">
        <f>D18-B18</f>
        <v>-55717.393934498687</v>
      </c>
      <c r="G18" s="84">
        <f>F18/B18</f>
        <v>-0.29227280424003943</v>
      </c>
      <c r="H18" s="325">
        <f>SUMIFS(_xlfn.ANCHORARRAY(BO3),W3:W52,"&lt;="&amp;T_t)</f>
        <v>165813.64653481863</v>
      </c>
      <c r="I18" s="325"/>
      <c r="J18" s="181"/>
      <c r="P18" s="65"/>
      <c r="Q18" s="63"/>
      <c r="S18" s="264">
        <v>8.5000000000000006E-2</v>
      </c>
      <c r="U18" s="11"/>
      <c r="V18" s="13">
        <v>0.03</v>
      </c>
      <c r="W18" s="35">
        <v>16</v>
      </c>
      <c r="X18" s="70">
        <v>7177.7648766962338</v>
      </c>
      <c r="Y18" s="70">
        <v>0</v>
      </c>
      <c r="Z18" s="70">
        <v>2316.1980952144163</v>
      </c>
      <c r="AA18" s="67">
        <v>9493.9629719106506</v>
      </c>
      <c r="AB18" s="255">
        <v>9493.9629719106506</v>
      </c>
      <c r="AC18" s="71">
        <v>10141.993863876771</v>
      </c>
      <c r="AD18" s="70">
        <v>0</v>
      </c>
      <c r="AE18" s="70">
        <v>3272.7272727272725</v>
      </c>
      <c r="AF18" s="67">
        <v>13414.721136604043</v>
      </c>
      <c r="AG18" s="253">
        <v>13414.721136604043</v>
      </c>
      <c r="AH18" s="68">
        <v>9493.9629719106506</v>
      </c>
      <c r="AI18" s="71">
        <v>2181.8181818181815</v>
      </c>
      <c r="AJ18" s="72">
        <v>2181.8181818181815</v>
      </c>
      <c r="AK18" s="70">
        <v>0</v>
      </c>
      <c r="AL18" s="72">
        <v>0</v>
      </c>
      <c r="AM18" s="70">
        <v>3272.7272727272725</v>
      </c>
      <c r="AN18" s="72">
        <v>3272.7272727272725</v>
      </c>
      <c r="AO18" s="81">
        <v>5454.545454545454</v>
      </c>
      <c r="AP18" s="254">
        <v>5454.545454545454</v>
      </c>
      <c r="AQ18" s="69">
        <v>11473.347473852797</v>
      </c>
      <c r="AT18" s="69">
        <v>12938.812346762221</v>
      </c>
      <c r="AU18" s="63">
        <v>0</v>
      </c>
      <c r="AV18" s="63">
        <v>3272.7272727272725</v>
      </c>
      <c r="AW18" s="68">
        <v>16211.539619489493</v>
      </c>
      <c r="AX18" s="68">
        <v>-2796.8184828854501</v>
      </c>
      <c r="AY18" s="69">
        <v>10756.994164944039</v>
      </c>
      <c r="AZ18" s="63">
        <v>0</v>
      </c>
      <c r="BA18" s="63">
        <v>0</v>
      </c>
      <c r="BB18" s="66">
        <v>-2796.8184828854501</v>
      </c>
      <c r="BC18" s="66">
        <v>0</v>
      </c>
      <c r="BD18" s="66">
        <v>0</v>
      </c>
      <c r="BE18" s="68">
        <v>-2796.8184828854501</v>
      </c>
      <c r="BF18" s="63">
        <v>13414.721136604043</v>
      </c>
      <c r="BG18" s="73">
        <v>0</v>
      </c>
      <c r="BH18" s="63">
        <v>9493.9629719106506</v>
      </c>
      <c r="BI18" s="63">
        <v>0</v>
      </c>
      <c r="BK18" s="63">
        <v>5585.6493789202477</v>
      </c>
      <c r="BL18" s="63">
        <v>8083.1543871157437</v>
      </c>
      <c r="BM18" s="63">
        <v>8748.9115234741457</v>
      </c>
      <c r="BO18" s="63">
        <v>18571.730234255043</v>
      </c>
      <c r="BR18" s="63">
        <v>3920.7581646933922</v>
      </c>
      <c r="BT18" s="63">
        <v>10756.994164944039</v>
      </c>
      <c r="BU18" s="63">
        <v>7960.1756820585888</v>
      </c>
      <c r="BV18" s="256">
        <v>0.26</v>
      </c>
      <c r="BW18" s="244">
        <v>7.5319974614878715E-2</v>
      </c>
      <c r="BX18" s="244">
        <v>6.1829708821814711E-2</v>
      </c>
      <c r="BZ18" s="244">
        <f t="shared" si="0"/>
        <v>5.5736781215010252E-2</v>
      </c>
    </row>
    <row r="19" spans="1:78" x14ac:dyDescent="0.3">
      <c r="A19" s="153" t="s">
        <v>111</v>
      </c>
      <c r="B19" s="123">
        <f>SUMIFS(_xlfn.ANCHORARRAY(AT3),W3:W52,"&lt;="&amp;T_t)-B18*q_s</f>
        <v>85565.196812519294</v>
      </c>
      <c r="C19" s="91">
        <f t="shared" si="1"/>
        <v>0.30979424282188056</v>
      </c>
      <c r="D19" s="94">
        <f t="shared" si="2"/>
        <v>60556.816794773396</v>
      </c>
      <c r="E19" s="91">
        <f t="shared" si="3"/>
        <v>0.33693301931824055</v>
      </c>
      <c r="F19" s="90">
        <f>D19-B19</f>
        <v>-25008.380017745898</v>
      </c>
      <c r="G19" s="86">
        <f>F19/B19</f>
        <v>-0.29227280424003943</v>
      </c>
      <c r="H19" s="196">
        <f>SUMIFS(_xlfn.ANCHORARRAY(AT3),W3:W52,"&lt;="&amp;T_t)</f>
        <v>161819.15287849496</v>
      </c>
      <c r="I19" s="72"/>
      <c r="Q19" s="63"/>
      <c r="V19" s="13">
        <v>3.2000000000000001E-2</v>
      </c>
      <c r="W19" s="35">
        <v>17</v>
      </c>
      <c r="X19" s="70">
        <v>7301.4340770549807</v>
      </c>
      <c r="Y19" s="70">
        <v>0</v>
      </c>
      <c r="Z19" s="70">
        <v>2105.6346320131056</v>
      </c>
      <c r="AA19" s="67">
        <v>9407.0687090680858</v>
      </c>
      <c r="AB19" s="255">
        <v>9407.0687090680858</v>
      </c>
      <c r="AC19" s="71">
        <v>10316.735206444439</v>
      </c>
      <c r="AD19" s="70">
        <v>0</v>
      </c>
      <c r="AE19" s="70">
        <v>2975.2066115702478</v>
      </c>
      <c r="AF19" s="67">
        <v>13291.941818014686</v>
      </c>
      <c r="AG19" s="253">
        <v>13291.941818014686</v>
      </c>
      <c r="AH19" s="68">
        <v>9407.0687090680858</v>
      </c>
      <c r="AI19" s="71">
        <v>1983.4710743801652</v>
      </c>
      <c r="AJ19" s="72">
        <v>1983.4710743801652</v>
      </c>
      <c r="AK19" s="70">
        <v>0</v>
      </c>
      <c r="AL19" s="72">
        <v>0</v>
      </c>
      <c r="AM19" s="70">
        <v>2975.2066115702473</v>
      </c>
      <c r="AN19" s="72">
        <v>2975.2066115702478</v>
      </c>
      <c r="AO19" s="81">
        <v>4958.6776859504125</v>
      </c>
      <c r="AP19" s="254">
        <v>4958.6776859504125</v>
      </c>
      <c r="AQ19" s="69">
        <v>11479.225723237485</v>
      </c>
      <c r="AT19" s="69">
        <v>13244.638820412965</v>
      </c>
      <c r="AU19" s="63">
        <v>0</v>
      </c>
      <c r="AV19" s="63">
        <v>2975.2066115702478</v>
      </c>
      <c r="AW19" s="68">
        <v>16219.845431983213</v>
      </c>
      <c r="AX19" s="68">
        <v>-2927.9036139685268</v>
      </c>
      <c r="AY19" s="69">
        <v>11261.167746032799</v>
      </c>
      <c r="AZ19" s="63">
        <v>0</v>
      </c>
      <c r="BA19" s="63">
        <v>0</v>
      </c>
      <c r="BB19" s="66">
        <v>-2927.9036139685277</v>
      </c>
      <c r="BC19" s="66">
        <v>0</v>
      </c>
      <c r="BD19" s="66">
        <v>0</v>
      </c>
      <c r="BE19" s="68">
        <v>-2927.9036139685277</v>
      </c>
      <c r="BF19" s="63">
        <v>13291.941818014686</v>
      </c>
      <c r="BG19" s="73">
        <v>0</v>
      </c>
      <c r="BH19" s="63">
        <v>9407.0687090680858</v>
      </c>
      <c r="BI19" s="63">
        <v>0</v>
      </c>
      <c r="BK19" s="63">
        <v>5211.1565564776274</v>
      </c>
      <c r="BL19" s="63">
        <v>7554.3304131449959</v>
      </c>
      <c r="BM19" s="63">
        <v>8208.0697202048359</v>
      </c>
      <c r="BO19" s="63">
        <v>19930.637324566389</v>
      </c>
      <c r="BR19" s="63">
        <v>3884.8731089466</v>
      </c>
      <c r="BT19" s="63">
        <v>11261.167746032799</v>
      </c>
      <c r="BU19" s="63">
        <v>8333.2641320642724</v>
      </c>
      <c r="BV19" s="256">
        <v>0.2599999999999999</v>
      </c>
      <c r="BW19" s="244">
        <v>7.6880596853664773E-2</v>
      </c>
      <c r="BX19" s="244">
        <v>6.3564687567698064E-2</v>
      </c>
      <c r="BZ19" s="244">
        <f t="shared" si="0"/>
        <v>5.6891641671711929E-2</v>
      </c>
    </row>
    <row r="20" spans="1:78" x14ac:dyDescent="0.3">
      <c r="A20" s="153" t="s">
        <v>112</v>
      </c>
      <c r="B20" s="123">
        <f>SUMIFS(_xlfn.ANCHORARRAY(AU3),W3:W52,"&lt;="&amp;T_t)-B18*(1-q_b_BTP)*q_b</f>
        <v>0</v>
      </c>
      <c r="C20" s="91">
        <f t="shared" si="1"/>
        <v>0</v>
      </c>
      <c r="D20" s="94">
        <f t="shared" si="2"/>
        <v>0</v>
      </c>
      <c r="E20" s="91">
        <f t="shared" si="3"/>
        <v>0</v>
      </c>
      <c r="F20" s="90">
        <f>D20-B20</f>
        <v>0</v>
      </c>
      <c r="G20" s="86" t="e">
        <f>F20/B20</f>
        <v>#DIV/0!</v>
      </c>
      <c r="H20" s="196">
        <f>SUMIFS(_xlfn.ANCHORARRAY(AU3),W3:W52,"&lt;="&amp;T_t)</f>
        <v>0</v>
      </c>
      <c r="I20" s="72"/>
      <c r="V20" s="13">
        <v>3.4000000000000002E-2</v>
      </c>
      <c r="W20" s="35">
        <v>18</v>
      </c>
      <c r="X20" s="70">
        <v>7432.2070094552182</v>
      </c>
      <c r="Y20" s="70">
        <v>0</v>
      </c>
      <c r="Z20" s="70">
        <v>1914.2133018300956</v>
      </c>
      <c r="AA20" s="67">
        <v>9346.4203112853138</v>
      </c>
      <c r="AB20" s="255">
        <v>9346.4203112853138</v>
      </c>
      <c r="AC20" s="71">
        <v>10501.513936417947</v>
      </c>
      <c r="AD20" s="70">
        <v>0</v>
      </c>
      <c r="AE20" s="70">
        <v>2704.7332832456791</v>
      </c>
      <c r="AF20" s="67">
        <v>13206.247219663626</v>
      </c>
      <c r="AG20" s="253">
        <v>13206.247219663626</v>
      </c>
      <c r="AH20" s="68">
        <v>9346.4203112853138</v>
      </c>
      <c r="AI20" s="71">
        <v>1803.1555221637861</v>
      </c>
      <c r="AJ20" s="72">
        <v>1803.1555221637861</v>
      </c>
      <c r="AK20" s="70">
        <v>0</v>
      </c>
      <c r="AL20" s="72">
        <v>0</v>
      </c>
      <c r="AM20" s="70">
        <v>2704.7332832456791</v>
      </c>
      <c r="AN20" s="72">
        <v>2704.7332832456791</v>
      </c>
      <c r="AO20" s="81">
        <v>4507.888805409465</v>
      </c>
      <c r="AP20" s="254">
        <v>4507.888805409465</v>
      </c>
      <c r="AQ20" s="69">
        <v>11509.362000665233</v>
      </c>
      <c r="AT20" s="69">
        <v>13557.693919804544</v>
      </c>
      <c r="AU20" s="63">
        <v>0</v>
      </c>
      <c r="AV20" s="63">
        <v>2704.7332832456791</v>
      </c>
      <c r="AW20" s="68">
        <v>16262.427203050223</v>
      </c>
      <c r="AX20" s="68">
        <v>-3056.1799833865971</v>
      </c>
      <c r="AY20" s="69">
        <v>11754.538397640757</v>
      </c>
      <c r="AZ20" s="63">
        <v>0</v>
      </c>
      <c r="BA20" s="63">
        <v>0</v>
      </c>
      <c r="BB20" s="66">
        <v>-3056.1799833865971</v>
      </c>
      <c r="BC20" s="66">
        <v>0</v>
      </c>
      <c r="BD20" s="66">
        <v>0</v>
      </c>
      <c r="BE20" s="68">
        <v>-3056.1799833865971</v>
      </c>
      <c r="BF20" s="63">
        <v>13206.247219663626</v>
      </c>
      <c r="BG20" s="73">
        <v>0</v>
      </c>
      <c r="BH20" s="63">
        <v>9346.4203112853138</v>
      </c>
      <c r="BI20" s="63">
        <v>0</v>
      </c>
      <c r="BK20" s="63">
        <v>4862.4685752009045</v>
      </c>
      <c r="BL20" s="63">
        <v>7061.220851316476</v>
      </c>
      <c r="BM20" s="63">
        <v>7700.6617738649011</v>
      </c>
      <c r="BO20" s="63">
        <v>21388.976640998077</v>
      </c>
      <c r="BR20" s="63">
        <v>3859.8269083783125</v>
      </c>
      <c r="BT20" s="63">
        <v>11754.538397640757</v>
      </c>
      <c r="BU20" s="63">
        <v>8698.3584142541622</v>
      </c>
      <c r="BV20" s="256">
        <v>0.2599999999999999</v>
      </c>
      <c r="BW20" s="244">
        <v>7.8393313791921049E-2</v>
      </c>
      <c r="BX20" s="244">
        <v>6.5268756978807518E-2</v>
      </c>
      <c r="BZ20" s="244">
        <f t="shared" si="0"/>
        <v>5.8011052206021575E-2</v>
      </c>
    </row>
    <row r="21" spans="1:78" x14ac:dyDescent="0.3">
      <c r="A21" s="153" t="s">
        <v>113</v>
      </c>
      <c r="B21" s="123">
        <f>SUMIFS(_xlfn.ANCHORARRAY(AV3),W3:W52,"&lt;="&amp;T_t)-B18*q_b*q_b_BTP</f>
        <v>0</v>
      </c>
      <c r="C21" s="91">
        <f t="shared" si="1"/>
        <v>0</v>
      </c>
      <c r="D21" s="94">
        <f t="shared" si="2"/>
        <v>0</v>
      </c>
      <c r="E21" s="91">
        <f t="shared" si="3"/>
        <v>0</v>
      </c>
      <c r="F21" s="90">
        <f>D21-B21</f>
        <v>0</v>
      </c>
      <c r="G21" s="86" t="e">
        <f>F21/B21</f>
        <v>#DIV/0!</v>
      </c>
      <c r="H21" s="196">
        <f>SUMIFS(_xlfn.ANCHORARRAY(AV3),W3:W52,"&lt;="&amp;T_t)</f>
        <v>114380.93409896351</v>
      </c>
      <c r="I21" s="72"/>
      <c r="V21" s="13">
        <v>3.5999999999999997E-2</v>
      </c>
      <c r="W21" s="35">
        <v>19</v>
      </c>
      <c r="X21" s="70">
        <v>7569.8715219405503</v>
      </c>
      <c r="Y21" s="70">
        <v>0</v>
      </c>
      <c r="Z21" s="70">
        <v>1740.1939107546325</v>
      </c>
      <c r="AA21" s="67">
        <v>9310.0654326951826</v>
      </c>
      <c r="AB21" s="255">
        <v>9310.0654326951826</v>
      </c>
      <c r="AC21" s="71">
        <v>10696.030288636837</v>
      </c>
      <c r="AD21" s="70">
        <v>0</v>
      </c>
      <c r="AE21" s="70">
        <v>2458.8484393142539</v>
      </c>
      <c r="AF21" s="67">
        <v>13154.878727951091</v>
      </c>
      <c r="AG21" s="253">
        <v>13154.878727951091</v>
      </c>
      <c r="AH21" s="68">
        <v>9310.0654326951826</v>
      </c>
      <c r="AI21" s="71">
        <v>1639.2322928761694</v>
      </c>
      <c r="AJ21" s="72">
        <v>1639.2322928761691</v>
      </c>
      <c r="AK21" s="70">
        <v>0</v>
      </c>
      <c r="AL21" s="72">
        <v>0</v>
      </c>
      <c r="AM21" s="70">
        <v>2458.8484393142539</v>
      </c>
      <c r="AN21" s="72">
        <v>2458.8484393142539</v>
      </c>
      <c r="AO21" s="81">
        <v>4098.0807321904231</v>
      </c>
      <c r="AP21" s="254">
        <v>4098.0807321904231</v>
      </c>
      <c r="AQ21" s="69">
        <v>11562.137033380419</v>
      </c>
      <c r="AT21" s="69">
        <v>13878.14850336356</v>
      </c>
      <c r="AU21" s="63">
        <v>0</v>
      </c>
      <c r="AV21" s="63">
        <v>2458.8484393142539</v>
      </c>
      <c r="AW21" s="68">
        <v>16336.996942677813</v>
      </c>
      <c r="AX21" s="68">
        <v>-3182.1182147267227</v>
      </c>
      <c r="AY21" s="69">
        <v>12238.91621048739</v>
      </c>
      <c r="AZ21" s="63">
        <v>0</v>
      </c>
      <c r="BA21" s="63">
        <v>0</v>
      </c>
      <c r="BB21" s="66">
        <v>-3182.1182147267218</v>
      </c>
      <c r="BC21" s="66">
        <v>0</v>
      </c>
      <c r="BD21" s="66">
        <v>0</v>
      </c>
      <c r="BE21" s="68">
        <v>-3182.1182147267218</v>
      </c>
      <c r="BF21" s="63">
        <v>13154.878727951091</v>
      </c>
      <c r="BG21" s="73">
        <v>0</v>
      </c>
      <c r="BH21" s="63">
        <v>9310.0654326951826</v>
      </c>
      <c r="BI21" s="63">
        <v>0</v>
      </c>
      <c r="BK21" s="63">
        <v>4537.7489198381418</v>
      </c>
      <c r="BL21" s="63">
        <v>6601.320566564923</v>
      </c>
      <c r="BM21" s="63">
        <v>7224.6208642077972</v>
      </c>
      <c r="BO21" s="63">
        <v>22954.023712290626</v>
      </c>
      <c r="BR21" s="63">
        <v>3844.8132952559081</v>
      </c>
      <c r="BT21" s="63">
        <v>12238.91621048739</v>
      </c>
      <c r="BU21" s="63">
        <v>9056.7979957606676</v>
      </c>
      <c r="BV21" s="256">
        <v>0.26000000000000012</v>
      </c>
      <c r="BW21" s="244">
        <v>7.985689726811307E-2</v>
      </c>
      <c r="BX21" s="244">
        <v>6.6938142111404364E-2</v>
      </c>
      <c r="BZ21" s="244">
        <f t="shared" si="0"/>
        <v>5.9094103978403673E-2</v>
      </c>
    </row>
    <row r="22" spans="1:78" ht="15" thickBot="1" x14ac:dyDescent="0.35">
      <c r="A22" s="201" t="str">
        <f>"Future value (year " &amp;T_t &amp;")"</f>
        <v>Future value (year 15)</v>
      </c>
      <c r="B22" s="174">
        <f>SUM(B18+B21+B20+B19)</f>
        <v>276200.08697745844</v>
      </c>
      <c r="C22" s="175">
        <f t="shared" si="1"/>
        <v>1</v>
      </c>
      <c r="D22" s="174">
        <f t="shared" si="2"/>
        <v>195474.31302521387</v>
      </c>
      <c r="E22" s="175">
        <f t="shared" si="3"/>
        <v>1.0876025850227427</v>
      </c>
      <c r="F22" s="108">
        <f t="shared" ref="F22:F24" si="4">D22-B22</f>
        <v>-80725.773952244577</v>
      </c>
      <c r="G22" s="109">
        <f t="shared" ref="G22:G25" si="5">F22/B22</f>
        <v>-0.29227280424003943</v>
      </c>
      <c r="I22" s="72"/>
      <c r="V22" s="13">
        <v>3.7999999999999999E-2</v>
      </c>
      <c r="W22" s="35">
        <v>20</v>
      </c>
      <c r="X22" s="70">
        <v>7714.2449988128901</v>
      </c>
      <c r="Y22" s="70">
        <v>0</v>
      </c>
      <c r="Z22" s="70">
        <v>1581.994464322393</v>
      </c>
      <c r="AA22" s="67">
        <v>9296.2394631352836</v>
      </c>
      <c r="AB22" s="255">
        <v>9296.2394631352818</v>
      </c>
      <c r="AC22" s="71">
        <v>10900.026231900414</v>
      </c>
      <c r="AD22" s="70">
        <v>0</v>
      </c>
      <c r="AE22" s="70">
        <v>2235.3167630129578</v>
      </c>
      <c r="AF22" s="67">
        <v>13135.342994913372</v>
      </c>
      <c r="AG22" s="253">
        <v>13135.342994913372</v>
      </c>
      <c r="AH22" s="68">
        <v>9296.2394631352818</v>
      </c>
      <c r="AI22" s="71">
        <v>1490.211175341972</v>
      </c>
      <c r="AJ22" s="72">
        <v>1490.2111753419717</v>
      </c>
      <c r="AK22" s="70">
        <v>0</v>
      </c>
      <c r="AL22" s="72">
        <v>0</v>
      </c>
      <c r="AM22" s="70">
        <v>2235.3167630129578</v>
      </c>
      <c r="AN22" s="72">
        <v>2235.3167630129578</v>
      </c>
      <c r="AO22" s="81">
        <v>3725.5279383549296</v>
      </c>
      <c r="AP22" s="254">
        <v>3725.5279383549296</v>
      </c>
      <c r="AQ22" s="69">
        <v>11636.092606210243</v>
      </c>
      <c r="AT22" s="69">
        <v>14206.177467988517</v>
      </c>
      <c r="AU22" s="63">
        <v>0</v>
      </c>
      <c r="AV22" s="63">
        <v>2235.3167630129578</v>
      </c>
      <c r="AW22" s="68">
        <v>16441.494231001474</v>
      </c>
      <c r="AX22" s="68">
        <v>-3306.1512360881025</v>
      </c>
      <c r="AY22" s="69">
        <v>12715.966292646544</v>
      </c>
      <c r="AZ22" s="63">
        <v>0</v>
      </c>
      <c r="BA22" s="63">
        <v>0</v>
      </c>
      <c r="BB22" s="66">
        <v>-3306.1512360881015</v>
      </c>
      <c r="BC22" s="66">
        <v>0</v>
      </c>
      <c r="BD22" s="66">
        <v>0</v>
      </c>
      <c r="BE22" s="68">
        <v>-3306.1512360881015</v>
      </c>
      <c r="BF22" s="63">
        <v>13135.342994913372</v>
      </c>
      <c r="BG22" s="73">
        <v>0</v>
      </c>
      <c r="BH22" s="63">
        <v>9296.2394631352818</v>
      </c>
      <c r="BI22" s="63">
        <v>0</v>
      </c>
      <c r="BK22" s="63">
        <v>4235.2965421610588</v>
      </c>
      <c r="BL22" s="63">
        <v>6172.3076655959703</v>
      </c>
      <c r="BM22" s="63">
        <v>6778.0079380567686</v>
      </c>
      <c r="BO22" s="63">
        <v>24633.586422946039</v>
      </c>
      <c r="BR22" s="63">
        <v>3839.1035317780897</v>
      </c>
      <c r="BT22" s="63">
        <v>12715.966292646544</v>
      </c>
      <c r="BU22" s="63">
        <v>9409.8150565584419</v>
      </c>
      <c r="BV22" s="256">
        <v>0.26000000000000012</v>
      </c>
      <c r="BW22" s="244">
        <v>8.127059511998791E-2</v>
      </c>
      <c r="BX22" s="244">
        <v>6.8569614810750412E-2</v>
      </c>
      <c r="BZ22" s="244">
        <f t="shared" si="0"/>
        <v>6.0140240388791052E-2</v>
      </c>
    </row>
    <row r="23" spans="1:78" x14ac:dyDescent="0.3">
      <c r="A23" s="173" t="s">
        <v>110</v>
      </c>
      <c r="B23" s="178">
        <f>SUMIFS(_xlfn.ANCHORARRAY(AW3),W3:W52,"&lt;="&amp;T_t)-B18</f>
        <v>85565.19681251928</v>
      </c>
      <c r="C23" s="177">
        <f t="shared" si="1"/>
        <v>0.30979424282188051</v>
      </c>
      <c r="D23" s="178">
        <f t="shared" si="2"/>
        <v>60556.816794773389</v>
      </c>
      <c r="E23" s="177">
        <f t="shared" si="3"/>
        <v>0.33693301931824049</v>
      </c>
      <c r="F23" s="98">
        <f>D23-B23</f>
        <v>-25008.380017745891</v>
      </c>
      <c r="G23" s="85">
        <f>F23/B23</f>
        <v>-0.29227280424003937</v>
      </c>
      <c r="I23" s="72"/>
      <c r="V23" s="13">
        <v>0.04</v>
      </c>
      <c r="W23" s="35">
        <v>21</v>
      </c>
      <c r="X23" s="70">
        <v>7865.1719177841023</v>
      </c>
      <c r="Y23" s="70">
        <v>0</v>
      </c>
      <c r="Z23" s="70">
        <v>1438.17678574763</v>
      </c>
      <c r="AA23" s="67">
        <v>9303.3487035317321</v>
      </c>
      <c r="AB23" s="255">
        <v>9303.3487035317321</v>
      </c>
      <c r="AC23" s="71">
        <v>11113.282017286967</v>
      </c>
      <c r="AD23" s="70">
        <v>0</v>
      </c>
      <c r="AE23" s="70">
        <v>2032.1061481935981</v>
      </c>
      <c r="AF23" s="67">
        <v>13145.388165480565</v>
      </c>
      <c r="AG23" s="253">
        <v>13145.388165480565</v>
      </c>
      <c r="AH23" s="68">
        <v>9303.3487035317321</v>
      </c>
      <c r="AI23" s="71">
        <v>1354.7374321290654</v>
      </c>
      <c r="AJ23" s="72">
        <v>1354.7374321290654</v>
      </c>
      <c r="AK23" s="70">
        <v>0</v>
      </c>
      <c r="AL23" s="72">
        <v>0</v>
      </c>
      <c r="AM23" s="70">
        <v>2032.1061481935981</v>
      </c>
      <c r="AN23" s="72">
        <v>2032.1061481935981</v>
      </c>
      <c r="AO23" s="81">
        <v>3386.8435803226635</v>
      </c>
      <c r="AP23" s="254">
        <v>3386.8435803226635</v>
      </c>
      <c r="AQ23" s="69">
        <v>11729.917247352831</v>
      </c>
      <c r="AT23" s="69">
        <v>14541.95984450461</v>
      </c>
      <c r="AU23" s="63">
        <v>0</v>
      </c>
      <c r="AV23" s="63">
        <v>2032.1061481935981</v>
      </c>
      <c r="AW23" s="68">
        <v>16574.065992698208</v>
      </c>
      <c r="AX23" s="68">
        <v>-3428.6778272176434</v>
      </c>
      <c r="AY23" s="69">
        <v>13187.222412375544</v>
      </c>
      <c r="AZ23" s="63">
        <v>0</v>
      </c>
      <c r="BA23" s="63">
        <v>0</v>
      </c>
      <c r="BB23" s="66">
        <v>-3428.6778272176416</v>
      </c>
      <c r="BC23" s="66">
        <v>0</v>
      </c>
      <c r="BD23" s="66">
        <v>0</v>
      </c>
      <c r="BE23" s="68">
        <v>-3428.6778272176416</v>
      </c>
      <c r="BF23" s="63">
        <v>13145.388165480566</v>
      </c>
      <c r="BG23" s="73">
        <v>0</v>
      </c>
      <c r="BH23" s="63">
        <v>9303.3487035317339</v>
      </c>
      <c r="BI23" s="63">
        <v>0</v>
      </c>
      <c r="BK23" s="63">
        <v>3953.5354923681289</v>
      </c>
      <c r="BL23" s="63">
        <v>5772.029508410159</v>
      </c>
      <c r="BM23" s="63">
        <v>6359.0038109768957</v>
      </c>
      <c r="BO23" s="63">
        <v>26436.043966088437</v>
      </c>
      <c r="BR23" s="63">
        <v>3842.0394619488325</v>
      </c>
      <c r="BT23" s="63">
        <v>13187.222412375544</v>
      </c>
      <c r="BU23" s="63">
        <v>9758.5445851579007</v>
      </c>
      <c r="BV23" s="256">
        <v>0.26000000000000012</v>
      </c>
      <c r="BW23" s="244">
        <v>8.2634085445285166E-2</v>
      </c>
      <c r="BX23" s="244">
        <v>7.0160492100096894E-2</v>
      </c>
      <c r="BZ23" s="244">
        <f t="shared" si="0"/>
        <v>6.1149223229511024E-2</v>
      </c>
    </row>
    <row r="24" spans="1:78" x14ac:dyDescent="0.3">
      <c r="A24" s="246" t="s">
        <v>6</v>
      </c>
      <c r="B24" s="160">
        <f>(SUMIFS(_xlfn.ANCHORARRAY(BE3),W3:W52,"&lt;="&amp;T_t))</f>
        <v>-22246.951171255012</v>
      </c>
      <c r="C24" s="155">
        <f t="shared" si="1"/>
        <v>-8.0546503133688926E-2</v>
      </c>
      <c r="D24" s="176">
        <f t="shared" si="2"/>
        <v>-15744.77236664108</v>
      </c>
      <c r="E24" s="155">
        <f t="shared" si="3"/>
        <v>-8.7602585022742513E-2</v>
      </c>
      <c r="F24" s="151">
        <f t="shared" si="4"/>
        <v>6502.1788046139318</v>
      </c>
      <c r="G24" s="87">
        <f t="shared" si="5"/>
        <v>-0.29227280424003943</v>
      </c>
      <c r="I24" s="72"/>
      <c r="V24" s="13">
        <v>4.2000000000000003E-2</v>
      </c>
      <c r="W24" s="35">
        <v>22</v>
      </c>
      <c r="X24" s="70">
        <v>8022.5216349310658</v>
      </c>
      <c r="Y24" s="70">
        <v>0</v>
      </c>
      <c r="Z24" s="70">
        <v>1307.4334415887542</v>
      </c>
      <c r="AA24" s="67">
        <v>9329.9550765198201</v>
      </c>
      <c r="AB24" s="255">
        <v>9329.9550765198201</v>
      </c>
      <c r="AC24" s="71">
        <v>11335.613048353252</v>
      </c>
      <c r="AD24" s="70">
        <v>0</v>
      </c>
      <c r="AE24" s="70">
        <v>1847.3692256305433</v>
      </c>
      <c r="AF24" s="67">
        <v>13182.982273983796</v>
      </c>
      <c r="AG24" s="253">
        <v>13182.982273983796</v>
      </c>
      <c r="AH24" s="68">
        <v>9329.9550765198201</v>
      </c>
      <c r="AI24" s="71">
        <v>1231.5794837536955</v>
      </c>
      <c r="AJ24" s="72">
        <v>1231.5794837536955</v>
      </c>
      <c r="AK24" s="70">
        <v>0</v>
      </c>
      <c r="AL24" s="72">
        <v>0</v>
      </c>
      <c r="AM24" s="70">
        <v>1847.369225630543</v>
      </c>
      <c r="AN24" s="72">
        <v>1847.3692256305433</v>
      </c>
      <c r="AO24" s="81">
        <v>3078.9487093842386</v>
      </c>
      <c r="AP24" s="254">
        <v>3078.9487093842386</v>
      </c>
      <c r="AQ24" s="69">
        <v>11842.43322319553</v>
      </c>
      <c r="AT24" s="69">
        <v>14885.678895374716</v>
      </c>
      <c r="AU24" s="63">
        <v>0</v>
      </c>
      <c r="AV24" s="63">
        <v>1847.3692256305433</v>
      </c>
      <c r="AW24" s="68">
        <v>16733.04812100526</v>
      </c>
      <c r="AX24" s="68">
        <v>-3550.0658470214639</v>
      </c>
      <c r="AY24" s="69">
        <v>13654.09941162102</v>
      </c>
      <c r="AZ24" s="63">
        <v>0</v>
      </c>
      <c r="BA24" s="63">
        <v>0</v>
      </c>
      <c r="BB24" s="66">
        <v>-3550.0658470214653</v>
      </c>
      <c r="BC24" s="66">
        <v>0</v>
      </c>
      <c r="BD24" s="66">
        <v>0</v>
      </c>
      <c r="BE24" s="68">
        <v>-3550.0658470214653</v>
      </c>
      <c r="BF24" s="63">
        <v>13182.982273983795</v>
      </c>
      <c r="BG24" s="73">
        <v>0</v>
      </c>
      <c r="BH24" s="63">
        <v>9329.9550765198182</v>
      </c>
      <c r="BI24" s="63">
        <v>0</v>
      </c>
      <c r="BK24" s="63">
        <v>3691.0053727529166</v>
      </c>
      <c r="BL24" s="63">
        <v>5398.4898313145914</v>
      </c>
      <c r="BM24" s="63">
        <v>5965.9017572074144</v>
      </c>
      <c r="BO24" s="63">
        <v>28370.388646533935</v>
      </c>
      <c r="BR24" s="63">
        <v>3853.0271974639763</v>
      </c>
      <c r="BT24" s="63">
        <v>13654.099411621022</v>
      </c>
      <c r="BU24" s="63">
        <v>10104.033564599558</v>
      </c>
      <c r="BV24" s="256">
        <v>0.2599999999999999</v>
      </c>
      <c r="BW24" s="244">
        <v>8.3947428274120384E-2</v>
      </c>
      <c r="BX24" s="244">
        <v>7.1708621508657311E-2</v>
      </c>
      <c r="BZ24" s="244">
        <f t="shared" si="0"/>
        <v>6.2121096922849083E-2</v>
      </c>
    </row>
    <row r="25" spans="1:78" ht="15" thickBot="1" x14ac:dyDescent="0.35">
      <c r="A25" s="179" t="s">
        <v>116</v>
      </c>
      <c r="B25" s="156">
        <f>B23+B24</f>
        <v>63318.245641264264</v>
      </c>
      <c r="C25" s="157">
        <f t="shared" si="1"/>
        <v>0.22924773968819157</v>
      </c>
      <c r="D25" s="158">
        <f t="shared" si="2"/>
        <v>44812.044428132307</v>
      </c>
      <c r="E25" s="159">
        <f t="shared" si="3"/>
        <v>0.24933043429549795</v>
      </c>
      <c r="F25" s="90">
        <f>B25-D25</f>
        <v>18506.201213131957</v>
      </c>
      <c r="G25" s="86">
        <f t="shared" si="5"/>
        <v>0.29227280424003937</v>
      </c>
      <c r="I25" s="72"/>
      <c r="V25" s="13">
        <v>4.3999999999999997E-2</v>
      </c>
      <c r="W25" s="35">
        <v>23</v>
      </c>
      <c r="X25" s="70">
        <v>8186.1863768800749</v>
      </c>
      <c r="Y25" s="70">
        <v>0</v>
      </c>
      <c r="Z25" s="70">
        <v>1188.5758559897768</v>
      </c>
      <c r="AA25" s="67">
        <v>9374.7622328698526</v>
      </c>
      <c r="AB25" s="255">
        <v>9374.7622328698526</v>
      </c>
      <c r="AC25" s="71">
        <v>11566.86704414363</v>
      </c>
      <c r="AD25" s="70">
        <v>0</v>
      </c>
      <c r="AE25" s="70">
        <v>1679.4265687550394</v>
      </c>
      <c r="AF25" s="67">
        <v>13246.293612898669</v>
      </c>
      <c r="AG25" s="253">
        <v>13246.293612898669</v>
      </c>
      <c r="AH25" s="68">
        <v>9374.7622328698526</v>
      </c>
      <c r="AI25" s="71">
        <v>1119.6177125033596</v>
      </c>
      <c r="AJ25" s="72">
        <v>1119.6177125033596</v>
      </c>
      <c r="AK25" s="70">
        <v>0</v>
      </c>
      <c r="AL25" s="72">
        <v>0</v>
      </c>
      <c r="AM25" s="70">
        <v>1679.4265687550392</v>
      </c>
      <c r="AN25" s="72">
        <v>1679.4265687550394</v>
      </c>
      <c r="AO25" s="81">
        <v>2799.0442812583988</v>
      </c>
      <c r="AP25" s="254">
        <v>2799.0442812583988</v>
      </c>
      <c r="AQ25" s="69">
        <v>11972.584723343623</v>
      </c>
      <c r="AT25" s="69">
        <v>15237.52221471994</v>
      </c>
      <c r="AU25" s="63">
        <v>0</v>
      </c>
      <c r="AV25" s="63">
        <v>1679.4265687550394</v>
      </c>
      <c r="AW25" s="68">
        <v>16916.948783474978</v>
      </c>
      <c r="AX25" s="68">
        <v>-3670.6551705763086</v>
      </c>
      <c r="AY25" s="69">
        <v>14117.904502216581</v>
      </c>
      <c r="AZ25" s="63">
        <v>0</v>
      </c>
      <c r="BA25" s="63">
        <v>0</v>
      </c>
      <c r="BB25" s="66">
        <v>-3670.6551705763113</v>
      </c>
      <c r="BC25" s="66">
        <v>0</v>
      </c>
      <c r="BD25" s="66">
        <v>0</v>
      </c>
      <c r="BE25" s="68">
        <v>-3670.6551705763113</v>
      </c>
      <c r="BF25" s="63">
        <v>13246.293612898666</v>
      </c>
      <c r="BG25" s="73">
        <v>0</v>
      </c>
      <c r="BH25" s="63">
        <v>9374.762232869849</v>
      </c>
      <c r="BI25" s="63">
        <v>0</v>
      </c>
      <c r="BK25" s="63">
        <v>3446.3525463251322</v>
      </c>
      <c r="BL25" s="63">
        <v>5049.8368899893912</v>
      </c>
      <c r="BM25" s="63">
        <v>5597.1005576709558</v>
      </c>
      <c r="BO25" s="63">
        <v>30446.270742621789</v>
      </c>
      <c r="BR25" s="63">
        <v>3871.5313800288168</v>
      </c>
      <c r="BT25" s="63">
        <v>14117.904502216579</v>
      </c>
      <c r="BU25" s="63">
        <v>10447.249331640271</v>
      </c>
      <c r="BV25" s="256">
        <v>0.2599999999999999</v>
      </c>
      <c r="BW25" s="244">
        <v>8.5211016587966704E-2</v>
      </c>
      <c r="BX25" s="244">
        <v>7.3212355757069192E-2</v>
      </c>
      <c r="BZ25" s="244">
        <f t="shared" si="0"/>
        <v>6.3056152275095353E-2</v>
      </c>
    </row>
    <row r="26" spans="1:78" ht="15" thickTop="1" x14ac:dyDescent="0.3">
      <c r="A26" s="245" t="s">
        <v>8</v>
      </c>
      <c r="B26" s="165">
        <f>((SUMIFS(_xlfn.ANCHORARRAY(AB3),W3:W52,"&lt;="&amp;T_t))-(SUMIFS(_xlfn.ANCHORARRAY(AG3),W3:W52,"&lt;="&amp;T_t)))</f>
        <v>-74223.595147630607</v>
      </c>
      <c r="C26" s="166" t="s">
        <v>76</v>
      </c>
      <c r="D26" s="95" t="s">
        <v>76</v>
      </c>
      <c r="E26" s="96" t="s">
        <v>76</v>
      </c>
      <c r="F26" s="99" t="s">
        <v>76</v>
      </c>
      <c r="G26" s="182" t="s">
        <v>76</v>
      </c>
      <c r="V26" s="13">
        <v>4.5999999999999999E-2</v>
      </c>
      <c r="W26" s="35">
        <v>24</v>
      </c>
      <c r="X26" s="70">
        <v>8356.0794215201349</v>
      </c>
      <c r="Y26" s="70">
        <v>0</v>
      </c>
      <c r="Z26" s="70">
        <v>1080.5235054452514</v>
      </c>
      <c r="AA26" s="67">
        <v>9436.6029269653864</v>
      </c>
      <c r="AB26" s="255">
        <v>9436.6029269653864</v>
      </c>
      <c r="AC26" s="71">
        <v>11806.92146858556</v>
      </c>
      <c r="AD26" s="70">
        <v>0</v>
      </c>
      <c r="AE26" s="70">
        <v>1526.7514261409449</v>
      </c>
      <c r="AF26" s="67">
        <v>13333.672894726506</v>
      </c>
      <c r="AG26" s="253">
        <v>13333.672894726506</v>
      </c>
      <c r="AH26" s="68">
        <v>9436.6029269653864</v>
      </c>
      <c r="AI26" s="71">
        <v>1017.8342840939631</v>
      </c>
      <c r="AJ26" s="72">
        <v>1017.8342840939632</v>
      </c>
      <c r="AK26" s="70">
        <v>0</v>
      </c>
      <c r="AL26" s="72">
        <v>0</v>
      </c>
      <c r="AM26" s="70">
        <v>1526.7514261409447</v>
      </c>
      <c r="AN26" s="72">
        <v>1526.7514261409449</v>
      </c>
      <c r="AO26" s="81">
        <v>2544.5857102349078</v>
      </c>
      <c r="AP26" s="254">
        <v>2544.5857102349078</v>
      </c>
      <c r="AQ26" s="69">
        <v>12119.427127845642</v>
      </c>
      <c r="AT26" s="69">
        <v>15597.681830704229</v>
      </c>
      <c r="AU26" s="63">
        <v>0</v>
      </c>
      <c r="AV26" s="63">
        <v>1526.7514261409449</v>
      </c>
      <c r="AW26" s="68">
        <v>17124.433256845172</v>
      </c>
      <c r="AX26" s="68">
        <v>-3790.7603621186663</v>
      </c>
      <c r="AY26" s="69">
        <v>14579.847546610265</v>
      </c>
      <c r="AZ26" s="63">
        <v>0</v>
      </c>
      <c r="BA26" s="63">
        <v>0</v>
      </c>
      <c r="BB26" s="66">
        <v>-3790.760362118669</v>
      </c>
      <c r="BC26" s="66">
        <v>0</v>
      </c>
      <c r="BD26" s="66">
        <v>0</v>
      </c>
      <c r="BE26" s="68">
        <v>-3790.760362118669</v>
      </c>
      <c r="BF26" s="63">
        <v>13333.672894726504</v>
      </c>
      <c r="BG26" s="73">
        <v>0</v>
      </c>
      <c r="BH26" s="63">
        <v>9436.6029269653845</v>
      </c>
      <c r="BI26" s="63">
        <v>0</v>
      </c>
      <c r="BK26" s="63">
        <v>3218.3220387313436</v>
      </c>
      <c r="BL26" s="63">
        <v>4724.3525389115521</v>
      </c>
      <c r="BM26" s="63">
        <v>5251.0979777422035</v>
      </c>
      <c r="BO26" s="63">
        <v>32674.0466506185</v>
      </c>
      <c r="BR26" s="63">
        <v>3897.0699677611192</v>
      </c>
      <c r="BT26" s="63">
        <v>14579.847546610265</v>
      </c>
      <c r="BU26" s="63">
        <v>10789.087184491598</v>
      </c>
      <c r="BV26" s="256">
        <v>0.25999999999999979</v>
      </c>
      <c r="BW26" s="244">
        <v>8.6425528253541106E-2</v>
      </c>
      <c r="BX26" s="244">
        <v>7.4670519296691884E-2</v>
      </c>
      <c r="BZ26" s="244">
        <f t="shared" si="0"/>
        <v>6.3954890907620424E-2</v>
      </c>
    </row>
    <row r="27" spans="1:78" ht="15" customHeight="1" x14ac:dyDescent="0.3">
      <c r="A27" s="171" t="s">
        <v>133</v>
      </c>
      <c r="B27" s="167">
        <f>B22+B24+B26</f>
        <v>179729.54065857283</v>
      </c>
      <c r="C27" s="168" t="s">
        <v>76</v>
      </c>
      <c r="D27" s="161">
        <f>D22+D24</f>
        <v>179729.54065857278</v>
      </c>
      <c r="E27" s="162">
        <f>E18+E23+E24</f>
        <v>1.0000000000000002</v>
      </c>
      <c r="F27" s="100">
        <f>D27-B27</f>
        <v>0</v>
      </c>
      <c r="G27" s="101">
        <f>F27/B27</f>
        <v>0</v>
      </c>
      <c r="I27" s="72"/>
      <c r="V27" s="13">
        <v>4.8000000000000001E-2</v>
      </c>
      <c r="W27" s="35">
        <v>25</v>
      </c>
      <c r="X27" s="70">
        <v>8532.1334502479513</v>
      </c>
      <c r="Y27" s="70">
        <v>0</v>
      </c>
      <c r="Z27" s="70">
        <v>982.29409585931933</v>
      </c>
      <c r="AA27" s="67">
        <v>9514.4275461072702</v>
      </c>
      <c r="AB27" s="255">
        <v>9514.4275461072702</v>
      </c>
      <c r="AC27" s="71">
        <v>12055.681202254929</v>
      </c>
      <c r="AD27" s="70">
        <v>0</v>
      </c>
      <c r="AE27" s="70">
        <v>1387.9558419463133</v>
      </c>
      <c r="AF27" s="67">
        <v>13443.637044201243</v>
      </c>
      <c r="AG27" s="253">
        <v>13443.637044201243</v>
      </c>
      <c r="AH27" s="68">
        <v>9514.4275461072702</v>
      </c>
      <c r="AI27" s="71">
        <v>925.30389463087567</v>
      </c>
      <c r="AJ27" s="72">
        <v>925.30389463087556</v>
      </c>
      <c r="AK27" s="70">
        <v>0</v>
      </c>
      <c r="AL27" s="72">
        <v>0</v>
      </c>
      <c r="AM27" s="70">
        <v>1387.9558419463133</v>
      </c>
      <c r="AN27" s="72">
        <v>1387.9558419463133</v>
      </c>
      <c r="AO27" s="81">
        <v>2313.259736577189</v>
      </c>
      <c r="AP27" s="254">
        <v>2313.259736577189</v>
      </c>
      <c r="AQ27" s="69">
        <v>12282.117258425538</v>
      </c>
      <c r="AT27" s="69">
        <v>15966.354310339057</v>
      </c>
      <c r="AU27" s="63">
        <v>0</v>
      </c>
      <c r="AV27" s="63">
        <v>1387.9558419463133</v>
      </c>
      <c r="AW27" s="68">
        <v>17354.310152285369</v>
      </c>
      <c r="AX27" s="68">
        <v>-3910.6731080841255</v>
      </c>
      <c r="AY27" s="69">
        <v>15041.050415708181</v>
      </c>
      <c r="AZ27" s="63">
        <v>0</v>
      </c>
      <c r="BA27" s="63">
        <v>0</v>
      </c>
      <c r="BB27" s="66">
        <v>-3910.6731080841273</v>
      </c>
      <c r="BC27" s="66">
        <v>0</v>
      </c>
      <c r="BD27" s="66">
        <v>0</v>
      </c>
      <c r="BE27" s="68">
        <v>-3910.6731080841273</v>
      </c>
      <c r="BF27" s="63">
        <v>13443.637044201241</v>
      </c>
      <c r="BG27" s="73">
        <v>0</v>
      </c>
      <c r="BH27" s="63">
        <v>9514.4275461072702</v>
      </c>
      <c r="BI27" s="63">
        <v>0</v>
      </c>
      <c r="BK27" s="63">
        <v>3005.7500769956723</v>
      </c>
      <c r="BL27" s="63">
        <v>4420.4421705055147</v>
      </c>
      <c r="BM27" s="63">
        <v>4926.4846482090497</v>
      </c>
      <c r="BO27" s="63">
        <v>35064.830551883286</v>
      </c>
      <c r="BR27" s="63">
        <v>3929.2094980939728</v>
      </c>
      <c r="BT27" s="63">
        <v>15041.05041570818</v>
      </c>
      <c r="BU27" s="63">
        <v>11130.377307624054</v>
      </c>
      <c r="BV27" s="256">
        <v>0.2599999999999999</v>
      </c>
      <c r="BW27" s="244">
        <v>8.7591880076258066E-2</v>
      </c>
      <c r="BX27" s="244">
        <v>7.608236911254429E-2</v>
      </c>
      <c r="BZ27" s="244">
        <f t="shared" si="0"/>
        <v>6.4817991256430965E-2</v>
      </c>
    </row>
    <row r="28" spans="1:78" ht="16.2" thickBot="1" x14ac:dyDescent="0.35">
      <c r="A28" s="172" t="s">
        <v>118</v>
      </c>
      <c r="B28" s="169">
        <f>(SUM(B19:B21)+SUM(B24))*(1/(1+r_i)^(T_t-1))</f>
        <v>44812.044428132314</v>
      </c>
      <c r="C28" s="170" t="s">
        <v>76</v>
      </c>
      <c r="D28" s="163">
        <f>D19+D20+D21+D24</f>
        <v>44812.044428132314</v>
      </c>
      <c r="E28" s="164">
        <f>D28/$D$27</f>
        <v>0.249330434295498</v>
      </c>
      <c r="F28" s="102">
        <f>D28-B28</f>
        <v>0</v>
      </c>
      <c r="G28" s="103">
        <f>F28/B28</f>
        <v>0</v>
      </c>
      <c r="I28" s="67"/>
      <c r="V28" s="13">
        <v>0.05</v>
      </c>
      <c r="W28" s="35">
        <v>26</v>
      </c>
      <c r="X28" s="70">
        <v>8714.2990562960222</v>
      </c>
      <c r="Y28" s="70">
        <v>0</v>
      </c>
      <c r="Z28" s="70">
        <v>892.99463259938113</v>
      </c>
      <c r="AA28" s="67">
        <v>9607.2936888954027</v>
      </c>
      <c r="AB28" s="255">
        <v>9607.2936888954046</v>
      </c>
      <c r="AC28" s="71">
        <v>12313.076434682675</v>
      </c>
      <c r="AD28" s="70">
        <v>0</v>
      </c>
      <c r="AE28" s="70">
        <v>1261.7780381330119</v>
      </c>
      <c r="AF28" s="67">
        <v>13574.854472815687</v>
      </c>
      <c r="AG28" s="253">
        <v>13574.854472815687</v>
      </c>
      <c r="AH28" s="68">
        <v>9607.2936888954046</v>
      </c>
      <c r="AI28" s="71">
        <v>841.18535875534133</v>
      </c>
      <c r="AJ28" s="72">
        <v>841.18535875534133</v>
      </c>
      <c r="AK28" s="70">
        <v>0</v>
      </c>
      <c r="AL28" s="72">
        <v>0</v>
      </c>
      <c r="AM28" s="70">
        <v>1261.7780381330119</v>
      </c>
      <c r="AN28" s="72">
        <v>1261.7780381330119</v>
      </c>
      <c r="AO28" s="81">
        <v>2102.9633968883531</v>
      </c>
      <c r="AP28" s="254">
        <v>2102.9633968883531</v>
      </c>
      <c r="AQ28" s="69">
        <v>12459.904524462621</v>
      </c>
      <c r="AT28" s="69">
        <v>16343.740866765253</v>
      </c>
      <c r="AU28" s="63">
        <v>0</v>
      </c>
      <c r="AV28" s="63">
        <v>1261.7780381330119</v>
      </c>
      <c r="AW28" s="68">
        <v>17605.518904898265</v>
      </c>
      <c r="AX28" s="68">
        <v>-4030.6644320825781</v>
      </c>
      <c r="AY28" s="69">
        <v>15502.555508009911</v>
      </c>
      <c r="AZ28" s="63">
        <v>0</v>
      </c>
      <c r="BA28" s="63">
        <v>0</v>
      </c>
      <c r="BB28" s="66">
        <v>-4030.6644320825772</v>
      </c>
      <c r="BC28" s="66">
        <v>0</v>
      </c>
      <c r="BD28" s="66">
        <v>0</v>
      </c>
      <c r="BE28" s="68">
        <v>-4030.6644320825772</v>
      </c>
      <c r="BF28" s="63">
        <v>13574.854472815688</v>
      </c>
      <c r="BG28" s="73">
        <v>0</v>
      </c>
      <c r="BH28" s="63">
        <v>9607.2936888954046</v>
      </c>
      <c r="BI28" s="63">
        <v>0</v>
      </c>
      <c r="BK28" s="63">
        <v>2807.5572133305614</v>
      </c>
      <c r="BL28" s="63">
        <v>4136.6254438466904</v>
      </c>
      <c r="BM28" s="63">
        <v>4621.9383245015815</v>
      </c>
      <c r="BO28" s="63">
        <v>37630.549860557679</v>
      </c>
      <c r="BR28" s="63">
        <v>3967.5607839202821</v>
      </c>
      <c r="BT28" s="63">
        <v>15502.555508009911</v>
      </c>
      <c r="BU28" s="63">
        <v>11471.891075927333</v>
      </c>
      <c r="BV28" s="256">
        <v>0.26000000000000012</v>
      </c>
      <c r="BW28" s="244">
        <v>8.8711184839833646E-2</v>
      </c>
      <c r="BX28" s="244">
        <v>7.7447551992330776E-2</v>
      </c>
      <c r="BZ28" s="244">
        <f t="shared" si="0"/>
        <v>6.56462767814769E-2</v>
      </c>
    </row>
    <row r="29" spans="1:78" ht="15" thickTop="1" x14ac:dyDescent="0.3">
      <c r="A29" s="37" t="s">
        <v>77</v>
      </c>
      <c r="B29" s="88">
        <f>SUMIFS(_xlfn.ANCHORARRAY(AB3),W3:W52,"&lt;="&amp;T_t)</f>
        <v>179729.54065857281</v>
      </c>
      <c r="C29" s="89">
        <f>C20+C18+C19+C21</f>
        <v>1</v>
      </c>
      <c r="D29" s="92">
        <f>SUM(B18:B21)+SUM(B24:B26)</f>
        <v>243047.78629983708</v>
      </c>
      <c r="E29" s="93">
        <f>E18+E23+E24</f>
        <v>1.0000000000000002</v>
      </c>
      <c r="F29" s="92">
        <f>F18+F23+F24</f>
        <v>-74223.595147630651</v>
      </c>
      <c r="G29" s="88">
        <f>D18+D28</f>
        <v>179729.54065857281</v>
      </c>
      <c r="V29" s="13">
        <v>5.1999999999999998E-2</v>
      </c>
      <c r="W29" s="35">
        <v>27</v>
      </c>
      <c r="X29" s="70">
        <v>8902.5433951030482</v>
      </c>
      <c r="Y29" s="70">
        <v>0</v>
      </c>
      <c r="Z29" s="70">
        <v>811.81330236307383</v>
      </c>
      <c r="AA29" s="67">
        <v>9714.3566974661226</v>
      </c>
      <c r="AB29" s="255">
        <v>9714.3566974661226</v>
      </c>
      <c r="AC29" s="71">
        <v>12579.060757363517</v>
      </c>
      <c r="AD29" s="70">
        <v>0</v>
      </c>
      <c r="AE29" s="70">
        <v>1147.0709437572837</v>
      </c>
      <c r="AF29" s="67">
        <v>13726.131701120801</v>
      </c>
      <c r="AG29" s="253">
        <v>13726.131701120801</v>
      </c>
      <c r="AH29" s="68">
        <v>9714.3566974661226</v>
      </c>
      <c r="AI29" s="71">
        <v>764.71396250485577</v>
      </c>
      <c r="AJ29" s="72">
        <v>764.71396250485577</v>
      </c>
      <c r="AK29" s="70">
        <v>0</v>
      </c>
      <c r="AL29" s="72">
        <v>0</v>
      </c>
      <c r="AM29" s="70">
        <v>1147.0709437572837</v>
      </c>
      <c r="AN29" s="72">
        <v>1147.0709437572837</v>
      </c>
      <c r="AO29" s="81">
        <v>1911.7849062621394</v>
      </c>
      <c r="AP29" s="254">
        <v>1911.7849062621394</v>
      </c>
      <c r="AQ29" s="69">
        <v>12652.122882579446</v>
      </c>
      <c r="AT29" s="69">
        <v>16730.047469070614</v>
      </c>
      <c r="AU29" s="63">
        <v>0</v>
      </c>
      <c r="AV29" s="63">
        <v>1147.0709437572837</v>
      </c>
      <c r="AW29" s="68">
        <v>17877.118412827898</v>
      </c>
      <c r="AX29" s="68">
        <v>-4150.9867117070971</v>
      </c>
      <c r="AY29" s="69">
        <v>15965.333506565759</v>
      </c>
      <c r="AZ29" s="63">
        <v>0</v>
      </c>
      <c r="BA29" s="63">
        <v>0</v>
      </c>
      <c r="BB29" s="66">
        <v>-4150.9867117070971</v>
      </c>
      <c r="BC29" s="66">
        <v>0</v>
      </c>
      <c r="BD29" s="66">
        <v>0</v>
      </c>
      <c r="BE29" s="68">
        <v>-4150.9867117070971</v>
      </c>
      <c r="BF29" s="63">
        <v>13726.131701120801</v>
      </c>
      <c r="BG29" s="73">
        <v>0</v>
      </c>
      <c r="BH29" s="63">
        <v>9714.3566974661226</v>
      </c>
      <c r="BI29" s="63">
        <v>0</v>
      </c>
      <c r="BK29" s="63">
        <v>2622.7419865925099</v>
      </c>
      <c r="BL29" s="63">
        <v>3871.5277386445318</v>
      </c>
      <c r="BM29" s="63">
        <v>4336.2185008051192</v>
      </c>
      <c r="BO29" s="63">
        <v>40384.004728403364</v>
      </c>
      <c r="BR29" s="63">
        <v>4011.7750036546786</v>
      </c>
      <c r="BT29" s="63">
        <v>15965.333506565759</v>
      </c>
      <c r="BU29" s="63">
        <v>11814.346794858662</v>
      </c>
      <c r="BV29" s="256">
        <v>0.26</v>
      </c>
      <c r="BW29" s="244">
        <v>8.9784711900296132E-2</v>
      </c>
      <c r="BX29" s="244">
        <v>7.8766060179132014E-2</v>
      </c>
      <c r="BZ29" s="244">
        <f t="shared" si="0"/>
        <v>6.6440686806219132E-2</v>
      </c>
    </row>
    <row r="30" spans="1:78" ht="15" thickBot="1" x14ac:dyDescent="0.35">
      <c r="V30" s="13">
        <v>5.3999999999999999E-2</v>
      </c>
      <c r="W30" s="35">
        <v>28</v>
      </c>
      <c r="X30" s="70">
        <v>9096.8489639658383</v>
      </c>
      <c r="Y30" s="70">
        <v>0</v>
      </c>
      <c r="Z30" s="70">
        <v>738.01209305733983</v>
      </c>
      <c r="AA30" s="67">
        <v>9834.8610570231776</v>
      </c>
      <c r="AB30" s="255">
        <v>9834.8610570231776</v>
      </c>
      <c r="AC30" s="71">
        <v>12853.609439436055</v>
      </c>
      <c r="AD30" s="70">
        <v>0</v>
      </c>
      <c r="AE30" s="70">
        <v>1042.791767052076</v>
      </c>
      <c r="AF30" s="67">
        <v>13896.401206488132</v>
      </c>
      <c r="AG30" s="253">
        <v>13896.401206488132</v>
      </c>
      <c r="AH30" s="68">
        <v>9834.8610570231776</v>
      </c>
      <c r="AI30" s="71">
        <v>695.19451136805083</v>
      </c>
      <c r="AJ30" s="72">
        <v>695.19451136805071</v>
      </c>
      <c r="AK30" s="70">
        <v>0</v>
      </c>
      <c r="AL30" s="72">
        <v>0</v>
      </c>
      <c r="AM30" s="70">
        <v>1042.791767052076</v>
      </c>
      <c r="AN30" s="72">
        <v>1042.791767052076</v>
      </c>
      <c r="AO30" s="81">
        <v>1737.9862784201268</v>
      </c>
      <c r="AP30" s="254">
        <v>1737.9862784201268</v>
      </c>
      <c r="AQ30" s="69">
        <v>12858.183536078828</v>
      </c>
      <c r="AT30" s="69">
        <v>17125.484954703195</v>
      </c>
      <c r="AU30" s="63">
        <v>0</v>
      </c>
      <c r="AV30" s="63">
        <v>1042.791767052076</v>
      </c>
      <c r="AW30" s="68">
        <v>18168.276721755272</v>
      </c>
      <c r="AX30" s="68">
        <v>-4271.8755152671401</v>
      </c>
      <c r="AY30" s="69">
        <v>16430.290443335143</v>
      </c>
      <c r="AZ30" s="63">
        <v>0</v>
      </c>
      <c r="BA30" s="63">
        <v>0</v>
      </c>
      <c r="BB30" s="66">
        <v>-4271.8755152671374</v>
      </c>
      <c r="BC30" s="66">
        <v>0</v>
      </c>
      <c r="BD30" s="66">
        <v>0</v>
      </c>
      <c r="BE30" s="68">
        <v>-4271.8755152671374</v>
      </c>
      <c r="BF30" s="63">
        <v>13896.401206488135</v>
      </c>
      <c r="BG30" s="73">
        <v>0</v>
      </c>
      <c r="BH30" s="63">
        <v>9834.8610570231813</v>
      </c>
      <c r="BI30" s="63">
        <v>0</v>
      </c>
      <c r="BK30" s="63">
        <v>2450.3750779127595</v>
      </c>
      <c r="BL30" s="63">
        <v>3623.8722756246275</v>
      </c>
      <c r="BM30" s="63">
        <v>4068.1613571189846</v>
      </c>
      <c r="BO30" s="63">
        <v>43338.931903652396</v>
      </c>
      <c r="BR30" s="63">
        <v>4061.5401494649541</v>
      </c>
      <c r="BT30" s="63">
        <v>16430.290443335143</v>
      </c>
      <c r="BU30" s="63">
        <v>12158.414928068005</v>
      </c>
      <c r="BV30" s="256">
        <v>0.26000000000000012</v>
      </c>
      <c r="BW30" s="244">
        <v>9.0813851651207811E-2</v>
      </c>
      <c r="BX30" s="244">
        <v>8.0038187001472583E-2</v>
      </c>
      <c r="BZ30" s="244">
        <f t="shared" si="0"/>
        <v>6.7202250221893786E-2</v>
      </c>
    </row>
    <row r="31" spans="1:78" ht="15" thickBot="1" x14ac:dyDescent="0.35">
      <c r="A31" s="291" t="s">
        <v>78</v>
      </c>
      <c r="B31" s="293" t="s">
        <v>144</v>
      </c>
      <c r="C31" s="286" t="s">
        <v>79</v>
      </c>
      <c r="D31" s="287"/>
      <c r="E31" s="288" t="s">
        <v>80</v>
      </c>
      <c r="F31" s="289"/>
      <c r="V31" s="13">
        <v>5.6000000000000001E-2</v>
      </c>
      <c r="W31" s="35">
        <v>29</v>
      </c>
      <c r="X31" s="70">
        <v>9297.2124993756006</v>
      </c>
      <c r="Y31" s="70">
        <v>0</v>
      </c>
      <c r="Z31" s="70">
        <v>670.92008459758142</v>
      </c>
      <c r="AA31" s="67">
        <v>9968.1325839731817</v>
      </c>
      <c r="AB31" s="255">
        <v>9968.1325839731799</v>
      </c>
      <c r="AC31" s="71">
        <v>13136.717869647799</v>
      </c>
      <c r="AD31" s="70">
        <v>0</v>
      </c>
      <c r="AE31" s="70">
        <v>947.99251550188706</v>
      </c>
      <c r="AF31" s="67">
        <v>14084.710385149685</v>
      </c>
      <c r="AG31" s="253">
        <v>14084.710385149685</v>
      </c>
      <c r="AH31" s="68">
        <v>9968.1325839731799</v>
      </c>
      <c r="AI31" s="71">
        <v>631.99501033459137</v>
      </c>
      <c r="AJ31" s="72">
        <v>631.99501033459137</v>
      </c>
      <c r="AK31" s="70">
        <v>0</v>
      </c>
      <c r="AL31" s="72">
        <v>0</v>
      </c>
      <c r="AM31" s="70">
        <v>947.99251550188706</v>
      </c>
      <c r="AN31" s="72">
        <v>947.99251550188706</v>
      </c>
      <c r="AO31" s="81">
        <v>1579.9875258364784</v>
      </c>
      <c r="AP31" s="254">
        <v>1579.9875258364784</v>
      </c>
      <c r="AQ31" s="69">
        <v>13077.568307181389</v>
      </c>
      <c r="AT31" s="69">
        <v>17530.269144541628</v>
      </c>
      <c r="AU31" s="63">
        <v>0</v>
      </c>
      <c r="AV31" s="63">
        <v>947.99251550188706</v>
      </c>
      <c r="AW31" s="68">
        <v>18478.261660043514</v>
      </c>
      <c r="AX31" s="68">
        <v>-4393.551274893829</v>
      </c>
      <c r="AY31" s="69">
        <v>16898.274134207037</v>
      </c>
      <c r="AZ31" s="63">
        <v>0</v>
      </c>
      <c r="BA31" s="63">
        <v>0</v>
      </c>
      <c r="BB31" s="66">
        <v>-4393.5512748938299</v>
      </c>
      <c r="BC31" s="66">
        <v>0</v>
      </c>
      <c r="BD31" s="66">
        <v>0</v>
      </c>
      <c r="BE31" s="68">
        <v>-4393.5512748938299</v>
      </c>
      <c r="BF31" s="63">
        <v>14084.710385149683</v>
      </c>
      <c r="BG31" s="73">
        <v>0</v>
      </c>
      <c r="BH31" s="63">
        <v>9968.1325839731799</v>
      </c>
      <c r="BI31" s="63">
        <v>0</v>
      </c>
      <c r="BK31" s="63">
        <v>2289.5939206505209</v>
      </c>
      <c r="BL31" s="63">
        <v>3392.4728493587531</v>
      </c>
      <c r="BM31" s="63">
        <v>3816.6750186789013</v>
      </c>
      <c r="BO31" s="63">
        <v>46510.073262456215</v>
      </c>
      <c r="BR31" s="63">
        <v>4116.5778011765051</v>
      </c>
      <c r="BT31" s="63">
        <v>16898.274134207037</v>
      </c>
      <c r="BU31" s="63">
        <v>12504.722859313206</v>
      </c>
      <c r="BV31" s="256">
        <v>0.26000000000000012</v>
      </c>
      <c r="BW31" s="244">
        <v>9.1800083973929469E-2</v>
      </c>
      <c r="BX31" s="244">
        <v>8.1264483742891525E-2</v>
      </c>
      <c r="BZ31" s="244">
        <f t="shared" si="0"/>
        <v>6.7932062140707808E-2</v>
      </c>
    </row>
    <row r="32" spans="1:78" ht="15" thickBot="1" x14ac:dyDescent="0.35">
      <c r="A32" s="292"/>
      <c r="B32" s="294"/>
      <c r="C32" s="30" t="s">
        <v>81</v>
      </c>
      <c r="D32" s="33" t="s">
        <v>82</v>
      </c>
      <c r="E32" s="31" t="s">
        <v>81</v>
      </c>
      <c r="F32" s="32" t="s">
        <v>83</v>
      </c>
      <c r="V32" s="13">
        <v>5.8000000000000003E-2</v>
      </c>
      <c r="W32" s="35">
        <v>30</v>
      </c>
      <c r="X32" s="70">
        <v>9503.6439814993792</v>
      </c>
      <c r="Y32" s="70">
        <v>0</v>
      </c>
      <c r="Z32" s="70">
        <v>609.9273496341649</v>
      </c>
      <c r="AA32" s="67">
        <v>10113.571331133544</v>
      </c>
      <c r="AB32" s="255">
        <v>10113.571331133544</v>
      </c>
      <c r="AC32" s="71">
        <v>13428.400149713512</v>
      </c>
      <c r="AD32" s="70">
        <v>0</v>
      </c>
      <c r="AE32" s="70">
        <v>861.81137772898819</v>
      </c>
      <c r="AF32" s="67">
        <v>14290.211527442501</v>
      </c>
      <c r="AG32" s="253">
        <v>14290.211527442501</v>
      </c>
      <c r="AH32" s="68">
        <v>10113.571331133544</v>
      </c>
      <c r="AI32" s="71">
        <v>574.54091848599217</v>
      </c>
      <c r="AJ32" s="72">
        <v>574.54091848599217</v>
      </c>
      <c r="AK32" s="70">
        <v>0</v>
      </c>
      <c r="AL32" s="72">
        <v>0</v>
      </c>
      <c r="AM32" s="70">
        <v>861.81137772898808</v>
      </c>
      <c r="AN32" s="72">
        <v>861.81137772898819</v>
      </c>
      <c r="AO32" s="81">
        <v>1436.3522962149802</v>
      </c>
      <c r="AP32" s="254">
        <v>1436.3522962149802</v>
      </c>
      <c r="AQ32" s="69">
        <v>13309.823621115413</v>
      </c>
      <c r="AT32" s="69">
        <v>17944.620960685344</v>
      </c>
      <c r="AU32" s="63">
        <v>0</v>
      </c>
      <c r="AV32" s="63">
        <v>861.81137772898819</v>
      </c>
      <c r="AW32" s="68">
        <v>18806.432338414332</v>
      </c>
      <c r="AX32" s="68">
        <v>-4516.2208109718304</v>
      </c>
      <c r="AY32" s="69">
        <v>17370.080042199352</v>
      </c>
      <c r="AZ32" s="63">
        <v>0</v>
      </c>
      <c r="BA32" s="63">
        <v>0</v>
      </c>
      <c r="BB32" s="66">
        <v>-4516.2208109718313</v>
      </c>
      <c r="BC32" s="66">
        <v>0</v>
      </c>
      <c r="BD32" s="66">
        <v>0</v>
      </c>
      <c r="BE32" s="68">
        <v>-4516.2208109718313</v>
      </c>
      <c r="BF32" s="63">
        <v>14290.211527442501</v>
      </c>
      <c r="BG32" s="73">
        <v>0</v>
      </c>
      <c r="BH32" s="63">
        <v>10113.571331133544</v>
      </c>
      <c r="BI32" s="63">
        <v>0</v>
      </c>
      <c r="BK32" s="63">
        <v>2139.5977281256824</v>
      </c>
      <c r="BL32" s="63">
        <v>3176.227124098687</v>
      </c>
      <c r="BM32" s="63">
        <v>3580.7351084332968</v>
      </c>
      <c r="BO32" s="63">
        <v>49913.249354831096</v>
      </c>
      <c r="BR32" s="63">
        <v>4176.6401963089575</v>
      </c>
      <c r="BT32" s="63">
        <v>17370.080042199352</v>
      </c>
      <c r="BU32" s="63">
        <v>12853.859231227521</v>
      </c>
      <c r="BV32" s="256">
        <v>0.2599999999999999</v>
      </c>
      <c r="BW32" s="244">
        <v>9.274495063010213E-2</v>
      </c>
      <c r="BX32" s="244">
        <v>8.244571869705708E-2</v>
      </c>
      <c r="BZ32" s="244">
        <f t="shared" si="0"/>
        <v>6.8631263466275572E-2</v>
      </c>
    </row>
    <row r="33" spans="1:78" x14ac:dyDescent="0.3">
      <c r="A33" s="25" t="s">
        <v>23</v>
      </c>
      <c r="B33" s="23">
        <f>$A$13</f>
        <v>134917.49623044048</v>
      </c>
      <c r="C33" s="23">
        <f>$B$33-$B$34</f>
        <v>-19073.458360063494</v>
      </c>
      <c r="D33" s="24">
        <f>$C$33/$B$34</f>
        <v>-0.1238609008612489</v>
      </c>
      <c r="E33" s="23">
        <v>0</v>
      </c>
      <c r="F33" s="26">
        <v>0</v>
      </c>
      <c r="V33" s="13">
        <v>0.06</v>
      </c>
      <c r="W33" s="35">
        <v>31</v>
      </c>
      <c r="X33" s="70">
        <v>9716.1657362293536</v>
      </c>
      <c r="Y33" s="70">
        <v>0</v>
      </c>
      <c r="Z33" s="70">
        <v>554.47940875833172</v>
      </c>
      <c r="AA33" s="67">
        <v>10270.645144987686</v>
      </c>
      <c r="AB33" s="255">
        <v>10270.645144987686</v>
      </c>
      <c r="AC33" s="71">
        <v>13728.687825534374</v>
      </c>
      <c r="AD33" s="70">
        <v>0</v>
      </c>
      <c r="AE33" s="70">
        <v>783.4648888445347</v>
      </c>
      <c r="AF33" s="67">
        <v>14512.15271437891</v>
      </c>
      <c r="AG33" s="253">
        <v>14512.15271437891</v>
      </c>
      <c r="AH33" s="68">
        <v>10270.645144987686</v>
      </c>
      <c r="AI33" s="71">
        <v>522.3099258963565</v>
      </c>
      <c r="AJ33" s="72">
        <v>522.3099258963565</v>
      </c>
      <c r="AK33" s="70">
        <v>0</v>
      </c>
      <c r="AL33" s="72">
        <v>0</v>
      </c>
      <c r="AM33" s="70">
        <v>783.46488884453458</v>
      </c>
      <c r="AN33" s="72">
        <v>783.4648888445347</v>
      </c>
      <c r="AO33" s="81">
        <v>1305.7748147408911</v>
      </c>
      <c r="AP33" s="254">
        <v>1305.7748147408911</v>
      </c>
      <c r="AQ33" s="69">
        <v>13554.555046656405</v>
      </c>
      <c r="AT33" s="69">
        <v>18368.766547028812</v>
      </c>
      <c r="AU33" s="63">
        <v>0</v>
      </c>
      <c r="AV33" s="63">
        <v>783.4648888445347</v>
      </c>
      <c r="AW33" s="68">
        <v>19152.231435873346</v>
      </c>
      <c r="AX33" s="68">
        <v>-4640.0787214944357</v>
      </c>
      <c r="AY33" s="69">
        <v>17846.456621132456</v>
      </c>
      <c r="AZ33" s="63">
        <v>0</v>
      </c>
      <c r="BA33" s="63">
        <v>0</v>
      </c>
      <c r="BB33" s="66">
        <v>-4640.0787214944385</v>
      </c>
      <c r="BC33" s="66">
        <v>0</v>
      </c>
      <c r="BD33" s="66">
        <v>0</v>
      </c>
      <c r="BE33" s="68">
        <v>-4640.0787214944385</v>
      </c>
      <c r="BF33" s="63">
        <v>14512.152714378906</v>
      </c>
      <c r="BG33" s="73">
        <v>0</v>
      </c>
      <c r="BH33" s="63">
        <v>10270.645144987684</v>
      </c>
      <c r="BI33" s="63">
        <v>0</v>
      </c>
      <c r="BK33" s="63">
        <v>1999.6429056158579</v>
      </c>
      <c r="BL33" s="63">
        <v>2974.1104472904567</v>
      </c>
      <c r="BM33" s="63">
        <v>3359.3805744574192</v>
      </c>
      <c r="BO33" s="63">
        <v>53565.438332013837</v>
      </c>
      <c r="BR33" s="63">
        <v>4241.507569391224</v>
      </c>
      <c r="BT33" s="63">
        <v>17846.456621132456</v>
      </c>
      <c r="BU33" s="63">
        <v>13206.377899638019</v>
      </c>
      <c r="BV33" s="256">
        <v>0.2599999999999999</v>
      </c>
      <c r="BW33" s="244">
        <v>9.3650031438556658E-2</v>
      </c>
      <c r="BX33" s="244">
        <v>8.3582839069198611E-2</v>
      </c>
      <c r="BZ33" s="244">
        <f t="shared" si="0"/>
        <v>6.9301023264531927E-2</v>
      </c>
    </row>
    <row r="34" spans="1:78" x14ac:dyDescent="0.3">
      <c r="A34" s="18" t="s">
        <v>62</v>
      </c>
      <c r="B34" s="18">
        <f>$A$10</f>
        <v>153990.95459050397</v>
      </c>
      <c r="C34" s="18">
        <v>0</v>
      </c>
      <c r="D34" s="22">
        <v>0</v>
      </c>
      <c r="E34" s="18">
        <f>$B$34-$B$33</f>
        <v>19073.458360063494</v>
      </c>
      <c r="F34" s="27">
        <f>$E$34/$B$33</f>
        <v>0.14137127424515669</v>
      </c>
      <c r="V34" s="13">
        <v>6.2E-2</v>
      </c>
      <c r="W34" s="35">
        <v>32</v>
      </c>
      <c r="X34" s="70">
        <v>9934.8116260972474</v>
      </c>
      <c r="Y34" s="70">
        <v>0</v>
      </c>
      <c r="Z34" s="70">
        <v>504.07218978030158</v>
      </c>
      <c r="AA34" s="67">
        <v>10438.883815877549</v>
      </c>
      <c r="AB34" s="255">
        <v>10438.883815877549</v>
      </c>
      <c r="AC34" s="71">
        <v>14037.628743981222</v>
      </c>
      <c r="AD34" s="70">
        <v>0</v>
      </c>
      <c r="AE34" s="70">
        <v>712.24080804048606</v>
      </c>
      <c r="AF34" s="67">
        <v>14749.869552021708</v>
      </c>
      <c r="AG34" s="253">
        <v>14749.869552021708</v>
      </c>
      <c r="AH34" s="68">
        <v>10438.883815877549</v>
      </c>
      <c r="AI34" s="71">
        <v>474.82720536032406</v>
      </c>
      <c r="AJ34" s="72">
        <v>474.82720536032406</v>
      </c>
      <c r="AK34" s="70">
        <v>0</v>
      </c>
      <c r="AL34" s="72">
        <v>0</v>
      </c>
      <c r="AM34" s="70">
        <v>712.24080804048606</v>
      </c>
      <c r="AN34" s="72">
        <v>712.24080804048606</v>
      </c>
      <c r="AO34" s="81">
        <v>1187.0680134008101</v>
      </c>
      <c r="AP34" s="254">
        <v>1187.0680134008101</v>
      </c>
      <c r="AQ34" s="69">
        <v>13811.42234275597</v>
      </c>
      <c r="AT34" s="69">
        <v>18802.937392685861</v>
      </c>
      <c r="AU34" s="63">
        <v>0</v>
      </c>
      <c r="AV34" s="63">
        <v>712.24080804048606</v>
      </c>
      <c r="AW34" s="68">
        <v>19515.178200726346</v>
      </c>
      <c r="AX34" s="68">
        <v>-4765.3086487046385</v>
      </c>
      <c r="AY34" s="69">
        <v>18328.110187325536</v>
      </c>
      <c r="AZ34" s="63">
        <v>0</v>
      </c>
      <c r="BA34" s="63">
        <v>0</v>
      </c>
      <c r="BB34" s="66">
        <v>-4765.3086487046394</v>
      </c>
      <c r="BC34" s="66">
        <v>0</v>
      </c>
      <c r="BD34" s="66">
        <v>0</v>
      </c>
      <c r="BE34" s="68">
        <v>-4765.3086487046394</v>
      </c>
      <c r="BF34" s="63">
        <v>14749.869552021708</v>
      </c>
      <c r="BG34" s="73">
        <v>0</v>
      </c>
      <c r="BH34" s="63">
        <v>10438.883815877549</v>
      </c>
      <c r="BI34" s="63">
        <v>0</v>
      </c>
      <c r="BK34" s="63">
        <v>1869.0388158734384</v>
      </c>
      <c r="BL34" s="63">
        <v>2785.1701392145665</v>
      </c>
      <c r="BM34" s="63">
        <v>3151.7097753091416</v>
      </c>
      <c r="BO34" s="63">
        <v>57484.860648990471</v>
      </c>
      <c r="BR34" s="63">
        <v>4310.9857361441591</v>
      </c>
      <c r="BT34" s="63">
        <v>18328.110187325536</v>
      </c>
      <c r="BU34" s="63">
        <v>13562.801538620897</v>
      </c>
      <c r="BV34" s="256">
        <v>0.26</v>
      </c>
      <c r="BW34" s="244">
        <v>9.4516923999742097E-2</v>
      </c>
      <c r="BX34" s="244">
        <v>8.4676936138815107E-2</v>
      </c>
      <c r="BZ34" s="244">
        <f t="shared" si="0"/>
        <v>6.9942523759809153E-2</v>
      </c>
    </row>
    <row r="35" spans="1:78" x14ac:dyDescent="0.3">
      <c r="A35" s="104" t="s">
        <v>84</v>
      </c>
      <c r="B35" s="19">
        <f>$B$27</f>
        <v>179729.54065857283</v>
      </c>
      <c r="C35" s="19">
        <f>$B$35-$B$34</f>
        <v>25738.586068068864</v>
      </c>
      <c r="D35" s="21">
        <f>$C$35/$B$34</f>
        <v>0.16714349317798219</v>
      </c>
      <c r="E35" s="19">
        <f>$B$35-$B$33</f>
        <v>44812.044428132358</v>
      </c>
      <c r="F35" s="21">
        <f>$E$35/$B$33</f>
        <v>0.33214405603549685</v>
      </c>
      <c r="V35" s="13">
        <v>6.4000000000000001E-2</v>
      </c>
      <c r="W35" s="35">
        <v>33</v>
      </c>
      <c r="X35" s="70">
        <v>10159.62632214609</v>
      </c>
      <c r="Y35" s="70">
        <v>0</v>
      </c>
      <c r="Z35" s="70">
        <v>458.24744525481952</v>
      </c>
      <c r="AA35" s="67">
        <v>10617.87376740091</v>
      </c>
      <c r="AB35" s="255">
        <v>10617.87376740091</v>
      </c>
      <c r="AC35" s="71">
        <v>14355.286024068411</v>
      </c>
      <c r="AD35" s="70">
        <v>0</v>
      </c>
      <c r="AE35" s="70">
        <v>647.49164367316905</v>
      </c>
      <c r="AF35" s="67">
        <v>15002.77766774158</v>
      </c>
      <c r="AG35" s="253">
        <v>15002.77766774158</v>
      </c>
      <c r="AH35" s="68">
        <v>10617.87376740091</v>
      </c>
      <c r="AI35" s="71">
        <v>431.66109578211274</v>
      </c>
      <c r="AJ35" s="72">
        <v>431.66109578211274</v>
      </c>
      <c r="AK35" s="70">
        <v>0</v>
      </c>
      <c r="AL35" s="72">
        <v>0</v>
      </c>
      <c r="AM35" s="70">
        <v>647.49164367316905</v>
      </c>
      <c r="AN35" s="72">
        <v>647.49164367316905</v>
      </c>
      <c r="AO35" s="81">
        <v>1079.1527394552818</v>
      </c>
      <c r="AP35" s="254">
        <v>1079.1527394552818</v>
      </c>
      <c r="AQ35" s="69">
        <v>14080.134965482641</v>
      </c>
      <c r="AT35" s="69">
        <v>19247.370458331163</v>
      </c>
      <c r="AU35" s="63">
        <v>0</v>
      </c>
      <c r="AV35" s="63">
        <v>647.49164367316905</v>
      </c>
      <c r="AW35" s="68">
        <v>19894.862102004332</v>
      </c>
      <c r="AX35" s="68">
        <v>-4892.0844342627515</v>
      </c>
      <c r="AY35" s="69">
        <v>18815.709362549049</v>
      </c>
      <c r="AZ35" s="63">
        <v>0</v>
      </c>
      <c r="BA35" s="63">
        <v>0</v>
      </c>
      <c r="BB35" s="66">
        <v>-4892.0844342627524</v>
      </c>
      <c r="BC35" s="66">
        <v>0</v>
      </c>
      <c r="BD35" s="66">
        <v>0</v>
      </c>
      <c r="BE35" s="68">
        <v>-4892.0844342627524</v>
      </c>
      <c r="BF35" s="63">
        <v>15002.777667741579</v>
      </c>
      <c r="BG35" s="73">
        <v>0</v>
      </c>
      <c r="BH35" s="63">
        <v>10617.873767400908</v>
      </c>
      <c r="BI35" s="63">
        <v>0</v>
      </c>
      <c r="BK35" s="63">
        <v>1747.1438699543351</v>
      </c>
      <c r="BL35" s="63">
        <v>2608.5202206449071</v>
      </c>
      <c r="BM35" s="63">
        <v>2956.8768073809406</v>
      </c>
      <c r="BO35" s="63">
        <v>61691.069964770271</v>
      </c>
      <c r="BR35" s="63">
        <v>4384.9039003406706</v>
      </c>
      <c r="BT35" s="63">
        <v>18815.709362549049</v>
      </c>
      <c r="BU35" s="63">
        <v>13923.624928286299</v>
      </c>
      <c r="BV35" s="256">
        <v>0.25999999999999979</v>
      </c>
      <c r="BW35" s="244">
        <v>9.5347226681222974E-2</v>
      </c>
      <c r="BX35" s="244">
        <v>8.5729213895530565E-2</v>
      </c>
      <c r="BZ35" s="244">
        <f t="shared" si="0"/>
        <v>7.0556947744104995E-2</v>
      </c>
    </row>
    <row r="36" spans="1:78" x14ac:dyDescent="0.3">
      <c r="V36" s="13">
        <v>6.6000000000000003E-2</v>
      </c>
      <c r="W36" s="35">
        <v>34</v>
      </c>
      <c r="X36" s="70">
        <v>10390.664649574663</v>
      </c>
      <c r="Y36" s="70">
        <v>0</v>
      </c>
      <c r="Z36" s="70">
        <v>416.58858659529045</v>
      </c>
      <c r="AA36" s="67">
        <v>10807.253236169952</v>
      </c>
      <c r="AB36" s="255">
        <v>10807.253236169952</v>
      </c>
      <c r="AC36" s="71">
        <v>14681.737132366548</v>
      </c>
      <c r="AD36" s="70">
        <v>0</v>
      </c>
      <c r="AE36" s="70">
        <v>588.62876697560819</v>
      </c>
      <c r="AF36" s="67">
        <v>15270.365899342156</v>
      </c>
      <c r="AG36" s="253">
        <v>15270.365899342156</v>
      </c>
      <c r="AH36" s="68">
        <v>10807.253236169952</v>
      </c>
      <c r="AI36" s="71">
        <v>392.41917798373879</v>
      </c>
      <c r="AJ36" s="72">
        <v>392.41917798373873</v>
      </c>
      <c r="AK36" s="70">
        <v>0</v>
      </c>
      <c r="AL36" s="72">
        <v>0</v>
      </c>
      <c r="AM36" s="70">
        <v>588.62876697560807</v>
      </c>
      <c r="AN36" s="72">
        <v>588.62876697560819</v>
      </c>
      <c r="AO36" s="81">
        <v>981.04794495934686</v>
      </c>
      <c r="AP36" s="254">
        <v>981.04794495934686</v>
      </c>
      <c r="AQ36" s="69">
        <v>14360.44799366486</v>
      </c>
      <c r="AT36" s="69">
        <v>19702.30830552808</v>
      </c>
      <c r="AU36" s="63">
        <v>0</v>
      </c>
      <c r="AV36" s="63">
        <v>588.62876697560819</v>
      </c>
      <c r="AW36" s="68">
        <v>20290.93707250369</v>
      </c>
      <c r="AX36" s="68">
        <v>-5020.5711731615338</v>
      </c>
      <c r="AY36" s="69">
        <v>19309.889127544342</v>
      </c>
      <c r="AZ36" s="63">
        <v>0</v>
      </c>
      <c r="BA36" s="63">
        <v>0</v>
      </c>
      <c r="BB36" s="66">
        <v>-5020.5711731615293</v>
      </c>
      <c r="BC36" s="66">
        <v>0</v>
      </c>
      <c r="BD36" s="66">
        <v>0</v>
      </c>
      <c r="BE36" s="68">
        <v>-5020.5711731615293</v>
      </c>
      <c r="BF36" s="63">
        <v>15270.36589934216</v>
      </c>
      <c r="BG36" s="73">
        <v>0</v>
      </c>
      <c r="BH36" s="63">
        <v>10807.253236169954</v>
      </c>
      <c r="BI36" s="63">
        <v>0</v>
      </c>
      <c r="BK36" s="63">
        <v>1633.3619174715211</v>
      </c>
      <c r="BL36" s="63">
        <v>2443.3365435727715</v>
      </c>
      <c r="BM36" s="63">
        <v>2774.0880592883004</v>
      </c>
      <c r="BO36" s="63">
        <v>66205.050693899815</v>
      </c>
      <c r="BR36" s="63">
        <v>4463.1126631722036</v>
      </c>
      <c r="BT36" s="63">
        <v>19309.889127544342</v>
      </c>
      <c r="BU36" s="63">
        <v>14289.317954382808</v>
      </c>
      <c r="BV36" s="256">
        <v>0.26000000000000023</v>
      </c>
      <c r="BW36" s="244">
        <v>9.6142524551776631E-2</v>
      </c>
      <c r="BX36" s="244">
        <v>8.6740961198914723E-2</v>
      </c>
      <c r="BZ36" s="244">
        <f t="shared" ref="BZ36:BZ52" si="6">BW36*(1-r_tax)</f>
        <v>7.1145468168314713E-2</v>
      </c>
    </row>
    <row r="37" spans="1:78" x14ac:dyDescent="0.3">
      <c r="B37" s="130"/>
      <c r="C37" s="299"/>
      <c r="D37" s="299"/>
      <c r="V37" s="13">
        <v>6.8000000000000005E-2</v>
      </c>
      <c r="W37" s="36">
        <v>35</v>
      </c>
      <c r="X37" s="70">
        <v>10627.991000627118</v>
      </c>
      <c r="Y37" s="70">
        <v>0</v>
      </c>
      <c r="Z37" s="70">
        <v>378.71689690480952</v>
      </c>
      <c r="AA37" s="67">
        <v>11006.707897531927</v>
      </c>
      <c r="AB37" s="255">
        <v>11006.707897531927</v>
      </c>
      <c r="AC37" s="71">
        <v>15017.073053430899</v>
      </c>
      <c r="AD37" s="70">
        <v>0</v>
      </c>
      <c r="AE37" s="70">
        <v>535.11706088691653</v>
      </c>
      <c r="AF37" s="67">
        <v>15552.190114317815</v>
      </c>
      <c r="AG37" s="253">
        <v>15552.190114317815</v>
      </c>
      <c r="AH37" s="68">
        <v>11006.707897531927</v>
      </c>
      <c r="AI37" s="71">
        <v>356.74470725794441</v>
      </c>
      <c r="AJ37" s="72">
        <v>356.74470725794436</v>
      </c>
      <c r="AK37" s="70">
        <v>0</v>
      </c>
      <c r="AL37" s="72">
        <v>0</v>
      </c>
      <c r="AM37" s="70">
        <v>535.11706088691653</v>
      </c>
      <c r="AN37" s="72">
        <v>535.11706088691653</v>
      </c>
      <c r="AO37" s="81">
        <v>891.86176814486089</v>
      </c>
      <c r="AP37" s="254">
        <v>891.861768144861</v>
      </c>
      <c r="AQ37" s="69">
        <v>14652.158435414207</v>
      </c>
      <c r="AT37" s="69">
        <v>20167.999229113291</v>
      </c>
      <c r="AU37" s="63">
        <v>0</v>
      </c>
      <c r="AV37" s="63">
        <v>535.11706088691653</v>
      </c>
      <c r="AW37" s="68">
        <v>20703.116290000209</v>
      </c>
      <c r="AX37" s="68">
        <v>-5150.9261756823944</v>
      </c>
      <c r="AY37" s="69">
        <v>19811.254521855346</v>
      </c>
      <c r="AZ37" s="63">
        <v>0</v>
      </c>
      <c r="BA37" s="63">
        <v>0</v>
      </c>
      <c r="BB37" s="66">
        <v>-5150.9261756823898</v>
      </c>
      <c r="BC37" s="66">
        <v>0</v>
      </c>
      <c r="BD37" s="66">
        <v>0</v>
      </c>
      <c r="BE37" s="68">
        <v>-5150.9261756823898</v>
      </c>
      <c r="BF37" s="63">
        <v>15552.190114317818</v>
      </c>
      <c r="BG37" s="73">
        <v>0</v>
      </c>
      <c r="BH37" s="63">
        <v>11006.707897531931</v>
      </c>
      <c r="BI37" s="63">
        <v>0</v>
      </c>
      <c r="BK37" s="63">
        <v>1527.1389125119592</v>
      </c>
      <c r="BL37" s="63">
        <v>2288.8522929280048</v>
      </c>
      <c r="BM37" s="63">
        <v>2602.5989792595692</v>
      </c>
      <c r="BO37" s="63">
        <v>71049.322695892493</v>
      </c>
      <c r="BR37" s="63">
        <v>4545.4822167858874</v>
      </c>
      <c r="BT37" s="63">
        <v>19811.25452185535</v>
      </c>
      <c r="BU37" s="63">
        <v>14660.328346172953</v>
      </c>
      <c r="BV37" s="256">
        <v>0.26000000000000023</v>
      </c>
      <c r="BW37" s="244">
        <v>9.6904377943577646E-2</v>
      </c>
      <c r="BX37" s="244">
        <v>8.7713527390892221E-2</v>
      </c>
      <c r="BZ37" s="244">
        <f t="shared" si="6"/>
        <v>7.1709239678247452E-2</v>
      </c>
    </row>
    <row r="38" spans="1:78" x14ac:dyDescent="0.3">
      <c r="V38" s="13">
        <v>7.0000000000000007E-2</v>
      </c>
      <c r="W38" s="35">
        <v>36</v>
      </c>
      <c r="X38" s="70">
        <v>10871.678808797942</v>
      </c>
      <c r="Y38" s="70">
        <v>0</v>
      </c>
      <c r="Z38" s="70">
        <v>344.28808809528135</v>
      </c>
      <c r="AA38" s="67">
        <v>11215.966896893224</v>
      </c>
      <c r="AB38" s="255">
        <v>11215.966896893224</v>
      </c>
      <c r="AC38" s="70">
        <v>15361.397546866749</v>
      </c>
      <c r="AD38" s="70">
        <v>0</v>
      </c>
      <c r="AE38" s="70">
        <v>486.4700553517423</v>
      </c>
      <c r="AF38" s="67">
        <v>15847.867602218492</v>
      </c>
      <c r="AG38" s="253">
        <v>15847.867602218492</v>
      </c>
      <c r="AH38" s="68">
        <v>11215.966896893224</v>
      </c>
      <c r="AI38" s="70">
        <v>324.31337023449487</v>
      </c>
      <c r="AJ38" s="72">
        <v>324.31337023449487</v>
      </c>
      <c r="AK38" s="70">
        <v>0</v>
      </c>
      <c r="AL38" s="72">
        <v>0</v>
      </c>
      <c r="AM38" s="70">
        <v>486.4700553517423</v>
      </c>
      <c r="AN38" s="72">
        <v>486.4700553517423</v>
      </c>
      <c r="AO38" s="81">
        <v>810.78342558623717</v>
      </c>
      <c r="AP38" s="254">
        <v>810.78342558623717</v>
      </c>
      <c r="AQ38" s="63">
        <v>14955.101881151264</v>
      </c>
      <c r="AT38" s="63">
        <v>20644.697392710514</v>
      </c>
      <c r="AU38" s="63">
        <v>0</v>
      </c>
      <c r="AV38" s="63">
        <v>486.4700553517423</v>
      </c>
      <c r="AW38" s="68">
        <v>21131.167448062257</v>
      </c>
      <c r="AX38" s="68">
        <v>-5283.2998458437651</v>
      </c>
      <c r="AY38" s="63">
        <v>20320.384022476021</v>
      </c>
      <c r="AZ38" s="63">
        <v>0</v>
      </c>
      <c r="BA38" s="63">
        <v>0</v>
      </c>
      <c r="BB38" s="66">
        <v>-5283.299845843766</v>
      </c>
      <c r="BC38" s="66">
        <v>0</v>
      </c>
      <c r="BD38" s="66">
        <v>0</v>
      </c>
      <c r="BE38" s="68">
        <v>-5283.299845843766</v>
      </c>
      <c r="BF38" s="63">
        <v>15847.867602218492</v>
      </c>
      <c r="BG38" s="63">
        <v>0</v>
      </c>
      <c r="BH38" s="63">
        <v>11215.966896893224</v>
      </c>
      <c r="BI38" s="63">
        <v>0</v>
      </c>
      <c r="BK38" s="63">
        <v>1427.9598334017533</v>
      </c>
      <c r="BL38" s="63">
        <v>2144.3538298701419</v>
      </c>
      <c r="BM38" s="63">
        <v>2441.7110423598865</v>
      </c>
      <c r="BO38" s="63">
        <v>76248.053624860229</v>
      </c>
      <c r="BR38" s="63">
        <v>4631.9007053252681</v>
      </c>
      <c r="BT38" s="63">
        <v>20320.384022476021</v>
      </c>
      <c r="BU38" s="63">
        <v>15037.084176632256</v>
      </c>
      <c r="BV38" s="256">
        <v>0.26</v>
      </c>
      <c r="BW38" s="244">
        <v>9.7634313327115807E-2</v>
      </c>
      <c r="BX38" s="244">
        <v>8.8648301201287971E-2</v>
      </c>
      <c r="BZ38" s="244">
        <f t="shared" si="6"/>
        <v>7.2249391862065693E-2</v>
      </c>
    </row>
    <row r="39" spans="1:78" x14ac:dyDescent="0.3">
      <c r="V39" s="13">
        <v>7.1999999999999995E-2</v>
      </c>
      <c r="W39" s="35">
        <v>37</v>
      </c>
      <c r="X39" s="70">
        <v>11121.810078965889</v>
      </c>
      <c r="Y39" s="70">
        <v>0</v>
      </c>
      <c r="Z39" s="70">
        <v>312.98917099571031</v>
      </c>
      <c r="AA39" s="67">
        <v>11434.799249961599</v>
      </c>
      <c r="AB39" s="255">
        <v>11434.799249961599</v>
      </c>
      <c r="AC39" s="70">
        <v>15714.826483420975</v>
      </c>
      <c r="AD39" s="70">
        <v>0</v>
      </c>
      <c r="AE39" s="70">
        <v>442.2455048652202</v>
      </c>
      <c r="AF39" s="67">
        <v>16157.071988286196</v>
      </c>
      <c r="AG39" s="253">
        <v>16157.071988286196</v>
      </c>
      <c r="AH39" s="68">
        <v>11434.799249961599</v>
      </c>
      <c r="AI39" s="70">
        <v>294.83033657681347</v>
      </c>
      <c r="AJ39" s="72">
        <v>294.83033657681347</v>
      </c>
      <c r="AK39" s="70">
        <v>0</v>
      </c>
      <c r="AL39" s="72">
        <v>0</v>
      </c>
      <c r="AM39" s="70">
        <v>442.24550486522014</v>
      </c>
      <c r="AN39" s="72">
        <v>442.2455048652202</v>
      </c>
      <c r="AO39" s="81">
        <v>737.07584144203361</v>
      </c>
      <c r="AP39" s="254">
        <v>737.07584144203361</v>
      </c>
      <c r="AQ39" s="63">
        <v>15269.149471887557</v>
      </c>
      <c r="AT39" s="63">
        <v>21132.662967447304</v>
      </c>
      <c r="AU39" s="63">
        <v>0</v>
      </c>
      <c r="AV39" s="63">
        <v>442.2455048652202</v>
      </c>
      <c r="AW39" s="68">
        <v>21574.908472312523</v>
      </c>
      <c r="AX39" s="68">
        <v>-5417.8364840263275</v>
      </c>
      <c r="AY39" s="63">
        <v>20837.832630870489</v>
      </c>
      <c r="AZ39" s="63">
        <v>0</v>
      </c>
      <c r="BA39" s="63">
        <v>0</v>
      </c>
      <c r="BB39" s="66">
        <v>-5417.8364840263275</v>
      </c>
      <c r="BC39" s="66">
        <v>0</v>
      </c>
      <c r="BD39" s="66">
        <v>0</v>
      </c>
      <c r="BE39" s="68">
        <v>-5417.8364840263275</v>
      </c>
      <c r="BF39" s="63">
        <v>16157.071988286196</v>
      </c>
      <c r="BG39" s="63">
        <v>0</v>
      </c>
      <c r="BH39" s="63">
        <v>11434.799249961599</v>
      </c>
      <c r="BI39" s="63">
        <v>0</v>
      </c>
      <c r="BK39" s="63">
        <v>1335.3458362869887</v>
      </c>
      <c r="BL39" s="63">
        <v>2009.1768496395857</v>
      </c>
      <c r="BM39" s="63">
        <v>2290.76890519582</v>
      </c>
      <c r="BO39" s="63">
        <v>81827.179499850026</v>
      </c>
      <c r="BR39" s="63">
        <v>4722.2727383245965</v>
      </c>
      <c r="BT39" s="63">
        <v>20837.832630870489</v>
      </c>
      <c r="BU39" s="63">
        <v>15419.996146844162</v>
      </c>
      <c r="BV39" s="256">
        <v>0.26</v>
      </c>
      <c r="BW39" s="244">
        <v>9.8333816197859303E-2</v>
      </c>
      <c r="BX39" s="244">
        <v>8.9546692727782151E-2</v>
      </c>
      <c r="BZ39" s="244">
        <f t="shared" si="6"/>
        <v>7.276702398641588E-2</v>
      </c>
    </row>
    <row r="40" spans="1:78" x14ac:dyDescent="0.3">
      <c r="G40" s="129"/>
      <c r="V40" s="13">
        <v>7.3999999999999996E-2</v>
      </c>
      <c r="W40" s="35">
        <v>38</v>
      </c>
      <c r="X40" s="70">
        <v>11378.474968564589</v>
      </c>
      <c r="Y40" s="70">
        <v>0</v>
      </c>
      <c r="Z40" s="70">
        <v>284.53560999610028</v>
      </c>
      <c r="AA40" s="67">
        <v>11663.01057856069</v>
      </c>
      <c r="AB40" s="255">
        <v>11663.010578560688</v>
      </c>
      <c r="AC40" s="70">
        <v>16077.487253187061</v>
      </c>
      <c r="AD40" s="70">
        <v>0</v>
      </c>
      <c r="AE40" s="70">
        <v>402.04136805929107</v>
      </c>
      <c r="AF40" s="67">
        <v>16479.528621246351</v>
      </c>
      <c r="AG40" s="253">
        <v>16479.528621246351</v>
      </c>
      <c r="AH40" s="68">
        <v>11663.010578560688</v>
      </c>
      <c r="AI40" s="70">
        <v>268.02757870619405</v>
      </c>
      <c r="AJ40" s="72">
        <v>268.02757870619405</v>
      </c>
      <c r="AK40" s="70">
        <v>0</v>
      </c>
      <c r="AL40" s="72">
        <v>0</v>
      </c>
      <c r="AM40" s="70">
        <v>402.04136805929102</v>
      </c>
      <c r="AN40" s="72">
        <v>402.04136805929107</v>
      </c>
      <c r="AO40" s="81">
        <v>670.06894676548507</v>
      </c>
      <c r="AP40" s="254">
        <v>670.06894676548507</v>
      </c>
      <c r="AQ40" s="63">
        <v>15594.205154363575</v>
      </c>
      <c r="AT40" s="63">
        <v>21632.162273950609</v>
      </c>
      <c r="AU40" s="63">
        <v>0</v>
      </c>
      <c r="AV40" s="63">
        <v>402.04136805929107</v>
      </c>
      <c r="AW40" s="68">
        <v>22034.203642009899</v>
      </c>
      <c r="AX40" s="68">
        <v>-5554.6750207635487</v>
      </c>
      <c r="AY40" s="63">
        <v>21364.134695244415</v>
      </c>
      <c r="AZ40" s="63">
        <v>0</v>
      </c>
      <c r="BA40" s="63">
        <v>0</v>
      </c>
      <c r="BB40" s="66">
        <v>-5554.6750207635478</v>
      </c>
      <c r="BC40" s="66">
        <v>0</v>
      </c>
      <c r="BD40" s="66">
        <v>0</v>
      </c>
      <c r="BE40" s="68">
        <v>-5554.6750207635478</v>
      </c>
      <c r="BF40" s="63">
        <v>16479.528621246351</v>
      </c>
      <c r="BG40" s="63">
        <v>0</v>
      </c>
      <c r="BH40" s="63">
        <v>11663.010578560688</v>
      </c>
      <c r="BI40" s="63">
        <v>0</v>
      </c>
      <c r="BK40" s="63">
        <v>1248.8516241306352</v>
      </c>
      <c r="BL40" s="63">
        <v>1882.7028291718034</v>
      </c>
      <c r="BM40" s="63">
        <v>2149.1577365109879</v>
      </c>
      <c r="BO40" s="63">
        <v>87814.534097400072</v>
      </c>
      <c r="BR40" s="63">
        <v>4816.5180426856623</v>
      </c>
      <c r="BT40" s="63">
        <v>21364.134695244415</v>
      </c>
      <c r="BU40" s="63">
        <v>15809.459674480866</v>
      </c>
      <c r="BV40" s="256">
        <v>0.26</v>
      </c>
      <c r="BW40" s="244">
        <v>9.9004325693996975E-2</v>
      </c>
      <c r="BX40" s="244">
        <v>9.0410118235658699E-2</v>
      </c>
      <c r="BZ40" s="244">
        <f t="shared" si="6"/>
        <v>7.3263201013557766E-2</v>
      </c>
    </row>
    <row r="41" spans="1:78" x14ac:dyDescent="0.3">
      <c r="V41" s="13">
        <v>7.5999999999999998E-2</v>
      </c>
      <c r="W41" s="36">
        <v>39</v>
      </c>
      <c r="X41" s="70">
        <v>11641.771415346742</v>
      </c>
      <c r="Y41" s="70">
        <v>0</v>
      </c>
      <c r="Z41" s="70">
        <v>258.66873636009115</v>
      </c>
      <c r="AA41" s="67">
        <v>11900.440151706833</v>
      </c>
      <c r="AB41" s="255">
        <v>11900.440151706835</v>
      </c>
      <c r="AC41" s="70">
        <v>16449.518239645655</v>
      </c>
      <c r="AD41" s="70">
        <v>0</v>
      </c>
      <c r="AE41" s="70">
        <v>365.49215278117373</v>
      </c>
      <c r="AF41" s="67">
        <v>16815.01039242683</v>
      </c>
      <c r="AG41" s="253">
        <v>16815.01039242683</v>
      </c>
      <c r="AH41" s="68">
        <v>11900.440151706835</v>
      </c>
      <c r="AI41" s="70">
        <v>243.66143518744917</v>
      </c>
      <c r="AJ41" s="72">
        <v>243.66143518744917</v>
      </c>
      <c r="AK41" s="70">
        <v>0</v>
      </c>
      <c r="AL41" s="72">
        <v>0</v>
      </c>
      <c r="AM41" s="70">
        <v>365.49215278117373</v>
      </c>
      <c r="AN41" s="72">
        <v>365.49215278117373</v>
      </c>
      <c r="AO41" s="81">
        <v>609.1535879686229</v>
      </c>
      <c r="AP41" s="254">
        <v>609.1535879686229</v>
      </c>
      <c r="AQ41" s="63">
        <v>15930.203197230803</v>
      </c>
      <c r="AT41" s="63">
        <v>22143.467927698537</v>
      </c>
      <c r="AU41" s="63">
        <v>0</v>
      </c>
      <c r="AV41" s="63">
        <v>365.49215278117373</v>
      </c>
      <c r="AW41" s="68">
        <v>22508.960080479712</v>
      </c>
      <c r="AX41" s="68">
        <v>-5693.9496880528823</v>
      </c>
      <c r="AY41" s="63">
        <v>21899.806492511088</v>
      </c>
      <c r="AZ41" s="63">
        <v>0</v>
      </c>
      <c r="BA41" s="63">
        <v>0</v>
      </c>
      <c r="BB41" s="66">
        <v>-5693.9496880528832</v>
      </c>
      <c r="BC41" s="66">
        <v>0</v>
      </c>
      <c r="BD41" s="66">
        <v>0</v>
      </c>
      <c r="BE41" s="68">
        <v>-5693.9496880528832</v>
      </c>
      <c r="BF41" s="63">
        <v>16815.01039242683</v>
      </c>
      <c r="BG41" s="63">
        <v>0</v>
      </c>
      <c r="BH41" s="63">
        <v>11900.440151706835</v>
      </c>
      <c r="BI41" s="63">
        <v>0</v>
      </c>
      <c r="BK41" s="63">
        <v>1168.0630142220027</v>
      </c>
      <c r="BL41" s="63">
        <v>1764.3557417038523</v>
      </c>
      <c r="BM41" s="63">
        <v>2016.3007127993997</v>
      </c>
      <c r="BO41" s="63">
        <v>94239.987811843966</v>
      </c>
      <c r="BR41" s="63">
        <v>4914.5702407199951</v>
      </c>
      <c r="BT41" s="63">
        <v>21899.806492511088</v>
      </c>
      <c r="BU41" s="63">
        <v>16205.856804458206</v>
      </c>
      <c r="BV41" s="256">
        <v>0.26</v>
      </c>
      <c r="BW41" s="244">
        <v>9.9647230688414634E-2</v>
      </c>
      <c r="BX41" s="244">
        <v>9.1239987505240538E-2</v>
      </c>
      <c r="BZ41" s="244">
        <f t="shared" si="6"/>
        <v>7.3738950709426834E-2</v>
      </c>
    </row>
    <row r="42" spans="1:78" x14ac:dyDescent="0.3">
      <c r="V42" s="13">
        <v>7.8E-2</v>
      </c>
      <c r="W42" s="35">
        <v>40</v>
      </c>
      <c r="X42" s="70">
        <v>11911.804807707564</v>
      </c>
      <c r="Y42" s="70">
        <v>0</v>
      </c>
      <c r="Z42" s="70">
        <v>235.15339669099191</v>
      </c>
      <c r="AA42" s="67">
        <v>12146.958204398556</v>
      </c>
      <c r="AB42" s="255">
        <v>12146.958204398556</v>
      </c>
      <c r="AC42" s="70">
        <v>16831.068353840234</v>
      </c>
      <c r="AD42" s="70">
        <v>0</v>
      </c>
      <c r="AE42" s="70">
        <v>332.2655934374306</v>
      </c>
      <c r="AF42" s="67">
        <v>17163.333947277664</v>
      </c>
      <c r="AG42" s="253">
        <v>17163.333947277664</v>
      </c>
      <c r="AH42" s="68">
        <v>12146.958204398556</v>
      </c>
      <c r="AI42" s="70">
        <v>221.51039562495373</v>
      </c>
      <c r="AJ42" s="72">
        <v>221.5103956249537</v>
      </c>
      <c r="AK42" s="70">
        <v>0</v>
      </c>
      <c r="AL42" s="72">
        <v>0</v>
      </c>
      <c r="AM42" s="70">
        <v>332.26559343743054</v>
      </c>
      <c r="AN42" s="72">
        <v>332.2655934374306</v>
      </c>
      <c r="AO42" s="81">
        <v>553.77598906238427</v>
      </c>
      <c r="AP42" s="254">
        <v>553.77598906238427</v>
      </c>
      <c r="AQ42" s="63">
        <v>16277.105944818641</v>
      </c>
      <c r="AT42" s="63">
        <v>22666.858987807766</v>
      </c>
      <c r="AU42" s="63">
        <v>0</v>
      </c>
      <c r="AV42" s="63">
        <v>332.2655934374306</v>
      </c>
      <c r="AW42" s="68">
        <v>22999.124581245196</v>
      </c>
      <c r="AX42" s="68">
        <v>-5835.7906339675319</v>
      </c>
      <c r="AY42" s="63">
        <v>22445.348592182811</v>
      </c>
      <c r="AZ42" s="63">
        <v>0</v>
      </c>
      <c r="BA42" s="63">
        <v>0</v>
      </c>
      <c r="BB42" s="66">
        <v>-5835.790633967531</v>
      </c>
      <c r="BC42" s="66">
        <v>0</v>
      </c>
      <c r="BD42" s="66">
        <v>0</v>
      </c>
      <c r="BE42" s="68">
        <v>-5835.790633967531</v>
      </c>
      <c r="BF42" s="63">
        <v>17163.333947277664</v>
      </c>
      <c r="BG42" s="63">
        <v>0</v>
      </c>
      <c r="BH42" s="63">
        <v>12146.958204398556</v>
      </c>
      <c r="BI42" s="63">
        <v>0</v>
      </c>
      <c r="BK42" s="63">
        <v>1092.5946886662846</v>
      </c>
      <c r="BL42" s="63">
        <v>1653.5990174583098</v>
      </c>
      <c r="BM42" s="63">
        <v>1891.6566687354357</v>
      </c>
      <c r="BO42" s="63">
        <v>101135.59667612523</v>
      </c>
      <c r="BR42" s="63">
        <v>5016.3757428791087</v>
      </c>
      <c r="BT42" s="63">
        <v>22445.348592182811</v>
      </c>
      <c r="BU42" s="63">
        <v>16609.557958215279</v>
      </c>
      <c r="BV42" s="256">
        <v>0.26</v>
      </c>
      <c r="BW42" s="244">
        <v>0.10026386712342439</v>
      </c>
      <c r="BX42" s="244">
        <v>9.2037693451269442E-2</v>
      </c>
      <c r="BZ42" s="244">
        <f t="shared" si="6"/>
        <v>7.4195261671334042E-2</v>
      </c>
    </row>
    <row r="43" spans="1:78" x14ac:dyDescent="0.3">
      <c r="V43" s="13">
        <v>0.08</v>
      </c>
      <c r="W43" s="35">
        <v>41</v>
      </c>
      <c r="X43" s="70">
        <v>12188.687693904534</v>
      </c>
      <c r="Y43" s="70">
        <v>0</v>
      </c>
      <c r="Z43" s="70">
        <v>213.77581517362898</v>
      </c>
      <c r="AA43" s="67">
        <v>12402.463509078163</v>
      </c>
      <c r="AB43" s="255">
        <v>12402.463509078163</v>
      </c>
      <c r="AC43" s="70">
        <v>17222.296623512211</v>
      </c>
      <c r="AD43" s="70">
        <v>0</v>
      </c>
      <c r="AE43" s="70">
        <v>302.05963039766414</v>
      </c>
      <c r="AF43" s="67">
        <v>17524.356253909875</v>
      </c>
      <c r="AG43" s="253">
        <v>17524.356253909875</v>
      </c>
      <c r="AH43" s="68">
        <v>12402.463509078163</v>
      </c>
      <c r="AI43" s="70">
        <v>201.37308693177613</v>
      </c>
      <c r="AJ43" s="72">
        <v>201.3730869317761</v>
      </c>
      <c r="AK43" s="70">
        <v>0</v>
      </c>
      <c r="AL43" s="72">
        <v>0</v>
      </c>
      <c r="AM43" s="70">
        <v>302.05963039766414</v>
      </c>
      <c r="AN43" s="72">
        <v>302.05963039766414</v>
      </c>
      <c r="AO43" s="81">
        <v>503.43271732944027</v>
      </c>
      <c r="AP43" s="254">
        <v>503.43271732944027</v>
      </c>
      <c r="AQ43" s="63">
        <v>16634.901787166116</v>
      </c>
      <c r="AT43" s="63">
        <v>23202.621109337771</v>
      </c>
      <c r="AU43" s="63">
        <v>0</v>
      </c>
      <c r="AV43" s="63">
        <v>302.05963039766414</v>
      </c>
      <c r="AW43" s="68">
        <v>23504.680739735435</v>
      </c>
      <c r="AX43" s="68">
        <v>-5980.3244858255603</v>
      </c>
      <c r="AY43" s="63">
        <v>23001.248022405995</v>
      </c>
      <c r="AZ43" s="63">
        <v>0</v>
      </c>
      <c r="BA43" s="63">
        <v>0</v>
      </c>
      <c r="BB43" s="66">
        <v>-5980.3244858255584</v>
      </c>
      <c r="BC43" s="66">
        <v>0</v>
      </c>
      <c r="BD43" s="66">
        <v>0</v>
      </c>
      <c r="BE43" s="68">
        <v>-5980.3244858255584</v>
      </c>
      <c r="BF43" s="63">
        <v>17524.356253909878</v>
      </c>
      <c r="BG43" s="63">
        <v>0</v>
      </c>
      <c r="BH43" s="63">
        <v>12402.463509078167</v>
      </c>
      <c r="BI43" s="63">
        <v>0</v>
      </c>
      <c r="BK43" s="63">
        <v>1022.0881135783249</v>
      </c>
      <c r="BL43" s="63">
        <v>1549.9327311896186</v>
      </c>
      <c r="BM43" s="63">
        <v>1774.7178928499727</v>
      </c>
      <c r="BO43" s="63">
        <v>108535.76228657343</v>
      </c>
      <c r="BR43" s="63">
        <v>5121.8927448317118</v>
      </c>
      <c r="BT43" s="63">
        <v>23001.248022405995</v>
      </c>
      <c r="BU43" s="63">
        <v>17020.923536580434</v>
      </c>
      <c r="BV43" s="256">
        <v>0.26000000000000012</v>
      </c>
      <c r="BW43" s="244">
        <v>0.10085551638234191</v>
      </c>
      <c r="BX43" s="244">
        <v>9.2804603744961911E-2</v>
      </c>
      <c r="BZ43" s="244">
        <f t="shared" si="6"/>
        <v>7.4633082122933014E-2</v>
      </c>
    </row>
    <row r="44" spans="1:78" x14ac:dyDescent="0.3">
      <c r="V44" s="13">
        <v>8.2000000000000003E-2</v>
      </c>
      <c r="W44" s="35">
        <v>42</v>
      </c>
      <c r="X44" s="70">
        <v>12472.539526848288</v>
      </c>
      <c r="Y44" s="70">
        <v>0</v>
      </c>
      <c r="Z44" s="70">
        <v>194.3416501578445</v>
      </c>
      <c r="AA44" s="67">
        <v>12666.881177006133</v>
      </c>
      <c r="AB44" s="255">
        <v>12666.881177006131</v>
      </c>
      <c r="AC44" s="70">
        <v>17623.371832497152</v>
      </c>
      <c r="AD44" s="70">
        <v>0</v>
      </c>
      <c r="AE44" s="70">
        <v>274.59966399787646</v>
      </c>
      <c r="AF44" s="67">
        <v>17897.971496495029</v>
      </c>
      <c r="AG44" s="253">
        <v>17897.971496495029</v>
      </c>
      <c r="AH44" s="68">
        <v>12666.881177006131</v>
      </c>
      <c r="AI44" s="70">
        <v>183.06644266525097</v>
      </c>
      <c r="AJ44" s="72">
        <v>183.06644266525097</v>
      </c>
      <c r="AK44" s="70">
        <v>0</v>
      </c>
      <c r="AL44" s="72">
        <v>0</v>
      </c>
      <c r="AM44" s="70">
        <v>274.59966399787646</v>
      </c>
      <c r="AN44" s="72">
        <v>274.59966399787646</v>
      </c>
      <c r="AO44" s="81">
        <v>457.66610666312744</v>
      </c>
      <c r="AP44" s="254">
        <v>457.66610666312744</v>
      </c>
      <c r="AQ44" s="63">
        <v>17003.603326942881</v>
      </c>
      <c r="AT44" s="63">
        <v>23751.046699194845</v>
      </c>
      <c r="AU44" s="63">
        <v>0</v>
      </c>
      <c r="AV44" s="63">
        <v>274.59966399787646</v>
      </c>
      <c r="AW44" s="68">
        <v>24025.646363192722</v>
      </c>
      <c r="AX44" s="68">
        <v>-6127.6748666976928</v>
      </c>
      <c r="AY44" s="63">
        <v>23567.980256529594</v>
      </c>
      <c r="AZ44" s="63">
        <v>0</v>
      </c>
      <c r="BA44" s="63">
        <v>0</v>
      </c>
      <c r="BB44" s="66">
        <v>-6127.6748666976946</v>
      </c>
      <c r="BC44" s="66">
        <v>0</v>
      </c>
      <c r="BD44" s="66">
        <v>0</v>
      </c>
      <c r="BE44" s="68">
        <v>-6127.6748666976946</v>
      </c>
      <c r="BF44" s="63">
        <v>17897.971496495025</v>
      </c>
      <c r="BG44" s="63">
        <v>0</v>
      </c>
      <c r="BH44" s="63">
        <v>12666.881177006129</v>
      </c>
      <c r="BI44" s="63">
        <v>0</v>
      </c>
      <c r="BK44" s="63">
        <v>956.20961385674877</v>
      </c>
      <c r="BL44" s="63">
        <v>1452.8909989353392</v>
      </c>
      <c r="BM44" s="63">
        <v>1665.0080594737926</v>
      </c>
      <c r="BO44" s="63">
        <v>116477.40342949345</v>
      </c>
      <c r="BR44" s="63">
        <v>5231.0903194888979</v>
      </c>
      <c r="BT44" s="63">
        <v>23567.980256529594</v>
      </c>
      <c r="BU44" s="63">
        <v>17440.305389831901</v>
      </c>
      <c r="BV44" s="256">
        <v>0.2599999999999999</v>
      </c>
      <c r="BW44" s="244">
        <v>0.10142340451679366</v>
      </c>
      <c r="BX44" s="244">
        <v>9.3542054182870871E-2</v>
      </c>
      <c r="BZ44" s="244">
        <f t="shared" si="6"/>
        <v>7.5053319342427302E-2</v>
      </c>
    </row>
    <row r="45" spans="1:78" x14ac:dyDescent="0.3">
      <c r="V45" s="13">
        <v>8.4000000000000005E-2</v>
      </c>
      <c r="W45" s="36">
        <v>43</v>
      </c>
      <c r="X45" s="70">
        <v>12763.486441447021</v>
      </c>
      <c r="Y45" s="70">
        <v>0</v>
      </c>
      <c r="Z45" s="70">
        <v>176.67422741622227</v>
      </c>
      <c r="AA45" s="67">
        <v>12940.160668863244</v>
      </c>
      <c r="AB45" s="255">
        <v>12940.160668863244</v>
      </c>
      <c r="AC45" s="70">
        <v>18034.472206118255</v>
      </c>
      <c r="AD45" s="70">
        <v>0</v>
      </c>
      <c r="AE45" s="70">
        <v>249.63605817988767</v>
      </c>
      <c r="AF45" s="67">
        <v>18284.108264298142</v>
      </c>
      <c r="AG45" s="253">
        <v>18284.108264298142</v>
      </c>
      <c r="AH45" s="68">
        <v>12940.160668863244</v>
      </c>
      <c r="AI45" s="70">
        <v>166.42403878659181</v>
      </c>
      <c r="AJ45" s="72">
        <v>166.42403878659178</v>
      </c>
      <c r="AK45" s="70">
        <v>0</v>
      </c>
      <c r="AL45" s="72">
        <v>0</v>
      </c>
      <c r="AM45" s="70">
        <v>249.63605817988767</v>
      </c>
      <c r="AN45" s="72">
        <v>249.63605817988767</v>
      </c>
      <c r="AO45" s="81">
        <v>416.06009696647948</v>
      </c>
      <c r="AP45" s="254">
        <v>416.06009696647948</v>
      </c>
      <c r="AQ45" s="63">
        <v>17383.245725652541</v>
      </c>
      <c r="AT45" s="63">
        <v>24312.435075721271</v>
      </c>
      <c r="AU45" s="63">
        <v>0</v>
      </c>
      <c r="AV45" s="63">
        <v>249.63605817988767</v>
      </c>
      <c r="AW45" s="68">
        <v>24562.071133901158</v>
      </c>
      <c r="AX45" s="68">
        <v>-6277.9628696030159</v>
      </c>
      <c r="AY45" s="63">
        <v>24146.01103693468</v>
      </c>
      <c r="AZ45" s="63">
        <v>0</v>
      </c>
      <c r="BA45" s="63">
        <v>0</v>
      </c>
      <c r="BB45" s="66">
        <v>-6277.9628696030168</v>
      </c>
      <c r="BC45" s="66">
        <v>0</v>
      </c>
      <c r="BD45" s="66">
        <v>0</v>
      </c>
      <c r="BE45" s="68">
        <v>-6277.9628696030168</v>
      </c>
      <c r="BF45" s="63">
        <v>18284.108264298142</v>
      </c>
      <c r="BG45" s="63">
        <v>0</v>
      </c>
      <c r="BH45" s="63">
        <v>12940.160668863244</v>
      </c>
      <c r="BI45" s="63">
        <v>0</v>
      </c>
      <c r="BK45" s="63">
        <v>894.64859147088714</v>
      </c>
      <c r="BL45" s="63">
        <v>1362.0395677420349</v>
      </c>
      <c r="BM45" s="63">
        <v>1562.0802885245032</v>
      </c>
      <c r="BO45" s="63">
        <v>125000.14026579789</v>
      </c>
      <c r="BR45" s="63">
        <v>5343.9475954348982</v>
      </c>
      <c r="BT45" s="63">
        <v>24146.011036934677</v>
      </c>
      <c r="BU45" s="63">
        <v>17868.048167331661</v>
      </c>
      <c r="BV45" s="256">
        <v>0.26</v>
      </c>
      <c r="BW45" s="244">
        <v>0.10196870217203124</v>
      </c>
      <c r="BX45" s="244">
        <v>9.4251343564523138E-2</v>
      </c>
      <c r="BZ45" s="244">
        <f t="shared" si="6"/>
        <v>7.5456839607303122E-2</v>
      </c>
    </row>
    <row r="46" spans="1:78" x14ac:dyDescent="0.3">
      <c r="V46" s="13">
        <v>8.5999999999999993E-2</v>
      </c>
      <c r="W46" s="35">
        <v>44</v>
      </c>
      <c r="X46" s="70">
        <v>13061.661061765975</v>
      </c>
      <c r="Y46" s="70">
        <v>0</v>
      </c>
      <c r="Z46" s="70">
        <v>160.61293401474751</v>
      </c>
      <c r="AA46" s="67">
        <v>13222.273995780723</v>
      </c>
      <c r="AB46" s="255">
        <v>13222.273995780723</v>
      </c>
      <c r="AC46" s="70">
        <v>18455.785138707728</v>
      </c>
      <c r="AD46" s="70">
        <v>0</v>
      </c>
      <c r="AE46" s="70">
        <v>226.94187107262516</v>
      </c>
      <c r="AF46" s="67">
        <v>18682.727009780352</v>
      </c>
      <c r="AG46" s="253">
        <v>18682.727009780352</v>
      </c>
      <c r="AH46" s="68">
        <v>13222.273995780723</v>
      </c>
      <c r="AI46" s="70">
        <v>151.29458071508344</v>
      </c>
      <c r="AJ46" s="72">
        <v>151.29458071508344</v>
      </c>
      <c r="AK46" s="70">
        <v>0</v>
      </c>
      <c r="AL46" s="72">
        <v>0</v>
      </c>
      <c r="AM46" s="70">
        <v>226.94187107262513</v>
      </c>
      <c r="AN46" s="72">
        <v>226.94187107262516</v>
      </c>
      <c r="AO46" s="81">
        <v>378.23645178770857</v>
      </c>
      <c r="AP46" s="254">
        <v>378.23645178770857</v>
      </c>
      <c r="AQ46" s="63">
        <v>17773.885213118469</v>
      </c>
      <c r="AT46" s="63">
        <v>24887.092632056498</v>
      </c>
      <c r="AU46" s="63">
        <v>0</v>
      </c>
      <c r="AV46" s="63">
        <v>226.94187107262516</v>
      </c>
      <c r="AW46" s="68">
        <v>25114.034503129122</v>
      </c>
      <c r="AX46" s="68">
        <v>-6431.3074933487696</v>
      </c>
      <c r="AY46" s="63">
        <v>24735.798051341415</v>
      </c>
      <c r="AZ46" s="63">
        <v>0</v>
      </c>
      <c r="BA46" s="63">
        <v>0</v>
      </c>
      <c r="BB46" s="66">
        <v>-6431.3074933487678</v>
      </c>
      <c r="BC46" s="66">
        <v>0</v>
      </c>
      <c r="BD46" s="66">
        <v>0</v>
      </c>
      <c r="BE46" s="68">
        <v>-6431.3074933487678</v>
      </c>
      <c r="BF46" s="63">
        <v>18682.727009780356</v>
      </c>
      <c r="BG46" s="63">
        <v>0</v>
      </c>
      <c r="BH46" s="63">
        <v>13222.273995780724</v>
      </c>
      <c r="BI46" s="63">
        <v>0</v>
      </c>
      <c r="BK46" s="63">
        <v>837.1158761616216</v>
      </c>
      <c r="BL46" s="63">
        <v>1276.9735834437097</v>
      </c>
      <c r="BM46" s="63">
        <v>1465.5153252338976</v>
      </c>
      <c r="BO46" s="63">
        <v>134146.49199256359</v>
      </c>
      <c r="BR46" s="63">
        <v>5460.4530139996295</v>
      </c>
      <c r="BT46" s="63">
        <v>24735.798051341415</v>
      </c>
      <c r="BU46" s="63">
        <v>18304.490557992642</v>
      </c>
      <c r="BV46" s="256">
        <v>0.26000000000000023</v>
      </c>
      <c r="BW46" s="244">
        <v>0.10249252507411977</v>
      </c>
      <c r="BX46" s="244">
        <v>9.4933729861152116E-2</v>
      </c>
      <c r="BZ46" s="244">
        <f t="shared" si="6"/>
        <v>7.5844468554848624E-2</v>
      </c>
    </row>
    <row r="47" spans="1:78" x14ac:dyDescent="0.3">
      <c r="V47" s="13">
        <v>8.7999999999999995E-2</v>
      </c>
      <c r="W47" s="35">
        <v>45</v>
      </c>
      <c r="X47" s="70">
        <v>13367.202335517828</v>
      </c>
      <c r="Y47" s="70">
        <v>0</v>
      </c>
      <c r="Z47" s="70">
        <v>146.01175819522499</v>
      </c>
      <c r="AA47" s="67">
        <v>13513.214093713053</v>
      </c>
      <c r="AB47" s="255">
        <v>13513.214093713052</v>
      </c>
      <c r="AC47" s="70">
        <v>18887.506959746075</v>
      </c>
      <c r="AD47" s="70">
        <v>0</v>
      </c>
      <c r="AE47" s="70">
        <v>206.31079188420466</v>
      </c>
      <c r="AF47" s="67">
        <v>19093.817751630279</v>
      </c>
      <c r="AG47" s="253">
        <v>19093.817751630279</v>
      </c>
      <c r="AH47" s="68">
        <v>13513.214093713052</v>
      </c>
      <c r="AI47" s="70">
        <v>137.54052792280311</v>
      </c>
      <c r="AJ47" s="72">
        <v>137.54052792280311</v>
      </c>
      <c r="AK47" s="70">
        <v>0</v>
      </c>
      <c r="AL47" s="72">
        <v>0</v>
      </c>
      <c r="AM47" s="70">
        <v>206.31079188420466</v>
      </c>
      <c r="AN47" s="72">
        <v>206.31079188420466</v>
      </c>
      <c r="AO47" s="81">
        <v>343.85131980700777</v>
      </c>
      <c r="AP47" s="254">
        <v>343.85131980700777</v>
      </c>
      <c r="AQ47" s="63">
        <v>18175.597745714127</v>
      </c>
      <c r="AT47" s="63">
        <v>25475.333003359654</v>
      </c>
      <c r="AU47" s="63">
        <v>0</v>
      </c>
      <c r="AV47" s="63">
        <v>206.31079188420466</v>
      </c>
      <c r="AW47" s="68">
        <v>25681.643795243857</v>
      </c>
      <c r="AX47" s="68">
        <v>-6587.8260436135788</v>
      </c>
      <c r="AY47" s="63">
        <v>25337.792475436851</v>
      </c>
      <c r="AZ47" s="63">
        <v>0</v>
      </c>
      <c r="BA47" s="63">
        <v>0</v>
      </c>
      <c r="BB47" s="66">
        <v>-6587.8260436135815</v>
      </c>
      <c r="BC47" s="66">
        <v>0</v>
      </c>
      <c r="BD47" s="66">
        <v>0</v>
      </c>
      <c r="BE47" s="68">
        <v>-6587.8260436135815</v>
      </c>
      <c r="BF47" s="63">
        <v>19093.817751630275</v>
      </c>
      <c r="BG47" s="63">
        <v>0</v>
      </c>
      <c r="BH47" s="63">
        <v>13513.21409371305</v>
      </c>
      <c r="BI47" s="63">
        <v>0</v>
      </c>
      <c r="BK47" s="63">
        <v>783.34219834586872</v>
      </c>
      <c r="BL47" s="63">
        <v>1197.3155227699929</v>
      </c>
      <c r="BM47" s="63">
        <v>1374.9198324012564</v>
      </c>
      <c r="BO47" s="63">
        <v>143962.08896762924</v>
      </c>
      <c r="BR47" s="63">
        <v>5580.6036579172269</v>
      </c>
      <c r="BT47" s="63">
        <v>25337.792475436851</v>
      </c>
      <c r="BU47" s="63">
        <v>18749.966431823272</v>
      </c>
      <c r="BV47" s="256">
        <v>0.2599999999999999</v>
      </c>
      <c r="BW47" s="244">
        <v>0.10299593496248294</v>
      </c>
      <c r="BX47" s="244">
        <v>9.5590427479234741E-2</v>
      </c>
      <c r="BZ47" s="244">
        <f t="shared" si="6"/>
        <v>7.6216991872237377E-2</v>
      </c>
    </row>
    <row r="48" spans="1:78" x14ac:dyDescent="0.3">
      <c r="V48" s="13">
        <v>0.09</v>
      </c>
      <c r="W48" s="35">
        <v>46</v>
      </c>
      <c r="X48" s="70">
        <v>13680.255393630991</v>
      </c>
      <c r="Y48" s="70">
        <v>0</v>
      </c>
      <c r="Z48" s="70">
        <v>132.73796199565908</v>
      </c>
      <c r="AA48" s="67">
        <v>13812.99335562665</v>
      </c>
      <c r="AB48" s="255">
        <v>13812.99335562665</v>
      </c>
      <c r="AC48" s="70">
        <v>19329.842735435752</v>
      </c>
      <c r="AD48" s="70">
        <v>0</v>
      </c>
      <c r="AE48" s="70">
        <v>187.55526534927697</v>
      </c>
      <c r="AF48" s="67">
        <v>19517.39800078503</v>
      </c>
      <c r="AG48" s="253">
        <v>19517.39800078503</v>
      </c>
      <c r="AH48" s="68">
        <v>13812.99335562665</v>
      </c>
      <c r="AI48" s="70">
        <v>125.03684356618464</v>
      </c>
      <c r="AJ48" s="72">
        <v>125.03684356618464</v>
      </c>
      <c r="AK48" s="70">
        <v>0</v>
      </c>
      <c r="AL48" s="72">
        <v>0</v>
      </c>
      <c r="AM48" s="70">
        <v>187.55526534927697</v>
      </c>
      <c r="AN48" s="72">
        <v>187.55526534927697</v>
      </c>
      <c r="AO48" s="81">
        <v>312.59210891546161</v>
      </c>
      <c r="AP48" s="254">
        <v>312.59210891546161</v>
      </c>
      <c r="AQ48" s="63">
        <v>18588.477800128647</v>
      </c>
      <c r="AT48" s="63">
        <v>26077.47723798452</v>
      </c>
      <c r="AU48" s="63">
        <v>0</v>
      </c>
      <c r="AV48" s="63">
        <v>187.55526534927697</v>
      </c>
      <c r="AW48" s="68">
        <v>26265.032503333798</v>
      </c>
      <c r="AX48" s="68">
        <v>-6747.6345025487681</v>
      </c>
      <c r="AY48" s="63">
        <v>25952.440394418336</v>
      </c>
      <c r="AZ48" s="63">
        <v>0</v>
      </c>
      <c r="BA48" s="63">
        <v>0</v>
      </c>
      <c r="BB48" s="66">
        <v>-6747.6345025487672</v>
      </c>
      <c r="BC48" s="66">
        <v>0</v>
      </c>
      <c r="BD48" s="66">
        <v>0</v>
      </c>
      <c r="BE48" s="68">
        <v>-6747.6345025487672</v>
      </c>
      <c r="BF48" s="63">
        <v>19517.39800078503</v>
      </c>
      <c r="BG48" s="63">
        <v>0</v>
      </c>
      <c r="BH48" s="63">
        <v>13812.99335562665</v>
      </c>
      <c r="BI48" s="63">
        <v>0</v>
      </c>
      <c r="BK48" s="63">
        <v>733.07677482966312</v>
      </c>
      <c r="BL48" s="63">
        <v>1122.7132771609804</v>
      </c>
      <c r="BM48" s="63">
        <v>1289.9247882164516</v>
      </c>
      <c r="BO48" s="63">
        <v>154495.90035550456</v>
      </c>
      <c r="BR48" s="63">
        <v>5704.4046451583799</v>
      </c>
      <c r="BT48" s="63">
        <v>25952.440394418336</v>
      </c>
      <c r="BU48" s="63">
        <v>19204.805891869568</v>
      </c>
      <c r="BV48" s="256">
        <v>0.26</v>
      </c>
      <c r="BW48" s="244">
        <v>0.10347994086885359</v>
      </c>
      <c r="BX48" s="244">
        <v>9.6222605443941456E-2</v>
      </c>
      <c r="BZ48" s="244">
        <f t="shared" si="6"/>
        <v>7.6575156242951664E-2</v>
      </c>
    </row>
    <row r="49" spans="1:78" x14ac:dyDescent="0.3">
      <c r="V49" s="13">
        <v>9.1999999999999998E-2</v>
      </c>
      <c r="W49" s="36">
        <v>47</v>
      </c>
      <c r="X49" s="70">
        <v>14000.971432853192</v>
      </c>
      <c r="Y49" s="70">
        <v>0</v>
      </c>
      <c r="Z49" s="70">
        <v>120.67087454150824</v>
      </c>
      <c r="AA49" s="67">
        <v>14121.642307394701</v>
      </c>
      <c r="AB49" s="255">
        <v>14121.642307394701</v>
      </c>
      <c r="AC49" s="70">
        <v>19783.006102823118</v>
      </c>
      <c r="AD49" s="70">
        <v>0</v>
      </c>
      <c r="AE49" s="70">
        <v>170.50478668116085</v>
      </c>
      <c r="AF49" s="67">
        <v>19953.510889504279</v>
      </c>
      <c r="AG49" s="253">
        <v>19953.510889504279</v>
      </c>
      <c r="AH49" s="68">
        <v>14121.642307394701</v>
      </c>
      <c r="AI49" s="70">
        <v>113.66985778744059</v>
      </c>
      <c r="AJ49" s="72">
        <v>113.66985778744058</v>
      </c>
      <c r="AK49" s="70">
        <v>0</v>
      </c>
      <c r="AL49" s="72">
        <v>0</v>
      </c>
      <c r="AM49" s="70">
        <v>170.50478668116088</v>
      </c>
      <c r="AN49" s="72">
        <v>170.50478668116085</v>
      </c>
      <c r="AO49" s="81">
        <v>284.17464446860146</v>
      </c>
      <c r="AP49" s="254">
        <v>284.17464446860146</v>
      </c>
      <c r="AQ49" s="63">
        <v>19012.637290666727</v>
      </c>
      <c r="AT49" s="63">
        <v>26693.853972700515</v>
      </c>
      <c r="AU49" s="63">
        <v>0</v>
      </c>
      <c r="AV49" s="63">
        <v>170.50478668116085</v>
      </c>
      <c r="AW49" s="68">
        <v>26864.358759381677</v>
      </c>
      <c r="AX49" s="68">
        <v>-6910.8478698773979</v>
      </c>
      <c r="AY49" s="63">
        <v>26580.184114913074</v>
      </c>
      <c r="AZ49" s="63">
        <v>0</v>
      </c>
      <c r="BA49" s="63">
        <v>0</v>
      </c>
      <c r="BB49" s="66">
        <v>-6910.8478698773997</v>
      </c>
      <c r="BC49" s="66">
        <v>0</v>
      </c>
      <c r="BD49" s="66">
        <v>0</v>
      </c>
      <c r="BE49" s="68">
        <v>-6910.8478698773997</v>
      </c>
      <c r="BF49" s="63">
        <v>19953.510889504279</v>
      </c>
      <c r="BG49" s="63">
        <v>0</v>
      </c>
      <c r="BH49" s="63">
        <v>14121.642307394701</v>
      </c>
      <c r="BI49" s="63">
        <v>0</v>
      </c>
      <c r="BK49" s="63">
        <v>686.08599868291424</v>
      </c>
      <c r="BL49" s="63">
        <v>1052.8383766742193</v>
      </c>
      <c r="BM49" s="63">
        <v>1210.1839831267071</v>
      </c>
      <c r="BO49" s="63">
        <v>165800.47843029757</v>
      </c>
      <c r="BR49" s="63">
        <v>5831.8685821095787</v>
      </c>
      <c r="BT49" s="63">
        <v>26580.184114913074</v>
      </c>
      <c r="BU49" s="63">
        <v>19669.336245035676</v>
      </c>
      <c r="BV49" s="256">
        <v>0.2599999999999999</v>
      </c>
      <c r="BW49" s="244">
        <v>0.10394550065922981</v>
      </c>
      <c r="BX49" s="244">
        <v>9.6831386348272153E-2</v>
      </c>
      <c r="BZ49" s="244">
        <f t="shared" si="6"/>
        <v>7.691967048783005E-2</v>
      </c>
    </row>
    <row r="50" spans="1:78" x14ac:dyDescent="0.3">
      <c r="V50" s="13">
        <v>9.4E-2</v>
      </c>
      <c r="W50" s="35">
        <v>48</v>
      </c>
      <c r="X50" s="70">
        <v>14329.507619538819</v>
      </c>
      <c r="Y50" s="70">
        <v>0</v>
      </c>
      <c r="Z50" s="70">
        <v>109.70079503773476</v>
      </c>
      <c r="AA50" s="67">
        <v>14439.208414576555</v>
      </c>
      <c r="AB50" s="255">
        <v>14439.208414576555</v>
      </c>
      <c r="AC50" s="70">
        <v>20247.219133852461</v>
      </c>
      <c r="AD50" s="70">
        <v>0</v>
      </c>
      <c r="AE50" s="70">
        <v>155.00435152832804</v>
      </c>
      <c r="AF50" s="67">
        <v>20402.223485380789</v>
      </c>
      <c r="AG50" s="253">
        <v>20402.223485380789</v>
      </c>
      <c r="AH50" s="68">
        <v>14439.208414576555</v>
      </c>
      <c r="AI50" s="70">
        <v>103.33623435221871</v>
      </c>
      <c r="AJ50" s="72">
        <v>103.3362343522187</v>
      </c>
      <c r="AK50" s="70">
        <v>0</v>
      </c>
      <c r="AL50" s="72">
        <v>0</v>
      </c>
      <c r="AM50" s="70">
        <v>155.00435152832804</v>
      </c>
      <c r="AN50" s="72">
        <v>155.00435152832804</v>
      </c>
      <c r="AO50" s="81">
        <v>258.34058588054677</v>
      </c>
      <c r="AP50" s="254">
        <v>258.34058588054677</v>
      </c>
      <c r="AQ50" s="63">
        <v>19448.204599180459</v>
      </c>
      <c r="AT50" s="63">
        <v>27324.799612055253</v>
      </c>
      <c r="AU50" s="63">
        <v>0</v>
      </c>
      <c r="AV50" s="63">
        <v>155.00435152832804</v>
      </c>
      <c r="AW50" s="68">
        <v>27479.803963583581</v>
      </c>
      <c r="AX50" s="68">
        <v>-7077.5804782027917</v>
      </c>
      <c r="AY50" s="63">
        <v>27221.463377703032</v>
      </c>
      <c r="AZ50" s="63">
        <v>0</v>
      </c>
      <c r="BA50" s="63">
        <v>0</v>
      </c>
      <c r="BB50" s="66">
        <v>-7077.580478202789</v>
      </c>
      <c r="BC50" s="66">
        <v>0</v>
      </c>
      <c r="BD50" s="66">
        <v>0</v>
      </c>
      <c r="BE50" s="68">
        <v>-7077.580478202789</v>
      </c>
      <c r="BF50" s="63">
        <v>20402.223485380793</v>
      </c>
      <c r="BG50" s="63">
        <v>0</v>
      </c>
      <c r="BH50" s="63">
        <v>14439.208414576558</v>
      </c>
      <c r="BI50" s="63">
        <v>0</v>
      </c>
      <c r="BK50" s="63">
        <v>642.15222531556822</v>
      </c>
      <c r="BL50" s="63">
        <v>987.3843432945821</v>
      </c>
      <c r="BM50" s="63">
        <v>1135.3726096243286</v>
      </c>
      <c r="BO50" s="63">
        <v>177932.2207544657</v>
      </c>
      <c r="BR50" s="63">
        <v>5963.0150708042347</v>
      </c>
      <c r="BT50" s="63">
        <v>27221.463377703036</v>
      </c>
      <c r="BU50" s="63">
        <v>20143.882899500244</v>
      </c>
      <c r="BV50" s="256">
        <v>0.26000000000000012</v>
      </c>
      <c r="BW50" s="244">
        <v>0.10439352276907621</v>
      </c>
      <c r="BX50" s="244">
        <v>9.7417845933105651E-2</v>
      </c>
      <c r="BZ50" s="244">
        <f t="shared" si="6"/>
        <v>7.7251206849116391E-2</v>
      </c>
    </row>
    <row r="51" spans="1:78" x14ac:dyDescent="0.3">
      <c r="V51" s="13">
        <v>9.6000000000000002E-2</v>
      </c>
      <c r="W51" s="35">
        <v>49</v>
      </c>
      <c r="X51" s="70">
        <v>14666.027012942814</v>
      </c>
      <c r="Y51" s="70">
        <v>0</v>
      </c>
      <c r="Z51" s="70">
        <v>99.727995488849785</v>
      </c>
      <c r="AA51" s="67">
        <v>14765.755008431663</v>
      </c>
      <c r="AB51" s="255">
        <v>14765.755008431664</v>
      </c>
      <c r="AC51" s="70">
        <v>20722.712226982276</v>
      </c>
      <c r="AD51" s="70">
        <v>0</v>
      </c>
      <c r="AE51" s="70">
        <v>140.91304684393458</v>
      </c>
      <c r="AF51" s="67">
        <v>20863.625273826212</v>
      </c>
      <c r="AG51" s="253">
        <v>20863.625273826212</v>
      </c>
      <c r="AH51" s="68">
        <v>14765.755008431664</v>
      </c>
      <c r="AI51" s="70">
        <v>93.942031229289739</v>
      </c>
      <c r="AJ51" s="72">
        <v>93.942031229289725</v>
      </c>
      <c r="AK51" s="70">
        <v>0</v>
      </c>
      <c r="AL51" s="72">
        <v>0</v>
      </c>
      <c r="AM51" s="70">
        <v>140.91304684393458</v>
      </c>
      <c r="AN51" s="72">
        <v>140.91304684393458</v>
      </c>
      <c r="AO51" s="81">
        <v>234.85507807322432</v>
      </c>
      <c r="AP51" s="254">
        <v>234.85507807322432</v>
      </c>
      <c r="AQ51" s="63">
        <v>19895.323707729498</v>
      </c>
      <c r="AT51" s="63">
        <v>27970.658511976566</v>
      </c>
      <c r="AU51" s="63">
        <v>0</v>
      </c>
      <c r="AV51" s="63">
        <v>140.91304684393458</v>
      </c>
      <c r="AW51" s="68">
        <v>28111.571558820502</v>
      </c>
      <c r="AX51" s="68">
        <v>-7247.9462849942902</v>
      </c>
      <c r="AY51" s="63">
        <v>27876.716480747276</v>
      </c>
      <c r="AZ51" s="63">
        <v>0</v>
      </c>
      <c r="BA51" s="63">
        <v>0</v>
      </c>
      <c r="BB51" s="66">
        <v>-7247.946284994292</v>
      </c>
      <c r="BC51" s="66">
        <v>0</v>
      </c>
      <c r="BD51" s="66">
        <v>0</v>
      </c>
      <c r="BE51" s="68">
        <v>-7247.946284994292</v>
      </c>
      <c r="BF51" s="63">
        <v>20863.625273826212</v>
      </c>
      <c r="BG51" s="63">
        <v>0</v>
      </c>
      <c r="BH51" s="63">
        <v>14765.755008431664</v>
      </c>
      <c r="BI51" s="63">
        <v>0</v>
      </c>
      <c r="BK51" s="63">
        <v>601.07264742528184</v>
      </c>
      <c r="BL51" s="63">
        <v>926.06516380673986</v>
      </c>
      <c r="BM51" s="63">
        <v>1065.1859392111885</v>
      </c>
      <c r="BO51" s="63">
        <v>190951.65154137788</v>
      </c>
      <c r="BR51" s="63">
        <v>6097.8702653945475</v>
      </c>
      <c r="BT51" s="63">
        <v>27876.716480747276</v>
      </c>
      <c r="BU51" s="63">
        <v>20628.770195752986</v>
      </c>
      <c r="BV51" s="256">
        <v>0.2599999999999999</v>
      </c>
      <c r="BW51" s="244">
        <v>0.10482486807387081</v>
      </c>
      <c r="BX51" s="244">
        <v>9.7983013181358602E-2</v>
      </c>
      <c r="BZ51" s="244">
        <f t="shared" si="6"/>
        <v>7.7570402374664407E-2</v>
      </c>
    </row>
    <row r="52" spans="1:78" x14ac:dyDescent="0.3">
      <c r="V52" s="13">
        <v>9.8000000000000004E-2</v>
      </c>
      <c r="W52" s="35">
        <v>50</v>
      </c>
      <c r="X52" s="70">
        <v>15010.698506501931</v>
      </c>
      <c r="Y52" s="70">
        <v>0</v>
      </c>
      <c r="Z52" s="70">
        <v>90.661814080772501</v>
      </c>
      <c r="AA52" s="67">
        <v>15101.360320582704</v>
      </c>
      <c r="AB52" s="255">
        <v>15101.360320582706</v>
      </c>
      <c r="AC52" s="70">
        <v>21209.724024217237</v>
      </c>
      <c r="AD52" s="70">
        <v>0</v>
      </c>
      <c r="AE52" s="70">
        <v>128.10276985812231</v>
      </c>
      <c r="AF52" s="67">
        <v>21337.826794075361</v>
      </c>
      <c r="AG52" s="253">
        <v>21337.826794075361</v>
      </c>
      <c r="AH52" s="68">
        <v>15101.360320582706</v>
      </c>
      <c r="AI52" s="70">
        <v>85.401846572081553</v>
      </c>
      <c r="AJ52" s="72">
        <v>85.401846572081553</v>
      </c>
      <c r="AK52" s="70">
        <v>0</v>
      </c>
      <c r="AL52" s="72">
        <v>0</v>
      </c>
      <c r="AM52" s="70">
        <v>128.10276985812231</v>
      </c>
      <c r="AN52" s="72">
        <v>128.10276985812231</v>
      </c>
      <c r="AO52" s="81">
        <v>213.50461643020387</v>
      </c>
      <c r="AP52" s="254">
        <v>213.50461643020387</v>
      </c>
      <c r="AQ52" s="63">
        <v>20354.153424974378</v>
      </c>
      <c r="AT52" s="63">
        <v>28631.783167714188</v>
      </c>
      <c r="AU52" s="63">
        <v>0</v>
      </c>
      <c r="AV52" s="63">
        <v>128.10276985812231</v>
      </c>
      <c r="AW52" s="68">
        <v>28759.885937572311</v>
      </c>
      <c r="AX52" s="68">
        <v>-7422.0591434969501</v>
      </c>
      <c r="AY52" s="63">
        <v>28546.381321142107</v>
      </c>
      <c r="AZ52" s="63">
        <v>0</v>
      </c>
      <c r="BA52" s="63">
        <v>0</v>
      </c>
      <c r="BB52" s="66">
        <v>-7422.0591434969483</v>
      </c>
      <c r="BC52" s="66">
        <v>0</v>
      </c>
      <c r="BD52" s="66">
        <v>0</v>
      </c>
      <c r="BE52" s="68">
        <v>-7422.0591434969483</v>
      </c>
      <c r="BF52" s="63">
        <v>21337.826794075365</v>
      </c>
      <c r="BG52" s="63">
        <v>0</v>
      </c>
      <c r="BH52" s="63">
        <v>15101.360320582708</v>
      </c>
      <c r="BI52" s="63">
        <v>0</v>
      </c>
      <c r="BK52" s="63">
        <v>562.65825206555633</v>
      </c>
      <c r="BL52" s="63">
        <v>868.61387316909213</v>
      </c>
      <c r="BM52" s="63">
        <v>999.33808115086015</v>
      </c>
      <c r="BO52" s="63">
        <v>204923.72360538115</v>
      </c>
      <c r="BR52" s="63">
        <v>6236.4664734926555</v>
      </c>
      <c r="BT52" s="63">
        <v>28546.381321142107</v>
      </c>
      <c r="BU52" s="63">
        <v>21124.322177645157</v>
      </c>
      <c r="BV52" s="256">
        <v>0.26000000000000012</v>
      </c>
      <c r="BW52" s="244">
        <v>0.10524035184732794</v>
      </c>
      <c r="BX52" s="244">
        <v>9.8527870825781738E-2</v>
      </c>
      <c r="BZ52" s="244">
        <f t="shared" si="6"/>
        <v>7.7877860367022669E-2</v>
      </c>
    </row>
    <row r="53" spans="1:78" x14ac:dyDescent="0.3">
      <c r="V53" s="13">
        <v>0.1</v>
      </c>
    </row>
    <row r="54" spans="1:78" x14ac:dyDescent="0.3">
      <c r="V54" s="13">
        <v>0.10199999999999999</v>
      </c>
      <c r="AG54" s="68" t="s">
        <v>234</v>
      </c>
    </row>
    <row r="55" spans="1:78" x14ac:dyDescent="0.3">
      <c r="V55" s="13">
        <v>0.104</v>
      </c>
      <c r="AG55" s="68">
        <f>6000*((((1+r_s-r_c)^(T_t-1)-1)*(1-r_tax))+1)</f>
        <v>24944.088033446817</v>
      </c>
    </row>
    <row r="56" spans="1:78" x14ac:dyDescent="0.3">
      <c r="V56" s="13">
        <v>0.106</v>
      </c>
    </row>
    <row r="57" spans="1:78" x14ac:dyDescent="0.3">
      <c r="V57" s="13">
        <v>0.108</v>
      </c>
    </row>
    <row r="58" spans="1:78" x14ac:dyDescent="0.3">
      <c r="V58" s="13">
        <v>0.11</v>
      </c>
    </row>
    <row r="59" spans="1:78" x14ac:dyDescent="0.3">
      <c r="V59" s="13">
        <v>0.112</v>
      </c>
    </row>
    <row r="60" spans="1:78" x14ac:dyDescent="0.3">
      <c r="V60" s="13">
        <v>0.114</v>
      </c>
    </row>
    <row r="61" spans="1:78" x14ac:dyDescent="0.3">
      <c r="V61" s="13">
        <v>0.11600000000000001</v>
      </c>
    </row>
    <row r="62" spans="1:78" x14ac:dyDescent="0.3">
      <c r="V62" s="13">
        <v>0.11799999999999999</v>
      </c>
    </row>
    <row r="63" spans="1:78" x14ac:dyDescent="0.3">
      <c r="V63" s="13">
        <v>0.12</v>
      </c>
    </row>
    <row r="64" spans="1:78" x14ac:dyDescent="0.3">
      <c r="A64" s="131" t="str">
        <f>$A$31</f>
        <v>Comparison, all infl-adjusted</v>
      </c>
      <c r="B64" s="203" t="str">
        <f>$B$31</f>
        <v>outcome</v>
      </c>
      <c r="C64" s="132" t="str">
        <f>C31</f>
        <v>Compared to DEPOSIT</v>
      </c>
      <c r="D64" s="133" t="str">
        <f>$E$31</f>
        <v>Compared to BANK ACCOUNT</v>
      </c>
      <c r="V64" s="13">
        <v>0.122</v>
      </c>
    </row>
    <row r="65" spans="1:22" x14ac:dyDescent="0.3">
      <c r="A65" s="134" t="str">
        <f t="shared" ref="A65:C67" si="7">A33</f>
        <v>Bank account</v>
      </c>
      <c r="B65" s="135">
        <f t="shared" si="7"/>
        <v>134917.49623044048</v>
      </c>
      <c r="C65" s="135">
        <f t="shared" si="7"/>
        <v>-19073.458360063494</v>
      </c>
      <c r="D65" s="135">
        <f>E33</f>
        <v>0</v>
      </c>
      <c r="V65" s="13">
        <v>0.124</v>
      </c>
    </row>
    <row r="66" spans="1:22" x14ac:dyDescent="0.3">
      <c r="A66" s="136" t="str">
        <f t="shared" si="7"/>
        <v>Deposit</v>
      </c>
      <c r="B66" s="136">
        <f t="shared" si="7"/>
        <v>153990.95459050397</v>
      </c>
      <c r="C66" s="136">
        <f t="shared" si="7"/>
        <v>0</v>
      </c>
      <c r="D66" s="136">
        <f>E34</f>
        <v>19073.458360063494</v>
      </c>
      <c r="V66" s="13">
        <v>0.126</v>
      </c>
    </row>
    <row r="67" spans="1:22" x14ac:dyDescent="0.3">
      <c r="A67" s="137" t="str">
        <f t="shared" si="7"/>
        <v>Invested</v>
      </c>
      <c r="B67" s="138">
        <f t="shared" si="7"/>
        <v>179729.54065857283</v>
      </c>
      <c r="C67" s="138">
        <f t="shared" si="7"/>
        <v>25738.586068068864</v>
      </c>
      <c r="D67" s="138">
        <f>E35</f>
        <v>44812.044428132358</v>
      </c>
      <c r="V67" s="13">
        <v>0.128</v>
      </c>
    </row>
    <row r="68" spans="1:22" x14ac:dyDescent="0.3">
      <c r="C68" s="63"/>
      <c r="V68" s="13">
        <v>0.13</v>
      </c>
    </row>
    <row r="69" spans="1:22" x14ac:dyDescent="0.3">
      <c r="V69" s="13">
        <v>0.13200000000000001</v>
      </c>
    </row>
    <row r="70" spans="1:22" x14ac:dyDescent="0.3">
      <c r="A70" s="144" t="str">
        <f>$A$31</f>
        <v>Comparison, all infl-adjusted</v>
      </c>
      <c r="B70" s="136" t="str">
        <f>$C$31</f>
        <v>Compared to DEPOSIT</v>
      </c>
      <c r="C70" s="133" t="str">
        <f>$E$31</f>
        <v>Compared to BANK ACCOUNT</v>
      </c>
      <c r="V70" s="13">
        <v>0.13400000000000001</v>
      </c>
    </row>
    <row r="71" spans="1:22" x14ac:dyDescent="0.3">
      <c r="A71" s="134" t="str">
        <f>A33</f>
        <v>Bank account</v>
      </c>
      <c r="B71" s="139">
        <f>D33</f>
        <v>-0.1238609008612489</v>
      </c>
      <c r="C71" s="140">
        <f>F33</f>
        <v>0</v>
      </c>
      <c r="V71" s="13">
        <v>0.13600000000000001</v>
      </c>
    </row>
    <row r="72" spans="1:22" x14ac:dyDescent="0.3">
      <c r="A72" s="136" t="str">
        <f>A34</f>
        <v>Deposit</v>
      </c>
      <c r="B72" s="141">
        <f>D34</f>
        <v>0</v>
      </c>
      <c r="C72" s="142">
        <f>F34</f>
        <v>0.14137127424515669</v>
      </c>
      <c r="V72" s="13">
        <v>0.13800000000000001</v>
      </c>
    </row>
    <row r="73" spans="1:22" x14ac:dyDescent="0.3">
      <c r="A73" s="137" t="str">
        <f>A35</f>
        <v>Invested</v>
      </c>
      <c r="B73" s="143">
        <f>D35</f>
        <v>0.16714349317798219</v>
      </c>
      <c r="C73" s="143">
        <f>F35</f>
        <v>0.33214405603549685</v>
      </c>
      <c r="V73" s="13">
        <v>0.14000000000000001</v>
      </c>
    </row>
  </sheetData>
  <dataConsolidate function="count"/>
  <mergeCells count="49">
    <mergeCell ref="O4:O6"/>
    <mergeCell ref="BR1:BS2"/>
    <mergeCell ref="H18:I18"/>
    <mergeCell ref="A16:A17"/>
    <mergeCell ref="B16:B17"/>
    <mergeCell ref="A13:B13"/>
    <mergeCell ref="H4:H5"/>
    <mergeCell ref="A9:B9"/>
    <mergeCell ref="A10:B10"/>
    <mergeCell ref="A12:B12"/>
    <mergeCell ref="C37:D37"/>
    <mergeCell ref="BH1:BI1"/>
    <mergeCell ref="H2:I2"/>
    <mergeCell ref="H1:I1"/>
    <mergeCell ref="R1:W1"/>
    <mergeCell ref="X1:AB1"/>
    <mergeCell ref="AC1:AG1"/>
    <mergeCell ref="AI1:AP1"/>
    <mergeCell ref="AQ1:AS1"/>
    <mergeCell ref="K4:K6"/>
    <mergeCell ref="H6:I6"/>
    <mergeCell ref="AT1:AW1"/>
    <mergeCell ref="C16:C17"/>
    <mergeCell ref="H3:I3"/>
    <mergeCell ref="D4:D5"/>
    <mergeCell ref="E4:E5"/>
    <mergeCell ref="C31:D31"/>
    <mergeCell ref="E31:F31"/>
    <mergeCell ref="F16:F17"/>
    <mergeCell ref="A31:A32"/>
    <mergeCell ref="B31:B32"/>
    <mergeCell ref="D16:D17"/>
    <mergeCell ref="E16:E17"/>
    <mergeCell ref="BX1:BX2"/>
    <mergeCell ref="G16:G17"/>
    <mergeCell ref="AY1:BD1"/>
    <mergeCell ref="BF1:BG1"/>
    <mergeCell ref="H16:I17"/>
    <mergeCell ref="BK1:BL1"/>
    <mergeCell ref="M4:M6"/>
    <mergeCell ref="BW1:BW2"/>
    <mergeCell ref="BU1:BU2"/>
    <mergeCell ref="G9:G11"/>
    <mergeCell ref="M13:N14"/>
    <mergeCell ref="BT1:BT2"/>
    <mergeCell ref="M8:M11"/>
    <mergeCell ref="O8:O11"/>
    <mergeCell ref="N4:N6"/>
    <mergeCell ref="N8:N11"/>
  </mergeCells>
  <dataValidations count="5">
    <dataValidation type="list" allowBlank="1" showInputMessage="1" showErrorMessage="1" sqref="G3:G6" xr:uid="{A8A25A3D-A247-AD43-B180-5F7D02BAD87A}">
      <formula1>$V$3:$V$73</formula1>
    </dataValidation>
    <dataValidation type="list" allowBlank="1" showInputMessage="1" showErrorMessage="1" sqref="B5" xr:uid="{04B3D171-080C-1F45-B465-79C1D6874847}">
      <formula1>$U$3:$U$12</formula1>
    </dataValidation>
    <dataValidation type="list" allowBlank="1" showInputMessage="1" showErrorMessage="1" sqref="H4:I4" xr:uid="{CA66741A-CCD9-2F49-9798-F72653C4E0CF}">
      <formula1>$R$3:$R$13</formula1>
    </dataValidation>
    <dataValidation type="list" allowBlank="1" showInputMessage="1" showErrorMessage="1" sqref="B4" xr:uid="{702C7942-0F87-B64F-A77D-C92C462A3D1D}">
      <formula1>$S$3:$S$18</formula1>
    </dataValidation>
    <dataValidation type="list" allowBlank="1" showInputMessage="1" showErrorMessage="1" sqref="B3" xr:uid="{498B9215-E501-D340-A56A-4D05CFD4A56A}">
      <formula1>$T$3:$T$17</formula1>
    </dataValidation>
  </dataValidations>
  <pageMargins left="0.7" right="0.7" top="0.75" bottom="0.75" header="0.3" footer="0.3"/>
  <pageSetup paperSize="9" orientation="portrait" r:id="rId1"/>
  <drawing r:id="rId2"/>
  <legacyDrawing r:id="rId3"/>
  <tableParts count="6">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38204-AB14-44A7-B6A6-11538CB385E8}">
  <dimension ref="A1:U28"/>
  <sheetViews>
    <sheetView topLeftCell="D5" zoomScale="85" zoomScaleNormal="85" workbookViewId="0">
      <selection activeCell="U17" sqref="U17"/>
    </sheetView>
  </sheetViews>
  <sheetFormatPr defaultRowHeight="14.4" x14ac:dyDescent="0.3"/>
  <cols>
    <col min="1" max="1" width="13.88671875" bestFit="1" customWidth="1"/>
    <col min="3" max="3" width="10.44140625" bestFit="1" customWidth="1"/>
    <col min="5" max="5" width="11" customWidth="1"/>
  </cols>
  <sheetData>
    <row r="1" spans="1:21" x14ac:dyDescent="0.3">
      <c r="A1" s="1"/>
      <c r="B1" s="218" t="s">
        <v>148</v>
      </c>
      <c r="C1" s="218" t="s">
        <v>149</v>
      </c>
      <c r="D1" s="218" t="s">
        <v>150</v>
      </c>
      <c r="E1" s="219" t="s">
        <v>153</v>
      </c>
      <c r="I1" t="s">
        <v>177</v>
      </c>
      <c r="J1" t="s">
        <v>178</v>
      </c>
    </row>
    <row r="2" spans="1:21" x14ac:dyDescent="0.3">
      <c r="A2" s="220" t="s">
        <v>147</v>
      </c>
      <c r="B2" s="221">
        <f>Capital</f>
        <v>6000</v>
      </c>
      <c r="E2" s="2"/>
    </row>
    <row r="3" spans="1:21" x14ac:dyDescent="0.3">
      <c r="A3" s="210" t="s">
        <v>33</v>
      </c>
      <c r="B3" s="211">
        <f>q_s</f>
        <v>0.4</v>
      </c>
      <c r="C3" s="212">
        <f>r_s</f>
        <v>0.128</v>
      </c>
      <c r="D3" s="339">
        <f>r_tax</f>
        <v>0.26</v>
      </c>
      <c r="E3" s="341">
        <f>r_c</f>
        <v>2E-3</v>
      </c>
    </row>
    <row r="4" spans="1:21" x14ac:dyDescent="0.3">
      <c r="A4" s="213" t="s">
        <v>67</v>
      </c>
      <c r="B4" s="214">
        <f xml:space="preserve"> q_b*(1-q_b_BTP)</f>
        <v>0</v>
      </c>
      <c r="C4" s="215">
        <f>r_b</f>
        <v>0.06</v>
      </c>
      <c r="D4" s="340"/>
      <c r="E4" s="342"/>
    </row>
    <row r="5" spans="1:21" x14ac:dyDescent="0.3">
      <c r="A5" s="216" t="s">
        <v>69</v>
      </c>
      <c r="B5" s="186">
        <f>q_b*q_b_BTP</f>
        <v>0.6</v>
      </c>
      <c r="C5" s="217">
        <f>r_b_btp</f>
        <v>2E-3</v>
      </c>
      <c r="D5" s="186">
        <f>r_tax_btp</f>
        <v>0.125</v>
      </c>
      <c r="E5" s="343"/>
    </row>
    <row r="6" spans="1:21" x14ac:dyDescent="0.3">
      <c r="A6" s="226" t="s">
        <v>152</v>
      </c>
      <c r="B6" s="227">
        <v>1</v>
      </c>
      <c r="C6" s="228">
        <f>r_d</f>
        <v>3.4000000000000002E-2</v>
      </c>
      <c r="D6" s="227">
        <v>0.26</v>
      </c>
      <c r="E6" s="230">
        <f>r_c</f>
        <v>2E-3</v>
      </c>
    </row>
    <row r="7" spans="1:21" x14ac:dyDescent="0.3">
      <c r="A7" s="222" t="s">
        <v>8</v>
      </c>
      <c r="C7" s="223">
        <f>r_i</f>
        <v>2.5000000000000001E-2</v>
      </c>
      <c r="D7" s="234">
        <v>0</v>
      </c>
      <c r="E7" s="233">
        <v>0</v>
      </c>
    </row>
    <row r="8" spans="1:21" x14ac:dyDescent="0.3">
      <c r="A8" s="224" t="s">
        <v>68</v>
      </c>
      <c r="B8" s="183"/>
      <c r="C8" s="225">
        <f>r_a</f>
        <v>0.1</v>
      </c>
      <c r="D8" s="183"/>
      <c r="E8" s="3"/>
    </row>
    <row r="14" spans="1:21" x14ac:dyDescent="0.3">
      <c r="U14" t="s">
        <v>182</v>
      </c>
    </row>
    <row r="15" spans="1:21" x14ac:dyDescent="0.3">
      <c r="U15" t="s">
        <v>186</v>
      </c>
    </row>
    <row r="16" spans="1:21" x14ac:dyDescent="0.3">
      <c r="U16" t="s">
        <v>226</v>
      </c>
    </row>
    <row r="17" spans="21:21" x14ac:dyDescent="0.3">
      <c r="U17" t="s">
        <v>188</v>
      </c>
    </row>
    <row r="18" spans="21:21" x14ac:dyDescent="0.3">
      <c r="U18" t="s">
        <v>187</v>
      </c>
    </row>
    <row r="19" spans="21:21" x14ac:dyDescent="0.3">
      <c r="U19" t="s">
        <v>190</v>
      </c>
    </row>
    <row r="20" spans="21:21" x14ac:dyDescent="0.3">
      <c r="U20" t="s">
        <v>191</v>
      </c>
    </row>
    <row r="21" spans="21:21" x14ac:dyDescent="0.3">
      <c r="U21" t="s">
        <v>181</v>
      </c>
    </row>
    <row r="22" spans="21:21" x14ac:dyDescent="0.3">
      <c r="U22" t="s">
        <v>198</v>
      </c>
    </row>
    <row r="24" spans="21:21" x14ac:dyDescent="0.3">
      <c r="U24" s="236" t="s">
        <v>200</v>
      </c>
    </row>
    <row r="25" spans="21:21" x14ac:dyDescent="0.3">
      <c r="U25" s="236" t="s">
        <v>189</v>
      </c>
    </row>
    <row r="28" spans="21:21" x14ac:dyDescent="0.3">
      <c r="U28" t="s">
        <v>218</v>
      </c>
    </row>
  </sheetData>
  <mergeCells count="2">
    <mergeCell ref="D3:D4"/>
    <mergeCell ref="E3:E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DAB3C-727F-4BBB-AC19-FC9CDEA009B6}">
  <dimension ref="A1:V33"/>
  <sheetViews>
    <sheetView topLeftCell="C4" zoomScale="70" zoomScaleNormal="70" workbookViewId="0">
      <selection activeCell="Z10" sqref="Z10"/>
    </sheetView>
  </sheetViews>
  <sheetFormatPr defaultRowHeight="14.4" x14ac:dyDescent="0.3"/>
  <cols>
    <col min="3" max="3" width="10.44140625" bestFit="1" customWidth="1"/>
  </cols>
  <sheetData>
    <row r="1" spans="1:11" x14ac:dyDescent="0.3">
      <c r="A1" s="1"/>
      <c r="B1" s="218" t="str">
        <f>Real!B1</f>
        <v>Quantity</v>
      </c>
      <c r="C1" s="218" t="str">
        <f>Real!C1</f>
        <v>Interest rate</v>
      </c>
      <c r="D1" s="218" t="str">
        <f>Real!D1</f>
        <v>tax</v>
      </c>
      <c r="E1" s="219" t="str">
        <f>Real!E1</f>
        <v xml:space="preserve">trans. fees </v>
      </c>
      <c r="K1" t="s">
        <v>178</v>
      </c>
    </row>
    <row r="2" spans="1:11" x14ac:dyDescent="0.3">
      <c r="A2" s="220" t="str">
        <f>Real!A2</f>
        <v>Savings per year</v>
      </c>
      <c r="B2" s="221">
        <f>Real!B2</f>
        <v>6000</v>
      </c>
      <c r="E2" s="2"/>
    </row>
    <row r="3" spans="1:11" x14ac:dyDescent="0.3">
      <c r="A3" s="210" t="str">
        <f>Real!A3</f>
        <v>Stock</v>
      </c>
      <c r="B3" s="211">
        <f>Real!B3</f>
        <v>0.4</v>
      </c>
      <c r="C3" s="212">
        <f>Real!C3</f>
        <v>0.128</v>
      </c>
      <c r="D3" s="339">
        <f>Real!D3</f>
        <v>0.26</v>
      </c>
      <c r="E3" s="341">
        <f>Real!E3</f>
        <v>2E-3</v>
      </c>
    </row>
    <row r="4" spans="1:11" x14ac:dyDescent="0.3">
      <c r="A4" s="213" t="str">
        <f>Real!A4</f>
        <v>Bond (-btp)</v>
      </c>
      <c r="B4" s="214">
        <f>Real!B4</f>
        <v>0</v>
      </c>
      <c r="C4" s="215">
        <f>Real!C4</f>
        <v>0.06</v>
      </c>
      <c r="D4" s="340"/>
      <c r="E4" s="342"/>
    </row>
    <row r="5" spans="1:11" x14ac:dyDescent="0.3">
      <c r="A5" s="216" t="str">
        <f>Real!A5</f>
        <v>Btp</v>
      </c>
      <c r="B5" s="186">
        <f>Real!B5</f>
        <v>0.6</v>
      </c>
      <c r="C5" s="217">
        <f>Real!C5</f>
        <v>2E-3</v>
      </c>
      <c r="D5" s="186">
        <f>Real!D5</f>
        <v>0.125</v>
      </c>
      <c r="E5" s="343"/>
    </row>
    <row r="6" spans="1:11" x14ac:dyDescent="0.3">
      <c r="A6" s="226" t="str">
        <f>Real!A6</f>
        <v xml:space="preserve">Deposit </v>
      </c>
      <c r="B6" s="227">
        <f>Real!B6</f>
        <v>1</v>
      </c>
      <c r="C6" s="228">
        <f>Real!C6</f>
        <v>3.4000000000000002E-2</v>
      </c>
      <c r="D6" s="227">
        <f>Real!D6</f>
        <v>0.26</v>
      </c>
      <c r="E6" s="230">
        <f>Real!E6</f>
        <v>2E-3</v>
      </c>
    </row>
    <row r="7" spans="1:11" x14ac:dyDescent="0.3">
      <c r="A7" s="222" t="str">
        <f>Real!A7</f>
        <v>Inflation</v>
      </c>
      <c r="C7" s="223">
        <f>Real!C7</f>
        <v>2.5000000000000001E-2</v>
      </c>
      <c r="D7" s="234">
        <f>Real!D7</f>
        <v>0</v>
      </c>
      <c r="E7" s="233">
        <f>Real!E7</f>
        <v>0</v>
      </c>
    </row>
    <row r="8" spans="1:11" x14ac:dyDescent="0.3">
      <c r="A8" s="224" t="str">
        <f>Real!A8</f>
        <v>Pay rise</v>
      </c>
      <c r="B8" s="183"/>
      <c r="C8" s="225">
        <f>Real!C8</f>
        <v>0.1</v>
      </c>
      <c r="D8" s="183"/>
      <c r="E8" s="3"/>
    </row>
    <row r="18" spans="22:22" x14ac:dyDescent="0.3">
      <c r="V18" t="s">
        <v>179</v>
      </c>
    </row>
    <row r="19" spans="22:22" x14ac:dyDescent="0.3">
      <c r="V19" t="s">
        <v>180</v>
      </c>
    </row>
    <row r="20" spans="22:22" x14ac:dyDescent="0.3">
      <c r="V20" t="s">
        <v>181</v>
      </c>
    </row>
    <row r="21" spans="22:22" x14ac:dyDescent="0.3">
      <c r="V21" t="s">
        <v>183</v>
      </c>
    </row>
    <row r="22" spans="22:22" x14ac:dyDescent="0.3">
      <c r="V22" t="s">
        <v>202</v>
      </c>
    </row>
    <row r="23" spans="22:22" x14ac:dyDescent="0.3">
      <c r="V23" t="s">
        <v>184</v>
      </c>
    </row>
    <row r="24" spans="22:22" x14ac:dyDescent="0.3">
      <c r="V24" t="s">
        <v>188</v>
      </c>
    </row>
    <row r="25" spans="22:22" x14ac:dyDescent="0.3">
      <c r="V25" t="s">
        <v>185</v>
      </c>
    </row>
    <row r="26" spans="22:22" x14ac:dyDescent="0.3">
      <c r="V26" t="s">
        <v>207</v>
      </c>
    </row>
    <row r="27" spans="22:22" x14ac:dyDescent="0.3">
      <c r="V27" t="s">
        <v>203</v>
      </c>
    </row>
    <row r="28" spans="22:22" x14ac:dyDescent="0.3">
      <c r="V28" t="s">
        <v>201</v>
      </c>
    </row>
    <row r="29" spans="22:22" x14ac:dyDescent="0.3">
      <c r="V29" t="s">
        <v>204</v>
      </c>
    </row>
    <row r="32" spans="22:22" x14ac:dyDescent="0.3">
      <c r="V32" t="s">
        <v>218</v>
      </c>
    </row>
    <row r="33" spans="22:22" x14ac:dyDescent="0.3">
      <c r="V33" t="s">
        <v>219</v>
      </c>
    </row>
  </sheetData>
  <mergeCells count="2">
    <mergeCell ref="D3:D4"/>
    <mergeCell ref="E3:E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7AF7-88DD-4571-8976-E40489134666}">
  <dimension ref="A1:V38"/>
  <sheetViews>
    <sheetView topLeftCell="H9" zoomScale="92" zoomScaleNormal="85" workbookViewId="0">
      <selection activeCell="AA12" sqref="AA12"/>
    </sheetView>
  </sheetViews>
  <sheetFormatPr defaultRowHeight="14.4" x14ac:dyDescent="0.3"/>
  <cols>
    <col min="1" max="1" width="14.21875" bestFit="1" customWidth="1"/>
    <col min="3" max="3" width="10.44140625" bestFit="1" customWidth="1"/>
  </cols>
  <sheetData>
    <row r="1" spans="1:5" x14ac:dyDescent="0.3">
      <c r="A1" s="1"/>
      <c r="B1" s="218" t="str">
        <f>Real!B1</f>
        <v>Quantity</v>
      </c>
      <c r="C1" s="218" t="str">
        <f>Real!C1</f>
        <v>Interest rate</v>
      </c>
      <c r="D1" s="218" t="str">
        <f>Real!D1</f>
        <v>tax</v>
      </c>
      <c r="E1" s="219" t="str">
        <f>Real!E1</f>
        <v xml:space="preserve">trans. fees </v>
      </c>
    </row>
    <row r="2" spans="1:5" x14ac:dyDescent="0.3">
      <c r="A2" s="220" t="str">
        <f>Real!A2</f>
        <v>Savings per year</v>
      </c>
      <c r="B2" s="221">
        <f>Real!B2</f>
        <v>6000</v>
      </c>
      <c r="E2" s="2"/>
    </row>
    <row r="3" spans="1:5" x14ac:dyDescent="0.3">
      <c r="A3" s="210" t="str">
        <f>Real!A3</f>
        <v>Stock</v>
      </c>
      <c r="B3" s="211">
        <f>Real!B3</f>
        <v>0.4</v>
      </c>
      <c r="C3" s="212">
        <f>Real!C3</f>
        <v>0.128</v>
      </c>
      <c r="D3" s="339">
        <f>Real!D3</f>
        <v>0.26</v>
      </c>
      <c r="E3" s="341">
        <f>Real!E3</f>
        <v>2E-3</v>
      </c>
    </row>
    <row r="4" spans="1:5" x14ac:dyDescent="0.3">
      <c r="A4" s="213" t="str">
        <f>Real!A4</f>
        <v>Bond (-btp)</v>
      </c>
      <c r="B4" s="214">
        <f>Real!B4</f>
        <v>0</v>
      </c>
      <c r="C4" s="215">
        <f>Real!C4</f>
        <v>0.06</v>
      </c>
      <c r="D4" s="340"/>
      <c r="E4" s="342"/>
    </row>
    <row r="5" spans="1:5" x14ac:dyDescent="0.3">
      <c r="A5" s="216" t="str">
        <f>Real!A5</f>
        <v>Btp</v>
      </c>
      <c r="B5" s="186">
        <f>Real!B5</f>
        <v>0.6</v>
      </c>
      <c r="C5" s="217">
        <f>Real!C5</f>
        <v>2E-3</v>
      </c>
      <c r="D5" s="186">
        <f>Real!D5</f>
        <v>0.125</v>
      </c>
      <c r="E5" s="343"/>
    </row>
    <row r="6" spans="1:5" x14ac:dyDescent="0.3">
      <c r="A6" s="226" t="str">
        <f>Real!A6</f>
        <v xml:space="preserve">Deposit </v>
      </c>
      <c r="B6" s="227">
        <f>Real!B6</f>
        <v>1</v>
      </c>
      <c r="C6" s="228">
        <f>Real!C6</f>
        <v>3.4000000000000002E-2</v>
      </c>
      <c r="D6" s="227">
        <f>Real!D6</f>
        <v>0.26</v>
      </c>
      <c r="E6" s="230">
        <f>Real!E6</f>
        <v>2E-3</v>
      </c>
    </row>
    <row r="7" spans="1:5" x14ac:dyDescent="0.3">
      <c r="A7" s="222" t="str">
        <f>Real!A7</f>
        <v>Inflation</v>
      </c>
      <c r="C7" s="223">
        <f>Real!C7</f>
        <v>2.5000000000000001E-2</v>
      </c>
      <c r="D7" s="234">
        <f>Real!D7</f>
        <v>0</v>
      </c>
      <c r="E7" s="233">
        <f>Real!E7</f>
        <v>0</v>
      </c>
    </row>
    <row r="8" spans="1:5" x14ac:dyDescent="0.3">
      <c r="A8" s="224" t="str">
        <f>Real!A8</f>
        <v>Pay rise</v>
      </c>
      <c r="B8" s="183"/>
      <c r="C8" s="225">
        <f>Real!C8</f>
        <v>0.1</v>
      </c>
      <c r="D8" s="183"/>
      <c r="E8" s="3"/>
    </row>
    <row r="9" spans="1:5" x14ac:dyDescent="0.3">
      <c r="A9" s="205"/>
      <c r="C9" s="206"/>
    </row>
    <row r="21" spans="22:22" x14ac:dyDescent="0.3">
      <c r="V21" t="s">
        <v>182</v>
      </c>
    </row>
    <row r="22" spans="22:22" x14ac:dyDescent="0.3">
      <c r="V22" t="s">
        <v>192</v>
      </c>
    </row>
    <row r="23" spans="22:22" x14ac:dyDescent="0.3">
      <c r="V23" t="s">
        <v>193</v>
      </c>
    </row>
    <row r="24" spans="22:22" x14ac:dyDescent="0.3">
      <c r="V24" t="s">
        <v>194</v>
      </c>
    </row>
    <row r="25" spans="22:22" x14ac:dyDescent="0.3">
      <c r="V25" t="s">
        <v>179</v>
      </c>
    </row>
    <row r="26" spans="22:22" x14ac:dyDescent="0.3">
      <c r="V26" t="s">
        <v>195</v>
      </c>
    </row>
    <row r="27" spans="22:22" x14ac:dyDescent="0.3">
      <c r="V27" t="s">
        <v>196</v>
      </c>
    </row>
    <row r="28" spans="22:22" x14ac:dyDescent="0.3">
      <c r="V28" t="s">
        <v>197</v>
      </c>
    </row>
    <row r="29" spans="22:22" x14ac:dyDescent="0.3">
      <c r="V29" t="s">
        <v>212</v>
      </c>
    </row>
    <row r="30" spans="22:22" x14ac:dyDescent="0.3">
      <c r="V30" t="s">
        <v>213</v>
      </c>
    </row>
    <row r="33" spans="22:22" x14ac:dyDescent="0.3">
      <c r="V33" t="s">
        <v>216</v>
      </c>
    </row>
    <row r="34" spans="22:22" x14ac:dyDescent="0.3">
      <c r="V34" t="s">
        <v>217</v>
      </c>
    </row>
    <row r="35" spans="22:22" x14ac:dyDescent="0.3">
      <c r="V35" t="s">
        <v>222</v>
      </c>
    </row>
    <row r="36" spans="22:22" x14ac:dyDescent="0.3">
      <c r="V36" t="s">
        <v>223</v>
      </c>
    </row>
    <row r="37" spans="22:22" x14ac:dyDescent="0.3">
      <c r="V37" t="s">
        <v>224</v>
      </c>
    </row>
    <row r="38" spans="22:22" x14ac:dyDescent="0.3">
      <c r="V38" t="s">
        <v>225</v>
      </c>
    </row>
  </sheetData>
  <mergeCells count="2">
    <mergeCell ref="D3:D4"/>
    <mergeCell ref="E3:E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9CE0-E504-4D39-8F36-C9AE42E9ADB1}">
  <sheetPr codeName="Sheet3"/>
  <dimension ref="B1:DD108"/>
  <sheetViews>
    <sheetView topLeftCell="E2" zoomScale="70" zoomScaleNormal="70" workbookViewId="0">
      <selection activeCell="H3" sqref="H3"/>
    </sheetView>
  </sheetViews>
  <sheetFormatPr defaultRowHeight="14.4" x14ac:dyDescent="0.3"/>
  <cols>
    <col min="2" max="2" width="10.77734375" customWidth="1"/>
    <col min="3" max="3" width="9.77734375" customWidth="1"/>
    <col min="4" max="4" width="19.21875" bestFit="1" customWidth="1"/>
    <col min="5" max="5" width="20.88671875" bestFit="1" customWidth="1"/>
    <col min="6" max="6" width="26.44140625" bestFit="1" customWidth="1"/>
    <col min="7" max="7" width="22.44140625" bestFit="1" customWidth="1"/>
    <col min="8" max="8" width="22.44140625" customWidth="1"/>
    <col min="9" max="9" width="12.5546875" customWidth="1"/>
    <col min="10" max="10" width="18.77734375" bestFit="1" customWidth="1"/>
    <col min="11" max="11" width="22.21875" bestFit="1" customWidth="1"/>
    <col min="12" max="12" width="15.44140625" bestFit="1" customWidth="1"/>
    <col min="13" max="13" width="13.5546875" bestFit="1" customWidth="1"/>
    <col min="14" max="14" width="21.21875" bestFit="1" customWidth="1"/>
    <col min="15" max="15" width="20.5546875" bestFit="1" customWidth="1"/>
    <col min="16" max="16" width="8.77734375" customWidth="1"/>
    <col min="20" max="24" width="9.77734375" customWidth="1"/>
    <col min="25" max="25" width="15.44140625" bestFit="1" customWidth="1"/>
    <col min="26" max="26" width="11.88671875" bestFit="1" customWidth="1"/>
    <col min="27" max="27" width="11.88671875" style="239" customWidth="1"/>
    <col min="28" max="29" width="8.88671875" style="238"/>
    <col min="30" max="30" width="16.109375" style="239" customWidth="1"/>
    <col min="31" max="31" width="34.44140625" customWidth="1"/>
    <col min="45" max="45" width="10.33203125" customWidth="1"/>
    <col min="46" max="46" width="6.21875" customWidth="1"/>
    <col min="48" max="48" width="13.5546875" bestFit="1" customWidth="1"/>
    <col min="49" max="49" width="13.5546875" style="111" customWidth="1"/>
    <col min="50" max="50" width="12.5546875" customWidth="1"/>
    <col min="51" max="51" width="12.88671875" style="5" bestFit="1" customWidth="1"/>
    <col min="52" max="52" width="18.109375" style="111" bestFit="1" customWidth="1"/>
    <col min="53" max="53" width="18.109375" style="111" customWidth="1"/>
    <col min="54" max="54" width="12.88671875" bestFit="1" customWidth="1"/>
    <col min="55" max="55" width="13.88671875" bestFit="1" customWidth="1"/>
    <col min="56" max="56" width="13.88671875" customWidth="1"/>
    <col min="57" max="58" width="13.88671875" style="199" customWidth="1"/>
    <col min="59" max="59" width="12.88671875" bestFit="1" customWidth="1"/>
    <col min="60" max="60" width="12.88671875" customWidth="1"/>
    <col min="61" max="61" width="13.88671875" bestFit="1" customWidth="1"/>
    <col min="62" max="62" width="10.44140625" customWidth="1"/>
    <col min="63" max="63" width="19.109375" bestFit="1" customWidth="1"/>
    <col min="64" max="64" width="18.109375" bestFit="1" customWidth="1"/>
    <col min="65" max="65" width="15.44140625" bestFit="1" customWidth="1"/>
    <col min="66" max="66" width="14.77734375" bestFit="1" customWidth="1"/>
    <col min="67" max="67" width="16.44140625" bestFit="1" customWidth="1"/>
    <col min="68" max="73" width="11.109375" customWidth="1"/>
    <col min="74" max="74" width="10.44140625" bestFit="1" customWidth="1"/>
    <col min="75" max="75" width="10.44140625" customWidth="1"/>
    <col min="76" max="76" width="16.109375" bestFit="1" customWidth="1"/>
    <col min="77" max="77" width="13.88671875" bestFit="1" customWidth="1"/>
    <col min="78" max="78" width="14.5546875" bestFit="1" customWidth="1"/>
    <col min="79" max="79" width="21.5546875" bestFit="1" customWidth="1"/>
    <col min="80" max="80" width="9.109375" style="4"/>
    <col min="103" max="103" width="10.44140625" bestFit="1" customWidth="1"/>
    <col min="104" max="104" width="21.5546875" bestFit="1" customWidth="1"/>
    <col min="105" max="106" width="15.109375" customWidth="1"/>
    <col min="107" max="107" width="11.44140625" bestFit="1" customWidth="1"/>
    <col min="108" max="108" width="14.77734375" bestFit="1" customWidth="1"/>
  </cols>
  <sheetData>
    <row r="1" spans="2:108" x14ac:dyDescent="0.3">
      <c r="AY1" s="345" t="s">
        <v>103</v>
      </c>
      <c r="AZ1" s="345"/>
      <c r="BA1" s="345"/>
      <c r="BB1" s="345"/>
      <c r="BC1" s="346" t="s">
        <v>96</v>
      </c>
      <c r="BD1" s="346"/>
      <c r="BE1" s="346"/>
      <c r="BF1" s="346"/>
      <c r="BG1" s="346"/>
      <c r="BH1" s="346"/>
      <c r="BI1" s="346"/>
      <c r="BJ1" s="346"/>
      <c r="BK1" s="346"/>
      <c r="BL1" s="125"/>
      <c r="BM1" s="118" t="s">
        <v>97</v>
      </c>
      <c r="BN1" s="127"/>
      <c r="BO1" s="127"/>
      <c r="BP1" s="149"/>
      <c r="BQ1" s="149"/>
      <c r="BR1" s="149"/>
      <c r="BS1" s="149"/>
      <c r="BT1" s="149"/>
      <c r="BU1" s="149"/>
      <c r="BV1" s="347" t="s">
        <v>6</v>
      </c>
      <c r="BW1" s="347"/>
      <c r="BX1" s="345" t="s">
        <v>98</v>
      </c>
      <c r="BY1" s="345"/>
      <c r="CB1" s="344" t="s">
        <v>129</v>
      </c>
      <c r="CC1" s="344"/>
      <c r="CD1" s="344"/>
      <c r="CE1" s="344"/>
      <c r="CF1" s="344"/>
      <c r="CG1" s="344"/>
    </row>
    <row r="2" spans="2:108" ht="14.4" customHeight="1" x14ac:dyDescent="0.3">
      <c r="B2" t="s">
        <v>173</v>
      </c>
      <c r="C2" t="s">
        <v>85</v>
      </c>
      <c r="D2" t="s">
        <v>158</v>
      </c>
      <c r="E2" t="s">
        <v>160</v>
      </c>
      <c r="F2" t="s">
        <v>159</v>
      </c>
      <c r="G2" t="s">
        <v>135</v>
      </c>
      <c r="H2" t="s">
        <v>214</v>
      </c>
      <c r="I2" t="s">
        <v>156</v>
      </c>
      <c r="J2" t="s">
        <v>137</v>
      </c>
      <c r="K2" t="s">
        <v>138</v>
      </c>
      <c r="L2" t="s">
        <v>115</v>
      </c>
      <c r="M2" t="s">
        <v>106</v>
      </c>
      <c r="N2" t="s">
        <v>122</v>
      </c>
      <c r="O2" t="s">
        <v>123</v>
      </c>
      <c r="P2" s="146" t="s">
        <v>139</v>
      </c>
      <c r="Q2" t="s">
        <v>131</v>
      </c>
      <c r="R2" t="s">
        <v>215</v>
      </c>
      <c r="S2" s="148" t="s">
        <v>132</v>
      </c>
      <c r="T2" s="148" t="s">
        <v>205</v>
      </c>
      <c r="U2" s="207" t="s">
        <v>199</v>
      </c>
      <c r="V2" s="207" t="s">
        <v>1</v>
      </c>
      <c r="W2" s="237" t="s">
        <v>206</v>
      </c>
      <c r="X2" t="s">
        <v>157</v>
      </c>
      <c r="Y2" t="s">
        <v>155</v>
      </c>
      <c r="Z2" s="63" t="s">
        <v>165</v>
      </c>
      <c r="AA2" s="243" t="s">
        <v>210</v>
      </c>
      <c r="AB2" s="238" t="s">
        <v>209</v>
      </c>
      <c r="AC2" s="238" t="s">
        <v>208</v>
      </c>
      <c r="AD2" s="240" t="s">
        <v>211</v>
      </c>
      <c r="AU2" t="s">
        <v>86</v>
      </c>
      <c r="AV2" t="s">
        <v>87</v>
      </c>
      <c r="AW2" s="111" t="s">
        <v>91</v>
      </c>
      <c r="AX2" t="s">
        <v>88</v>
      </c>
      <c r="AY2" s="5" t="s">
        <v>89</v>
      </c>
      <c r="AZ2" s="111" t="s">
        <v>92</v>
      </c>
      <c r="BA2" t="s">
        <v>90</v>
      </c>
      <c r="BB2" s="121" t="s">
        <v>104</v>
      </c>
      <c r="BC2" s="115" t="s">
        <v>93</v>
      </c>
      <c r="BD2" s="115"/>
      <c r="BE2" s="198" t="s">
        <v>44</v>
      </c>
      <c r="BF2" s="198" t="s">
        <v>44</v>
      </c>
      <c r="BG2" s="116" t="s">
        <v>94</v>
      </c>
      <c r="BH2" s="116"/>
      <c r="BI2" s="117" t="s">
        <v>95</v>
      </c>
      <c r="BJ2" s="117"/>
      <c r="BK2" s="119" t="s">
        <v>140</v>
      </c>
      <c r="BL2" s="126" t="s">
        <v>125</v>
      </c>
      <c r="BM2" s="120" t="s">
        <v>141</v>
      </c>
      <c r="BN2" s="128" t="s">
        <v>126</v>
      </c>
      <c r="BO2" s="128" t="s">
        <v>127</v>
      </c>
      <c r="BP2" s="150" t="s">
        <v>109</v>
      </c>
      <c r="BQ2" s="150" t="s">
        <v>128</v>
      </c>
      <c r="BR2" s="150" t="s">
        <v>44</v>
      </c>
      <c r="BS2" s="150" t="s">
        <v>44</v>
      </c>
      <c r="BT2" s="150" t="s">
        <v>44</v>
      </c>
      <c r="BU2" s="150"/>
      <c r="BV2" s="63" t="s">
        <v>99</v>
      </c>
      <c r="BW2" s="63" t="s">
        <v>100</v>
      </c>
      <c r="BX2" s="63" t="s">
        <v>142</v>
      </c>
      <c r="BY2" s="63" t="s">
        <v>143</v>
      </c>
      <c r="BZ2" s="63" t="s">
        <v>101</v>
      </c>
      <c r="CA2" s="63" t="s">
        <v>44</v>
      </c>
      <c r="CB2" s="68" t="s">
        <v>130</v>
      </c>
      <c r="CY2" s="209" t="s">
        <v>162</v>
      </c>
      <c r="CZ2" t="s">
        <v>161</v>
      </c>
      <c r="DA2" t="s">
        <v>163</v>
      </c>
      <c r="DB2" t="s">
        <v>164</v>
      </c>
      <c r="DC2" t="s">
        <v>154</v>
      </c>
      <c r="DD2" t="s">
        <v>165</v>
      </c>
    </row>
    <row r="3" spans="2:108" s="63" customFormat="1" x14ac:dyDescent="0.3">
      <c r="B3">
        <v>5</v>
      </c>
      <c r="C3">
        <v>1</v>
      </c>
      <c r="D3" s="63">
        <f>$AV3</f>
        <v>6000</v>
      </c>
      <c r="E3" s="63">
        <f>$AY3*(1/(1+r_i)^($AU3-1))</f>
        <v>6000</v>
      </c>
      <c r="F3" s="63">
        <f>SUM($AX3:$AX$3)</f>
        <v>6000</v>
      </c>
      <c r="G3" s="63">
        <f t="shared" ref="G3:G34" si="0">SUM($BC3)+SUM($BG3)+SUM($BI3)</f>
        <v>6000</v>
      </c>
      <c r="H3" s="63">
        <f t="shared" ref="H3:H34" si="1">((G3-L3)) - ( (G3-L3)*(1/(1+r_i)^(AU3-1)))</f>
        <v>0</v>
      </c>
      <c r="I3" s="63">
        <f>( Table28[[#This Row],[Future value (Nominal)]]-Table28[[#This Row],[Tax (Nominal)]] ) -K3</f>
        <v>0</v>
      </c>
      <c r="J3" s="63">
        <f>$BK3*(1/(1+r_i)^($AU3-1))</f>
        <v>6000</v>
      </c>
      <c r="K3" s="63">
        <f t="shared" ref="K3:K52" si="2">$BX3*(1/(1+r_i)^($AU3-1))</f>
        <v>6000</v>
      </c>
      <c r="L3" s="63">
        <f>$BD3*r_tax + $BH3*r_tax + $BJ3*r_tax_btp</f>
        <v>0</v>
      </c>
      <c r="M3" s="63">
        <f t="shared" ref="M3:M52" si="3">$BV3*(1/(1+r_i)^($AU3-1))</f>
        <v>0</v>
      </c>
      <c r="N3" s="63">
        <f>$BD3+$BH3+$BJ3</f>
        <v>0</v>
      </c>
      <c r="O3" s="63">
        <f t="shared" ref="O3:O34" si="4">($BL3-$BV3)*(1/(1+r_i)^($AU3-1))</f>
        <v>0</v>
      </c>
      <c r="P3" s="147">
        <f>BO3/(BM3+0.0001)</f>
        <v>0</v>
      </c>
      <c r="Q3" s="145">
        <f>BO3/(BB3+0.000001)</f>
        <v>0</v>
      </c>
      <c r="R3" s="145">
        <f>Table28[[#This Row],[Net Capital gain(Real)]]/Table28[[#This Row],[Savings (Real, adj. per year)]]</f>
        <v>0</v>
      </c>
      <c r="S3" s="63">
        <f t="shared" ref="S3:S34" si="5">IF(AND($CC3&gt;$CC2,$CC2=0),$CC3,IF(AND($CD3&gt;$CD2,$CD2=0),$CD3,IF(AND($CE3&gt;$CE2,$CE2=0),$CE3,IF(AND($CF3&gt;$CF2,$CF2=0),$CF3,IF(AND($CG3&gt;$CG2,$CG2=0),$CG3,IF(AND($CH3&gt;$CH2,$CH2=0),$CH3,IF(AND($CI3&gt;$CI2,$CI2=0),$CI3,IF(AND($CJ3&gt;$CJ2,$CJ2=0),$CJ3,IF(AND($CK3&gt;$CK2,$CK2=0),$CK3,IF(AND($CL3&gt;$CL2,$CL2=0),$CL3,IF(AND($CM3&gt;$CM2,$CM2=0),$CM3,IF(AND($CN3&gt;$CN2,$CN2=0),$CN3,IF(AND($CO3&gt;$CO2,$CO2=0),$CO3,IF(AND($CP3&gt;$CP2,$CP2=0),$CP3,IF(AND($CQ3&gt;$CQ2,$CQ2=0),$CQ3,IF(AND($CR3&gt;$CR2,$CR2=0),$CR3,IF(AND($CS3&gt;$CS2,$CS2=0),$CS3,IF(AND($CT3&gt;$CT2,$CT2=0),$CT3,IF(AND($CU3&gt;$CU2,$CU2=0),$CU3,IF(AND($CV3&gt;$CV2,$CV2=0),$CV3,-1000))))))))))))))))))))</f>
        <v>-1000</v>
      </c>
      <c r="T3" s="145">
        <f>IF(Table28[[#This Row],[+10% Net Gain/Savings (real, adj.)'']]&gt;0,Table28[[#This Row],[Real Capital gain/Savings (adj. per year)]],-0.000001)</f>
        <v>-9.9999999999999995E-7</v>
      </c>
      <c r="U3" s="208">
        <f>((Table28[[#This Row],[Net Present value (real)]]-Table28[[#This Row],[Savings* (real, full inflation* max year)]])) /Table28[[#This Row],[Savings* (real, full inflation* max year)]]</f>
        <v>0</v>
      </c>
      <c r="V3" s="208">
        <f>Table28[[#This Row],[Real Capital gain/Savings* (all inflation)]]</f>
        <v>0</v>
      </c>
      <c r="W3" s="235">
        <f>IF(Table28[[#This Row],[Column1]]&gt;0,Table28[[#This Row],[Net Capital gain(Real)]],-1000)</f>
        <v>-1000</v>
      </c>
      <c r="X3" s="63">
        <f>Table28[[#This Row],[Net Present value (real)]]-Table28[[#This Row],[Net Capital gain(Real)]]-Table28[[#This Row],[Savings* (real, full inflation* max year)]]</f>
        <v>0</v>
      </c>
      <c r="Y3" s="63">
        <f>($AV3)</f>
        <v>6000</v>
      </c>
      <c r="Z3" s="63">
        <f>$DC3-$DB3</f>
        <v>6000</v>
      </c>
      <c r="AA3" s="243">
        <f>((Table28[[#This Row],[Net Present value (real)]]-Table28[[#This Row],[Net deposit (real)]]))</f>
        <v>0</v>
      </c>
      <c r="AB3" s="241">
        <f>((Table28[[#This Row],[Net gain on deposit]] / Table28[[#This Row],[Net deposit (real)]]))</f>
        <v>0</v>
      </c>
      <c r="AC3" s="241">
        <f>Table28[[#This Row],[Net gain on deposit/Deposit]]</f>
        <v>0</v>
      </c>
      <c r="AD3" s="242">
        <f>IF(Table28[[#This Row],[Column13]]&gt;0,Table28[[#This Row],[Net gain on deposit]],-1000)</f>
        <v>-1000</v>
      </c>
      <c r="AE3"/>
      <c r="AF3"/>
      <c r="AG3"/>
      <c r="AH3"/>
      <c r="AI3"/>
      <c r="AJ3"/>
      <c r="AK3"/>
      <c r="AL3"/>
      <c r="AM3"/>
      <c r="AN3"/>
      <c r="AO3"/>
      <c r="AP3"/>
      <c r="AQ3"/>
      <c r="AR3"/>
      <c r="AS3"/>
      <c r="AT3"/>
      <c r="AU3">
        <v>1</v>
      </c>
      <c r="AV3" s="63">
        <f t="shared" ref="AV3:AV34" si="6">Capital*(1+r_a)^($AU3-1)</f>
        <v>6000</v>
      </c>
      <c r="AW3" s="112">
        <f>$AV3</f>
        <v>6000</v>
      </c>
      <c r="AX3" s="63">
        <f>$AV3*(1/(1+r_i)^($AU3-1))</f>
        <v>6000</v>
      </c>
      <c r="AY3" s="194">
        <f>$AV3</f>
        <v>6000</v>
      </c>
      <c r="AZ3" s="112">
        <f>SUM($AV$3:$AV3)</f>
        <v>6000</v>
      </c>
      <c r="BA3" s="63">
        <f>$AY3*(1/(1+r_i)^($AU3-1))</f>
        <v>6000</v>
      </c>
      <c r="BB3" s="63">
        <f>SUM($AX3:$AX$3)</f>
        <v>6000</v>
      </c>
      <c r="BC3" s="63">
        <f>($AV3*q_s)</f>
        <v>2400</v>
      </c>
      <c r="BD3" s="114">
        <f t="shared" ref="BD3:BD34" si="7">$BC3-($AY3*q_s)</f>
        <v>0</v>
      </c>
      <c r="BE3" s="72">
        <f>BC3-BD3</f>
        <v>2400</v>
      </c>
      <c r="BF3" s="72">
        <f t="shared" ref="BF3:BF34" si="8">BC3 - BD3-(AY3*q_s)</f>
        <v>0</v>
      </c>
      <c r="BG3" s="63">
        <f>($AV3*q_b*(1-q_b_BTP))</f>
        <v>0</v>
      </c>
      <c r="BH3" s="114">
        <f t="shared" ref="BH3:BH34" si="9">$BG3-($AY3*q_b*(1-q_b_BTP))</f>
        <v>0</v>
      </c>
      <c r="BI3" s="63">
        <f>($AV3*q_b*q_b_BTP)</f>
        <v>3600</v>
      </c>
      <c r="BJ3" s="114">
        <f t="shared" ref="BJ3:BJ34" si="10">$BI3-($AY3*q_b*q_b_BTP)</f>
        <v>0</v>
      </c>
      <c r="BK3" s="119">
        <f t="shared" ref="BK3:BK52" si="11">SUM($BC3)+SUM($BG3)+SUM($BI3)</f>
        <v>6000</v>
      </c>
      <c r="BL3" s="126">
        <f>$BD3+$BH3+$BJ3</f>
        <v>0</v>
      </c>
      <c r="BM3" s="120">
        <f t="shared" ref="BM3:BM34" si="12">$BK3*(1/(1+r_i)^($AU3-1))</f>
        <v>6000</v>
      </c>
      <c r="BN3" s="113">
        <f t="shared" ref="BN3:BN34" si="13">$BL3*(1/(1+r_i)^($AU3-1))</f>
        <v>0</v>
      </c>
      <c r="BO3" s="63">
        <f t="shared" ref="BO3:BO34" si="14">($BL3-$BV3)*(1/(1+r_i)^($AU3-1))</f>
        <v>0</v>
      </c>
      <c r="BP3" s="63">
        <f>BM3-(BA3+BO3)</f>
        <v>0</v>
      </c>
      <c r="BQ3" s="63">
        <f t="shared" ref="BQ3:BQ34" si="15">(BO3+BW3)*((1+r_i)^((AU3-1)))+AY3 -BK3</f>
        <v>0</v>
      </c>
      <c r="BR3" s="63">
        <f t="shared" ref="BR3:BR34" si="16">BM3*((1+r_i)^($AU3-1))-BK3</f>
        <v>0</v>
      </c>
      <c r="BS3" s="63">
        <f>BK3-BL3-AY3</f>
        <v>0</v>
      </c>
      <c r="BT3" s="63">
        <f t="shared" ref="BT3:BT34" si="17">(BM3-BN3)*((1+r_i)^($AU3-1)) -AY3</f>
        <v>0</v>
      </c>
      <c r="BV3" s="63">
        <f>$BD3*r_tax + $BH3*r_tax + $BJ3*r_tax_btp</f>
        <v>0</v>
      </c>
      <c r="BW3" s="63">
        <f t="shared" ref="BW3:BW34" si="18">$BV3*(1/(1+r_i)^($AU3-1))</f>
        <v>0</v>
      </c>
      <c r="BX3" s="113">
        <f t="shared" ref="BX3:BX34" si="19">$BK3-$BV3</f>
        <v>6000</v>
      </c>
      <c r="BY3" s="63">
        <f t="shared" ref="BY3:BY34" si="20">$BX3*(1/(1+r_i)^($AU3-1))</f>
        <v>6000</v>
      </c>
      <c r="BZ3" s="63">
        <f>$BM3-$BW3</f>
        <v>6000</v>
      </c>
      <c r="CA3" s="63">
        <f t="shared" ref="CA3:CA34" si="21">BL3+AY3-BK3</f>
        <v>0</v>
      </c>
      <c r="CB3" s="204">
        <f>BO3/(BB3+0.000001)</f>
        <v>0</v>
      </c>
      <c r="CC3" s="63">
        <f>IF(CB3&gt;0.1,$BO3,0)</f>
        <v>0</v>
      </c>
      <c r="CD3" s="63">
        <f>IF(CB3&gt;0.2,$BO3,0)</f>
        <v>0</v>
      </c>
      <c r="CE3" s="63">
        <f>IF(CB3&gt;0.3,$BO3,0)</f>
        <v>0</v>
      </c>
      <c r="CF3" s="63">
        <f>IF(CB3&gt;0.4,$BO3,0)</f>
        <v>0</v>
      </c>
      <c r="CG3" s="63">
        <f>IF(CB3&gt;0.5,$BO3,0)</f>
        <v>0</v>
      </c>
      <c r="CH3" s="63">
        <f>IF(CB3&gt;0.6,$BO3,0)</f>
        <v>0</v>
      </c>
      <c r="CI3" s="63">
        <f>IF(CB3&gt;0.7,$BO3,0)</f>
        <v>0</v>
      </c>
      <c r="CJ3" s="63">
        <f>IF(CB3&gt;0.8,$BO3,0)</f>
        <v>0</v>
      </c>
      <c r="CK3" s="63">
        <f>IF($CB3&gt;0.9,$BO3,0)</f>
        <v>0</v>
      </c>
      <c r="CL3" s="63">
        <f>IF($CB3&gt;1,$BO3,0)</f>
        <v>0</v>
      </c>
      <c r="CM3" s="63">
        <f>IF($CB3&gt;1.2,$BO3,0)</f>
        <v>0</v>
      </c>
      <c r="CN3" s="63">
        <f>IF($CB3&gt;1.4,$BO3,0)</f>
        <v>0</v>
      </c>
      <c r="CO3" s="63">
        <f>IF($CB3&gt;1.6,$BO3,0)</f>
        <v>0</v>
      </c>
      <c r="CP3" s="63">
        <f>IF($CB3&gt;1.8,$BO3,0)</f>
        <v>0</v>
      </c>
      <c r="CQ3" s="63">
        <f>IF($CB3&gt;2,$BO3,0)</f>
        <v>0</v>
      </c>
      <c r="CR3" s="63">
        <f>IF($CB3&gt;2.5,$BO3,0)</f>
        <v>0</v>
      </c>
      <c r="CS3" s="63">
        <f>IF($CB3&gt;3,$BO3,0)</f>
        <v>0</v>
      </c>
      <c r="CT3" s="63">
        <f>IF($CB3&gt;3.5,$BO3,0)</f>
        <v>0</v>
      </c>
      <c r="CU3" s="63">
        <f>IF($CB3&gt;4,$BO3,0)</f>
        <v>0</v>
      </c>
      <c r="CV3" s="63">
        <f>IF($CB3&gt;4.5,$BO3,0)</f>
        <v>0</v>
      </c>
      <c r="CW3" s="63">
        <f>IF(AND($CC3&gt;$CC2,$CC2=0),$CC3,IF(AND($CD3&gt;$CD2,$CD2=0),$CD3,IF(AND($CE3&gt;$CE2,$CE2=0),$CE3,IF(AND($CF3&gt;$CF2,$CF2=0),$CF3,IF(AND($CG3&gt;$CG2,$CG2=0),$CG3,IF(AND($CH3&gt;$CH2,$CH2=0),$CH3,IF(AND($CI3&gt;$CI2,$CI2=0),$CI3,IF(AND($CJ3&gt;$CJ2,$CJ2=0),$CJ3,IF(AND($CK3&gt;$CK2,$CK2=0),$CK3,IF(AND($CL3&gt;$CL2,$CL2=0),$CL3,IF(AND($CM3&gt;$CM2,$CM2=0),$CM3,IF(AND($CN3&gt;$CN2,$CN2=0),$CN3,IF(AND($CO3&gt;$CO2,$CO2=0),$CO3,IF(AND($CP3&gt;$CP2,$CP2=0),$CP3,IF(AND($CQ3&gt;$CQ2,$CQ2=0),$CQ3,IF(AND($CR3&gt;$CR2,$CR2=0),$CR3,IF(AND($CS3&gt;$CS2,$CS2=0),$CS3,IF(AND($CT3&gt;$CT2,$CT2=0),$CT3,IF(AND($CU3&gt;$CU2,$CU2=0),$CU3,IF(AND($CV3&gt;$CV2,$CV2=0),$CV3,-1000))))))))))))))))))))</f>
        <v>-1000</v>
      </c>
      <c r="CY3" s="63">
        <f>($AV3)</f>
        <v>6000</v>
      </c>
      <c r="CZ3" s="63">
        <f>$CY3-$AY3</f>
        <v>0</v>
      </c>
      <c r="DA3" s="63">
        <f>$CZ3*r_tax</f>
        <v>0</v>
      </c>
      <c r="DB3" s="63">
        <f>$DA3*(1/(1+r_i)^($AU3-1))</f>
        <v>0</v>
      </c>
      <c r="DC3" s="63">
        <f t="shared" ref="DC3:DC34" si="22">$CY3*(1/(1+r_i)^($AU3-1))</f>
        <v>6000</v>
      </c>
      <c r="DD3" s="63">
        <f>$DC3-$DB3</f>
        <v>6000</v>
      </c>
    </row>
    <row r="4" spans="2:108" s="63" customFormat="1" ht="14.4" customHeight="1" x14ac:dyDescent="0.3">
      <c r="B4">
        <v>5</v>
      </c>
      <c r="C4">
        <v>2</v>
      </c>
      <c r="D4" s="63">
        <f t="shared" ref="D4:D35" si="23">$AY3+$AV4</f>
        <v>12600</v>
      </c>
      <c r="E4" s="63">
        <f t="shared" ref="E4:E52" si="24">$AY4*(1/(1+r_i)^($AU4-1))</f>
        <v>12292.682926829269</v>
      </c>
      <c r="F4" s="63">
        <f>SUM($AX$3:$AX4)</f>
        <v>12439.024390243903</v>
      </c>
      <c r="G4" s="63">
        <f t="shared" si="0"/>
        <v>12902.400000000001</v>
      </c>
      <c r="H4" s="63">
        <f t="shared" si="1"/>
        <v>312.77502439024283</v>
      </c>
      <c r="I4" s="63">
        <f>( Table28[[#This Row],[Future value (Nominal)]]-Table28[[#This Row],[Tax (Nominal)]] ) -K4</f>
        <v>312.77502439024283</v>
      </c>
      <c r="J4" s="63">
        <f t="shared" ref="J4:J34" si="25">$BK4*(1/(1+r_i)^($AU4-1))</f>
        <v>12587.707317073173</v>
      </c>
      <c r="K4" s="63">
        <f t="shared" si="2"/>
        <v>12511.000975609759</v>
      </c>
      <c r="L4" s="63">
        <f t="shared" ref="L4:L52" si="26">$BD4*r_tax + $BH4*r_tax + $BJ4*r_tax_btp</f>
        <v>78.624000000000152</v>
      </c>
      <c r="M4" s="63">
        <f t="shared" si="3"/>
        <v>76.706341463414788</v>
      </c>
      <c r="N4" s="63">
        <f t="shared" ref="N4:N52" si="27">$BD4+$BH4+$BJ4</f>
        <v>302.40000000000055</v>
      </c>
      <c r="O4" s="63">
        <f t="shared" si="4"/>
        <v>218.31804878048823</v>
      </c>
      <c r="P4" s="147">
        <f t="shared" ref="P4:P52" si="28">BO4/(BM4+0.0001)</f>
        <v>1.73437498622168E-2</v>
      </c>
      <c r="Q4" s="145">
        <f t="shared" ref="Q4:Q52" si="29">BO4/(BB4+0.000001)</f>
        <v>1.7551058822118475E-2</v>
      </c>
      <c r="R4" s="145">
        <f>Table28[[#This Row],[Net Capital gain(Real)]]/Table28[[#This Row],[Savings (Real, adj. per year)]]</f>
        <v>1.7551058823529444E-2</v>
      </c>
      <c r="S4" s="63">
        <f t="shared" si="5"/>
        <v>-1000</v>
      </c>
      <c r="T4" s="145">
        <f>IF(Table28[[#This Row],[+10% Net Gain/Savings (real, adj.)'']]&gt;0,Table28[[#This Row],[Real Capital gain/Savings (adj. per year)]],-0.000001)</f>
        <v>-9.9999999999999995E-7</v>
      </c>
      <c r="U4" s="208">
        <f>((Table28[[#This Row],[Net Present value (real)]]-Table28[[#This Row],[Savings* (real, full inflation* max year)]])) /Table28[[#This Row],[Savings* (real, full inflation* max year)]]</f>
        <v>1.7760000000000123E-2</v>
      </c>
      <c r="V4" s="208">
        <f>IF(U3=0,0,IF(Table28[[#This Row],[Real Capital gain/Savings* (all inflation)]]&gt;ROUNDUP(U3,1),Table28[[#This Row],[Real Capital gain/Savings* (all inflation)]],0))</f>
        <v>0</v>
      </c>
      <c r="W4" s="235">
        <f>IF(Table28[[#This Row],[Column1]]&gt;0,Table28[[#This Row],[Net Capital gain(Real)]],-1000)</f>
        <v>-1000</v>
      </c>
      <c r="X4" s="63">
        <f>Table28[[#This Row],[Net Present value (real)]]-Table28[[#This Row],[Net Capital gain(Real)]]-Table28[[#This Row],[Savings* (real, full inflation* max year)]]</f>
        <v>0</v>
      </c>
      <c r="Y4" s="63">
        <f t="shared" ref="Y4:Y35" si="30">($CY3)*(1+r_d-r_c) +($AV4)</f>
        <v>12792</v>
      </c>
      <c r="Z4" s="63">
        <f t="shared" ref="Z4:Z52" si="31">$DC4-$DB4</f>
        <v>12431.297560975612</v>
      </c>
      <c r="AA4" s="243">
        <f>((Table28[[#This Row],[Net Present value (real)]]-Table28[[#This Row],[Net deposit (real)]]))</f>
        <v>79.703414634146611</v>
      </c>
      <c r="AB4" s="241">
        <f>((Table28[[#This Row],[Net gain on deposit]] / Table28[[#This Row],[Net deposit (real)]]))</f>
        <v>6.4115120922173035E-3</v>
      </c>
      <c r="AC4" s="241">
        <f>IF(AB3=0,0,IF(Table28[[#This Row],[Net gain on deposit/Deposit]]&gt;ROUNDUP(AB3,1),Table28[[#This Row],[Net gain on deposit/Deposit]],0))</f>
        <v>0</v>
      </c>
      <c r="AD4" s="242">
        <f>IF(Table28[[#This Row],[Column13]]&gt;0,Table28[[#This Row],[Net gain on deposit]],-1000)</f>
        <v>-1000</v>
      </c>
      <c r="AE4"/>
      <c r="AF4"/>
      <c r="AG4"/>
      <c r="AH4"/>
      <c r="AI4"/>
      <c r="AJ4"/>
      <c r="AK4"/>
      <c r="AL4"/>
      <c r="AM4"/>
      <c r="AN4"/>
      <c r="AO4"/>
      <c r="AP4"/>
      <c r="AQ4"/>
      <c r="AR4"/>
      <c r="AT4" s="124"/>
      <c r="AU4">
        <v>2</v>
      </c>
      <c r="AV4" s="63">
        <f t="shared" si="6"/>
        <v>6600.0000000000009</v>
      </c>
      <c r="AW4" s="112">
        <f t="shared" ref="AW4:AW52" si="32">$AV4</f>
        <v>6600.0000000000009</v>
      </c>
      <c r="AX4" s="63">
        <f t="shared" ref="AX4:AX34" si="33">$AV4*(1/(1+r_i)^($AU4-1))</f>
        <v>6439.0243902439042</v>
      </c>
      <c r="AY4" s="194">
        <f>$AV4+AY3</f>
        <v>12600</v>
      </c>
      <c r="AZ4" s="112">
        <f>SUM($AV$3:$AV4)</f>
        <v>12600</v>
      </c>
      <c r="BA4" s="63">
        <f t="shared" ref="BA4:BA34" si="34">$AY4*(1/(1+r_i)^($AU4-1))</f>
        <v>12292.682926829269</v>
      </c>
      <c r="BB4" s="63">
        <f>SUM($AX$3:$AX4)</f>
        <v>12439.024390243903</v>
      </c>
      <c r="BC4" s="63">
        <f t="shared" ref="BC4:BC35" si="35">($BC3)*(1+r_s-r_c) +($AV4*q_s)</f>
        <v>5342.4000000000005</v>
      </c>
      <c r="BD4" s="114">
        <f t="shared" si="7"/>
        <v>302.40000000000055</v>
      </c>
      <c r="BE4" s="72">
        <f t="shared" ref="BE4:BE52" si="36">BC4-BD4</f>
        <v>5040</v>
      </c>
      <c r="BF4" s="72">
        <f t="shared" si="8"/>
        <v>0</v>
      </c>
      <c r="BG4" s="63">
        <f t="shared" ref="BG4:BG35" si="37">($AV4*q_b*(1-q_b_BTP))+($BG3)*(1+r_b-r_c)</f>
        <v>0</v>
      </c>
      <c r="BH4" s="114">
        <f t="shared" si="9"/>
        <v>0</v>
      </c>
      <c r="BI4" s="63">
        <f t="shared" ref="BI4:BI35" si="38">($AV4*q_b*q_b_BTP)+BI3*(1+r_b_btp-r_c)</f>
        <v>7560</v>
      </c>
      <c r="BJ4" s="114">
        <f t="shared" si="10"/>
        <v>0</v>
      </c>
      <c r="BK4" s="119">
        <f t="shared" si="11"/>
        <v>12902.400000000001</v>
      </c>
      <c r="BL4" s="126">
        <f t="shared" ref="BL4:BL52" si="39">$BD4+$BH4+$BJ4</f>
        <v>302.40000000000055</v>
      </c>
      <c r="BM4" s="120">
        <f t="shared" si="12"/>
        <v>12587.707317073173</v>
      </c>
      <c r="BN4" s="113">
        <f t="shared" si="13"/>
        <v>295.02439024390299</v>
      </c>
      <c r="BO4" s="63">
        <f t="shared" si="14"/>
        <v>218.31804878048823</v>
      </c>
      <c r="BP4" s="63">
        <f t="shared" ref="BP4:BP52" si="40">BM4-(BA4+BO4)</f>
        <v>76.706341463415811</v>
      </c>
      <c r="BQ4" s="63">
        <f t="shared" si="15"/>
        <v>0</v>
      </c>
      <c r="BR4" s="63">
        <f t="shared" si="16"/>
        <v>0</v>
      </c>
      <c r="BS4" s="63">
        <f t="shared" ref="BS4:BS52" si="41">BK4-BL4-AY4</f>
        <v>0</v>
      </c>
      <c r="BT4" s="63">
        <f t="shared" si="17"/>
        <v>0</v>
      </c>
      <c r="BV4" s="63">
        <f t="shared" ref="BV4:BV52" si="42">$BD4*r_tax + $BH4*r_tax + $BJ4*r_tax_btp</f>
        <v>78.624000000000152</v>
      </c>
      <c r="BW4" s="63">
        <f t="shared" si="18"/>
        <v>76.706341463414788</v>
      </c>
      <c r="BX4" s="113">
        <f t="shared" si="19"/>
        <v>12823.776000000002</v>
      </c>
      <c r="BY4" s="63">
        <f t="shared" si="20"/>
        <v>12511.000975609759</v>
      </c>
      <c r="BZ4" s="63">
        <f t="shared" ref="BZ4:BZ52" si="43">$BM4-$BW4</f>
        <v>12511.000975609759</v>
      </c>
      <c r="CA4" s="63">
        <f t="shared" si="21"/>
        <v>0</v>
      </c>
      <c r="CB4" s="204">
        <f t="shared" ref="CB4:CB52" si="44">BO4/(BB4+0.000001)</f>
        <v>1.7551058822118475E-2</v>
      </c>
      <c r="CC4" s="63">
        <f t="shared" ref="CC4:CC52" si="45">IF(CB4&gt;0.1,$BO4,0)</f>
        <v>0</v>
      </c>
      <c r="CD4" s="63">
        <f t="shared" ref="CD4:CD52" si="46">IF(CB4&gt;0.2,$BO4,0)</f>
        <v>0</v>
      </c>
      <c r="CE4" s="63">
        <f t="shared" ref="CE4:CE52" si="47">IF(CB4&gt;0.3,$BO4,0)</f>
        <v>0</v>
      </c>
      <c r="CF4" s="63">
        <f t="shared" ref="CF4:CF52" si="48">IF(CB4&gt;0.4,$BO4,0)</f>
        <v>0</v>
      </c>
      <c r="CG4" s="63">
        <f t="shared" ref="CG4:CG52" si="49">IF(CB4&gt;0.5,$BO4,0)</f>
        <v>0</v>
      </c>
      <c r="CH4" s="63">
        <f t="shared" ref="CH4:CH52" si="50">IF(CB4&gt;0.6,$BO4,0)</f>
        <v>0</v>
      </c>
      <c r="CI4" s="63">
        <f t="shared" ref="CI4:CI52" si="51">IF(CB4&gt;0.7,$BO4,0)</f>
        <v>0</v>
      </c>
      <c r="CJ4" s="63">
        <f t="shared" ref="CJ4:CJ52" si="52">IF(CB4&gt;0.8,$BO4,0)</f>
        <v>0</v>
      </c>
      <c r="CK4" s="63">
        <f t="shared" ref="CK4:CK52" si="53">IF(CB4&gt;0.9,$BO4,0)</f>
        <v>0</v>
      </c>
      <c r="CL4" s="63">
        <f t="shared" ref="CL4:CL52" si="54">IF($CB4&gt;1,$BO4,0)</f>
        <v>0</v>
      </c>
      <c r="CM4" s="63">
        <f t="shared" ref="CM4:CM52" si="55">IF($CB4&gt;1.2,$BO4,0)</f>
        <v>0</v>
      </c>
      <c r="CN4" s="63">
        <f t="shared" ref="CN4:CN52" si="56">IF($CB4&gt;1.4,$BO4,0)</f>
        <v>0</v>
      </c>
      <c r="CO4" s="63">
        <f t="shared" ref="CO4:CO52" si="57">IF($CB4&gt;1.6,$BO4,0)</f>
        <v>0</v>
      </c>
      <c r="CP4" s="63">
        <f t="shared" ref="CP4:CP52" si="58">IF($CB4&gt;1.8,$BO4,0)</f>
        <v>0</v>
      </c>
      <c r="CQ4" s="63">
        <f t="shared" ref="CQ4:CQ52" si="59">IF($CB4&gt;2,$BO4,0)</f>
        <v>0</v>
      </c>
      <c r="CR4" s="63">
        <f t="shared" ref="CR4:CR52" si="60">IF($CB4&gt;2.5,$BO4,0)</f>
        <v>0</v>
      </c>
      <c r="CS4" s="63">
        <f t="shared" ref="CS4:CS52" si="61">IF($CB4&gt;3,$BO4,0)</f>
        <v>0</v>
      </c>
      <c r="CT4" s="63">
        <f t="shared" ref="CT4:CT52" si="62">IF($CB4&gt;3.5,$BO4,0)</f>
        <v>0</v>
      </c>
      <c r="CU4" s="63">
        <f t="shared" ref="CU4:CU52" si="63">IF($CB4&gt;4,$BO4,0)</f>
        <v>0</v>
      </c>
      <c r="CV4" s="63">
        <f t="shared" ref="CV4:CV52" si="64">IF($CB4&gt;4.5,$BO4,0)</f>
        <v>0</v>
      </c>
      <c r="CW4" s="63">
        <f t="shared" ref="CW4:CW52" si="65">IF(AND($CC4&gt;$CC3,$CC3=0),$CC4,IF(AND($CD4&gt;$CD3,$CD3=0),$CD4,IF(AND($CE4&gt;$CE3,$CE3=0),$CE4,IF(AND($CF4&gt;$CF3,$CF3=0),$CF4,IF(AND($CG4&gt;$CG3,$CG3=0),$CG4,IF(AND($CH4&gt;$CH3,$CH3=0),$CH4,IF(AND($CI4&gt;$CI3,$CI3=0),$CI4,IF(AND($CJ4&gt;$CJ3,$CJ3=0),$CJ4,IF(AND($CK4&gt;$CK3,$CK3=0),$CK4,IF(AND($CL4&gt;$CL3,$CL3=0),$CL4,IF(AND($CM4&gt;$CM3,$CM3=0),$CM4,IF(AND($CN4&gt;$CN3,$CN3=0),$CN4,IF(AND($CO4&gt;$CO3,$CO3=0),$CO4,IF(AND($CP4&gt;$CP3,$CP3=0),$CP4,IF(AND($CQ4&gt;$CQ3,$CQ3=0),$CQ4,IF(AND($CR4&gt;$CR3,$CR3=0),$CR4,IF(AND($CS4&gt;$CS3,$CS3=0),$CS4,IF(AND($CT4&gt;$CT3,$CT3=0),$CT4,IF(AND($CU4&gt;$CU3,$CU3=0),$CU4,IF(AND($CV4&gt;$CV3,$CV3=0),$CV4,-1000))))))))))))))))))))</f>
        <v>-1000</v>
      </c>
      <c r="CY4" s="63">
        <f t="shared" ref="CY4:CY35" si="66">($CY3)*(1+r_d-r_c) +($AV4)</f>
        <v>12792</v>
      </c>
      <c r="CZ4" s="63">
        <f t="shared" ref="CZ4:CZ52" si="67">$CY4-$AY4</f>
        <v>192</v>
      </c>
      <c r="DA4" s="63">
        <f t="shared" ref="DA4:DA35" si="68">CZ4*r_tax</f>
        <v>49.92</v>
      </c>
      <c r="DB4" s="63">
        <f t="shared" ref="DB4:DB35" si="69">DA4*(1/(1+r_i)^(AU4-1))</f>
        <v>48.702439024390252</v>
      </c>
      <c r="DC4" s="63">
        <f t="shared" si="22"/>
        <v>12480.000000000002</v>
      </c>
      <c r="DD4" s="63">
        <f t="shared" ref="DD4:DD52" si="70">$DC4-$DB4</f>
        <v>12431.297560975612</v>
      </c>
    </row>
    <row r="5" spans="2:108" s="184" customFormat="1" x14ac:dyDescent="0.3">
      <c r="B5">
        <v>5</v>
      </c>
      <c r="C5" s="183">
        <v>3</v>
      </c>
      <c r="D5" s="184">
        <f t="shared" si="23"/>
        <v>19860</v>
      </c>
      <c r="E5" s="63">
        <f t="shared" si="24"/>
        <v>18903.033908387864</v>
      </c>
      <c r="F5" s="63">
        <f>SUM($AX$3:$AX5)</f>
        <v>19349.196906603214</v>
      </c>
      <c r="G5" s="184">
        <f t="shared" si="0"/>
        <v>20835.542400000002</v>
      </c>
      <c r="H5" s="63">
        <f t="shared" si="1"/>
        <v>991.75134530398645</v>
      </c>
      <c r="I5" s="63">
        <f>( Table28[[#This Row],[Future value (Nominal)]]-Table28[[#This Row],[Tax (Nominal)]] ) -K5</f>
        <v>991.75134530398645</v>
      </c>
      <c r="J5" s="184">
        <f t="shared" si="25"/>
        <v>19831.569208804285</v>
      </c>
      <c r="K5" s="63">
        <f t="shared" si="2"/>
        <v>19590.150030696015</v>
      </c>
      <c r="L5" s="63">
        <f t="shared" si="26"/>
        <v>253.64102400000056</v>
      </c>
      <c r="M5" s="63">
        <f t="shared" si="3"/>
        <v>241.41917810826942</v>
      </c>
      <c r="N5" s="184">
        <f t="shared" si="27"/>
        <v>975.54240000000209</v>
      </c>
      <c r="O5" s="184">
        <f t="shared" si="4"/>
        <v>687.11612230815138</v>
      </c>
      <c r="P5" s="185">
        <f t="shared" si="28"/>
        <v>3.4647592008924075E-2</v>
      </c>
      <c r="Q5" s="186">
        <f t="shared" si="29"/>
        <v>3.5511350966620787E-2</v>
      </c>
      <c r="R5" s="145">
        <f>Table28[[#This Row],[Net Capital gain(Real)]]/Table28[[#This Row],[Savings (Real, adj. per year)]]</f>
        <v>3.5511350968456076E-2</v>
      </c>
      <c r="S5" s="63">
        <f t="shared" si="5"/>
        <v>-1000</v>
      </c>
      <c r="T5" s="186">
        <f>IF(Table28[[#This Row],[+10% Net Gain/Savings (real, adj.)'']]&gt;0,Table28[[#This Row],[Real Capital gain/Savings (adj. per year)]],-0.000001)</f>
        <v>-9.9999999999999995E-7</v>
      </c>
      <c r="U5" s="208">
        <f>((Table28[[#This Row],[Net Present value (real)]]-Table28[[#This Row],[Savings* (real, full inflation* max year)]])) /Table28[[#This Row],[Savings* (real, full inflation* max year)]]</f>
        <v>3.6349515407855033E-2</v>
      </c>
      <c r="V5" s="208">
        <f>IF(U4=0,0,IF(Table28[[#This Row],[Real Capital gain/Savings* (all inflation)]]&gt;ROUNDUP(U4,1),Table28[[#This Row],[Real Capital gain/Savings* (all inflation)]],0))</f>
        <v>0</v>
      </c>
      <c r="W5" s="235">
        <f>IF(Table28[[#This Row],[Column1]]&gt;0,Table28[[#This Row],[Net Capital gain(Real)]],-1000)</f>
        <v>-1000</v>
      </c>
      <c r="X5" s="63">
        <f>Table28[[#This Row],[Net Present value (real)]]-Table28[[#This Row],[Net Capital gain(Real)]]-Table28[[#This Row],[Savings* (real, full inflation* max year)]]</f>
        <v>0</v>
      </c>
      <c r="Y5" s="63">
        <f t="shared" si="30"/>
        <v>20461.344000000001</v>
      </c>
      <c r="Z5" s="63">
        <f t="shared" si="31"/>
        <v>19326.58613682332</v>
      </c>
      <c r="AA5" s="243">
        <f>((Table28[[#This Row],[Net Present value (real)]]-Table28[[#This Row],[Net deposit (real)]]))</f>
        <v>263.56389387269519</v>
      </c>
      <c r="AB5" s="241">
        <f>((Table28[[#This Row],[Net gain on deposit]] / Table28[[#This Row],[Net deposit (real)]]))</f>
        <v>1.3637374547516273E-2</v>
      </c>
      <c r="AC5" s="241">
        <f>IF(AB4=0,0,IF(Table28[[#This Row],[Net gain on deposit/Deposit]]&gt;ROUNDUP(AB4,1),Table28[[#This Row],[Net gain on deposit/Deposit]],0))</f>
        <v>0</v>
      </c>
      <c r="AD5" s="242">
        <f>IF(Table28[[#This Row],[Column13]]&gt;0,Table28[[#This Row],[Net gain on deposit]],-1000)</f>
        <v>-1000</v>
      </c>
      <c r="AE5"/>
      <c r="AF5"/>
      <c r="AG5"/>
      <c r="AH5"/>
      <c r="AI5"/>
      <c r="AJ5"/>
      <c r="AK5"/>
      <c r="AL5"/>
      <c r="AM5"/>
      <c r="AN5"/>
      <c r="AO5"/>
      <c r="AP5"/>
      <c r="AQ5"/>
      <c r="AR5"/>
      <c r="AS5" s="183"/>
      <c r="AT5" s="193"/>
      <c r="AU5" s="183">
        <v>3</v>
      </c>
      <c r="AV5" s="184">
        <f t="shared" si="6"/>
        <v>7260.0000000000009</v>
      </c>
      <c r="AW5" s="187">
        <f t="shared" si="32"/>
        <v>7260.0000000000009</v>
      </c>
      <c r="AX5" s="184">
        <f t="shared" si="33"/>
        <v>6910.172516359311</v>
      </c>
      <c r="AY5" s="195">
        <f t="shared" ref="AY5:AY52" si="71">$AY4+$AV5</f>
        <v>19860</v>
      </c>
      <c r="AZ5" s="187">
        <f>SUM($AV$3:$AV5)</f>
        <v>19860</v>
      </c>
      <c r="BA5" s="184">
        <f t="shared" si="34"/>
        <v>18903.033908387864</v>
      </c>
      <c r="BB5" s="184">
        <f>SUM($AX$3:$AX5)</f>
        <v>19349.196906603214</v>
      </c>
      <c r="BC5" s="63">
        <f t="shared" si="35"/>
        <v>8919.5424000000021</v>
      </c>
      <c r="BD5" s="188">
        <f t="shared" si="7"/>
        <v>975.54240000000209</v>
      </c>
      <c r="BE5" s="72">
        <f t="shared" si="36"/>
        <v>7944</v>
      </c>
      <c r="BF5" s="72">
        <f t="shared" si="8"/>
        <v>0</v>
      </c>
      <c r="BG5" s="63">
        <f t="shared" si="37"/>
        <v>0</v>
      </c>
      <c r="BH5" s="188">
        <f t="shared" si="9"/>
        <v>0</v>
      </c>
      <c r="BI5" s="63">
        <f t="shared" si="38"/>
        <v>11916</v>
      </c>
      <c r="BJ5" s="188">
        <f t="shared" si="10"/>
        <v>0</v>
      </c>
      <c r="BK5" s="189">
        <f t="shared" si="11"/>
        <v>20835.542400000002</v>
      </c>
      <c r="BL5" s="190">
        <f t="shared" si="39"/>
        <v>975.54240000000209</v>
      </c>
      <c r="BM5" s="191">
        <f t="shared" si="12"/>
        <v>19831.569208804285</v>
      </c>
      <c r="BN5" s="113">
        <f t="shared" si="13"/>
        <v>928.5353004164208</v>
      </c>
      <c r="BO5" s="184">
        <f t="shared" si="14"/>
        <v>687.11612230815138</v>
      </c>
      <c r="BP5" s="184">
        <f t="shared" si="40"/>
        <v>241.41917810826999</v>
      </c>
      <c r="BQ5" s="63">
        <f t="shared" si="15"/>
        <v>0</v>
      </c>
      <c r="BR5" s="184">
        <f t="shared" si="16"/>
        <v>0</v>
      </c>
      <c r="BS5" s="63">
        <f t="shared" si="41"/>
        <v>0</v>
      </c>
      <c r="BT5" s="63">
        <f t="shared" si="17"/>
        <v>0</v>
      </c>
      <c r="BV5" s="184">
        <f t="shared" si="42"/>
        <v>253.64102400000056</v>
      </c>
      <c r="BW5" s="184">
        <f t="shared" si="18"/>
        <v>241.41917810826942</v>
      </c>
      <c r="BX5" s="192">
        <f t="shared" si="19"/>
        <v>20581.901376000002</v>
      </c>
      <c r="BY5" s="184">
        <f t="shared" si="20"/>
        <v>19590.150030696015</v>
      </c>
      <c r="BZ5" s="63">
        <f t="shared" si="43"/>
        <v>19590.150030696015</v>
      </c>
      <c r="CA5" s="184">
        <f t="shared" si="21"/>
        <v>0</v>
      </c>
      <c r="CB5" s="204">
        <f t="shared" si="44"/>
        <v>3.5511350966620787E-2</v>
      </c>
      <c r="CC5" s="63">
        <f t="shared" si="45"/>
        <v>0</v>
      </c>
      <c r="CD5" s="63">
        <f t="shared" si="46"/>
        <v>0</v>
      </c>
      <c r="CE5" s="63">
        <f t="shared" si="47"/>
        <v>0</v>
      </c>
      <c r="CF5" s="63">
        <f t="shared" si="48"/>
        <v>0</v>
      </c>
      <c r="CG5" s="63">
        <f t="shared" si="49"/>
        <v>0</v>
      </c>
      <c r="CH5" s="63">
        <f t="shared" si="50"/>
        <v>0</v>
      </c>
      <c r="CI5" s="63">
        <f t="shared" si="51"/>
        <v>0</v>
      </c>
      <c r="CJ5" s="63">
        <f t="shared" si="52"/>
        <v>0</v>
      </c>
      <c r="CK5" s="63">
        <f t="shared" si="53"/>
        <v>0</v>
      </c>
      <c r="CL5" s="63">
        <f t="shared" si="54"/>
        <v>0</v>
      </c>
      <c r="CM5" s="63">
        <f t="shared" si="55"/>
        <v>0</v>
      </c>
      <c r="CN5" s="63">
        <f t="shared" si="56"/>
        <v>0</v>
      </c>
      <c r="CO5" s="63">
        <f t="shared" si="57"/>
        <v>0</v>
      </c>
      <c r="CP5" s="63">
        <f t="shared" si="58"/>
        <v>0</v>
      </c>
      <c r="CQ5" s="63">
        <f t="shared" si="59"/>
        <v>0</v>
      </c>
      <c r="CR5" s="63">
        <f t="shared" si="60"/>
        <v>0</v>
      </c>
      <c r="CS5" s="63">
        <f t="shared" si="61"/>
        <v>0</v>
      </c>
      <c r="CT5" s="63">
        <f t="shared" si="62"/>
        <v>0</v>
      </c>
      <c r="CU5" s="63">
        <f t="shared" si="63"/>
        <v>0</v>
      </c>
      <c r="CV5" s="63">
        <f t="shared" si="64"/>
        <v>0</v>
      </c>
      <c r="CW5" s="63">
        <f t="shared" si="65"/>
        <v>-1000</v>
      </c>
      <c r="CY5" s="63">
        <f t="shared" si="66"/>
        <v>20461.344000000001</v>
      </c>
      <c r="CZ5" s="63">
        <f t="shared" si="67"/>
        <v>601.34400000000096</v>
      </c>
      <c r="DA5" s="63">
        <f t="shared" si="68"/>
        <v>156.34944000000024</v>
      </c>
      <c r="DB5" s="63">
        <f t="shared" si="69"/>
        <v>148.81564782867363</v>
      </c>
      <c r="DC5" s="63">
        <f t="shared" si="22"/>
        <v>19475.401784651993</v>
      </c>
      <c r="DD5" s="63">
        <f t="shared" si="70"/>
        <v>19326.58613682332</v>
      </c>
    </row>
    <row r="6" spans="2:108" s="63" customFormat="1" x14ac:dyDescent="0.3">
      <c r="B6">
        <v>5</v>
      </c>
      <c r="C6">
        <v>4</v>
      </c>
      <c r="D6" s="63">
        <f t="shared" si="23"/>
        <v>27846.000000000004</v>
      </c>
      <c r="E6" s="63">
        <f t="shared" si="24"/>
        <v>25857.779196471329</v>
      </c>
      <c r="F6" s="63">
        <f>SUM($AX$3:$AX6)</f>
        <v>26764.991802208329</v>
      </c>
      <c r="G6" s="63">
        <f t="shared" si="0"/>
        <v>29945.404742400009</v>
      </c>
      <c r="H6" s="63">
        <f t="shared" si="1"/>
        <v>2099.1458676693474</v>
      </c>
      <c r="I6" s="63">
        <f>( Table28[[#This Row],[Future value (Nominal)]]-Table28[[#This Row],[Tax (Nominal)]] ) -K6</f>
        <v>2099.1458676693474</v>
      </c>
      <c r="J6" s="63">
        <f t="shared" si="25"/>
        <v>27807.285203546104</v>
      </c>
      <c r="K6" s="63">
        <f t="shared" si="2"/>
        <v>27300.413641706662</v>
      </c>
      <c r="L6" s="63">
        <f t="shared" si="26"/>
        <v>545.845233024001</v>
      </c>
      <c r="M6" s="63">
        <f t="shared" si="3"/>
        <v>506.87156183944035</v>
      </c>
      <c r="N6" s="63">
        <f t="shared" si="27"/>
        <v>2099.4047424000037</v>
      </c>
      <c r="O6" s="63">
        <f t="shared" si="4"/>
        <v>1442.6344452353301</v>
      </c>
      <c r="P6" s="147">
        <f t="shared" si="28"/>
        <v>5.1879729699876857E-2</v>
      </c>
      <c r="Q6" s="145">
        <f t="shared" si="29"/>
        <v>5.3900051823008624E-2</v>
      </c>
      <c r="R6" s="145">
        <f>Table28[[#This Row],[Net Capital gain(Real)]]/Table28[[#This Row],[Savings (Real, adj. per year)]]</f>
        <v>5.3900051825022451E-2</v>
      </c>
      <c r="S6" s="63">
        <f t="shared" si="5"/>
        <v>-1000</v>
      </c>
      <c r="T6" s="145">
        <f>IF(Table28[[#This Row],[+10% Net Gain/Savings (real, adj.)'']]&gt;0,Table28[[#This Row],[Real Capital gain/Savings (adj. per year)]],-0.000001)</f>
        <v>-9.9999999999999995E-7</v>
      </c>
      <c r="U6" s="208">
        <f>((Table28[[#This Row],[Net Present value (real)]]-Table28[[#This Row],[Savings* (real, full inflation* max year)]])) /Table28[[#This Row],[Savings* (real, full inflation* max year)]]</f>
        <v>5.5791119348416504E-2</v>
      </c>
      <c r="V6" s="208">
        <f>IF(U5=0,0,IF(Table28[[#This Row],[Real Capital gain/Savings* (all inflation)]]&gt;ROUNDUP(U5,1),Table28[[#This Row],[Real Capital gain/Savings* (all inflation)]],0))</f>
        <v>0</v>
      </c>
      <c r="W6" s="235">
        <f>IF(Table28[[#This Row],[Column1]]&gt;0,Table28[[#This Row],[Net Capital gain(Real)]],-1000)</f>
        <v>-1000</v>
      </c>
      <c r="X6" s="63">
        <f>Table28[[#This Row],[Net Present value (real)]]-Table28[[#This Row],[Net Capital gain(Real)]]-Table28[[#This Row],[Savings* (real, full inflation* max year)]]</f>
        <v>0</v>
      </c>
      <c r="Y6" s="63">
        <f t="shared" si="30"/>
        <v>29102.107008000006</v>
      </c>
      <c r="Z6" s="63">
        <f t="shared" si="31"/>
        <v>26720.930164955247</v>
      </c>
      <c r="AA6" s="243">
        <f>((Table28[[#This Row],[Net Present value (real)]]-Table28[[#This Row],[Net deposit (real)]]))</f>
        <v>579.48347675141486</v>
      </c>
      <c r="AB6" s="241">
        <f>((Table28[[#This Row],[Net gain on deposit]] / Table28[[#This Row],[Net deposit (real)]]))</f>
        <v>2.1686500925458534E-2</v>
      </c>
      <c r="AC6" s="241">
        <f>IF(AB5=0,0,IF(Table28[[#This Row],[Net gain on deposit/Deposit]]&gt;ROUNDUP(AB5,1),Table28[[#This Row],[Net gain on deposit/Deposit]],0))</f>
        <v>0</v>
      </c>
      <c r="AD6" s="242">
        <f>IF(Table28[[#This Row],[Column13]]&gt;0,Table28[[#This Row],[Net gain on deposit]],-1000)</f>
        <v>-1000</v>
      </c>
      <c r="AE6"/>
      <c r="AF6"/>
      <c r="AG6"/>
      <c r="AH6"/>
      <c r="AI6"/>
      <c r="AJ6"/>
      <c r="AK6"/>
      <c r="AL6"/>
      <c r="AM6"/>
      <c r="AN6"/>
      <c r="AO6"/>
      <c r="AP6"/>
      <c r="AQ6"/>
      <c r="AR6"/>
      <c r="AS6"/>
      <c r="AT6"/>
      <c r="AU6">
        <v>4</v>
      </c>
      <c r="AV6" s="63">
        <f t="shared" si="6"/>
        <v>7986.0000000000027</v>
      </c>
      <c r="AW6" s="112">
        <f t="shared" si="32"/>
        <v>7986.0000000000027</v>
      </c>
      <c r="AX6" s="63">
        <f t="shared" si="33"/>
        <v>7415.7948956051168</v>
      </c>
      <c r="AY6" s="194">
        <f t="shared" si="71"/>
        <v>27846.000000000004</v>
      </c>
      <c r="AZ6" s="112">
        <f>SUM($AV$3:$AV6)</f>
        <v>27846.000000000004</v>
      </c>
      <c r="BA6" s="63">
        <f t="shared" si="34"/>
        <v>25857.779196471329</v>
      </c>
      <c r="BB6" s="63">
        <f>SUM($AX$3:$AX6)</f>
        <v>26764.991802208329</v>
      </c>
      <c r="BC6" s="63">
        <f t="shared" si="35"/>
        <v>13237.804742400005</v>
      </c>
      <c r="BD6" s="114">
        <f t="shared" si="7"/>
        <v>2099.4047424000037</v>
      </c>
      <c r="BE6" s="72">
        <f t="shared" si="36"/>
        <v>11138.400000000001</v>
      </c>
      <c r="BF6" s="72">
        <f t="shared" si="8"/>
        <v>0</v>
      </c>
      <c r="BG6" s="63">
        <f t="shared" si="37"/>
        <v>0</v>
      </c>
      <c r="BH6" s="114">
        <f t="shared" si="9"/>
        <v>0</v>
      </c>
      <c r="BI6" s="63">
        <f t="shared" si="38"/>
        <v>16707.600000000002</v>
      </c>
      <c r="BJ6" s="114">
        <f t="shared" si="10"/>
        <v>0</v>
      </c>
      <c r="BK6" s="119">
        <f t="shared" si="11"/>
        <v>29945.404742400009</v>
      </c>
      <c r="BL6" s="126">
        <f t="shared" si="39"/>
        <v>2099.4047424000037</v>
      </c>
      <c r="BM6" s="120">
        <f t="shared" si="12"/>
        <v>27807.285203546104</v>
      </c>
      <c r="BN6" s="113">
        <f t="shared" si="13"/>
        <v>1949.5060070747704</v>
      </c>
      <c r="BO6" s="63">
        <f t="shared" si="14"/>
        <v>1442.6344452353301</v>
      </c>
      <c r="BP6" s="63">
        <f t="shared" si="40"/>
        <v>506.87156183944535</v>
      </c>
      <c r="BQ6" s="63">
        <f t="shared" si="15"/>
        <v>0</v>
      </c>
      <c r="BR6" s="63">
        <f t="shared" si="16"/>
        <v>0</v>
      </c>
      <c r="BS6" s="63">
        <f t="shared" si="41"/>
        <v>0</v>
      </c>
      <c r="BT6" s="63">
        <f t="shared" si="17"/>
        <v>0</v>
      </c>
      <c r="BV6" s="63">
        <f t="shared" si="42"/>
        <v>545.845233024001</v>
      </c>
      <c r="BW6" s="63">
        <f t="shared" si="18"/>
        <v>506.87156183944035</v>
      </c>
      <c r="BX6" s="113">
        <f t="shared" si="19"/>
        <v>29399.559509376009</v>
      </c>
      <c r="BY6" s="63">
        <f t="shared" si="20"/>
        <v>27300.413641706662</v>
      </c>
      <c r="BZ6" s="63">
        <f t="shared" si="43"/>
        <v>27300.413641706662</v>
      </c>
      <c r="CA6" s="63">
        <f t="shared" si="21"/>
        <v>0</v>
      </c>
      <c r="CB6" s="204">
        <f t="shared" si="44"/>
        <v>5.3900051823008624E-2</v>
      </c>
      <c r="CC6" s="63">
        <f t="shared" si="45"/>
        <v>0</v>
      </c>
      <c r="CD6" s="63">
        <f t="shared" si="46"/>
        <v>0</v>
      </c>
      <c r="CE6" s="63">
        <f t="shared" si="47"/>
        <v>0</v>
      </c>
      <c r="CF6" s="63">
        <f t="shared" si="48"/>
        <v>0</v>
      </c>
      <c r="CG6" s="63">
        <f t="shared" si="49"/>
        <v>0</v>
      </c>
      <c r="CH6" s="63">
        <f t="shared" si="50"/>
        <v>0</v>
      </c>
      <c r="CI6" s="63">
        <f t="shared" si="51"/>
        <v>0</v>
      </c>
      <c r="CJ6" s="63">
        <f t="shared" si="52"/>
        <v>0</v>
      </c>
      <c r="CK6" s="63">
        <f t="shared" si="53"/>
        <v>0</v>
      </c>
      <c r="CL6" s="63">
        <f t="shared" si="54"/>
        <v>0</v>
      </c>
      <c r="CM6" s="63">
        <f t="shared" si="55"/>
        <v>0</v>
      </c>
      <c r="CN6" s="63">
        <f t="shared" si="56"/>
        <v>0</v>
      </c>
      <c r="CO6" s="63">
        <f t="shared" si="57"/>
        <v>0</v>
      </c>
      <c r="CP6" s="63">
        <f t="shared" si="58"/>
        <v>0</v>
      </c>
      <c r="CQ6" s="63">
        <f t="shared" si="59"/>
        <v>0</v>
      </c>
      <c r="CR6" s="63">
        <f t="shared" si="60"/>
        <v>0</v>
      </c>
      <c r="CS6" s="63">
        <f t="shared" si="61"/>
        <v>0</v>
      </c>
      <c r="CT6" s="63">
        <f t="shared" si="62"/>
        <v>0</v>
      </c>
      <c r="CU6" s="63">
        <f t="shared" si="63"/>
        <v>0</v>
      </c>
      <c r="CV6" s="63">
        <f t="shared" si="64"/>
        <v>0</v>
      </c>
      <c r="CW6" s="63">
        <f t="shared" si="65"/>
        <v>-1000</v>
      </c>
      <c r="CY6" s="63">
        <f t="shared" si="66"/>
        <v>29102.107008000006</v>
      </c>
      <c r="CZ6" s="63">
        <f t="shared" si="67"/>
        <v>1256.1070080000027</v>
      </c>
      <c r="DA6" s="63">
        <f t="shared" si="68"/>
        <v>326.58782208000071</v>
      </c>
      <c r="DB6" s="63">
        <f t="shared" si="69"/>
        <v>303.26925919705241</v>
      </c>
      <c r="DC6" s="63">
        <f t="shared" si="22"/>
        <v>27024.199424152299</v>
      </c>
      <c r="DD6" s="63">
        <f t="shared" si="70"/>
        <v>26720.930164955247</v>
      </c>
    </row>
    <row r="7" spans="2:108" s="63" customFormat="1" x14ac:dyDescent="0.3">
      <c r="B7">
        <v>5</v>
      </c>
      <c r="C7">
        <v>5</v>
      </c>
      <c r="D7" s="63">
        <f t="shared" si="23"/>
        <v>36630.600000000006</v>
      </c>
      <c r="E7" s="63">
        <f t="shared" si="24"/>
        <v>33185.515689401916</v>
      </c>
      <c r="F7" s="63">
        <f>SUM($AX$3:$AX7)</f>
        <v>34723.405836516264</v>
      </c>
      <c r="G7" s="63">
        <f t="shared" si="0"/>
        <v>40397.968139942415</v>
      </c>
      <c r="H7" s="63">
        <f t="shared" si="1"/>
        <v>3707.2800334271014</v>
      </c>
      <c r="I7" s="63">
        <f>( Table28[[#This Row],[Future value (Nominal)]]-Table28[[#This Row],[Tax (Nominal)]] ) -K7</f>
        <v>3707.2800334271014</v>
      </c>
      <c r="J7" s="63">
        <f t="shared" si="25"/>
        <v>36598.565284980796</v>
      </c>
      <c r="K7" s="63">
        <f t="shared" si="2"/>
        <v>35711.17239013029</v>
      </c>
      <c r="L7" s="63">
        <f t="shared" si="26"/>
        <v>979.51571638502503</v>
      </c>
      <c r="M7" s="63">
        <f t="shared" si="3"/>
        <v>887.39289485050745</v>
      </c>
      <c r="N7" s="63">
        <f t="shared" si="27"/>
        <v>3767.368139942404</v>
      </c>
      <c r="O7" s="63">
        <f t="shared" si="4"/>
        <v>2525.6567007283675</v>
      </c>
      <c r="P7" s="147">
        <f t="shared" si="28"/>
        <v>6.900971866413208E-2</v>
      </c>
      <c r="Q7" s="145">
        <f t="shared" si="29"/>
        <v>7.2736433532668274E-2</v>
      </c>
      <c r="R7" s="145">
        <f>Table28[[#This Row],[Net Capital gain(Real)]]/Table28[[#This Row],[Savings (Real, adj. per year)]]</f>
        <v>7.2736433534763015E-2</v>
      </c>
      <c r="S7" s="63">
        <f t="shared" si="5"/>
        <v>-1000</v>
      </c>
      <c r="T7" s="145">
        <f>IF(Table28[[#This Row],[+10% Net Gain/Savings (real, adj.)'']]&gt;0,Table28[[#This Row],[Real Capital gain/Savings (adj. per year)]],-0.000001)</f>
        <v>-9.9999999999999995E-7</v>
      </c>
      <c r="U7" s="208">
        <f>((Table28[[#This Row],[Net Present value (real)]]-Table28[[#This Row],[Savings* (real, full inflation* max year)]])) /Table28[[#This Row],[Savings* (real, full inflation* max year)]]</f>
        <v>7.6107200634370861E-2</v>
      </c>
      <c r="V7" s="208">
        <f>IF(U6=0,0,IF(Table28[[#This Row],[Real Capital gain/Savings* (all inflation)]]&gt;ROUNDUP(U6,1),Table28[[#This Row],[Real Capital gain/Savings* (all inflation)]],0))</f>
        <v>0</v>
      </c>
      <c r="W7" s="235">
        <f>IF(Table28[[#This Row],[Column1]]&gt;0,Table28[[#This Row],[Net Capital gain(Real)]],-1000)</f>
        <v>-1000</v>
      </c>
      <c r="X7" s="63">
        <f>Table28[[#This Row],[Net Present value (real)]]-Table28[[#This Row],[Net Capital gain(Real)]]-Table28[[#This Row],[Savings* (real, full inflation* max year)]]</f>
        <v>0</v>
      </c>
      <c r="Y7" s="63">
        <f t="shared" si="30"/>
        <v>38817.974432256015</v>
      </c>
      <c r="Z7" s="63">
        <f t="shared" si="31"/>
        <v>34651.939114619323</v>
      </c>
      <c r="AA7" s="243">
        <f>((Table28[[#This Row],[Net Present value (real)]]-Table28[[#This Row],[Net deposit (real)]]))</f>
        <v>1059.2332755109674</v>
      </c>
      <c r="AB7" s="241">
        <f>((Table28[[#This Row],[Net gain on deposit]] / Table28[[#This Row],[Net deposit (real)]]))</f>
        <v>3.0567792238330668E-2</v>
      </c>
      <c r="AC7" s="241">
        <f>IF(AB6=0,0,IF(Table28[[#This Row],[Net gain on deposit/Deposit]]&gt;ROUNDUP(AB6,1),Table28[[#This Row],[Net gain on deposit/Deposit]],0))</f>
        <v>0</v>
      </c>
      <c r="AD7" s="242">
        <f>IF(Table28[[#This Row],[Column13]]&gt;0,Table28[[#This Row],[Net gain on deposit]],-1000)</f>
        <v>-1000</v>
      </c>
      <c r="AE7"/>
      <c r="AF7"/>
      <c r="AG7"/>
      <c r="AH7"/>
      <c r="AI7"/>
      <c r="AJ7"/>
      <c r="AK7"/>
      <c r="AL7"/>
      <c r="AM7"/>
      <c r="AN7"/>
      <c r="AO7"/>
      <c r="AP7"/>
      <c r="AQ7"/>
      <c r="AR7"/>
      <c r="AS7"/>
      <c r="AT7"/>
      <c r="AU7">
        <v>5</v>
      </c>
      <c r="AV7" s="63">
        <f t="shared" si="6"/>
        <v>8784.6000000000022</v>
      </c>
      <c r="AW7" s="112">
        <f t="shared" si="32"/>
        <v>8784.6000000000022</v>
      </c>
      <c r="AX7" s="63">
        <f t="shared" si="33"/>
        <v>7958.4140343079307</v>
      </c>
      <c r="AY7" s="194">
        <f t="shared" si="71"/>
        <v>36630.600000000006</v>
      </c>
      <c r="AZ7" s="112">
        <f>SUM($AV$3:$AV7)</f>
        <v>36630.600000000006</v>
      </c>
      <c r="BA7" s="63">
        <f t="shared" si="34"/>
        <v>33185.515689401916</v>
      </c>
      <c r="BB7" s="63">
        <f>SUM($AX$3:$AX7)</f>
        <v>34723.405836516264</v>
      </c>
      <c r="BC7" s="63">
        <f t="shared" si="35"/>
        <v>18419.608139942407</v>
      </c>
      <c r="BD7" s="114">
        <f t="shared" si="7"/>
        <v>3767.368139942404</v>
      </c>
      <c r="BE7" s="72">
        <f t="shared" si="36"/>
        <v>14652.240000000003</v>
      </c>
      <c r="BF7" s="72">
        <f t="shared" si="8"/>
        <v>0</v>
      </c>
      <c r="BG7" s="63">
        <f t="shared" si="37"/>
        <v>0</v>
      </c>
      <c r="BH7" s="114">
        <f t="shared" si="9"/>
        <v>0</v>
      </c>
      <c r="BI7" s="63">
        <f t="shared" si="38"/>
        <v>21978.360000000004</v>
      </c>
      <c r="BJ7" s="114">
        <f t="shared" si="10"/>
        <v>0</v>
      </c>
      <c r="BK7" s="119">
        <f t="shared" si="11"/>
        <v>40397.968139942415</v>
      </c>
      <c r="BL7" s="126">
        <f t="shared" si="39"/>
        <v>3767.368139942404</v>
      </c>
      <c r="BM7" s="120">
        <f t="shared" si="12"/>
        <v>36598.565284980796</v>
      </c>
      <c r="BN7" s="113">
        <f t="shared" si="13"/>
        <v>3413.0495955788747</v>
      </c>
      <c r="BO7" s="63">
        <f t="shared" si="14"/>
        <v>2525.6567007283675</v>
      </c>
      <c r="BP7" s="63">
        <f t="shared" si="40"/>
        <v>887.39289485051268</v>
      </c>
      <c r="BQ7" s="63">
        <f t="shared" si="15"/>
        <v>0</v>
      </c>
      <c r="BR7" s="63">
        <f t="shared" si="16"/>
        <v>0</v>
      </c>
      <c r="BS7" s="63">
        <f t="shared" si="41"/>
        <v>0</v>
      </c>
      <c r="BT7" s="63">
        <f t="shared" si="17"/>
        <v>0</v>
      </c>
      <c r="BV7" s="63">
        <f t="shared" si="42"/>
        <v>979.51571638502503</v>
      </c>
      <c r="BW7" s="63">
        <f t="shared" si="18"/>
        <v>887.39289485050745</v>
      </c>
      <c r="BX7" s="113">
        <f t="shared" si="19"/>
        <v>39418.452423557392</v>
      </c>
      <c r="BY7" s="63">
        <f t="shared" si="20"/>
        <v>35711.17239013029</v>
      </c>
      <c r="BZ7" s="63">
        <f t="shared" si="43"/>
        <v>35711.17239013029</v>
      </c>
      <c r="CA7" s="63">
        <f t="shared" si="21"/>
        <v>0</v>
      </c>
      <c r="CB7" s="204">
        <f t="shared" si="44"/>
        <v>7.2736433532668274E-2</v>
      </c>
      <c r="CC7" s="63">
        <f t="shared" si="45"/>
        <v>0</v>
      </c>
      <c r="CD7" s="63">
        <f t="shared" si="46"/>
        <v>0</v>
      </c>
      <c r="CE7" s="63">
        <f t="shared" si="47"/>
        <v>0</v>
      </c>
      <c r="CF7" s="63">
        <f t="shared" si="48"/>
        <v>0</v>
      </c>
      <c r="CG7" s="63">
        <f t="shared" si="49"/>
        <v>0</v>
      </c>
      <c r="CH7" s="63">
        <f t="shared" si="50"/>
        <v>0</v>
      </c>
      <c r="CI7" s="63">
        <f t="shared" si="51"/>
        <v>0</v>
      </c>
      <c r="CJ7" s="63">
        <f t="shared" si="52"/>
        <v>0</v>
      </c>
      <c r="CK7" s="63">
        <f t="shared" si="53"/>
        <v>0</v>
      </c>
      <c r="CL7" s="63">
        <f t="shared" si="54"/>
        <v>0</v>
      </c>
      <c r="CM7" s="63">
        <f t="shared" si="55"/>
        <v>0</v>
      </c>
      <c r="CN7" s="63">
        <f t="shared" si="56"/>
        <v>0</v>
      </c>
      <c r="CO7" s="63">
        <f t="shared" si="57"/>
        <v>0</v>
      </c>
      <c r="CP7" s="63">
        <f t="shared" si="58"/>
        <v>0</v>
      </c>
      <c r="CQ7" s="63">
        <f t="shared" si="59"/>
        <v>0</v>
      </c>
      <c r="CR7" s="63">
        <f t="shared" si="60"/>
        <v>0</v>
      </c>
      <c r="CS7" s="63">
        <f t="shared" si="61"/>
        <v>0</v>
      </c>
      <c r="CT7" s="63">
        <f t="shared" si="62"/>
        <v>0</v>
      </c>
      <c r="CU7" s="63">
        <f t="shared" si="63"/>
        <v>0</v>
      </c>
      <c r="CV7" s="63">
        <f t="shared" si="64"/>
        <v>0</v>
      </c>
      <c r="CW7" s="63">
        <f t="shared" si="65"/>
        <v>-1000</v>
      </c>
      <c r="CY7" s="63">
        <f t="shared" si="66"/>
        <v>38817.974432256015</v>
      </c>
      <c r="CZ7" s="63">
        <f t="shared" si="67"/>
        <v>2187.3744322560087</v>
      </c>
      <c r="DA7" s="63">
        <f t="shared" si="68"/>
        <v>568.71735238656231</v>
      </c>
      <c r="DB7" s="63">
        <f t="shared" si="69"/>
        <v>515.22985210341562</v>
      </c>
      <c r="DC7" s="63">
        <f t="shared" si="22"/>
        <v>35167.16896672274</v>
      </c>
      <c r="DD7" s="63">
        <f t="shared" si="70"/>
        <v>34651.939114619323</v>
      </c>
    </row>
    <row r="8" spans="2:108" s="63" customFormat="1" x14ac:dyDescent="0.3">
      <c r="B8">
        <v>10</v>
      </c>
      <c r="C8">
        <v>6</v>
      </c>
      <c r="D8" s="63">
        <f t="shared" si="23"/>
        <v>46293.660000000011</v>
      </c>
      <c r="E8" s="63">
        <f t="shared" si="24"/>
        <v>40916.849880137204</v>
      </c>
      <c r="F8" s="63">
        <f>SUM($AX$3:$AX8)</f>
        <v>43264.142848944291</v>
      </c>
      <c r="G8" s="63">
        <f t="shared" si="0"/>
        <v>52381.898765575163</v>
      </c>
      <c r="H8" s="63">
        <f t="shared" si="1"/>
        <v>5900.0810130497994</v>
      </c>
      <c r="I8" s="63">
        <f>( Table28[[#This Row],[Future value (Nominal)]]-Table28[[#This Row],[Tax (Nominal)]] ) -K8</f>
        <v>5900.0810130497994</v>
      </c>
      <c r="J8" s="63">
        <f t="shared" si="25"/>
        <v>46297.965817081276</v>
      </c>
      <c r="K8" s="63">
        <f t="shared" si="2"/>
        <v>44898.875673475821</v>
      </c>
      <c r="L8" s="63">
        <f t="shared" si="26"/>
        <v>1582.9420790495394</v>
      </c>
      <c r="M8" s="63">
        <f t="shared" si="3"/>
        <v>1399.0901436054587</v>
      </c>
      <c r="N8" s="63">
        <f t="shared" si="27"/>
        <v>6088.2387655751518</v>
      </c>
      <c r="O8" s="63">
        <f t="shared" si="4"/>
        <v>3982.0257933386129</v>
      </c>
      <c r="P8" s="147">
        <f t="shared" si="28"/>
        <v>8.6008655336399467E-2</v>
      </c>
      <c r="Q8" s="145">
        <f t="shared" si="29"/>
        <v>9.2039863291634355E-2</v>
      </c>
      <c r="R8" s="145">
        <f>Table28[[#This Row],[Net Capital gain(Real)]]/Table28[[#This Row],[Savings (Real, adj. per year)]]</f>
        <v>9.2039863293761751E-2</v>
      </c>
      <c r="S8" s="63">
        <f t="shared" si="5"/>
        <v>-1000</v>
      </c>
      <c r="T8" s="145">
        <f>IF(Table28[[#This Row],[+10% Net Gain/Savings (real, adj.)'']]&gt;0,Table28[[#This Row],[Real Capital gain/Savings (adj. per year)]],-0.000001)</f>
        <v>-9.9999999999999995E-7</v>
      </c>
      <c r="U8" s="208">
        <f>((Table28[[#This Row],[Net Present value (real)]]-Table28[[#This Row],[Savings* (real, full inflation* max year)]])) /Table28[[#This Row],[Savings* (real, full inflation* max year)]]</f>
        <v>9.7319950216198409E-2</v>
      </c>
      <c r="V8" s="208">
        <f>IF(U7=0,0,IF(Table28[[#This Row],[Real Capital gain/Savings* (all inflation)]]&gt;ROUNDUP(U7,1),Table28[[#This Row],[Real Capital gain/Savings* (all inflation)]],0))</f>
        <v>0</v>
      </c>
      <c r="W8" s="235">
        <f>IF(Table28[[#This Row],[Column1]]&gt;0,Table28[[#This Row],[Net Capital gain(Real)]],-1000)</f>
        <v>-1000</v>
      </c>
      <c r="X8" s="63">
        <f>Table28[[#This Row],[Net Present value (real)]]-Table28[[#This Row],[Net Capital gain(Real)]]-Table28[[#This Row],[Savings* (real, full inflation* max year)]]</f>
        <v>0</v>
      </c>
      <c r="Y8" s="63">
        <f t="shared" si="30"/>
        <v>49723.209614088213</v>
      </c>
      <c r="Z8" s="63">
        <f t="shared" si="31"/>
        <v>43159.954257063458</v>
      </c>
      <c r="AA8" s="243">
        <f>((Table28[[#This Row],[Net Present value (real)]]-Table28[[#This Row],[Net deposit (real)]]))</f>
        <v>1738.9214164123623</v>
      </c>
      <c r="AB8" s="241">
        <f>((Table28[[#This Row],[Net gain on deposit]] / Table28[[#This Row],[Net deposit (real)]]))</f>
        <v>4.0290158929623392E-2</v>
      </c>
      <c r="AC8" s="241">
        <f>IF(AB7=0,0,IF(Table28[[#This Row],[Net gain on deposit/Deposit]]&gt;ROUNDUP(AB7,1),Table28[[#This Row],[Net gain on deposit/Deposit]],0))</f>
        <v>0</v>
      </c>
      <c r="AD8" s="242">
        <f>IF(Table28[[#This Row],[Column13]]&gt;0,Table28[[#This Row],[Net gain on deposit]],-1000)</f>
        <v>-1000</v>
      </c>
      <c r="AE8"/>
      <c r="AF8"/>
      <c r="AG8"/>
      <c r="AH8"/>
      <c r="AI8"/>
      <c r="AJ8"/>
      <c r="AK8"/>
      <c r="AL8"/>
      <c r="AM8"/>
      <c r="AN8"/>
      <c r="AO8"/>
      <c r="AP8"/>
      <c r="AQ8"/>
      <c r="AR8"/>
      <c r="AS8"/>
      <c r="AT8"/>
      <c r="AU8">
        <v>6</v>
      </c>
      <c r="AV8" s="63">
        <f t="shared" si="6"/>
        <v>9663.0600000000031</v>
      </c>
      <c r="AW8" s="112">
        <f t="shared" si="32"/>
        <v>9663.0600000000031</v>
      </c>
      <c r="AX8" s="63">
        <f t="shared" si="33"/>
        <v>8540.7370124280242</v>
      </c>
      <c r="AY8" s="194">
        <f t="shared" si="71"/>
        <v>46293.660000000011</v>
      </c>
      <c r="AZ8" s="112">
        <f>SUM($AV$3:$AV8)</f>
        <v>46293.660000000011</v>
      </c>
      <c r="BA8" s="63">
        <f t="shared" si="34"/>
        <v>40916.849880137204</v>
      </c>
      <c r="BB8" s="63">
        <f>SUM($AX$3:$AX8)</f>
        <v>43264.142848944291</v>
      </c>
      <c r="BC8" s="63">
        <f t="shared" si="35"/>
        <v>24605.702765575155</v>
      </c>
      <c r="BD8" s="114">
        <f t="shared" si="7"/>
        <v>6088.2387655751518</v>
      </c>
      <c r="BE8" s="72">
        <f t="shared" si="36"/>
        <v>18517.464000000004</v>
      </c>
      <c r="BF8" s="72">
        <f t="shared" si="8"/>
        <v>0</v>
      </c>
      <c r="BG8" s="63">
        <f t="shared" si="37"/>
        <v>0</v>
      </c>
      <c r="BH8" s="114">
        <f t="shared" si="9"/>
        <v>0</v>
      </c>
      <c r="BI8" s="63">
        <f t="shared" si="38"/>
        <v>27776.196000000007</v>
      </c>
      <c r="BJ8" s="114">
        <f t="shared" si="10"/>
        <v>0</v>
      </c>
      <c r="BK8" s="119">
        <f t="shared" si="11"/>
        <v>52381.898765575163</v>
      </c>
      <c r="BL8" s="126">
        <f t="shared" si="39"/>
        <v>6088.2387655751518</v>
      </c>
      <c r="BM8" s="120">
        <f t="shared" si="12"/>
        <v>46297.965817081276</v>
      </c>
      <c r="BN8" s="113">
        <f t="shared" si="13"/>
        <v>5381.115936944072</v>
      </c>
      <c r="BO8" s="63">
        <f t="shared" si="14"/>
        <v>3982.0257933386129</v>
      </c>
      <c r="BP8" s="63">
        <f t="shared" si="40"/>
        <v>1399.0901436054555</v>
      </c>
      <c r="BQ8" s="63">
        <f t="shared" si="15"/>
        <v>0</v>
      </c>
      <c r="BR8" s="63">
        <f t="shared" si="16"/>
        <v>0</v>
      </c>
      <c r="BS8" s="63">
        <f t="shared" si="41"/>
        <v>0</v>
      </c>
      <c r="BT8" s="63">
        <f t="shared" si="17"/>
        <v>0</v>
      </c>
      <c r="BV8" s="63">
        <f t="shared" si="42"/>
        <v>1582.9420790495394</v>
      </c>
      <c r="BW8" s="63">
        <f t="shared" si="18"/>
        <v>1399.0901436054587</v>
      </c>
      <c r="BX8" s="113">
        <f t="shared" si="19"/>
        <v>50798.95668652562</v>
      </c>
      <c r="BY8" s="63">
        <f t="shared" si="20"/>
        <v>44898.875673475821</v>
      </c>
      <c r="BZ8" s="63">
        <f t="shared" si="43"/>
        <v>44898.875673475821</v>
      </c>
      <c r="CA8" s="63">
        <f t="shared" si="21"/>
        <v>0</v>
      </c>
      <c r="CB8" s="204">
        <f t="shared" si="44"/>
        <v>9.2039863291634355E-2</v>
      </c>
      <c r="CC8" s="63">
        <f t="shared" si="45"/>
        <v>0</v>
      </c>
      <c r="CD8" s="63">
        <f t="shared" si="46"/>
        <v>0</v>
      </c>
      <c r="CE8" s="63">
        <f t="shared" si="47"/>
        <v>0</v>
      </c>
      <c r="CF8" s="63">
        <f t="shared" si="48"/>
        <v>0</v>
      </c>
      <c r="CG8" s="63">
        <f t="shared" si="49"/>
        <v>0</v>
      </c>
      <c r="CH8" s="63">
        <f t="shared" si="50"/>
        <v>0</v>
      </c>
      <c r="CI8" s="63">
        <f t="shared" si="51"/>
        <v>0</v>
      </c>
      <c r="CJ8" s="63">
        <f t="shared" si="52"/>
        <v>0</v>
      </c>
      <c r="CK8" s="63">
        <f t="shared" si="53"/>
        <v>0</v>
      </c>
      <c r="CL8" s="63">
        <f t="shared" si="54"/>
        <v>0</v>
      </c>
      <c r="CM8" s="63">
        <f t="shared" si="55"/>
        <v>0</v>
      </c>
      <c r="CN8" s="63">
        <f t="shared" si="56"/>
        <v>0</v>
      </c>
      <c r="CO8" s="63">
        <f t="shared" si="57"/>
        <v>0</v>
      </c>
      <c r="CP8" s="63">
        <f t="shared" si="58"/>
        <v>0</v>
      </c>
      <c r="CQ8" s="63">
        <f t="shared" si="59"/>
        <v>0</v>
      </c>
      <c r="CR8" s="63">
        <f t="shared" si="60"/>
        <v>0</v>
      </c>
      <c r="CS8" s="63">
        <f t="shared" si="61"/>
        <v>0</v>
      </c>
      <c r="CT8" s="63">
        <f t="shared" si="62"/>
        <v>0</v>
      </c>
      <c r="CU8" s="63">
        <f t="shared" si="63"/>
        <v>0</v>
      </c>
      <c r="CV8" s="63">
        <f t="shared" si="64"/>
        <v>0</v>
      </c>
      <c r="CW8" s="63">
        <f t="shared" si="65"/>
        <v>-1000</v>
      </c>
      <c r="CY8" s="63">
        <f t="shared" si="66"/>
        <v>49723.209614088213</v>
      </c>
      <c r="CZ8" s="63">
        <f t="shared" si="67"/>
        <v>3429.5496140882024</v>
      </c>
      <c r="DA8" s="63">
        <f t="shared" si="68"/>
        <v>891.68289966293264</v>
      </c>
      <c r="DB8" s="63">
        <f t="shared" si="69"/>
        <v>788.11775405516983</v>
      </c>
      <c r="DC8" s="63">
        <f t="shared" si="22"/>
        <v>43948.072011118631</v>
      </c>
      <c r="DD8" s="63">
        <f t="shared" si="70"/>
        <v>43159.954257063458</v>
      </c>
    </row>
    <row r="9" spans="2:108" s="63" customFormat="1" ht="14.25" customHeight="1" x14ac:dyDescent="0.3">
      <c r="B9">
        <v>10</v>
      </c>
      <c r="C9">
        <v>7</v>
      </c>
      <c r="D9" s="63">
        <f t="shared" si="23"/>
        <v>56923.026000000013</v>
      </c>
      <c r="E9" s="63">
        <f t="shared" si="24"/>
        <v>49084.546920788329</v>
      </c>
      <c r="F9" s="63">
        <f>SUM($AX$3:$AX9)</f>
        <v>52429.811837891437</v>
      </c>
      <c r="G9" s="63">
        <f t="shared" si="0"/>
        <v>66111.583314037649</v>
      </c>
      <c r="H9" s="63">
        <f t="shared" si="1"/>
        <v>8774.7960024006243</v>
      </c>
      <c r="I9" s="63">
        <f>( Table28[[#This Row],[Future value (Nominal)]]-Table28[[#This Row],[Tax (Nominal)]] ) -K9</f>
        <v>8774.7960024006243</v>
      </c>
      <c r="J9" s="63">
        <f t="shared" si="25"/>
        <v>57007.811095381454</v>
      </c>
      <c r="K9" s="63">
        <f t="shared" si="2"/>
        <v>54947.762409987241</v>
      </c>
      <c r="L9" s="63">
        <f t="shared" si="26"/>
        <v>2389.0249016497828</v>
      </c>
      <c r="M9" s="63">
        <f t="shared" si="3"/>
        <v>2060.0486853942102</v>
      </c>
      <c r="N9" s="63">
        <f t="shared" si="27"/>
        <v>9188.5573140376255</v>
      </c>
      <c r="O9" s="63">
        <f t="shared" si="4"/>
        <v>5863.2154891989057</v>
      </c>
      <c r="P9" s="147">
        <f t="shared" si="28"/>
        <v>0.10284933531484051</v>
      </c>
      <c r="Q9" s="145">
        <f t="shared" si="29"/>
        <v>0.11182980223571361</v>
      </c>
      <c r="R9" s="145">
        <f>Table28[[#This Row],[Net Capital gain(Real)]]/Table28[[#This Row],[Savings (Real, adj. per year)]]</f>
        <v>0.11182980223784655</v>
      </c>
      <c r="S9" s="63">
        <f t="shared" si="5"/>
        <v>5863.2154891989057</v>
      </c>
      <c r="T9" s="145">
        <f>IF(Table28[[#This Row],[+10% Net Gain/Savings (real, adj.)'']]&gt;0,Table28[[#This Row],[Real Capital gain/Savings (adj. per year)]],-0.000001)</f>
        <v>0.11182980223571361</v>
      </c>
      <c r="U9" s="208">
        <f>((Table28[[#This Row],[Net Present value (real)]]-Table28[[#This Row],[Savings* (real, full inflation* max year)]])) /Table28[[#This Row],[Savings* (real, full inflation* max year)]]</f>
        <v>0.11945135194302299</v>
      </c>
      <c r="V9" s="208">
        <f>IF(U8=0,0,IF(Table28[[#This Row],[Real Capital gain/Savings* (all inflation)]]&gt;ROUNDUP(U8,1),Table28[[#This Row],[Real Capital gain/Savings* (all inflation)]],0))</f>
        <v>0.11945135194302299</v>
      </c>
      <c r="W9" s="235">
        <f>IF(Table28[[#This Row],[Column1]]&gt;0,Table28[[#This Row],[Net Capital gain(Real)]],-1000)</f>
        <v>5863.2154891989057</v>
      </c>
      <c r="X9" s="63">
        <f>Table28[[#This Row],[Net Present value (real)]]-Table28[[#This Row],[Net Capital gain(Real)]]-Table28[[#This Row],[Savings* (real, full inflation* max year)]]</f>
        <v>0</v>
      </c>
      <c r="Y9" s="63">
        <f t="shared" si="30"/>
        <v>61943.718321739041</v>
      </c>
      <c r="Z9" s="63">
        <f t="shared" si="31"/>
        <v>52288.249088739103</v>
      </c>
      <c r="AA9" s="243">
        <f>((Table28[[#This Row],[Net Present value (real)]]-Table28[[#This Row],[Net deposit (real)]]))</f>
        <v>2659.5133212481378</v>
      </c>
      <c r="AB9" s="241">
        <f>((Table28[[#This Row],[Net gain on deposit]] / Table28[[#This Row],[Net deposit (real)]]))</f>
        <v>5.0862543068417559E-2</v>
      </c>
      <c r="AC9" s="241">
        <f>IF(AB8=0,0,IF(Table28[[#This Row],[Net gain on deposit/Deposit]]&gt;ROUNDUP(AB8,1),Table28[[#This Row],[Net gain on deposit/Deposit]],0))</f>
        <v>0</v>
      </c>
      <c r="AD9" s="242">
        <f>IF(Table28[[#This Row],[Column13]]&gt;0,Table28[[#This Row],[Net gain on deposit]],-1000)</f>
        <v>-1000</v>
      </c>
      <c r="AE9"/>
      <c r="AF9"/>
      <c r="AG9"/>
      <c r="AH9"/>
      <c r="AI9" s="113"/>
      <c r="AJ9" s="200"/>
      <c r="AK9" s="200"/>
      <c r="AL9" s="200"/>
      <c r="AM9" s="200"/>
      <c r="AN9"/>
      <c r="AO9"/>
      <c r="AP9"/>
      <c r="AQ9"/>
      <c r="AR9"/>
      <c r="AS9"/>
      <c r="AT9"/>
      <c r="AU9">
        <v>7</v>
      </c>
      <c r="AV9" s="63">
        <f t="shared" si="6"/>
        <v>10629.366000000005</v>
      </c>
      <c r="AW9" s="112">
        <f t="shared" si="32"/>
        <v>10629.366000000005</v>
      </c>
      <c r="AX9" s="63">
        <f t="shared" si="33"/>
        <v>9165.668988947149</v>
      </c>
      <c r="AY9" s="194">
        <f t="shared" si="71"/>
        <v>56923.026000000013</v>
      </c>
      <c r="AZ9" s="112">
        <f>SUM($AV$3:$AV9)</f>
        <v>56923.026000000013</v>
      </c>
      <c r="BA9" s="63">
        <f t="shared" si="34"/>
        <v>49084.546920788329</v>
      </c>
      <c r="BB9" s="63">
        <f>SUM($AX$3:$AX9)</f>
        <v>52429.811837891437</v>
      </c>
      <c r="BC9" s="63">
        <f t="shared" si="35"/>
        <v>31957.767714037633</v>
      </c>
      <c r="BD9" s="114">
        <f t="shared" si="7"/>
        <v>9188.5573140376255</v>
      </c>
      <c r="BE9" s="72">
        <f t="shared" si="36"/>
        <v>22769.210400000007</v>
      </c>
      <c r="BF9" s="72">
        <f t="shared" si="8"/>
        <v>0</v>
      </c>
      <c r="BG9" s="63">
        <f t="shared" si="37"/>
        <v>0</v>
      </c>
      <c r="BH9" s="114">
        <f t="shared" si="9"/>
        <v>0</v>
      </c>
      <c r="BI9" s="63">
        <f t="shared" si="38"/>
        <v>34153.815600000009</v>
      </c>
      <c r="BJ9" s="114">
        <f t="shared" si="10"/>
        <v>0</v>
      </c>
      <c r="BK9" s="119">
        <f t="shared" si="11"/>
        <v>66111.583314037649</v>
      </c>
      <c r="BL9" s="126">
        <f t="shared" si="39"/>
        <v>9188.5573140376255</v>
      </c>
      <c r="BM9" s="120">
        <f t="shared" si="12"/>
        <v>57007.811095381454</v>
      </c>
      <c r="BN9" s="113">
        <f t="shared" si="13"/>
        <v>7923.264174593116</v>
      </c>
      <c r="BO9" s="63">
        <f t="shared" si="14"/>
        <v>5863.2154891989057</v>
      </c>
      <c r="BP9" s="63">
        <f t="shared" si="40"/>
        <v>2060.0486853942202</v>
      </c>
      <c r="BQ9" s="63">
        <f t="shared" si="15"/>
        <v>0</v>
      </c>
      <c r="BR9" s="63">
        <f t="shared" si="16"/>
        <v>0</v>
      </c>
      <c r="BS9" s="63">
        <f t="shared" si="41"/>
        <v>0</v>
      </c>
      <c r="BT9" s="63">
        <f t="shared" si="17"/>
        <v>0</v>
      </c>
      <c r="BV9" s="63">
        <f t="shared" si="42"/>
        <v>2389.0249016497828</v>
      </c>
      <c r="BW9" s="63">
        <f t="shared" si="18"/>
        <v>2060.0486853942102</v>
      </c>
      <c r="BX9" s="113">
        <f t="shared" si="19"/>
        <v>63722.558412387865</v>
      </c>
      <c r="BY9" s="63">
        <f t="shared" si="20"/>
        <v>54947.762409987241</v>
      </c>
      <c r="BZ9" s="63">
        <f t="shared" si="43"/>
        <v>54947.762409987241</v>
      </c>
      <c r="CA9" s="63">
        <f t="shared" si="21"/>
        <v>0</v>
      </c>
      <c r="CB9" s="204">
        <f t="shared" si="44"/>
        <v>0.11182980223571361</v>
      </c>
      <c r="CC9" s="63">
        <f t="shared" si="45"/>
        <v>5863.2154891989057</v>
      </c>
      <c r="CD9" s="63">
        <f t="shared" si="46"/>
        <v>0</v>
      </c>
      <c r="CE9" s="63">
        <f t="shared" si="47"/>
        <v>0</v>
      </c>
      <c r="CF9" s="63">
        <f t="shared" si="48"/>
        <v>0</v>
      </c>
      <c r="CG9" s="63">
        <f t="shared" si="49"/>
        <v>0</v>
      </c>
      <c r="CH9" s="63">
        <f t="shared" si="50"/>
        <v>0</v>
      </c>
      <c r="CI9" s="63">
        <f t="shared" si="51"/>
        <v>0</v>
      </c>
      <c r="CJ9" s="63">
        <f t="shared" si="52"/>
        <v>0</v>
      </c>
      <c r="CK9" s="63">
        <f t="shared" si="53"/>
        <v>0</v>
      </c>
      <c r="CL9" s="63">
        <f t="shared" si="54"/>
        <v>0</v>
      </c>
      <c r="CM9" s="63">
        <f t="shared" si="55"/>
        <v>0</v>
      </c>
      <c r="CN9" s="63">
        <f t="shared" si="56"/>
        <v>0</v>
      </c>
      <c r="CO9" s="63">
        <f t="shared" si="57"/>
        <v>0</v>
      </c>
      <c r="CP9" s="63">
        <f t="shared" si="58"/>
        <v>0</v>
      </c>
      <c r="CQ9" s="63">
        <f t="shared" si="59"/>
        <v>0</v>
      </c>
      <c r="CR9" s="63">
        <f t="shared" si="60"/>
        <v>0</v>
      </c>
      <c r="CS9" s="63">
        <f t="shared" si="61"/>
        <v>0</v>
      </c>
      <c r="CT9" s="63">
        <f t="shared" si="62"/>
        <v>0</v>
      </c>
      <c r="CU9" s="63">
        <f t="shared" si="63"/>
        <v>0</v>
      </c>
      <c r="CV9" s="63">
        <f t="shared" si="64"/>
        <v>0</v>
      </c>
      <c r="CW9" s="63">
        <f t="shared" si="65"/>
        <v>5863.2154891989057</v>
      </c>
      <c r="CY9" s="63">
        <f t="shared" si="66"/>
        <v>61943.718321739041</v>
      </c>
      <c r="CZ9" s="63">
        <f t="shared" si="67"/>
        <v>5020.6923217390286</v>
      </c>
      <c r="DA9" s="63">
        <f t="shared" si="68"/>
        <v>1305.3800036521475</v>
      </c>
      <c r="DB9" s="63">
        <f t="shared" si="69"/>
        <v>1125.6250860367588</v>
      </c>
      <c r="DC9" s="63">
        <f t="shared" si="22"/>
        <v>53413.874174775861</v>
      </c>
      <c r="DD9" s="63">
        <f t="shared" si="70"/>
        <v>52288.249088739103</v>
      </c>
    </row>
    <row r="10" spans="2:108" s="63" customFormat="1" ht="14.25" customHeight="1" x14ac:dyDescent="0.3">
      <c r="B10">
        <v>10</v>
      </c>
      <c r="C10">
        <v>8</v>
      </c>
      <c r="D10" s="63">
        <f t="shared" si="23"/>
        <v>68615.328600000023</v>
      </c>
      <c r="E10" s="63">
        <f t="shared" si="24"/>
        <v>57723.690545005069</v>
      </c>
      <c r="F10" s="63">
        <f>SUM($AX$3:$AX10)</f>
        <v>62266.139533346912</v>
      </c>
      <c r="G10" s="63">
        <f t="shared" si="0"/>
        <v>81830.564646006387</v>
      </c>
      <c r="H10" s="63">
        <f t="shared" si="1"/>
        <v>12443.948921434116</v>
      </c>
      <c r="I10" s="63">
        <f>( Table28[[#This Row],[Future value (Nominal)]]-Table28[[#This Row],[Tax (Nominal)]] ) -K10</f>
        <v>12443.948921434116</v>
      </c>
      <c r="J10" s="63">
        <f t="shared" si="25"/>
        <v>68841.209203931488</v>
      </c>
      <c r="K10" s="63">
        <f t="shared" si="2"/>
        <v>65950.654352610611</v>
      </c>
      <c r="L10" s="63">
        <f t="shared" si="26"/>
        <v>3435.961371961655</v>
      </c>
      <c r="M10" s="63">
        <f t="shared" si="3"/>
        <v>2890.5548513208691</v>
      </c>
      <c r="N10" s="63">
        <f t="shared" si="27"/>
        <v>13215.236046006365</v>
      </c>
      <c r="O10" s="63">
        <f t="shared" si="4"/>
        <v>8226.9638076055489</v>
      </c>
      <c r="P10" s="147">
        <f t="shared" si="28"/>
        <v>0.11950638129094734</v>
      </c>
      <c r="Q10" s="145">
        <f t="shared" si="29"/>
        <v>0.13212580495804521</v>
      </c>
      <c r="R10" s="145">
        <f>Table28[[#This Row],[Net Capital gain(Real)]]/Table28[[#This Row],[Savings (Real, adj. per year)]]</f>
        <v>0.13212580496016718</v>
      </c>
      <c r="S10" s="63">
        <f t="shared" si="5"/>
        <v>-1000</v>
      </c>
      <c r="T10" s="145">
        <f>IF(Table28[[#This Row],[+10% Net Gain/Savings (real, adj.)'']]&gt;0,Table28[[#This Row],[Real Capital gain/Savings (adj. per year)]],-0.000001)</f>
        <v>-9.9999999999999995E-7</v>
      </c>
      <c r="U10" s="208">
        <f>((Table28[[#This Row],[Net Present value (real)]]-Table28[[#This Row],[Savings* (real, full inflation* max year)]])) /Table28[[#This Row],[Savings* (real, full inflation* max year)]]</f>
        <v>0.14252317774434878</v>
      </c>
      <c r="V10" s="208">
        <f>IF(U9=0,0,IF(Table28[[#This Row],[Real Capital gain/Savings* (all inflation)]]&gt;ROUNDUP(U9,1),Table28[[#This Row],[Real Capital gain/Savings* (all inflation)]],0))</f>
        <v>0</v>
      </c>
      <c r="W10" s="235">
        <f>IF(Table28[[#This Row],[Column1]]&gt;0,Table28[[#This Row],[Net Capital gain(Real)]],-1000)</f>
        <v>-1000</v>
      </c>
      <c r="X10" s="63">
        <f>Table28[[#This Row],[Net Present value (real)]]-Table28[[#This Row],[Net Capital gain(Real)]]-Table28[[#This Row],[Savings* (real, full inflation* max year)]]</f>
        <v>0</v>
      </c>
      <c r="Y10" s="63">
        <f t="shared" si="30"/>
        <v>75618.219908034705</v>
      </c>
      <c r="Z10" s="63">
        <f t="shared" si="31"/>
        <v>62083.244406867962</v>
      </c>
      <c r="AA10" s="243">
        <f>((Table28[[#This Row],[Net Present value (real)]]-Table28[[#This Row],[Net deposit (real)]]))</f>
        <v>3867.4099457426491</v>
      </c>
      <c r="AB10" s="241">
        <f>((Table28[[#This Row],[Net gain on deposit]] / Table28[[#This Row],[Net deposit (real)]]))</f>
        <v>6.2293940703182976E-2</v>
      </c>
      <c r="AC10" s="241">
        <f>IF(AB9=0,0,IF(Table28[[#This Row],[Net gain on deposit/Deposit]]&gt;ROUNDUP(AB9,1),Table28[[#This Row],[Net gain on deposit/Deposit]],0))</f>
        <v>0</v>
      </c>
      <c r="AD10" s="242">
        <f>IF(Table28[[#This Row],[Column13]]&gt;0,Table28[[#This Row],[Net gain on deposit]],-1000)</f>
        <v>-1000</v>
      </c>
      <c r="AE10"/>
      <c r="AF10"/>
      <c r="AG10"/>
      <c r="AH10"/>
      <c r="AJ10" s="200"/>
      <c r="AK10" s="200"/>
      <c r="AL10" s="200"/>
      <c r="AM10" s="200"/>
      <c r="AN10"/>
      <c r="AO10"/>
      <c r="AP10"/>
      <c r="AQ10"/>
      <c r="AR10"/>
      <c r="AS10"/>
      <c r="AT10"/>
      <c r="AU10">
        <v>8</v>
      </c>
      <c r="AV10" s="63">
        <f t="shared" si="6"/>
        <v>11692.302600000006</v>
      </c>
      <c r="AW10" s="112">
        <f t="shared" si="32"/>
        <v>11692.302600000006</v>
      </c>
      <c r="AX10" s="63">
        <f t="shared" si="33"/>
        <v>9836.3276954554785</v>
      </c>
      <c r="AY10" s="194">
        <f t="shared" si="71"/>
        <v>68615.328600000023</v>
      </c>
      <c r="AZ10" s="112">
        <f>SUM($AV$3:$AV10)</f>
        <v>68615.328600000023</v>
      </c>
      <c r="BA10" s="63">
        <f t="shared" si="34"/>
        <v>57723.690545005069</v>
      </c>
      <c r="BB10" s="63">
        <f>SUM($AX$3:$AX10)</f>
        <v>62266.139533346912</v>
      </c>
      <c r="BC10" s="63">
        <f t="shared" si="35"/>
        <v>40661.367486006377</v>
      </c>
      <c r="BD10" s="114">
        <f t="shared" si="7"/>
        <v>13215.236046006365</v>
      </c>
      <c r="BE10" s="72">
        <f t="shared" si="36"/>
        <v>27446.131440000012</v>
      </c>
      <c r="BF10" s="72">
        <f t="shared" si="8"/>
        <v>0</v>
      </c>
      <c r="BG10" s="63">
        <f t="shared" si="37"/>
        <v>0</v>
      </c>
      <c r="BH10" s="114">
        <f t="shared" si="9"/>
        <v>0</v>
      </c>
      <c r="BI10" s="63">
        <f t="shared" si="38"/>
        <v>41169.197160000011</v>
      </c>
      <c r="BJ10" s="114">
        <f t="shared" si="10"/>
        <v>0</v>
      </c>
      <c r="BK10" s="119">
        <f t="shared" si="11"/>
        <v>81830.564646006387</v>
      </c>
      <c r="BL10" s="126">
        <f t="shared" si="39"/>
        <v>13215.236046006365</v>
      </c>
      <c r="BM10" s="120">
        <f t="shared" si="12"/>
        <v>68841.209203931488</v>
      </c>
      <c r="BN10" s="113">
        <f t="shared" si="13"/>
        <v>11117.518658926418</v>
      </c>
      <c r="BO10" s="63">
        <f t="shared" si="14"/>
        <v>8226.9638076055489</v>
      </c>
      <c r="BP10" s="63">
        <f t="shared" si="40"/>
        <v>2890.5548513208778</v>
      </c>
      <c r="BQ10" s="63">
        <f t="shared" si="15"/>
        <v>0</v>
      </c>
      <c r="BR10" s="63">
        <f t="shared" si="16"/>
        <v>0</v>
      </c>
      <c r="BS10" s="63">
        <f t="shared" si="41"/>
        <v>0</v>
      </c>
      <c r="BT10" s="63">
        <f t="shared" si="17"/>
        <v>0</v>
      </c>
      <c r="BV10" s="63">
        <f t="shared" si="42"/>
        <v>3435.961371961655</v>
      </c>
      <c r="BW10" s="63">
        <f t="shared" si="18"/>
        <v>2890.5548513208691</v>
      </c>
      <c r="BX10" s="113">
        <f t="shared" si="19"/>
        <v>78394.603274044726</v>
      </c>
      <c r="BY10" s="63">
        <f t="shared" si="20"/>
        <v>65950.654352610611</v>
      </c>
      <c r="BZ10" s="63">
        <f t="shared" si="43"/>
        <v>65950.654352610625</v>
      </c>
      <c r="CA10" s="63">
        <f t="shared" si="21"/>
        <v>0</v>
      </c>
      <c r="CB10" s="204">
        <f t="shared" si="44"/>
        <v>0.13212580495804521</v>
      </c>
      <c r="CC10" s="63">
        <f t="shared" si="45"/>
        <v>8226.9638076055489</v>
      </c>
      <c r="CD10" s="63">
        <f t="shared" si="46"/>
        <v>0</v>
      </c>
      <c r="CE10" s="63">
        <f t="shared" si="47"/>
        <v>0</v>
      </c>
      <c r="CF10" s="63">
        <f t="shared" si="48"/>
        <v>0</v>
      </c>
      <c r="CG10" s="63">
        <f t="shared" si="49"/>
        <v>0</v>
      </c>
      <c r="CH10" s="63">
        <f t="shared" si="50"/>
        <v>0</v>
      </c>
      <c r="CI10" s="63">
        <f t="shared" si="51"/>
        <v>0</v>
      </c>
      <c r="CJ10" s="63">
        <f t="shared" si="52"/>
        <v>0</v>
      </c>
      <c r="CK10" s="63">
        <f t="shared" si="53"/>
        <v>0</v>
      </c>
      <c r="CL10" s="63">
        <f t="shared" si="54"/>
        <v>0</v>
      </c>
      <c r="CM10" s="63">
        <f t="shared" si="55"/>
        <v>0</v>
      </c>
      <c r="CN10" s="63">
        <f t="shared" si="56"/>
        <v>0</v>
      </c>
      <c r="CO10" s="63">
        <f t="shared" si="57"/>
        <v>0</v>
      </c>
      <c r="CP10" s="63">
        <f t="shared" si="58"/>
        <v>0</v>
      </c>
      <c r="CQ10" s="63">
        <f t="shared" si="59"/>
        <v>0</v>
      </c>
      <c r="CR10" s="63">
        <f t="shared" si="60"/>
        <v>0</v>
      </c>
      <c r="CS10" s="63">
        <f t="shared" si="61"/>
        <v>0</v>
      </c>
      <c r="CT10" s="63">
        <f t="shared" si="62"/>
        <v>0</v>
      </c>
      <c r="CU10" s="63">
        <f t="shared" si="63"/>
        <v>0</v>
      </c>
      <c r="CV10" s="63">
        <f t="shared" si="64"/>
        <v>0</v>
      </c>
      <c r="CW10" s="63">
        <f t="shared" si="65"/>
        <v>-1000</v>
      </c>
      <c r="CY10" s="63">
        <f t="shared" si="66"/>
        <v>75618.219908034705</v>
      </c>
      <c r="CZ10" s="63">
        <f t="shared" si="67"/>
        <v>7002.8913080346829</v>
      </c>
      <c r="DA10" s="63">
        <f t="shared" si="68"/>
        <v>1820.7517400890176</v>
      </c>
      <c r="DB10" s="63">
        <f t="shared" si="69"/>
        <v>1531.7351406545317</v>
      </c>
      <c r="DC10" s="63">
        <f t="shared" si="22"/>
        <v>63614.979547522496</v>
      </c>
      <c r="DD10" s="63">
        <f t="shared" si="70"/>
        <v>62083.244406867962</v>
      </c>
    </row>
    <row r="11" spans="2:108" s="63" customFormat="1" ht="14.25" customHeight="1" x14ac:dyDescent="0.3">
      <c r="B11">
        <v>10</v>
      </c>
      <c r="C11">
        <v>9</v>
      </c>
      <c r="D11" s="63">
        <f t="shared" si="23"/>
        <v>81476.861460000029</v>
      </c>
      <c r="E11" s="63">
        <f t="shared" si="24"/>
        <v>66871.854643908388</v>
      </c>
      <c r="F11" s="63">
        <f>SUM($AX$3:$AX11)</f>
        <v>72822.198523591811</v>
      </c>
      <c r="G11" s="63">
        <f t="shared" si="0"/>
        <v>99815.4298092432</v>
      </c>
      <c r="H11" s="63">
        <f t="shared" si="1"/>
        <v>17037.572750697087</v>
      </c>
      <c r="I11" s="63">
        <f>( Table28[[#This Row],[Future value (Nominal)]]-Table28[[#This Row],[Tax (Nominal)]] ) -K11</f>
        <v>17037.572750697087</v>
      </c>
      <c r="J11" s="63">
        <f t="shared" si="25"/>
        <v>81923.17173017122</v>
      </c>
      <c r="K11" s="63">
        <f t="shared" si="2"/>
        <v>78009.82928774289</v>
      </c>
      <c r="L11" s="63">
        <f t="shared" si="26"/>
        <v>4768.0277708032245</v>
      </c>
      <c r="M11" s="63">
        <f t="shared" si="3"/>
        <v>3913.3424424283371</v>
      </c>
      <c r="N11" s="63">
        <f t="shared" si="27"/>
        <v>18338.568349243171</v>
      </c>
      <c r="O11" s="63">
        <f t="shared" si="4"/>
        <v>11137.974643834499</v>
      </c>
      <c r="P11" s="147">
        <f t="shared" si="28"/>
        <v>0.13595634049574884</v>
      </c>
      <c r="Q11" s="145">
        <f t="shared" si="29"/>
        <v>0.15294751970545414</v>
      </c>
      <c r="R11" s="145">
        <f>Table28[[#This Row],[Net Capital gain(Real)]]/Table28[[#This Row],[Savings (Real, adj. per year)]]</f>
        <v>0.15294751970755444</v>
      </c>
      <c r="S11" s="63">
        <f t="shared" si="5"/>
        <v>-1000</v>
      </c>
      <c r="T11" s="145">
        <f>IF(Table28[[#This Row],[+10% Net Gain/Savings (real, adj.)'']]&gt;0,Table28[[#This Row],[Real Capital gain/Savings (adj. per year)]],-0.000001)</f>
        <v>-9.9999999999999995E-7</v>
      </c>
      <c r="U11" s="208">
        <f>((Table28[[#This Row],[Net Present value (real)]]-Table28[[#This Row],[Savings* (real, full inflation* max year)]])) /Table28[[#This Row],[Savings* (real, full inflation* max year)]]</f>
        <v>0.16655698728776178</v>
      </c>
      <c r="V11" s="208">
        <f>IF(U10=0,0,IF(Table28[[#This Row],[Real Capital gain/Savings* (all inflation)]]&gt;ROUNDUP(U10,1),Table28[[#This Row],[Real Capital gain/Savings* (all inflation)]],0))</f>
        <v>0</v>
      </c>
      <c r="W11" s="235">
        <f>IF(Table28[[#This Row],[Column1]]&gt;0,Table28[[#This Row],[Net Capital gain(Real)]],-1000)</f>
        <v>-1000</v>
      </c>
      <c r="X11" s="63">
        <f>Table28[[#This Row],[Net Present value (real)]]-Table28[[#This Row],[Net Capital gain(Real)]]-Table28[[#This Row],[Savings* (real, full inflation* max year)]]</f>
        <v>0</v>
      </c>
      <c r="Y11" s="63">
        <f t="shared" si="30"/>
        <v>90899.535805091829</v>
      </c>
      <c r="Z11" s="63">
        <f t="shared" si="31"/>
        <v>72594.739109809118</v>
      </c>
      <c r="AA11" s="243">
        <f>((Table28[[#This Row],[Net Present value (real)]]-Table28[[#This Row],[Net deposit (real)]]))</f>
        <v>5415.0901779337728</v>
      </c>
      <c r="AB11" s="241">
        <f>((Table28[[#This Row],[Net gain on deposit]] / Table28[[#This Row],[Net deposit (real)]]))</f>
        <v>7.4593424321599044E-2</v>
      </c>
      <c r="AC11" s="241">
        <f>IF(AB10=0,0,IF(Table28[[#This Row],[Net gain on deposit/Deposit]]&gt;ROUNDUP(AB10,1),Table28[[#This Row],[Net gain on deposit/Deposit]],0))</f>
        <v>0</v>
      </c>
      <c r="AD11" s="242">
        <f>IF(Table28[[#This Row],[Column13]]&gt;0,Table28[[#This Row],[Net gain on deposit]],-1000)</f>
        <v>-1000</v>
      </c>
      <c r="AE11"/>
      <c r="AF11"/>
      <c r="AG11"/>
      <c r="AH11"/>
      <c r="AI11"/>
      <c r="AJ11" s="200"/>
      <c r="AK11" s="200"/>
      <c r="AL11" s="200"/>
      <c r="AM11" s="200"/>
      <c r="AN11"/>
      <c r="AO11"/>
      <c r="AP11"/>
      <c r="AQ11"/>
      <c r="AR11"/>
      <c r="AS11"/>
      <c r="AT11"/>
      <c r="AU11">
        <v>9</v>
      </c>
      <c r="AV11" s="63">
        <f t="shared" si="6"/>
        <v>12861.532860000007</v>
      </c>
      <c r="AW11" s="112">
        <f t="shared" si="32"/>
        <v>12861.532860000007</v>
      </c>
      <c r="AX11" s="63">
        <f t="shared" si="33"/>
        <v>10556.058990244903</v>
      </c>
      <c r="AY11" s="194">
        <f t="shared" si="71"/>
        <v>81476.861460000029</v>
      </c>
      <c r="AZ11" s="112">
        <f>SUM($AV$3:$AV11)</f>
        <v>81476.861460000029</v>
      </c>
      <c r="BA11" s="63">
        <f t="shared" si="34"/>
        <v>66871.854643908388</v>
      </c>
      <c r="BB11" s="63">
        <f>SUM($AX$3:$AX11)</f>
        <v>72822.198523591811</v>
      </c>
      <c r="BC11" s="63">
        <f t="shared" si="35"/>
        <v>50929.312933243185</v>
      </c>
      <c r="BD11" s="114">
        <f t="shared" si="7"/>
        <v>18338.568349243171</v>
      </c>
      <c r="BE11" s="72">
        <f t="shared" si="36"/>
        <v>32590.744584000015</v>
      </c>
      <c r="BF11" s="72">
        <f t="shared" si="8"/>
        <v>0</v>
      </c>
      <c r="BG11" s="63">
        <f t="shared" si="37"/>
        <v>0</v>
      </c>
      <c r="BH11" s="114">
        <f t="shared" si="9"/>
        <v>0</v>
      </c>
      <c r="BI11" s="63">
        <f t="shared" si="38"/>
        <v>48886.116876000015</v>
      </c>
      <c r="BJ11" s="114">
        <f t="shared" si="10"/>
        <v>0</v>
      </c>
      <c r="BK11" s="119">
        <f t="shared" si="11"/>
        <v>99815.4298092432</v>
      </c>
      <c r="BL11" s="126">
        <f t="shared" si="39"/>
        <v>18338.568349243171</v>
      </c>
      <c r="BM11" s="120">
        <f t="shared" si="12"/>
        <v>81923.17173017122</v>
      </c>
      <c r="BN11" s="113">
        <f t="shared" si="13"/>
        <v>15051.317086262836</v>
      </c>
      <c r="BO11" s="63">
        <f t="shared" si="14"/>
        <v>11137.974643834499</v>
      </c>
      <c r="BP11" s="63">
        <f t="shared" si="40"/>
        <v>3913.3424424283294</v>
      </c>
      <c r="BQ11" s="63">
        <f t="shared" si="15"/>
        <v>0</v>
      </c>
      <c r="BR11" s="63">
        <f t="shared" si="16"/>
        <v>0</v>
      </c>
      <c r="BS11" s="63">
        <f t="shared" si="41"/>
        <v>0</v>
      </c>
      <c r="BT11" s="63">
        <f t="shared" si="17"/>
        <v>0</v>
      </c>
      <c r="BV11" s="63">
        <f t="shared" si="42"/>
        <v>4768.0277708032245</v>
      </c>
      <c r="BW11" s="63">
        <f t="shared" si="18"/>
        <v>3913.3424424283371</v>
      </c>
      <c r="BX11" s="113">
        <f t="shared" si="19"/>
        <v>95047.402038439977</v>
      </c>
      <c r="BY11" s="63">
        <f t="shared" si="20"/>
        <v>78009.82928774289</v>
      </c>
      <c r="BZ11" s="63">
        <f t="shared" si="43"/>
        <v>78009.829287742876</v>
      </c>
      <c r="CA11" s="63">
        <f t="shared" si="21"/>
        <v>0</v>
      </c>
      <c r="CB11" s="204">
        <f t="shared" si="44"/>
        <v>0.15294751970545414</v>
      </c>
      <c r="CC11" s="63">
        <f t="shared" si="45"/>
        <v>11137.974643834499</v>
      </c>
      <c r="CD11" s="63">
        <f t="shared" si="46"/>
        <v>0</v>
      </c>
      <c r="CE11" s="63">
        <f t="shared" si="47"/>
        <v>0</v>
      </c>
      <c r="CF11" s="63">
        <f t="shared" si="48"/>
        <v>0</v>
      </c>
      <c r="CG11" s="63">
        <f t="shared" si="49"/>
        <v>0</v>
      </c>
      <c r="CH11" s="63">
        <f t="shared" si="50"/>
        <v>0</v>
      </c>
      <c r="CI11" s="63">
        <f t="shared" si="51"/>
        <v>0</v>
      </c>
      <c r="CJ11" s="63">
        <f t="shared" si="52"/>
        <v>0</v>
      </c>
      <c r="CK11" s="63">
        <f t="shared" si="53"/>
        <v>0</v>
      </c>
      <c r="CL11" s="63">
        <f t="shared" si="54"/>
        <v>0</v>
      </c>
      <c r="CM11" s="63">
        <f t="shared" si="55"/>
        <v>0</v>
      </c>
      <c r="CN11" s="63">
        <f t="shared" si="56"/>
        <v>0</v>
      </c>
      <c r="CO11" s="63">
        <f t="shared" si="57"/>
        <v>0</v>
      </c>
      <c r="CP11" s="63">
        <f t="shared" si="58"/>
        <v>0</v>
      </c>
      <c r="CQ11" s="63">
        <f t="shared" si="59"/>
        <v>0</v>
      </c>
      <c r="CR11" s="63">
        <f t="shared" si="60"/>
        <v>0</v>
      </c>
      <c r="CS11" s="63">
        <f t="shared" si="61"/>
        <v>0</v>
      </c>
      <c r="CT11" s="63">
        <f t="shared" si="62"/>
        <v>0</v>
      </c>
      <c r="CU11" s="63">
        <f t="shared" si="63"/>
        <v>0</v>
      </c>
      <c r="CV11" s="63">
        <f t="shared" si="64"/>
        <v>0</v>
      </c>
      <c r="CW11" s="63">
        <f t="shared" si="65"/>
        <v>-1000</v>
      </c>
      <c r="CY11" s="63">
        <f t="shared" si="66"/>
        <v>90899.535805091829</v>
      </c>
      <c r="CZ11" s="63">
        <f t="shared" si="67"/>
        <v>9422.6743450918002</v>
      </c>
      <c r="DA11" s="63">
        <f t="shared" si="68"/>
        <v>2449.8953297238681</v>
      </c>
      <c r="DB11" s="63">
        <f t="shared" si="69"/>
        <v>2010.7431907218738</v>
      </c>
      <c r="DC11" s="63">
        <f t="shared" si="22"/>
        <v>74605.482300530988</v>
      </c>
      <c r="DD11" s="63">
        <f t="shared" si="70"/>
        <v>72594.739109809118</v>
      </c>
    </row>
    <row r="12" spans="2:108" s="184" customFormat="1" x14ac:dyDescent="0.3">
      <c r="B12">
        <v>10</v>
      </c>
      <c r="C12" s="183">
        <v>10</v>
      </c>
      <c r="D12" s="184">
        <f t="shared" si="23"/>
        <v>95624.547606000036</v>
      </c>
      <c r="E12" s="63">
        <f t="shared" si="24"/>
        <v>76569.287349441758</v>
      </c>
      <c r="F12" s="63">
        <f>SUM($AX$3:$AX12)</f>
        <v>84150.652074098543</v>
      </c>
      <c r="G12" s="184">
        <f t="shared" si="0"/>
        <v>120380.20938483186</v>
      </c>
      <c r="H12" s="63">
        <f t="shared" si="1"/>
        <v>22705.755202399334</v>
      </c>
      <c r="I12" s="63">
        <f>( Table28[[#This Row],[Future value (Nominal)]]-Table28[[#This Row],[Tax (Nominal)]] ) -K12</f>
        <v>22705.755202399334</v>
      </c>
      <c r="J12" s="184">
        <f t="shared" si="25"/>
        <v>96391.847850110003</v>
      </c>
      <c r="K12" s="63">
        <f t="shared" si="2"/>
        <v>91237.982119936249</v>
      </c>
      <c r="L12" s="63">
        <f t="shared" si="26"/>
        <v>6436.4720624962747</v>
      </c>
      <c r="M12" s="63">
        <f t="shared" si="3"/>
        <v>5153.8657301737439</v>
      </c>
      <c r="N12" s="184">
        <f t="shared" si="27"/>
        <v>24755.661778831825</v>
      </c>
      <c r="O12" s="184">
        <f t="shared" si="4"/>
        <v>14668.694770494501</v>
      </c>
      <c r="P12" s="185">
        <f t="shared" si="28"/>
        <v>0.15217775239755388</v>
      </c>
      <c r="Q12" s="186">
        <f t="shared" si="29"/>
        <v>0.17431468929561858</v>
      </c>
      <c r="R12" s="145">
        <f>Table28[[#This Row],[Net Capital gain(Real)]]/Table28[[#This Row],[Savings (Real, adj. per year)]]</f>
        <v>0.17431468929769001</v>
      </c>
      <c r="S12" s="63">
        <f t="shared" si="5"/>
        <v>-1000</v>
      </c>
      <c r="T12" s="186">
        <f>IF(Table28[[#This Row],[+10% Net Gain/Savings (real, adj.)'']]&gt;0,Table28[[#This Row],[Real Capital gain/Savings (adj. per year)]],-0.000001)</f>
        <v>-9.9999999999999995E-7</v>
      </c>
      <c r="U12" s="208">
        <f>((Table28[[#This Row],[Net Present value (real)]]-Table28[[#This Row],[Savings* (real, full inflation* max year)]])) /Table28[[#This Row],[Savings* (real, full inflation* max year)]]</f>
        <v>0.19157413211318644</v>
      </c>
      <c r="V12" s="208">
        <f>IF(U11=0,0,IF(Table28[[#This Row],[Real Capital gain/Savings* (all inflation)]]&gt;ROUNDUP(U11,1),Table28[[#This Row],[Real Capital gain/Savings* (all inflation)]],0))</f>
        <v>0</v>
      </c>
      <c r="W12" s="235">
        <f>IF(Table28[[#This Row],[Column1]]&gt;0,Table28[[#This Row],[Net Capital gain(Real)]],-1000)</f>
        <v>-1000</v>
      </c>
      <c r="X12" s="63">
        <f>Table28[[#This Row],[Net Present value (real)]]-Table28[[#This Row],[Net Capital gain(Real)]]-Table28[[#This Row],[Savings* (real, full inflation* max year)]]</f>
        <v>0</v>
      </c>
      <c r="Y12" s="63">
        <f t="shared" si="30"/>
        <v>107956.00709685478</v>
      </c>
      <c r="Z12" s="63">
        <f t="shared" si="31"/>
        <v>83876.157873126926</v>
      </c>
      <c r="AA12" s="243">
        <f>((Table28[[#This Row],[Net Present value (real)]]-Table28[[#This Row],[Net deposit (real)]]))</f>
        <v>7361.8242468093231</v>
      </c>
      <c r="AB12" s="241">
        <f>((Table28[[#This Row],[Net gain on deposit]] / Table28[[#This Row],[Net deposit (real)]]))</f>
        <v>8.7770165366241423E-2</v>
      </c>
      <c r="AC12" s="241">
        <f>IF(AB11=0,0,IF(Table28[[#This Row],[Net gain on deposit/Deposit]]&gt;ROUNDUP(AB11,1),Table28[[#This Row],[Net gain on deposit/Deposit]],0))</f>
        <v>0</v>
      </c>
      <c r="AD12" s="242">
        <f>IF(Table28[[#This Row],[Column13]]&gt;0,Table28[[#This Row],[Net gain on deposit]],-1000)</f>
        <v>-1000</v>
      </c>
      <c r="AE12" s="183"/>
      <c r="AF12" s="183"/>
      <c r="AG12" s="183"/>
      <c r="AH12" s="183"/>
      <c r="AI12" s="183"/>
      <c r="AJ12" s="183"/>
      <c r="AK12" s="183"/>
      <c r="AL12" s="183"/>
      <c r="AM12" s="183"/>
      <c r="AN12" s="183"/>
      <c r="AO12" s="183"/>
      <c r="AP12" s="183"/>
      <c r="AQ12" s="183"/>
      <c r="AR12" s="183"/>
      <c r="AS12" s="183"/>
      <c r="AT12" s="183"/>
      <c r="AU12" s="183">
        <v>10</v>
      </c>
      <c r="AV12" s="184">
        <f t="shared" si="6"/>
        <v>14147.686146000009</v>
      </c>
      <c r="AW12" s="187">
        <f t="shared" si="32"/>
        <v>14147.686146000009</v>
      </c>
      <c r="AX12" s="184">
        <f t="shared" si="33"/>
        <v>11328.453550506729</v>
      </c>
      <c r="AY12" s="195">
        <f t="shared" si="71"/>
        <v>95624.547606000036</v>
      </c>
      <c r="AZ12" s="187">
        <f>SUM($AV$3:$AV12)</f>
        <v>95624.547606000036</v>
      </c>
      <c r="BA12" s="184">
        <f t="shared" si="34"/>
        <v>76569.287349441758</v>
      </c>
      <c r="BB12" s="184">
        <f>SUM($AX$3:$AX12)</f>
        <v>84150.652074098543</v>
      </c>
      <c r="BC12" s="63">
        <f t="shared" si="35"/>
        <v>63005.480821231838</v>
      </c>
      <c r="BD12" s="188">
        <f t="shared" si="7"/>
        <v>24755.661778831825</v>
      </c>
      <c r="BE12" s="72">
        <f t="shared" si="36"/>
        <v>38249.819042400013</v>
      </c>
      <c r="BF12" s="72">
        <f t="shared" si="8"/>
        <v>0</v>
      </c>
      <c r="BG12" s="63">
        <f t="shared" si="37"/>
        <v>0</v>
      </c>
      <c r="BH12" s="188">
        <f t="shared" si="9"/>
        <v>0</v>
      </c>
      <c r="BI12" s="63">
        <f t="shared" si="38"/>
        <v>57374.728563600016</v>
      </c>
      <c r="BJ12" s="188">
        <f t="shared" si="10"/>
        <v>0</v>
      </c>
      <c r="BK12" s="189">
        <f t="shared" si="11"/>
        <v>120380.20938483186</v>
      </c>
      <c r="BL12" s="190">
        <f t="shared" si="39"/>
        <v>24755.661778831825</v>
      </c>
      <c r="BM12" s="191">
        <f t="shared" si="12"/>
        <v>96391.847850110003</v>
      </c>
      <c r="BN12" s="113">
        <f t="shared" si="13"/>
        <v>19822.560500668245</v>
      </c>
      <c r="BO12" s="184">
        <f t="shared" si="14"/>
        <v>14668.694770494501</v>
      </c>
      <c r="BP12" s="184">
        <f t="shared" si="40"/>
        <v>5153.8657301737403</v>
      </c>
      <c r="BQ12" s="63">
        <f t="shared" si="15"/>
        <v>0</v>
      </c>
      <c r="BR12" s="184">
        <f t="shared" si="16"/>
        <v>0</v>
      </c>
      <c r="BS12" s="63">
        <f t="shared" si="41"/>
        <v>0</v>
      </c>
      <c r="BT12" s="63">
        <f t="shared" si="17"/>
        <v>0</v>
      </c>
      <c r="BV12" s="184">
        <f t="shared" si="42"/>
        <v>6436.4720624962747</v>
      </c>
      <c r="BW12" s="184">
        <f t="shared" si="18"/>
        <v>5153.8657301737439</v>
      </c>
      <c r="BX12" s="192">
        <f t="shared" si="19"/>
        <v>113943.73732233558</v>
      </c>
      <c r="BY12" s="184">
        <f t="shared" si="20"/>
        <v>91237.982119936249</v>
      </c>
      <c r="BZ12" s="63">
        <f t="shared" si="43"/>
        <v>91237.982119936263</v>
      </c>
      <c r="CA12" s="184">
        <f t="shared" si="21"/>
        <v>0</v>
      </c>
      <c r="CB12" s="204">
        <f t="shared" si="44"/>
        <v>0.17431468929561858</v>
      </c>
      <c r="CC12" s="63">
        <f t="shared" si="45"/>
        <v>14668.694770494501</v>
      </c>
      <c r="CD12" s="63">
        <f t="shared" si="46"/>
        <v>0</v>
      </c>
      <c r="CE12" s="63">
        <f t="shared" si="47"/>
        <v>0</v>
      </c>
      <c r="CF12" s="63">
        <f t="shared" si="48"/>
        <v>0</v>
      </c>
      <c r="CG12" s="63">
        <f t="shared" si="49"/>
        <v>0</v>
      </c>
      <c r="CH12" s="63">
        <f t="shared" si="50"/>
        <v>0</v>
      </c>
      <c r="CI12" s="63">
        <f t="shared" si="51"/>
        <v>0</v>
      </c>
      <c r="CJ12" s="63">
        <f t="shared" si="52"/>
        <v>0</v>
      </c>
      <c r="CK12" s="63">
        <f t="shared" si="53"/>
        <v>0</v>
      </c>
      <c r="CL12" s="63">
        <f t="shared" si="54"/>
        <v>0</v>
      </c>
      <c r="CM12" s="63">
        <f t="shared" si="55"/>
        <v>0</v>
      </c>
      <c r="CN12" s="63">
        <f t="shared" si="56"/>
        <v>0</v>
      </c>
      <c r="CO12" s="63">
        <f t="shared" si="57"/>
        <v>0</v>
      </c>
      <c r="CP12" s="63">
        <f t="shared" si="58"/>
        <v>0</v>
      </c>
      <c r="CQ12" s="63">
        <f t="shared" si="59"/>
        <v>0</v>
      </c>
      <c r="CR12" s="63">
        <f t="shared" si="60"/>
        <v>0</v>
      </c>
      <c r="CS12" s="63">
        <f t="shared" si="61"/>
        <v>0</v>
      </c>
      <c r="CT12" s="63">
        <f t="shared" si="62"/>
        <v>0</v>
      </c>
      <c r="CU12" s="63">
        <f t="shared" si="63"/>
        <v>0</v>
      </c>
      <c r="CV12" s="63">
        <f t="shared" si="64"/>
        <v>0</v>
      </c>
      <c r="CW12" s="63">
        <f t="shared" si="65"/>
        <v>-1000</v>
      </c>
      <c r="CY12" s="63">
        <f t="shared" si="66"/>
        <v>107956.00709685478</v>
      </c>
      <c r="CZ12" s="63">
        <f t="shared" si="67"/>
        <v>12331.459490854744</v>
      </c>
      <c r="DA12" s="63">
        <f t="shared" si="68"/>
        <v>3206.1794676222335</v>
      </c>
      <c r="DB12" s="63">
        <f t="shared" si="69"/>
        <v>2567.2788326461396</v>
      </c>
      <c r="DC12" s="63">
        <f t="shared" si="22"/>
        <v>86443.436705773071</v>
      </c>
      <c r="DD12" s="63">
        <f t="shared" si="70"/>
        <v>83876.157873126926</v>
      </c>
    </row>
    <row r="13" spans="2:108" s="63" customFormat="1" x14ac:dyDescent="0.3">
      <c r="B13">
        <v>15</v>
      </c>
      <c r="C13">
        <v>11</v>
      </c>
      <c r="D13" s="63">
        <f t="shared" si="23"/>
        <v>111187.00236660005</v>
      </c>
      <c r="E13" s="63">
        <f t="shared" si="24"/>
        <v>86859.108541462585</v>
      </c>
      <c r="F13" s="63">
        <f>SUM($AX$3:$AX13)</f>
        <v>96308.016860008211</v>
      </c>
      <c r="G13" s="63">
        <f t="shared" si="0"/>
        <v>143881.35472890708</v>
      </c>
      <c r="H13" s="63">
        <f t="shared" si="1"/>
        <v>29621.540473184577</v>
      </c>
      <c r="I13" s="63">
        <f>( Table28[[#This Row],[Future value (Nominal)]]-Table28[[#This Row],[Tax (Nominal)]] ) -K13</f>
        <v>29621.540473184577</v>
      </c>
      <c r="J13" s="63">
        <f t="shared" si="25"/>
        <v>112399.88435235459</v>
      </c>
      <c r="K13" s="63">
        <f t="shared" si="2"/>
        <v>105759.28264152267</v>
      </c>
      <c r="L13" s="63">
        <f t="shared" si="26"/>
        <v>8500.5316141998301</v>
      </c>
      <c r="M13" s="63">
        <f t="shared" si="3"/>
        <v>6640.601710831922</v>
      </c>
      <c r="N13" s="63">
        <f t="shared" si="27"/>
        <v>32694.352362307036</v>
      </c>
      <c r="O13" s="63">
        <f t="shared" si="4"/>
        <v>18900.174100060085</v>
      </c>
      <c r="P13" s="147">
        <f t="shared" si="28"/>
        <v>0.16815118798517731</v>
      </c>
      <c r="Q13" s="145">
        <f t="shared" si="29"/>
        <v>0.19624715279244956</v>
      </c>
      <c r="R13" s="145">
        <f>Table28[[#This Row],[Net Capital gain(Real)]]/Table28[[#This Row],[Savings (Real, adj. per year)]]</f>
        <v>0.19624715279448723</v>
      </c>
      <c r="S13" s="63">
        <f t="shared" si="5"/>
        <v>-1000</v>
      </c>
      <c r="T13" s="145">
        <f>IF(Table28[[#This Row],[+10% Net Gain/Savings (real, adj.)'']]&gt;0,Table28[[#This Row],[Real Capital gain/Savings (adj. per year)]],-0.000001)</f>
        <v>-9.9999999999999995E-7</v>
      </c>
      <c r="U13" s="208">
        <f>((Table28[[#This Row],[Net Present value (real)]]-Table28[[#This Row],[Savings* (real, full inflation* max year)]])) /Table28[[#This Row],[Savings* (real, full inflation* max year)]]</f>
        <v>0.21759576419136292</v>
      </c>
      <c r="V13" s="208">
        <f>IF(U12=0,0,IF(Table28[[#This Row],[Real Capital gain/Savings* (all inflation)]]&gt;ROUNDUP(U12,1),Table28[[#This Row],[Real Capital gain/Savings* (all inflation)]],0))</f>
        <v>0.21759576419136292</v>
      </c>
      <c r="W13" s="235">
        <f>IF(Table28[[#This Row],[Column1]]&gt;0,Table28[[#This Row],[Net Capital gain(Real)]],-1000)</f>
        <v>18900.174100060085</v>
      </c>
      <c r="X13" s="63">
        <f>Table28[[#This Row],[Net Present value (real)]]-Table28[[#This Row],[Net Capital gain(Real)]]-Table28[[#This Row],[Savings* (real, full inflation* max year)]]</f>
        <v>0</v>
      </c>
      <c r="Y13" s="63">
        <f t="shared" si="30"/>
        <v>126973.05408455415</v>
      </c>
      <c r="Z13" s="63">
        <f t="shared" si="31"/>
        <v>95984.816936465402</v>
      </c>
      <c r="AA13" s="243">
        <f>((Table28[[#This Row],[Net Present value (real)]]-Table28[[#This Row],[Net deposit (real)]]))</f>
        <v>9774.4657050572714</v>
      </c>
      <c r="AB13" s="241">
        <f>((Table28[[#This Row],[Net gain on deposit]] / Table28[[#This Row],[Net deposit (real)]]))</f>
        <v>0.10183345675938747</v>
      </c>
      <c r="AC13" s="241">
        <f>IF(AB12=0,0,IF(Table28[[#This Row],[Net gain on deposit/Deposit]]&gt;ROUNDUP(AB12,1),Table28[[#This Row],[Net gain on deposit/Deposit]],0))</f>
        <v>0.10183345675938747</v>
      </c>
      <c r="AD13" s="242">
        <f>IF(Table28[[#This Row],[Column13]]&gt;0,Table28[[#This Row],[Net gain on deposit]],-1000)</f>
        <v>9774.4657050572714</v>
      </c>
      <c r="AE13"/>
      <c r="AF13"/>
      <c r="AG13"/>
      <c r="AH13"/>
      <c r="AI13"/>
      <c r="AJ13"/>
      <c r="AK13"/>
      <c r="AL13"/>
      <c r="AM13"/>
      <c r="AN13"/>
      <c r="AO13"/>
      <c r="AP13"/>
      <c r="AQ13"/>
      <c r="AR13"/>
      <c r="AS13"/>
      <c r="AT13"/>
      <c r="AU13">
        <v>11</v>
      </c>
      <c r="AV13" s="63">
        <f t="shared" si="6"/>
        <v>15562.454760600011</v>
      </c>
      <c r="AW13" s="112">
        <f t="shared" si="32"/>
        <v>15562.454760600011</v>
      </c>
      <c r="AX13" s="63">
        <f t="shared" si="33"/>
        <v>12157.36478590966</v>
      </c>
      <c r="AY13" s="194">
        <f t="shared" si="71"/>
        <v>111187.00236660005</v>
      </c>
      <c r="AZ13" s="112">
        <f>SUM($AV$3:$AV13)</f>
        <v>111187.00236660005</v>
      </c>
      <c r="BA13" s="63">
        <f t="shared" si="34"/>
        <v>86859.108541462585</v>
      </c>
      <c r="BB13" s="63">
        <f>SUM($AX$3:$AX13)</f>
        <v>96308.016860008211</v>
      </c>
      <c r="BC13" s="63">
        <f t="shared" si="35"/>
        <v>77169.153308947061</v>
      </c>
      <c r="BD13" s="114">
        <f t="shared" si="7"/>
        <v>32694.352362307036</v>
      </c>
      <c r="BE13" s="72">
        <f t="shared" si="36"/>
        <v>44474.800946640025</v>
      </c>
      <c r="BF13" s="72">
        <f t="shared" si="8"/>
        <v>0</v>
      </c>
      <c r="BG13" s="63">
        <f t="shared" si="37"/>
        <v>0</v>
      </c>
      <c r="BH13" s="114">
        <f t="shared" si="9"/>
        <v>0</v>
      </c>
      <c r="BI13" s="63">
        <f t="shared" si="38"/>
        <v>66712.201419960023</v>
      </c>
      <c r="BJ13" s="114">
        <f t="shared" si="10"/>
        <v>0</v>
      </c>
      <c r="BK13" s="119">
        <f t="shared" si="11"/>
        <v>143881.35472890708</v>
      </c>
      <c r="BL13" s="126">
        <f t="shared" si="39"/>
        <v>32694.352362307036</v>
      </c>
      <c r="BM13" s="120">
        <f t="shared" si="12"/>
        <v>112399.88435235459</v>
      </c>
      <c r="BN13" s="113">
        <f t="shared" si="13"/>
        <v>25540.775810892006</v>
      </c>
      <c r="BO13" s="63">
        <f t="shared" si="14"/>
        <v>18900.174100060085</v>
      </c>
      <c r="BP13" s="63">
        <f t="shared" si="40"/>
        <v>6640.6017108319211</v>
      </c>
      <c r="BQ13" s="63">
        <f t="shared" si="15"/>
        <v>0</v>
      </c>
      <c r="BR13" s="63">
        <f t="shared" si="16"/>
        <v>0</v>
      </c>
      <c r="BS13" s="63">
        <f t="shared" si="41"/>
        <v>0</v>
      </c>
      <c r="BT13" s="63">
        <f t="shared" si="17"/>
        <v>0</v>
      </c>
      <c r="BV13" s="63">
        <f t="shared" si="42"/>
        <v>8500.5316141998301</v>
      </c>
      <c r="BW13" s="63">
        <f t="shared" si="18"/>
        <v>6640.601710831922</v>
      </c>
      <c r="BX13" s="113">
        <f t="shared" si="19"/>
        <v>135380.82311470725</v>
      </c>
      <c r="BY13" s="63">
        <f t="shared" si="20"/>
        <v>105759.28264152267</v>
      </c>
      <c r="BZ13" s="63">
        <f t="shared" si="43"/>
        <v>105759.28264152267</v>
      </c>
      <c r="CA13" s="63">
        <f t="shared" si="21"/>
        <v>0</v>
      </c>
      <c r="CB13" s="204">
        <f t="shared" si="44"/>
        <v>0.19624715279244956</v>
      </c>
      <c r="CC13" s="63">
        <f t="shared" si="45"/>
        <v>18900.174100060085</v>
      </c>
      <c r="CD13" s="63">
        <f t="shared" si="46"/>
        <v>0</v>
      </c>
      <c r="CE13" s="63">
        <f t="shared" si="47"/>
        <v>0</v>
      </c>
      <c r="CF13" s="63">
        <f t="shared" si="48"/>
        <v>0</v>
      </c>
      <c r="CG13" s="63">
        <f t="shared" si="49"/>
        <v>0</v>
      </c>
      <c r="CH13" s="63">
        <f t="shared" si="50"/>
        <v>0</v>
      </c>
      <c r="CI13" s="63">
        <f t="shared" si="51"/>
        <v>0</v>
      </c>
      <c r="CJ13" s="63">
        <f t="shared" si="52"/>
        <v>0</v>
      </c>
      <c r="CK13" s="63">
        <f t="shared" si="53"/>
        <v>0</v>
      </c>
      <c r="CL13" s="63">
        <f t="shared" si="54"/>
        <v>0</v>
      </c>
      <c r="CM13" s="63">
        <f t="shared" si="55"/>
        <v>0</v>
      </c>
      <c r="CN13" s="63">
        <f t="shared" si="56"/>
        <v>0</v>
      </c>
      <c r="CO13" s="63">
        <f t="shared" si="57"/>
        <v>0</v>
      </c>
      <c r="CP13" s="63">
        <f t="shared" si="58"/>
        <v>0</v>
      </c>
      <c r="CQ13" s="63">
        <f t="shared" si="59"/>
        <v>0</v>
      </c>
      <c r="CR13" s="63">
        <f t="shared" si="60"/>
        <v>0</v>
      </c>
      <c r="CS13" s="63">
        <f t="shared" si="61"/>
        <v>0</v>
      </c>
      <c r="CT13" s="63">
        <f t="shared" si="62"/>
        <v>0</v>
      </c>
      <c r="CU13" s="63">
        <f t="shared" si="63"/>
        <v>0</v>
      </c>
      <c r="CV13" s="63">
        <f t="shared" si="64"/>
        <v>0</v>
      </c>
      <c r="CW13" s="63">
        <f t="shared" si="65"/>
        <v>-1000</v>
      </c>
      <c r="CY13" s="63">
        <f t="shared" si="66"/>
        <v>126973.05408455415</v>
      </c>
      <c r="CZ13" s="63">
        <f t="shared" si="67"/>
        <v>15786.051717954106</v>
      </c>
      <c r="DA13" s="63">
        <f t="shared" si="68"/>
        <v>4104.373446668068</v>
      </c>
      <c r="DB13" s="63">
        <f t="shared" si="69"/>
        <v>3206.3299766226087</v>
      </c>
      <c r="DC13" s="63">
        <f t="shared" si="22"/>
        <v>99191.146913088014</v>
      </c>
      <c r="DD13" s="63">
        <f t="shared" si="70"/>
        <v>95984.816936465402</v>
      </c>
    </row>
    <row r="14" spans="2:108" s="63" customFormat="1" x14ac:dyDescent="0.3">
      <c r="B14">
        <v>15</v>
      </c>
      <c r="C14">
        <v>12</v>
      </c>
      <c r="D14" s="63">
        <f t="shared" si="23"/>
        <v>128305.70260326006</v>
      </c>
      <c r="E14" s="63">
        <f t="shared" si="24"/>
        <v>97787.521761915341</v>
      </c>
      <c r="F14" s="63">
        <f>SUM($AX$3:$AX14)</f>
        <v>109354.94492293565</v>
      </c>
      <c r="G14" s="63">
        <f t="shared" si="0"/>
        <v>170723.36828249443</v>
      </c>
      <c r="H14" s="63">
        <f t="shared" si="1"/>
        <v>37984.235542680544</v>
      </c>
      <c r="I14" s="63">
        <f>( Table28[[#This Row],[Future value (Nominal)]]-Table28[[#This Row],[Tax (Nominal)]] ) -K14</f>
        <v>37984.235542680544</v>
      </c>
      <c r="J14" s="63">
        <f t="shared" si="25"/>
        <v>130115.92433123643</v>
      </c>
      <c r="K14" s="63">
        <f t="shared" si="2"/>
        <v>121710.53966321296</v>
      </c>
      <c r="L14" s="63">
        <f t="shared" si="26"/>
        <v>11028.593076600937</v>
      </c>
      <c r="M14" s="63">
        <f t="shared" si="3"/>
        <v>8405.3846680234838</v>
      </c>
      <c r="N14" s="63">
        <f t="shared" si="27"/>
        <v>42417.665679234371</v>
      </c>
      <c r="O14" s="63">
        <f t="shared" si="4"/>
        <v>23923.017901297608</v>
      </c>
      <c r="P14" s="147">
        <f t="shared" si="28"/>
        <v>0.18385926246821868</v>
      </c>
      <c r="Q14" s="145">
        <f t="shared" si="29"/>
        <v>0.21876484797224136</v>
      </c>
      <c r="R14" s="145">
        <f>Table28[[#This Row],[Net Capital gain(Real)]]/Table28[[#This Row],[Savings (Real, adj. per year)]]</f>
        <v>0.21876484797424184</v>
      </c>
      <c r="S14" s="63">
        <f t="shared" si="5"/>
        <v>23923.017901297608</v>
      </c>
      <c r="T14" s="145">
        <f>IF(Table28[[#This Row],[+10% Net Gain/Savings (real, adj.)'']]&gt;0,Table28[[#This Row],[Real Capital gain/Savings (adj. per year)]],-0.000001)</f>
        <v>0.21876484797224136</v>
      </c>
      <c r="U14" s="208">
        <f>((Table28[[#This Row],[Net Present value (real)]]-Table28[[#This Row],[Savings* (real, full inflation* max year)]])) /Table28[[#This Row],[Savings* (real, full inflation* max year)]]</f>
        <v>0.24464284880379036</v>
      </c>
      <c r="V14" s="208">
        <f>IF(U13=0,0,IF(Table28[[#This Row],[Real Capital gain/Savings* (all inflation)]]&gt;ROUNDUP(U13,1),Table28[[#This Row],[Real Capital gain/Savings* (all inflation)]],0))</f>
        <v>0</v>
      </c>
      <c r="W14" s="235">
        <f>IF(Table28[[#This Row],[Column1]]&gt;0,Table28[[#This Row],[Net Capital gain(Real)]],-1000)</f>
        <v>-1000</v>
      </c>
      <c r="X14" s="63">
        <f>Table28[[#This Row],[Net Present value (real)]]-Table28[[#This Row],[Net Capital gain(Real)]]-Table28[[#This Row],[Savings* (real, full inflation* max year)]]</f>
        <v>0</v>
      </c>
      <c r="Y14" s="63">
        <f t="shared" si="30"/>
        <v>148154.89205191992</v>
      </c>
      <c r="Z14" s="63">
        <f t="shared" si="31"/>
        <v>108982.20932670045</v>
      </c>
      <c r="AA14" s="243">
        <f>((Table28[[#This Row],[Net Present value (real)]]-Table28[[#This Row],[Net deposit (real)]]))</f>
        <v>12728.330336512503</v>
      </c>
      <c r="AB14" s="241">
        <f>((Table28[[#This Row],[Net gain on deposit]] / Table28[[#This Row],[Net deposit (real)]]))</f>
        <v>0.11679273539368488</v>
      </c>
      <c r="AC14" s="241">
        <f>IF(AB13=0,0,IF(Table28[[#This Row],[Net gain on deposit/Deposit]]&gt;ROUNDUP(AB13,1),Table28[[#This Row],[Net gain on deposit/Deposit]],0))</f>
        <v>0</v>
      </c>
      <c r="AD14" s="242">
        <f>IF(Table28[[#This Row],[Column13]]&gt;0,Table28[[#This Row],[Net gain on deposit]],-1000)</f>
        <v>-1000</v>
      </c>
      <c r="AE14"/>
      <c r="AF14"/>
      <c r="AG14"/>
      <c r="AH14"/>
      <c r="AI14"/>
      <c r="AJ14"/>
      <c r="AK14"/>
      <c r="AL14"/>
      <c r="AM14"/>
      <c r="AN14"/>
      <c r="AO14"/>
      <c r="AP14"/>
      <c r="AQ14"/>
      <c r="AR14"/>
      <c r="AS14"/>
      <c r="AT14"/>
      <c r="AU14">
        <v>12</v>
      </c>
      <c r="AV14" s="63">
        <f t="shared" si="6"/>
        <v>17118.700236660014</v>
      </c>
      <c r="AW14" s="112">
        <f t="shared" si="32"/>
        <v>17118.700236660014</v>
      </c>
      <c r="AX14" s="63">
        <f t="shared" si="33"/>
        <v>13046.928062927444</v>
      </c>
      <c r="AY14" s="194">
        <f t="shared" si="71"/>
        <v>128305.70260326006</v>
      </c>
      <c r="AZ14" s="112">
        <f>SUM($AV$3:$AV14)</f>
        <v>128305.70260326006</v>
      </c>
      <c r="BA14" s="63">
        <f t="shared" si="34"/>
        <v>97787.521761915341</v>
      </c>
      <c r="BB14" s="63">
        <f>SUM($AX$3:$AX14)</f>
        <v>109354.94492293565</v>
      </c>
      <c r="BC14" s="63">
        <f t="shared" si="35"/>
        <v>93739.946720538399</v>
      </c>
      <c r="BD14" s="114">
        <f t="shared" si="7"/>
        <v>42417.665679234371</v>
      </c>
      <c r="BE14" s="72">
        <f t="shared" si="36"/>
        <v>51322.281041304028</v>
      </c>
      <c r="BF14" s="72">
        <f t="shared" si="8"/>
        <v>0</v>
      </c>
      <c r="BG14" s="63">
        <f t="shared" si="37"/>
        <v>0</v>
      </c>
      <c r="BH14" s="114">
        <f t="shared" si="9"/>
        <v>0</v>
      </c>
      <c r="BI14" s="63">
        <f t="shared" si="38"/>
        <v>76983.421561956027</v>
      </c>
      <c r="BJ14" s="114">
        <f t="shared" si="10"/>
        <v>0</v>
      </c>
      <c r="BK14" s="119">
        <f t="shared" si="11"/>
        <v>170723.36828249443</v>
      </c>
      <c r="BL14" s="126">
        <f t="shared" si="39"/>
        <v>42417.665679234371</v>
      </c>
      <c r="BM14" s="120">
        <f t="shared" si="12"/>
        <v>130115.92433123643</v>
      </c>
      <c r="BN14" s="113">
        <f t="shared" si="13"/>
        <v>32328.402569321093</v>
      </c>
      <c r="BO14" s="63">
        <f t="shared" si="14"/>
        <v>23923.017901297608</v>
      </c>
      <c r="BP14" s="63">
        <f t="shared" si="40"/>
        <v>8405.384668023471</v>
      </c>
      <c r="BQ14" s="63">
        <f t="shared" si="15"/>
        <v>0</v>
      </c>
      <c r="BR14" s="63">
        <f t="shared" si="16"/>
        <v>0</v>
      </c>
      <c r="BS14" s="63">
        <f t="shared" si="41"/>
        <v>0</v>
      </c>
      <c r="BT14" s="63">
        <f t="shared" si="17"/>
        <v>0</v>
      </c>
      <c r="BV14" s="63">
        <f t="shared" si="42"/>
        <v>11028.593076600937</v>
      </c>
      <c r="BW14" s="63">
        <f t="shared" si="18"/>
        <v>8405.3846680234838</v>
      </c>
      <c r="BX14" s="113">
        <f t="shared" si="19"/>
        <v>159694.7752058935</v>
      </c>
      <c r="BY14" s="63">
        <f t="shared" si="20"/>
        <v>121710.53966321296</v>
      </c>
      <c r="BZ14" s="63">
        <f t="shared" si="43"/>
        <v>121710.53966321294</v>
      </c>
      <c r="CA14" s="63">
        <f t="shared" si="21"/>
        <v>0</v>
      </c>
      <c r="CB14" s="204">
        <f t="shared" si="44"/>
        <v>0.21876484797224136</v>
      </c>
      <c r="CC14" s="63">
        <f t="shared" si="45"/>
        <v>23923.017901297608</v>
      </c>
      <c r="CD14" s="63">
        <f t="shared" si="46"/>
        <v>23923.017901297608</v>
      </c>
      <c r="CE14" s="63">
        <f t="shared" si="47"/>
        <v>0</v>
      </c>
      <c r="CF14" s="63">
        <f t="shared" si="48"/>
        <v>0</v>
      </c>
      <c r="CG14" s="63">
        <f t="shared" si="49"/>
        <v>0</v>
      </c>
      <c r="CH14" s="63">
        <f t="shared" si="50"/>
        <v>0</v>
      </c>
      <c r="CI14" s="63">
        <f t="shared" si="51"/>
        <v>0</v>
      </c>
      <c r="CJ14" s="63">
        <f t="shared" si="52"/>
        <v>0</v>
      </c>
      <c r="CK14" s="63">
        <f t="shared" si="53"/>
        <v>0</v>
      </c>
      <c r="CL14" s="63">
        <f t="shared" si="54"/>
        <v>0</v>
      </c>
      <c r="CM14" s="63">
        <f t="shared" si="55"/>
        <v>0</v>
      </c>
      <c r="CN14" s="63">
        <f t="shared" si="56"/>
        <v>0</v>
      </c>
      <c r="CO14" s="63">
        <f t="shared" si="57"/>
        <v>0</v>
      </c>
      <c r="CP14" s="63">
        <f t="shared" si="58"/>
        <v>0</v>
      </c>
      <c r="CQ14" s="63">
        <f t="shared" si="59"/>
        <v>0</v>
      </c>
      <c r="CR14" s="63">
        <f t="shared" si="60"/>
        <v>0</v>
      </c>
      <c r="CS14" s="63">
        <f t="shared" si="61"/>
        <v>0</v>
      </c>
      <c r="CT14" s="63">
        <f t="shared" si="62"/>
        <v>0</v>
      </c>
      <c r="CU14" s="63">
        <f t="shared" si="63"/>
        <v>0</v>
      </c>
      <c r="CV14" s="63">
        <f t="shared" si="64"/>
        <v>0</v>
      </c>
      <c r="CW14" s="63">
        <f t="shared" si="65"/>
        <v>23923.017901297608</v>
      </c>
      <c r="CY14" s="63">
        <f t="shared" si="66"/>
        <v>148154.89205191992</v>
      </c>
      <c r="CZ14" s="63">
        <f t="shared" si="67"/>
        <v>19849.189448659861</v>
      </c>
      <c r="DA14" s="63">
        <f t="shared" si="68"/>
        <v>5160.7892566515638</v>
      </c>
      <c r="DB14" s="63">
        <f t="shared" si="69"/>
        <v>3933.2686038434194</v>
      </c>
      <c r="DC14" s="63">
        <f t="shared" si="22"/>
        <v>112915.47793054387</v>
      </c>
      <c r="DD14" s="63">
        <f t="shared" si="70"/>
        <v>108982.20932670045</v>
      </c>
    </row>
    <row r="15" spans="2:108" s="63" customFormat="1" x14ac:dyDescent="0.3">
      <c r="B15">
        <v>15</v>
      </c>
      <c r="C15">
        <v>13</v>
      </c>
      <c r="D15" s="63">
        <f t="shared" si="23"/>
        <v>147136.27286358608</v>
      </c>
      <c r="E15" s="63">
        <f t="shared" si="24"/>
        <v>109404.04159135175</v>
      </c>
      <c r="F15" s="63">
        <f>SUM($AX$3:$AX15)</f>
        <v>123356.52625876023</v>
      </c>
      <c r="G15" s="63">
        <f t="shared" si="0"/>
        <v>201365.17182960827</v>
      </c>
      <c r="H15" s="63">
        <f t="shared" si="1"/>
        <v>48023.175952462945</v>
      </c>
      <c r="I15" s="63">
        <f>( Table28[[#This Row],[Future value (Nominal)]]-Table28[[#This Row],[Tax (Nominal)]] ) -K15</f>
        <v>48023.175952462945</v>
      </c>
      <c r="J15" s="63">
        <f t="shared" si="25"/>
        <v>149726.25855706498</v>
      </c>
      <c r="K15" s="63">
        <f t="shared" si="2"/>
        <v>139242.48214597953</v>
      </c>
      <c r="L15" s="63">
        <f t="shared" si="26"/>
        <v>14099.513731165776</v>
      </c>
      <c r="M15" s="63">
        <f t="shared" si="3"/>
        <v>10483.776411085448</v>
      </c>
      <c r="N15" s="63">
        <f t="shared" si="27"/>
        <v>54228.898966022214</v>
      </c>
      <c r="O15" s="63">
        <f t="shared" si="4"/>
        <v>29838.440554627814</v>
      </c>
      <c r="P15" s="147">
        <f t="shared" si="28"/>
        <v>0.19928662361737212</v>
      </c>
      <c r="Q15" s="145">
        <f t="shared" si="29"/>
        <v>0.24188781460816253</v>
      </c>
      <c r="R15" s="145">
        <f>Table28[[#This Row],[Net Capital gain(Real)]]/Table28[[#This Row],[Savings (Real, adj. per year)]]</f>
        <v>0.2418878146101234</v>
      </c>
      <c r="S15" s="63">
        <f t="shared" si="5"/>
        <v>-1000</v>
      </c>
      <c r="T15" s="145">
        <f>IF(Table28[[#This Row],[+10% Net Gain/Savings (real, adj.)'']]&gt;0,Table28[[#This Row],[Real Capital gain/Savings (adj. per year)]],-0.000001)</f>
        <v>-9.9999999999999995E-7</v>
      </c>
      <c r="U15" s="208">
        <f>((Table28[[#This Row],[Net Present value (real)]]-Table28[[#This Row],[Savings* (real, full inflation* max year)]])) /Table28[[#This Row],[Savings* (real, full inflation* max year)]]</f>
        <v>0.27273618159446933</v>
      </c>
      <c r="V15" s="208">
        <f>IF(U14=0,0,IF(Table28[[#This Row],[Real Capital gain/Savings* (all inflation)]]&gt;ROUNDUP(U14,1),Table28[[#This Row],[Real Capital gain/Savings* (all inflation)]],0))</f>
        <v>0</v>
      </c>
      <c r="W15" s="235">
        <f>IF(Table28[[#This Row],[Column1]]&gt;0,Table28[[#This Row],[Net Capital gain(Real)]],-1000)</f>
        <v>-1000</v>
      </c>
      <c r="X15" s="63">
        <f>Table28[[#This Row],[Net Present value (real)]]-Table28[[#This Row],[Net Capital gain(Real)]]-Table28[[#This Row],[Savings* (real, full inflation* max year)]]</f>
        <v>0</v>
      </c>
      <c r="Y15" s="63">
        <f t="shared" si="30"/>
        <v>171726.41885790735</v>
      </c>
      <c r="Z15" s="63">
        <f t="shared" si="31"/>
        <v>122934.31093982041</v>
      </c>
      <c r="AA15" s="243">
        <f>((Table28[[#This Row],[Net Present value (real)]]-Table28[[#This Row],[Net deposit (real)]]))</f>
        <v>16308.171206159124</v>
      </c>
      <c r="AB15" s="241">
        <f>((Table28[[#This Row],[Net gain on deposit]] / Table28[[#This Row],[Net deposit (real)]]))</f>
        <v>0.13265760454900508</v>
      </c>
      <c r="AC15" s="241">
        <f>IF(AB14=0,0,IF(Table28[[#This Row],[Net gain on deposit/Deposit]]&gt;ROUNDUP(AB14,1),Table28[[#This Row],[Net gain on deposit/Deposit]],0))</f>
        <v>0</v>
      </c>
      <c r="AD15" s="242">
        <f>IF(Table28[[#This Row],[Column13]]&gt;0,Table28[[#This Row],[Net gain on deposit]],-1000)</f>
        <v>-1000</v>
      </c>
      <c r="AE15"/>
      <c r="AF15"/>
      <c r="AG15"/>
      <c r="AH15"/>
      <c r="AI15"/>
      <c r="AJ15"/>
      <c r="AK15"/>
      <c r="AL15"/>
      <c r="AM15"/>
      <c r="AN15"/>
      <c r="AO15"/>
      <c r="AP15"/>
      <c r="AQ15"/>
      <c r="AR15"/>
      <c r="AS15"/>
      <c r="AT15"/>
      <c r="AU15">
        <v>13</v>
      </c>
      <c r="AV15" s="63">
        <f t="shared" si="6"/>
        <v>18830.570260326014</v>
      </c>
      <c r="AW15" s="112">
        <f t="shared" si="32"/>
        <v>18830.570260326014</v>
      </c>
      <c r="AX15" s="63">
        <f t="shared" si="33"/>
        <v>14001.581335824574</v>
      </c>
      <c r="AY15" s="194">
        <f t="shared" si="71"/>
        <v>147136.27286358608</v>
      </c>
      <c r="AZ15" s="112">
        <f>SUM($AV$3:$AV15)</f>
        <v>147136.27286358608</v>
      </c>
      <c r="BA15" s="63">
        <f t="shared" si="34"/>
        <v>109404.04159135175</v>
      </c>
      <c r="BB15" s="63">
        <f>SUM($AX$3:$AX15)</f>
        <v>123356.52625876023</v>
      </c>
      <c r="BC15" s="63">
        <f t="shared" si="35"/>
        <v>113083.40811145665</v>
      </c>
      <c r="BD15" s="114">
        <f t="shared" si="7"/>
        <v>54228.898966022214</v>
      </c>
      <c r="BE15" s="72">
        <f t="shared" si="36"/>
        <v>58854.509145434437</v>
      </c>
      <c r="BF15" s="72">
        <f t="shared" si="8"/>
        <v>0</v>
      </c>
      <c r="BG15" s="63">
        <f t="shared" si="37"/>
        <v>0</v>
      </c>
      <c r="BH15" s="114">
        <f t="shared" si="9"/>
        <v>0</v>
      </c>
      <c r="BI15" s="63">
        <f t="shared" si="38"/>
        <v>88281.763718151633</v>
      </c>
      <c r="BJ15" s="114">
        <f t="shared" si="10"/>
        <v>0</v>
      </c>
      <c r="BK15" s="119">
        <f t="shared" si="11"/>
        <v>201365.17182960827</v>
      </c>
      <c r="BL15" s="126">
        <f t="shared" si="39"/>
        <v>54228.898966022214</v>
      </c>
      <c r="BM15" s="120">
        <f t="shared" si="12"/>
        <v>149726.25855706498</v>
      </c>
      <c r="BN15" s="113">
        <f t="shared" si="13"/>
        <v>40322.216965713262</v>
      </c>
      <c r="BO15" s="63">
        <f t="shared" si="14"/>
        <v>29838.440554627814</v>
      </c>
      <c r="BP15" s="63">
        <f t="shared" si="40"/>
        <v>10483.776411085419</v>
      </c>
      <c r="BQ15" s="63">
        <f t="shared" si="15"/>
        <v>0</v>
      </c>
      <c r="BR15" s="63">
        <f t="shared" si="16"/>
        <v>0</v>
      </c>
      <c r="BS15" s="63">
        <f t="shared" si="41"/>
        <v>0</v>
      </c>
      <c r="BT15" s="63">
        <f t="shared" si="17"/>
        <v>0</v>
      </c>
      <c r="BV15" s="63">
        <f t="shared" si="42"/>
        <v>14099.513731165776</v>
      </c>
      <c r="BW15" s="63">
        <f t="shared" si="18"/>
        <v>10483.776411085448</v>
      </c>
      <c r="BX15" s="113">
        <f t="shared" si="19"/>
        <v>187265.65809844248</v>
      </c>
      <c r="BY15" s="63">
        <f t="shared" si="20"/>
        <v>139242.48214597953</v>
      </c>
      <c r="BZ15" s="63">
        <f t="shared" si="43"/>
        <v>139242.48214597953</v>
      </c>
      <c r="CA15" s="63">
        <f t="shared" si="21"/>
        <v>0</v>
      </c>
      <c r="CB15" s="204">
        <f t="shared" si="44"/>
        <v>0.24188781460816253</v>
      </c>
      <c r="CC15" s="63">
        <f t="shared" si="45"/>
        <v>29838.440554627814</v>
      </c>
      <c r="CD15" s="63">
        <f t="shared" si="46"/>
        <v>29838.440554627814</v>
      </c>
      <c r="CE15" s="63">
        <f t="shared" si="47"/>
        <v>0</v>
      </c>
      <c r="CF15" s="63">
        <f t="shared" si="48"/>
        <v>0</v>
      </c>
      <c r="CG15" s="63">
        <f t="shared" si="49"/>
        <v>0</v>
      </c>
      <c r="CH15" s="63">
        <f t="shared" si="50"/>
        <v>0</v>
      </c>
      <c r="CI15" s="63">
        <f t="shared" si="51"/>
        <v>0</v>
      </c>
      <c r="CJ15" s="63">
        <f t="shared" si="52"/>
        <v>0</v>
      </c>
      <c r="CK15" s="63">
        <f t="shared" si="53"/>
        <v>0</v>
      </c>
      <c r="CL15" s="63">
        <f t="shared" si="54"/>
        <v>0</v>
      </c>
      <c r="CM15" s="63">
        <f t="shared" si="55"/>
        <v>0</v>
      </c>
      <c r="CN15" s="63">
        <f t="shared" si="56"/>
        <v>0</v>
      </c>
      <c r="CO15" s="63">
        <f t="shared" si="57"/>
        <v>0</v>
      </c>
      <c r="CP15" s="63">
        <f t="shared" si="58"/>
        <v>0</v>
      </c>
      <c r="CQ15" s="63">
        <f t="shared" si="59"/>
        <v>0</v>
      </c>
      <c r="CR15" s="63">
        <f t="shared" si="60"/>
        <v>0</v>
      </c>
      <c r="CS15" s="63">
        <f t="shared" si="61"/>
        <v>0</v>
      </c>
      <c r="CT15" s="63">
        <f t="shared" si="62"/>
        <v>0</v>
      </c>
      <c r="CU15" s="63">
        <f t="shared" si="63"/>
        <v>0</v>
      </c>
      <c r="CV15" s="63">
        <f t="shared" si="64"/>
        <v>0</v>
      </c>
      <c r="CW15" s="63">
        <f t="shared" si="65"/>
        <v>-1000</v>
      </c>
      <c r="CY15" s="63">
        <f t="shared" si="66"/>
        <v>171726.41885790735</v>
      </c>
      <c r="CZ15" s="63">
        <f t="shared" si="67"/>
        <v>24590.145994321269</v>
      </c>
      <c r="DA15" s="63">
        <f t="shared" si="68"/>
        <v>6393.4379585235301</v>
      </c>
      <c r="DB15" s="63">
        <f t="shared" si="69"/>
        <v>4753.8784197322339</v>
      </c>
      <c r="DC15" s="63">
        <f t="shared" si="22"/>
        <v>127688.18935955265</v>
      </c>
      <c r="DD15" s="63">
        <f t="shared" si="70"/>
        <v>122934.31093982041</v>
      </c>
    </row>
    <row r="16" spans="2:108" s="63" customFormat="1" x14ac:dyDescent="0.3">
      <c r="B16">
        <v>15</v>
      </c>
      <c r="C16">
        <v>14</v>
      </c>
      <c r="D16" s="63">
        <f t="shared" si="23"/>
        <v>167849.9001499447</v>
      </c>
      <c r="E16" s="63">
        <f t="shared" si="24"/>
        <v>121761.73762025248</v>
      </c>
      <c r="F16" s="63">
        <f>SUM($AX$3:$AX16)</f>
        <v>138382.61354598659</v>
      </c>
      <c r="G16" s="63">
        <f t="shared" si="0"/>
        <v>236327.30853801046</v>
      </c>
      <c r="H16" s="63">
        <f t="shared" si="1"/>
        <v>60002.013322517509</v>
      </c>
      <c r="I16" s="63">
        <f>( Table28[[#This Row],[Future value (Nominal)]]-Table28[[#This Row],[Tax (Nominal)]] ) -K16</f>
        <v>60002.013322517509</v>
      </c>
      <c r="J16" s="63">
        <f t="shared" si="25"/>
        <v>171436.64493693272</v>
      </c>
      <c r="K16" s="63">
        <f t="shared" si="2"/>
        <v>158521.16903459586</v>
      </c>
      <c r="L16" s="63">
        <f t="shared" si="26"/>
        <v>17804.126180897099</v>
      </c>
      <c r="M16" s="63">
        <f t="shared" si="3"/>
        <v>12915.475902336868</v>
      </c>
      <c r="N16" s="63">
        <f t="shared" si="27"/>
        <v>68477.408388065771</v>
      </c>
      <c r="O16" s="63">
        <f t="shared" si="4"/>
        <v>36759.431414343395</v>
      </c>
      <c r="P16" s="147">
        <f t="shared" si="28"/>
        <v>0.21441991825274162</v>
      </c>
      <c r="Q16" s="145">
        <f t="shared" si="29"/>
        <v>0.26563619859558479</v>
      </c>
      <c r="R16" s="145">
        <f>Table28[[#This Row],[Net Capital gain(Real)]]/Table28[[#This Row],[Savings (Real, adj. per year)]]</f>
        <v>0.26563619859750437</v>
      </c>
      <c r="S16" s="63">
        <f t="shared" si="5"/>
        <v>-1000</v>
      </c>
      <c r="T16" s="145">
        <f>IF(Table28[[#This Row],[+10% Net Gain/Savings (real, adj.)'']]&gt;0,Table28[[#This Row],[Real Capital gain/Savings (adj. per year)]],-0.000001)</f>
        <v>-9.9999999999999995E-7</v>
      </c>
      <c r="U16" s="208">
        <f>((Table28[[#This Row],[Net Present value (real)]]-Table28[[#This Row],[Savings* (real, full inflation* max year)]])) /Table28[[#This Row],[Savings* (real, full inflation* max year)]]</f>
        <v>0.30189640960108338</v>
      </c>
      <c r="V16" s="208">
        <f>IF(U15=0,0,IF(Table28[[#This Row],[Real Capital gain/Savings* (all inflation)]]&gt;ROUNDUP(U15,1),Table28[[#This Row],[Real Capital gain/Savings* (all inflation)]],0))</f>
        <v>0.30189640960108338</v>
      </c>
      <c r="W16" s="235">
        <f>IF(Table28[[#This Row],[Column1]]&gt;0,Table28[[#This Row],[Net Capital gain(Real)]],-1000)</f>
        <v>36759.431414343395</v>
      </c>
      <c r="X16" s="63">
        <f>Table28[[#This Row],[Net Present value (real)]]-Table28[[#This Row],[Net Capital gain(Real)]]-Table28[[#This Row],[Savings* (real, full inflation* max year)]]</f>
        <v>0</v>
      </c>
      <c r="Y16" s="63">
        <f t="shared" si="30"/>
        <v>197935.29154771901</v>
      </c>
      <c r="Z16" s="63">
        <f t="shared" si="31"/>
        <v>137911.90900806017</v>
      </c>
      <c r="AA16" s="243">
        <f>((Table28[[#This Row],[Net Present value (real)]]-Table28[[#This Row],[Net deposit (real)]]))</f>
        <v>20609.260026535689</v>
      </c>
      <c r="AB16" s="241">
        <f>((Table28[[#This Row],[Net gain on deposit]] / Table28[[#This Row],[Net deposit (real)]]))</f>
        <v>0.14943785619943231</v>
      </c>
      <c r="AC16" s="241">
        <f>IF(AB15=0,0,IF(Table28[[#This Row],[Net gain on deposit/Deposit]]&gt;ROUNDUP(AB15,1),Table28[[#This Row],[Net gain on deposit/Deposit]],0))</f>
        <v>0</v>
      </c>
      <c r="AD16" s="242">
        <f>IF(Table28[[#This Row],[Column13]]&gt;0,Table28[[#This Row],[Net gain on deposit]],-1000)</f>
        <v>-1000</v>
      </c>
      <c r="AE16"/>
      <c r="AF16"/>
      <c r="AG16"/>
      <c r="AH16"/>
      <c r="AI16"/>
      <c r="AJ16"/>
      <c r="AK16"/>
      <c r="AL16"/>
      <c r="AM16"/>
      <c r="AN16"/>
      <c r="AO16"/>
      <c r="AP16"/>
      <c r="AQ16"/>
      <c r="AR16"/>
      <c r="AS16"/>
      <c r="AT16"/>
      <c r="AU16">
        <v>14</v>
      </c>
      <c r="AV16" s="63">
        <f t="shared" si="6"/>
        <v>20713.627286358616</v>
      </c>
      <c r="AW16" s="112">
        <f t="shared" si="32"/>
        <v>20713.627286358616</v>
      </c>
      <c r="AX16" s="63">
        <f t="shared" si="33"/>
        <v>15026.087287226372</v>
      </c>
      <c r="AY16" s="194">
        <f t="shared" si="71"/>
        <v>167849.9001499447</v>
      </c>
      <c r="AZ16" s="112">
        <f>SUM($AV$3:$AV16)</f>
        <v>167849.9001499447</v>
      </c>
      <c r="BA16" s="63">
        <f t="shared" si="34"/>
        <v>121761.73762025248</v>
      </c>
      <c r="BB16" s="63">
        <f>SUM($AX$3:$AX16)</f>
        <v>138382.61354598659</v>
      </c>
      <c r="BC16" s="63">
        <f t="shared" si="35"/>
        <v>135617.36844804365</v>
      </c>
      <c r="BD16" s="114">
        <f t="shared" si="7"/>
        <v>68477.408388065771</v>
      </c>
      <c r="BE16" s="72">
        <f t="shared" si="36"/>
        <v>67139.960059977879</v>
      </c>
      <c r="BF16" s="72">
        <f t="shared" si="8"/>
        <v>0</v>
      </c>
      <c r="BG16" s="63">
        <f t="shared" si="37"/>
        <v>0</v>
      </c>
      <c r="BH16" s="114">
        <f t="shared" si="9"/>
        <v>0</v>
      </c>
      <c r="BI16" s="63">
        <f t="shared" si="38"/>
        <v>100709.9400899668</v>
      </c>
      <c r="BJ16" s="114">
        <f t="shared" si="10"/>
        <v>0</v>
      </c>
      <c r="BK16" s="119">
        <f t="shared" si="11"/>
        <v>236327.30853801046</v>
      </c>
      <c r="BL16" s="126">
        <f t="shared" si="39"/>
        <v>68477.408388065771</v>
      </c>
      <c r="BM16" s="120">
        <f t="shared" si="12"/>
        <v>171436.64493693272</v>
      </c>
      <c r="BN16" s="113">
        <f t="shared" si="13"/>
        <v>49674.907316680263</v>
      </c>
      <c r="BO16" s="63">
        <f t="shared" si="14"/>
        <v>36759.431414343395</v>
      </c>
      <c r="BP16" s="63">
        <f t="shared" si="40"/>
        <v>12915.475902336853</v>
      </c>
      <c r="BQ16" s="63">
        <f t="shared" si="15"/>
        <v>0</v>
      </c>
      <c r="BR16" s="63">
        <f t="shared" si="16"/>
        <v>0</v>
      </c>
      <c r="BS16" s="63">
        <f t="shared" si="41"/>
        <v>0</v>
      </c>
      <c r="BT16" s="63">
        <f t="shared" si="17"/>
        <v>0</v>
      </c>
      <c r="BV16" s="63">
        <f t="shared" si="42"/>
        <v>17804.126180897099</v>
      </c>
      <c r="BW16" s="63">
        <f t="shared" si="18"/>
        <v>12915.475902336868</v>
      </c>
      <c r="BX16" s="113">
        <f t="shared" si="19"/>
        <v>218523.18235711337</v>
      </c>
      <c r="BY16" s="63">
        <f t="shared" si="20"/>
        <v>158521.16903459586</v>
      </c>
      <c r="BZ16" s="63">
        <f t="shared" si="43"/>
        <v>158521.16903459583</v>
      </c>
      <c r="CA16" s="63">
        <f t="shared" si="21"/>
        <v>0</v>
      </c>
      <c r="CB16" s="204">
        <f t="shared" si="44"/>
        <v>0.26563619859558479</v>
      </c>
      <c r="CC16" s="63">
        <f t="shared" si="45"/>
        <v>36759.431414343395</v>
      </c>
      <c r="CD16" s="63">
        <f t="shared" si="46"/>
        <v>36759.431414343395</v>
      </c>
      <c r="CE16" s="63">
        <f t="shared" si="47"/>
        <v>0</v>
      </c>
      <c r="CF16" s="63">
        <f t="shared" si="48"/>
        <v>0</v>
      </c>
      <c r="CG16" s="63">
        <f t="shared" si="49"/>
        <v>0</v>
      </c>
      <c r="CH16" s="63">
        <f t="shared" si="50"/>
        <v>0</v>
      </c>
      <c r="CI16" s="63">
        <f t="shared" si="51"/>
        <v>0</v>
      </c>
      <c r="CJ16" s="63">
        <f t="shared" si="52"/>
        <v>0</v>
      </c>
      <c r="CK16" s="63">
        <f t="shared" si="53"/>
        <v>0</v>
      </c>
      <c r="CL16" s="63">
        <f t="shared" si="54"/>
        <v>0</v>
      </c>
      <c r="CM16" s="63">
        <f t="shared" si="55"/>
        <v>0</v>
      </c>
      <c r="CN16" s="63">
        <f t="shared" si="56"/>
        <v>0</v>
      </c>
      <c r="CO16" s="63">
        <f t="shared" si="57"/>
        <v>0</v>
      </c>
      <c r="CP16" s="63">
        <f t="shared" si="58"/>
        <v>0</v>
      </c>
      <c r="CQ16" s="63">
        <f t="shared" si="59"/>
        <v>0</v>
      </c>
      <c r="CR16" s="63">
        <f t="shared" si="60"/>
        <v>0</v>
      </c>
      <c r="CS16" s="63">
        <f t="shared" si="61"/>
        <v>0</v>
      </c>
      <c r="CT16" s="63">
        <f t="shared" si="62"/>
        <v>0</v>
      </c>
      <c r="CU16" s="63">
        <f t="shared" si="63"/>
        <v>0</v>
      </c>
      <c r="CV16" s="63">
        <f t="shared" si="64"/>
        <v>0</v>
      </c>
      <c r="CW16" s="63">
        <f t="shared" si="65"/>
        <v>-1000</v>
      </c>
      <c r="CY16" s="63">
        <f t="shared" si="66"/>
        <v>197935.29154771901</v>
      </c>
      <c r="CZ16" s="63">
        <f t="shared" si="67"/>
        <v>30085.391397774307</v>
      </c>
      <c r="DA16" s="63">
        <f t="shared" si="68"/>
        <v>7822.2017634213198</v>
      </c>
      <c r="DB16" s="63">
        <f t="shared" si="69"/>
        <v>5674.384541662158</v>
      </c>
      <c r="DC16" s="63">
        <f t="shared" si="22"/>
        <v>143586.29354972232</v>
      </c>
      <c r="DD16" s="63">
        <f t="shared" si="70"/>
        <v>137911.90900806017</v>
      </c>
    </row>
    <row r="17" spans="2:108" s="63" customFormat="1" x14ac:dyDescent="0.3">
      <c r="B17">
        <v>15</v>
      </c>
      <c r="C17">
        <v>15</v>
      </c>
      <c r="D17" s="63">
        <f t="shared" si="23"/>
        <v>190634.89016493919</v>
      </c>
      <c r="E17" s="63">
        <f t="shared" si="24"/>
        <v>134917.49623044051</v>
      </c>
      <c r="F17" s="63">
        <f>SUM($AX$3:$AX17)</f>
        <v>154508.17063471733</v>
      </c>
      <c r="G17" s="63">
        <f t="shared" si="0"/>
        <v>276200.08697745844</v>
      </c>
      <c r="H17" s="63">
        <f t="shared" si="1"/>
        <v>74223.595147630636</v>
      </c>
      <c r="I17" s="63">
        <f>( Table28[[#This Row],[Future value (Nominal)]]-Table28[[#This Row],[Tax (Nominal)]] ) -K17</f>
        <v>74223.595147630636</v>
      </c>
      <c r="J17" s="63">
        <f t="shared" si="25"/>
        <v>195474.31302521387</v>
      </c>
      <c r="K17" s="63">
        <f t="shared" si="2"/>
        <v>179729.54065857281</v>
      </c>
      <c r="L17" s="63">
        <f t="shared" si="26"/>
        <v>22246.951171255012</v>
      </c>
      <c r="M17" s="63">
        <f t="shared" si="3"/>
        <v>15744.77236664108</v>
      </c>
      <c r="N17" s="63">
        <f t="shared" si="27"/>
        <v>85565.19681251928</v>
      </c>
      <c r="O17" s="63">
        <f t="shared" si="4"/>
        <v>44812.044428132307</v>
      </c>
      <c r="P17" s="147">
        <f t="shared" si="28"/>
        <v>0.22924773957091391</v>
      </c>
      <c r="Q17" s="145">
        <f t="shared" si="29"/>
        <v>0.29003025693563678</v>
      </c>
      <c r="R17" s="145">
        <f>Table28[[#This Row],[Net Capital gain(Real)]]/Table28[[#This Row],[Savings (Real, adj. per year)]]</f>
        <v>0.29003025693751389</v>
      </c>
      <c r="S17" s="63">
        <f t="shared" si="5"/>
        <v>-1000</v>
      </c>
      <c r="T17" s="145">
        <f>IF(Table28[[#This Row],[+10% Net Gain/Savings (real, adj.)'']]&gt;0,Table28[[#This Row],[Real Capital gain/Savings (adj. per year)]],-0.000001)</f>
        <v>-9.9999999999999995E-7</v>
      </c>
      <c r="U17" s="208">
        <f>((Table28[[#This Row],[Net Present value (real)]]-Table28[[#This Row],[Savings* (real, full inflation* max year)]])) /Table28[[#This Row],[Savings* (real, full inflation* max year)]]</f>
        <v>0.33214405603549635</v>
      </c>
      <c r="V17" s="208">
        <f>IF(U16=0,0,IF(Table28[[#This Row],[Real Capital gain/Savings* (all inflation)]]&gt;ROUNDUP(U16,1),Table28[[#This Row],[Real Capital gain/Savings* (all inflation)]],0))</f>
        <v>0</v>
      </c>
      <c r="W17" s="235">
        <f>IF(Table28[[#This Row],[Column1]]&gt;0,Table28[[#This Row],[Net Capital gain(Real)]],-1000)</f>
        <v>-1000</v>
      </c>
      <c r="X17" s="63">
        <f>Table28[[#This Row],[Net Present value (real)]]-Table28[[#This Row],[Net Capital gain(Real)]]-Table28[[#This Row],[Savings* (real, full inflation* max year)]]</f>
        <v>0</v>
      </c>
      <c r="Y17" s="63">
        <f t="shared" si="30"/>
        <v>227054.21089224052</v>
      </c>
      <c r="Z17" s="63">
        <f t="shared" si="31"/>
        <v>153990.95459050403</v>
      </c>
      <c r="AA17" s="243">
        <f>((Table28[[#This Row],[Net Present value (real)]]-Table28[[#This Row],[Net deposit (real)]]))</f>
        <v>25738.586068068777</v>
      </c>
      <c r="AB17" s="241">
        <f>((Table28[[#This Row],[Net gain on deposit]] / Table28[[#This Row],[Net deposit (real)]]))</f>
        <v>0.16714349317798155</v>
      </c>
      <c r="AC17" s="241">
        <f>IF(AB16=0,0,IF(Table28[[#This Row],[Net gain on deposit/Deposit]]&gt;ROUNDUP(AB16,1),Table28[[#This Row],[Net gain on deposit/Deposit]],0))</f>
        <v>0</v>
      </c>
      <c r="AD17" s="242">
        <f>IF(Table28[[#This Row],[Column13]]&gt;0,Table28[[#This Row],[Net gain on deposit]],-1000)</f>
        <v>-1000</v>
      </c>
      <c r="AE17"/>
      <c r="AF17"/>
      <c r="AG17"/>
      <c r="AH17"/>
      <c r="AI17"/>
      <c r="AJ17"/>
      <c r="AK17"/>
      <c r="AL17"/>
      <c r="AM17"/>
      <c r="AN17"/>
      <c r="AO17"/>
      <c r="AP17"/>
      <c r="AQ17"/>
      <c r="AR17"/>
      <c r="AS17"/>
      <c r="AT17"/>
      <c r="AU17">
        <v>15</v>
      </c>
      <c r="AV17" s="63">
        <f t="shared" si="6"/>
        <v>22784.990014994484</v>
      </c>
      <c r="AW17" s="112">
        <f t="shared" si="32"/>
        <v>22784.990014994484</v>
      </c>
      <c r="AX17" s="63">
        <f t="shared" si="33"/>
        <v>16125.557088730748</v>
      </c>
      <c r="AY17" s="194">
        <f t="shared" si="71"/>
        <v>190634.89016493919</v>
      </c>
      <c r="AZ17" s="112">
        <f>SUM($AV$3:$AV17)</f>
        <v>190634.89016493919</v>
      </c>
      <c r="BA17" s="63">
        <f t="shared" si="34"/>
        <v>134917.49623044051</v>
      </c>
      <c r="BB17" s="63">
        <f>SUM($AX$3:$AX17)</f>
        <v>154508.17063471733</v>
      </c>
      <c r="BC17" s="63">
        <f t="shared" si="35"/>
        <v>161819.15287849496</v>
      </c>
      <c r="BD17" s="114">
        <f t="shared" si="7"/>
        <v>85565.19681251928</v>
      </c>
      <c r="BE17" s="72">
        <f t="shared" si="36"/>
        <v>76253.956065975683</v>
      </c>
      <c r="BF17" s="72">
        <f t="shared" si="8"/>
        <v>0</v>
      </c>
      <c r="BG17" s="63">
        <f t="shared" si="37"/>
        <v>0</v>
      </c>
      <c r="BH17" s="114">
        <f t="shared" si="9"/>
        <v>0</v>
      </c>
      <c r="BI17" s="63">
        <f t="shared" si="38"/>
        <v>114380.93409896348</v>
      </c>
      <c r="BJ17" s="114">
        <f t="shared" si="10"/>
        <v>0</v>
      </c>
      <c r="BK17" s="119">
        <f t="shared" si="11"/>
        <v>276200.08697745844</v>
      </c>
      <c r="BL17" s="126">
        <f t="shared" si="39"/>
        <v>85565.19681251928</v>
      </c>
      <c r="BM17" s="120">
        <f t="shared" si="12"/>
        <v>195474.31302521387</v>
      </c>
      <c r="BN17" s="113">
        <f t="shared" si="13"/>
        <v>60556.816794773389</v>
      </c>
      <c r="BO17" s="63">
        <f t="shared" si="14"/>
        <v>44812.044428132307</v>
      </c>
      <c r="BP17" s="63">
        <f t="shared" si="40"/>
        <v>15744.77236664106</v>
      </c>
      <c r="BQ17" s="63">
        <f t="shared" si="15"/>
        <v>0</v>
      </c>
      <c r="BR17" s="63">
        <f t="shared" si="16"/>
        <v>0</v>
      </c>
      <c r="BS17" s="63">
        <f t="shared" si="41"/>
        <v>0</v>
      </c>
      <c r="BT17" s="63">
        <f t="shared" si="17"/>
        <v>0</v>
      </c>
      <c r="BV17" s="63">
        <f t="shared" si="42"/>
        <v>22246.951171255012</v>
      </c>
      <c r="BW17" s="63">
        <f t="shared" si="18"/>
        <v>15744.77236664108</v>
      </c>
      <c r="BX17" s="113">
        <f t="shared" si="19"/>
        <v>253953.13580620344</v>
      </c>
      <c r="BY17" s="63">
        <f t="shared" si="20"/>
        <v>179729.54065857281</v>
      </c>
      <c r="BZ17" s="63">
        <f t="shared" si="43"/>
        <v>179729.54065857278</v>
      </c>
      <c r="CA17" s="63">
        <f t="shared" si="21"/>
        <v>0</v>
      </c>
      <c r="CB17" s="204">
        <f t="shared" si="44"/>
        <v>0.29003025693563678</v>
      </c>
      <c r="CC17" s="63">
        <f t="shared" si="45"/>
        <v>44812.044428132307</v>
      </c>
      <c r="CD17" s="63">
        <f t="shared" si="46"/>
        <v>44812.044428132307</v>
      </c>
      <c r="CE17" s="63">
        <f t="shared" si="47"/>
        <v>0</v>
      </c>
      <c r="CF17" s="63">
        <f t="shared" si="48"/>
        <v>0</v>
      </c>
      <c r="CG17" s="63">
        <f t="shared" si="49"/>
        <v>0</v>
      </c>
      <c r="CH17" s="63">
        <f t="shared" si="50"/>
        <v>0</v>
      </c>
      <c r="CI17" s="63">
        <f t="shared" si="51"/>
        <v>0</v>
      </c>
      <c r="CJ17" s="63">
        <f t="shared" si="52"/>
        <v>0</v>
      </c>
      <c r="CK17" s="63">
        <f t="shared" si="53"/>
        <v>0</v>
      </c>
      <c r="CL17" s="63">
        <f t="shared" si="54"/>
        <v>0</v>
      </c>
      <c r="CM17" s="63">
        <f t="shared" si="55"/>
        <v>0</v>
      </c>
      <c r="CN17" s="63">
        <f t="shared" si="56"/>
        <v>0</v>
      </c>
      <c r="CO17" s="63">
        <f t="shared" si="57"/>
        <v>0</v>
      </c>
      <c r="CP17" s="63">
        <f t="shared" si="58"/>
        <v>0</v>
      </c>
      <c r="CQ17" s="63">
        <f t="shared" si="59"/>
        <v>0</v>
      </c>
      <c r="CR17" s="63">
        <f t="shared" si="60"/>
        <v>0</v>
      </c>
      <c r="CS17" s="63">
        <f t="shared" si="61"/>
        <v>0</v>
      </c>
      <c r="CT17" s="63">
        <f t="shared" si="62"/>
        <v>0</v>
      </c>
      <c r="CU17" s="63">
        <f t="shared" si="63"/>
        <v>0</v>
      </c>
      <c r="CV17" s="63">
        <f t="shared" si="64"/>
        <v>0</v>
      </c>
      <c r="CW17" s="63">
        <f t="shared" si="65"/>
        <v>-1000</v>
      </c>
      <c r="CY17" s="63">
        <f t="shared" si="66"/>
        <v>227054.21089224052</v>
      </c>
      <c r="CZ17" s="63">
        <f t="shared" si="67"/>
        <v>36419.320727301325</v>
      </c>
      <c r="DA17" s="63">
        <f t="shared" si="68"/>
        <v>9469.0233890983454</v>
      </c>
      <c r="DB17" s="63">
        <f t="shared" si="69"/>
        <v>6701.4853697520502</v>
      </c>
      <c r="DC17" s="63">
        <f t="shared" si="22"/>
        <v>160692.43996025607</v>
      </c>
      <c r="DD17" s="63">
        <f t="shared" si="70"/>
        <v>153990.95459050403</v>
      </c>
    </row>
    <row r="18" spans="2:108" s="63" customFormat="1" x14ac:dyDescent="0.3">
      <c r="B18">
        <v>20</v>
      </c>
      <c r="C18">
        <v>16</v>
      </c>
      <c r="D18" s="63">
        <f t="shared" si="23"/>
        <v>215698.37918143312</v>
      </c>
      <c r="E18" s="63">
        <f t="shared" si="24"/>
        <v>148932.30149077493</v>
      </c>
      <c r="F18" s="63">
        <f>SUM($AX$3:$AX18)</f>
        <v>171813.64653481863</v>
      </c>
      <c r="G18" s="63">
        <f t="shared" si="0"/>
        <v>321652.78925664275</v>
      </c>
      <c r="H18" s="63">
        <f t="shared" si="1"/>
        <v>91035.516789740184</v>
      </c>
      <c r="I18" s="63">
        <f>( Table28[[#This Row],[Future value (Nominal)]]-Table28[[#This Row],[Tax (Nominal)]] ) -K18</f>
        <v>91035.516789740184</v>
      </c>
      <c r="J18" s="63">
        <f t="shared" si="25"/>
        <v>222090.17224290079</v>
      </c>
      <c r="K18" s="63">
        <f t="shared" si="2"/>
        <v>203069.12584734807</v>
      </c>
      <c r="L18" s="63">
        <f t="shared" si="26"/>
        <v>27548.146619554511</v>
      </c>
      <c r="M18" s="63">
        <f t="shared" si="3"/>
        <v>19021.04639555273</v>
      </c>
      <c r="N18" s="63">
        <f t="shared" si="27"/>
        <v>105954.41007520966</v>
      </c>
      <c r="O18" s="63">
        <f t="shared" si="4"/>
        <v>54136.824356573154</v>
      </c>
      <c r="P18" s="147">
        <f t="shared" si="28"/>
        <v>0.24376055808983507</v>
      </c>
      <c r="Q18" s="145">
        <f t="shared" si="29"/>
        <v>0.31509036358929177</v>
      </c>
      <c r="R18" s="145">
        <f>Table28[[#This Row],[Net Capital gain(Real)]]/Table28[[#This Row],[Savings (Real, adj. per year)]]</f>
        <v>0.31509036359112569</v>
      </c>
      <c r="S18" s="63">
        <f t="shared" si="5"/>
        <v>54136.824356573154</v>
      </c>
      <c r="T18" s="145">
        <f>IF(Table28[[#This Row],[+10% Net Gain/Savings (real, adj.)'']]&gt;0,Table28[[#This Row],[Real Capital gain/Savings (adj. per year)]],-0.000001)</f>
        <v>0.31509036358929177</v>
      </c>
      <c r="U18" s="208">
        <f>((Table28[[#This Row],[Net Present value (real)]]-Table28[[#This Row],[Savings* (real, full inflation* max year)]])) /Table28[[#This Row],[Savings* (real, full inflation* max year)]]</f>
        <v>0.36349954855110089</v>
      </c>
      <c r="V18" s="208">
        <f>IF(U17=0,0,IF(Table28[[#This Row],[Real Capital gain/Savings* (all inflation)]]&gt;ROUNDUP(U17,1),Table28[[#This Row],[Real Capital gain/Savings* (all inflation)]],0))</f>
        <v>0</v>
      </c>
      <c r="W18" s="235">
        <f>IF(Table28[[#This Row],[Column1]]&gt;0,Table28[[#This Row],[Net Capital gain(Real)]],-1000)</f>
        <v>-1000</v>
      </c>
      <c r="X18" s="63">
        <f>Table28[[#This Row],[Net Present value (real)]]-Table28[[#This Row],[Net Capital gain(Real)]]-Table28[[#This Row],[Savings* (real, full inflation* max year)]]</f>
        <v>0</v>
      </c>
      <c r="Y18" s="63">
        <f t="shared" si="30"/>
        <v>259383.43465728615</v>
      </c>
      <c r="Z18" s="63">
        <f t="shared" si="31"/>
        <v>171252.94084523577</v>
      </c>
      <c r="AA18" s="243">
        <f>((Table28[[#This Row],[Net Present value (real)]]-Table28[[#This Row],[Net deposit (real)]]))</f>
        <v>31816.185002112295</v>
      </c>
      <c r="AB18" s="241">
        <f>((Table28[[#This Row],[Net gain on deposit]] / Table28[[#This Row],[Net deposit (real)]]))</f>
        <v>0.18578475117028867</v>
      </c>
      <c r="AC18" s="241">
        <f>IF(AB17=0,0,IF(Table28[[#This Row],[Net gain on deposit/Deposit]]&gt;ROUNDUP(AB17,1),Table28[[#This Row],[Net gain on deposit/Deposit]],0))</f>
        <v>0</v>
      </c>
      <c r="AD18" s="242">
        <f>IF(Table28[[#This Row],[Column13]]&gt;0,Table28[[#This Row],[Net gain on deposit]],-1000)</f>
        <v>-1000</v>
      </c>
      <c r="AE18"/>
      <c r="AF18"/>
      <c r="AG18"/>
      <c r="AH18"/>
      <c r="AI18"/>
      <c r="AJ18"/>
      <c r="AK18"/>
      <c r="AL18"/>
      <c r="AM18"/>
      <c r="AN18"/>
      <c r="AO18"/>
      <c r="AP18"/>
      <c r="AQ18"/>
      <c r="AR18"/>
      <c r="AS18"/>
      <c r="AT18"/>
      <c r="AU18">
        <v>16</v>
      </c>
      <c r="AV18" s="63">
        <f t="shared" si="6"/>
        <v>25063.489016493932</v>
      </c>
      <c r="AW18" s="112">
        <f t="shared" si="32"/>
        <v>25063.489016493932</v>
      </c>
      <c r="AX18" s="63">
        <f t="shared" si="33"/>
        <v>17305.475900101286</v>
      </c>
      <c r="AY18" s="194">
        <f t="shared" si="71"/>
        <v>215698.37918143312</v>
      </c>
      <c r="AZ18" s="112">
        <f>SUM($AV$3:$AV18)</f>
        <v>215698.37918143312</v>
      </c>
      <c r="BA18" s="63">
        <f t="shared" si="34"/>
        <v>148932.30149077493</v>
      </c>
      <c r="BB18" s="63">
        <f>SUM($AX$3:$AX18)</f>
        <v>171813.64653481863</v>
      </c>
      <c r="BC18" s="63">
        <f t="shared" si="35"/>
        <v>192233.7617477829</v>
      </c>
      <c r="BD18" s="114">
        <f t="shared" si="7"/>
        <v>105954.41007520966</v>
      </c>
      <c r="BE18" s="72">
        <f t="shared" si="36"/>
        <v>86279.351672573248</v>
      </c>
      <c r="BF18" s="72">
        <f t="shared" si="8"/>
        <v>0</v>
      </c>
      <c r="BG18" s="63">
        <f t="shared" si="37"/>
        <v>0</v>
      </c>
      <c r="BH18" s="114">
        <f t="shared" si="9"/>
        <v>0</v>
      </c>
      <c r="BI18" s="63">
        <f t="shared" si="38"/>
        <v>129419.02750885984</v>
      </c>
      <c r="BJ18" s="114">
        <f t="shared" si="10"/>
        <v>0</v>
      </c>
      <c r="BK18" s="119">
        <f t="shared" si="11"/>
        <v>321652.78925664275</v>
      </c>
      <c r="BL18" s="126">
        <f t="shared" si="39"/>
        <v>105954.41007520966</v>
      </c>
      <c r="BM18" s="120">
        <f t="shared" si="12"/>
        <v>222090.17224290079</v>
      </c>
      <c r="BN18" s="113">
        <f t="shared" si="13"/>
        <v>73157.870752125877</v>
      </c>
      <c r="BO18" s="63">
        <f t="shared" si="14"/>
        <v>54136.824356573154</v>
      </c>
      <c r="BP18" s="63">
        <f t="shared" si="40"/>
        <v>19021.046395552723</v>
      </c>
      <c r="BQ18" s="63">
        <f t="shared" si="15"/>
        <v>0</v>
      </c>
      <c r="BR18" s="63">
        <f t="shared" si="16"/>
        <v>0</v>
      </c>
      <c r="BS18" s="63">
        <f t="shared" si="41"/>
        <v>0</v>
      </c>
      <c r="BT18" s="63">
        <f t="shared" si="17"/>
        <v>0</v>
      </c>
      <c r="BV18" s="63">
        <f t="shared" si="42"/>
        <v>27548.146619554511</v>
      </c>
      <c r="BW18" s="63">
        <f t="shared" si="18"/>
        <v>19021.04639555273</v>
      </c>
      <c r="BX18" s="113">
        <f t="shared" si="19"/>
        <v>294104.64263708825</v>
      </c>
      <c r="BY18" s="63">
        <f t="shared" si="20"/>
        <v>203069.12584734807</v>
      </c>
      <c r="BZ18" s="63">
        <f t="shared" si="43"/>
        <v>203069.12584734807</v>
      </c>
      <c r="CA18" s="63">
        <f t="shared" si="21"/>
        <v>0</v>
      </c>
      <c r="CB18" s="204">
        <f t="shared" si="44"/>
        <v>0.31509036358929177</v>
      </c>
      <c r="CC18" s="63">
        <f t="shared" si="45"/>
        <v>54136.824356573154</v>
      </c>
      <c r="CD18" s="63">
        <f t="shared" si="46"/>
        <v>54136.824356573154</v>
      </c>
      <c r="CE18" s="63">
        <f t="shared" si="47"/>
        <v>54136.824356573154</v>
      </c>
      <c r="CF18" s="63">
        <f t="shared" si="48"/>
        <v>0</v>
      </c>
      <c r="CG18" s="63">
        <f t="shared" si="49"/>
        <v>0</v>
      </c>
      <c r="CH18" s="63">
        <f t="shared" si="50"/>
        <v>0</v>
      </c>
      <c r="CI18" s="63">
        <f t="shared" si="51"/>
        <v>0</v>
      </c>
      <c r="CJ18" s="63">
        <f t="shared" si="52"/>
        <v>0</v>
      </c>
      <c r="CK18" s="63">
        <f t="shared" si="53"/>
        <v>0</v>
      </c>
      <c r="CL18" s="63">
        <f t="shared" si="54"/>
        <v>0</v>
      </c>
      <c r="CM18" s="63">
        <f t="shared" si="55"/>
        <v>0</v>
      </c>
      <c r="CN18" s="63">
        <f t="shared" si="56"/>
        <v>0</v>
      </c>
      <c r="CO18" s="63">
        <f t="shared" si="57"/>
        <v>0</v>
      </c>
      <c r="CP18" s="63">
        <f t="shared" si="58"/>
        <v>0</v>
      </c>
      <c r="CQ18" s="63">
        <f t="shared" si="59"/>
        <v>0</v>
      </c>
      <c r="CR18" s="63">
        <f t="shared" si="60"/>
        <v>0</v>
      </c>
      <c r="CS18" s="63">
        <f t="shared" si="61"/>
        <v>0</v>
      </c>
      <c r="CT18" s="63">
        <f t="shared" si="62"/>
        <v>0</v>
      </c>
      <c r="CU18" s="63">
        <f t="shared" si="63"/>
        <v>0</v>
      </c>
      <c r="CV18" s="63">
        <f t="shared" si="64"/>
        <v>0</v>
      </c>
      <c r="CW18" s="63">
        <f t="shared" si="65"/>
        <v>54136.824356573154</v>
      </c>
      <c r="CY18" s="63">
        <f t="shared" si="66"/>
        <v>259383.43465728615</v>
      </c>
      <c r="CZ18" s="63">
        <f t="shared" si="67"/>
        <v>43685.055475853034</v>
      </c>
      <c r="DA18" s="63">
        <f t="shared" si="68"/>
        <v>11358.114423721789</v>
      </c>
      <c r="DB18" s="63">
        <f t="shared" si="69"/>
        <v>7842.3868002159816</v>
      </c>
      <c r="DC18" s="63">
        <f t="shared" si="22"/>
        <v>179095.32764545176</v>
      </c>
      <c r="DD18" s="63">
        <f t="shared" si="70"/>
        <v>171252.94084523577</v>
      </c>
    </row>
    <row r="19" spans="2:108" s="63" customFormat="1" x14ac:dyDescent="0.3">
      <c r="B19">
        <v>20</v>
      </c>
      <c r="C19">
        <v>17</v>
      </c>
      <c r="D19" s="63">
        <f t="shared" si="23"/>
        <v>243268.21709957643</v>
      </c>
      <c r="E19" s="63">
        <f t="shared" si="24"/>
        <v>163871.53656671837</v>
      </c>
      <c r="F19" s="63">
        <f>SUM($AX$3:$AX19)</f>
        <v>190385.37676907369</v>
      </c>
      <c r="G19" s="63">
        <f t="shared" si="0"/>
        <v>373444.08115500672</v>
      </c>
      <c r="H19" s="63">
        <f t="shared" si="1"/>
        <v>110836.43618568007</v>
      </c>
      <c r="I19" s="63">
        <f>( Table28[[#This Row],[Future value (Nominal)]]-Table28[[#This Row],[Tax (Nominal)]] ) -K19</f>
        <v>110836.43618568007</v>
      </c>
      <c r="J19" s="63">
        <f t="shared" si="25"/>
        <v>251561.24433455133</v>
      </c>
      <c r="K19" s="63">
        <f t="shared" si="2"/>
        <v>228761.92031491475</v>
      </c>
      <c r="L19" s="63">
        <f t="shared" si="26"/>
        <v>33845.724654411883</v>
      </c>
      <c r="M19" s="63">
        <f t="shared" si="3"/>
        <v>22799.324019636577</v>
      </c>
      <c r="N19" s="63">
        <f t="shared" si="27"/>
        <v>130175.86405543031</v>
      </c>
      <c r="O19" s="63">
        <f t="shared" si="4"/>
        <v>64890.383748196407</v>
      </c>
      <c r="P19" s="147">
        <f t="shared" si="28"/>
        <v>0.25795063899470783</v>
      </c>
      <c r="Q19" s="145">
        <f t="shared" si="29"/>
        <v>0.34083701620930584</v>
      </c>
      <c r="R19" s="145">
        <f>Table28[[#This Row],[Net Capital gain(Real)]]/Table28[[#This Row],[Savings (Real, adj. per year)]]</f>
        <v>0.34083701621109608</v>
      </c>
      <c r="S19" s="63">
        <f t="shared" si="5"/>
        <v>-1000</v>
      </c>
      <c r="T19" s="145">
        <f>IF(Table28[[#This Row],[+10% Net Gain/Savings (real, adj.)'']]&gt;0,Table28[[#This Row],[Real Capital gain/Savings (adj. per year)]],-0.000001)</f>
        <v>-9.9999999999999995E-7</v>
      </c>
      <c r="U19" s="208">
        <f>((Table28[[#This Row],[Net Present value (real)]]-Table28[[#This Row],[Savings* (real, full inflation* max year)]])) /Table28[[#This Row],[Savings* (real, full inflation* max year)]]</f>
        <v>0.39598325070795337</v>
      </c>
      <c r="V19" s="208">
        <f>IF(U18=0,0,IF(Table28[[#This Row],[Real Capital gain/Savings* (all inflation)]]&gt;ROUNDUP(U18,1),Table28[[#This Row],[Real Capital gain/Savings* (all inflation)]],0))</f>
        <v>0</v>
      </c>
      <c r="W19" s="235">
        <f>IF(Table28[[#This Row],[Column1]]&gt;0,Table28[[#This Row],[Net Capital gain(Real)]],-1000)</f>
        <v>-1000</v>
      </c>
      <c r="X19" s="63">
        <f>Table28[[#This Row],[Net Present value (real)]]-Table28[[#This Row],[Net Capital gain(Real)]]-Table28[[#This Row],[Savings* (real, full inflation* max year)]]</f>
        <v>0</v>
      </c>
      <c r="Y19" s="63">
        <f t="shared" si="30"/>
        <v>295253.54248446261</v>
      </c>
      <c r="Z19" s="63">
        <f t="shared" si="31"/>
        <v>189785.3089697478</v>
      </c>
      <c r="AA19" s="243">
        <f>((Table28[[#This Row],[Net Present value (real)]]-Table28[[#This Row],[Net deposit (real)]]))</f>
        <v>38976.611345166952</v>
      </c>
      <c r="AB19" s="241">
        <f>((Table28[[#This Row],[Net gain on deposit]] / Table28[[#This Row],[Net deposit (real)]]))</f>
        <v>0.20537212051213041</v>
      </c>
      <c r="AC19" s="241">
        <f>IF(AB18=0,0,IF(Table28[[#This Row],[Net gain on deposit/Deposit]]&gt;ROUNDUP(AB18,1),Table28[[#This Row],[Net gain on deposit/Deposit]],0))</f>
        <v>0.20537212051213041</v>
      </c>
      <c r="AD19" s="242">
        <f>IF(Table28[[#This Row],[Column13]]&gt;0,Table28[[#This Row],[Net gain on deposit]],-1000)</f>
        <v>38976.611345166952</v>
      </c>
      <c r="AE19"/>
      <c r="AF19"/>
      <c r="AG19"/>
      <c r="AH19"/>
      <c r="AI19"/>
      <c r="AJ19"/>
      <c r="AK19"/>
      <c r="AL19"/>
      <c r="AM19"/>
      <c r="AN19"/>
      <c r="AO19"/>
      <c r="AP19"/>
      <c r="AQ19"/>
      <c r="AR19"/>
      <c r="AS19"/>
      <c r="AT19"/>
      <c r="AU19">
        <v>17</v>
      </c>
      <c r="AV19" s="63">
        <f t="shared" si="6"/>
        <v>27569.837918143327</v>
      </c>
      <c r="AW19" s="112">
        <f t="shared" si="32"/>
        <v>27569.837918143327</v>
      </c>
      <c r="AX19" s="63">
        <f t="shared" si="33"/>
        <v>18571.730234255043</v>
      </c>
      <c r="AY19" s="194">
        <f t="shared" si="71"/>
        <v>243268.21709957643</v>
      </c>
      <c r="AZ19" s="112">
        <f>SUM($AV$3:$AV19)</f>
        <v>243268.21709957643</v>
      </c>
      <c r="BA19" s="63">
        <f t="shared" si="34"/>
        <v>163871.53656671837</v>
      </c>
      <c r="BB19" s="63">
        <f>SUM($AX$3:$AX19)</f>
        <v>190385.37676907369</v>
      </c>
      <c r="BC19" s="63">
        <f t="shared" si="35"/>
        <v>227483.15089526089</v>
      </c>
      <c r="BD19" s="114">
        <f t="shared" si="7"/>
        <v>130175.86405543031</v>
      </c>
      <c r="BE19" s="72">
        <f t="shared" si="36"/>
        <v>97307.286839830573</v>
      </c>
      <c r="BF19" s="72">
        <f t="shared" si="8"/>
        <v>0</v>
      </c>
      <c r="BG19" s="63">
        <f t="shared" si="37"/>
        <v>0</v>
      </c>
      <c r="BH19" s="114">
        <f t="shared" si="9"/>
        <v>0</v>
      </c>
      <c r="BI19" s="63">
        <f t="shared" si="38"/>
        <v>145960.93025974583</v>
      </c>
      <c r="BJ19" s="114">
        <f t="shared" si="10"/>
        <v>0</v>
      </c>
      <c r="BK19" s="119">
        <f t="shared" si="11"/>
        <v>373444.08115500672</v>
      </c>
      <c r="BL19" s="126">
        <f t="shared" si="39"/>
        <v>130175.86405543031</v>
      </c>
      <c r="BM19" s="120">
        <f t="shared" si="12"/>
        <v>251561.24433455133</v>
      </c>
      <c r="BN19" s="113">
        <f t="shared" si="13"/>
        <v>87689.707767832981</v>
      </c>
      <c r="BO19" s="63">
        <f t="shared" si="14"/>
        <v>64890.383748196407</v>
      </c>
      <c r="BP19" s="63">
        <f t="shared" si="40"/>
        <v>22799.324019636551</v>
      </c>
      <c r="BQ19" s="63">
        <f t="shared" si="15"/>
        <v>0</v>
      </c>
      <c r="BR19" s="63">
        <f t="shared" si="16"/>
        <v>0</v>
      </c>
      <c r="BS19" s="63">
        <f t="shared" si="41"/>
        <v>0</v>
      </c>
      <c r="BT19" s="63">
        <f t="shared" si="17"/>
        <v>0</v>
      </c>
      <c r="BV19" s="63">
        <f t="shared" si="42"/>
        <v>33845.724654411883</v>
      </c>
      <c r="BW19" s="63">
        <f t="shared" si="18"/>
        <v>22799.324019636577</v>
      </c>
      <c r="BX19" s="113">
        <f t="shared" si="19"/>
        <v>339598.35650059482</v>
      </c>
      <c r="BY19" s="63">
        <f t="shared" si="20"/>
        <v>228761.92031491475</v>
      </c>
      <c r="BZ19" s="63">
        <f t="shared" si="43"/>
        <v>228761.92031491475</v>
      </c>
      <c r="CA19" s="63">
        <f t="shared" si="21"/>
        <v>0</v>
      </c>
      <c r="CB19" s="204">
        <f t="shared" si="44"/>
        <v>0.34083701620930584</v>
      </c>
      <c r="CC19" s="63">
        <f t="shared" si="45"/>
        <v>64890.383748196407</v>
      </c>
      <c r="CD19" s="63">
        <f t="shared" si="46"/>
        <v>64890.383748196407</v>
      </c>
      <c r="CE19" s="63">
        <f t="shared" si="47"/>
        <v>64890.383748196407</v>
      </c>
      <c r="CF19" s="63">
        <f t="shared" si="48"/>
        <v>0</v>
      </c>
      <c r="CG19" s="63">
        <f t="shared" si="49"/>
        <v>0</v>
      </c>
      <c r="CH19" s="63">
        <f t="shared" si="50"/>
        <v>0</v>
      </c>
      <c r="CI19" s="63">
        <f t="shared" si="51"/>
        <v>0</v>
      </c>
      <c r="CJ19" s="63">
        <f t="shared" si="52"/>
        <v>0</v>
      </c>
      <c r="CK19" s="63">
        <f t="shared" si="53"/>
        <v>0</v>
      </c>
      <c r="CL19" s="63">
        <f t="shared" si="54"/>
        <v>0</v>
      </c>
      <c r="CM19" s="63">
        <f t="shared" si="55"/>
        <v>0</v>
      </c>
      <c r="CN19" s="63">
        <f t="shared" si="56"/>
        <v>0</v>
      </c>
      <c r="CO19" s="63">
        <f t="shared" si="57"/>
        <v>0</v>
      </c>
      <c r="CP19" s="63">
        <f t="shared" si="58"/>
        <v>0</v>
      </c>
      <c r="CQ19" s="63">
        <f t="shared" si="59"/>
        <v>0</v>
      </c>
      <c r="CR19" s="63">
        <f t="shared" si="60"/>
        <v>0</v>
      </c>
      <c r="CS19" s="63">
        <f t="shared" si="61"/>
        <v>0</v>
      </c>
      <c r="CT19" s="63">
        <f t="shared" si="62"/>
        <v>0</v>
      </c>
      <c r="CU19" s="63">
        <f t="shared" si="63"/>
        <v>0</v>
      </c>
      <c r="CV19" s="63">
        <f t="shared" si="64"/>
        <v>0</v>
      </c>
      <c r="CW19" s="63">
        <f t="shared" si="65"/>
        <v>-1000</v>
      </c>
      <c r="CY19" s="63">
        <f t="shared" si="66"/>
        <v>295253.54248446261</v>
      </c>
      <c r="CZ19" s="63">
        <f t="shared" si="67"/>
        <v>51985.325384886179</v>
      </c>
      <c r="DA19" s="63">
        <f t="shared" si="68"/>
        <v>13516.184600070406</v>
      </c>
      <c r="DB19" s="63">
        <f t="shared" si="69"/>
        <v>9104.8389524157446</v>
      </c>
      <c r="DC19" s="63">
        <f t="shared" si="22"/>
        <v>198890.14792216354</v>
      </c>
      <c r="DD19" s="63">
        <f t="shared" si="70"/>
        <v>189785.3089697478</v>
      </c>
    </row>
    <row r="20" spans="2:108" s="63" customFormat="1" x14ac:dyDescent="0.3">
      <c r="B20">
        <v>20</v>
      </c>
      <c r="C20">
        <v>18</v>
      </c>
      <c r="D20" s="63">
        <f t="shared" si="23"/>
        <v>273595.0388095341</v>
      </c>
      <c r="E20" s="63">
        <f t="shared" si="24"/>
        <v>179805.30714575507</v>
      </c>
      <c r="F20" s="63">
        <f>SUM($AX$3:$AX20)</f>
        <v>210316.01409364009</v>
      </c>
      <c r="G20" s="63">
        <f t="shared" si="0"/>
        <v>432433.77987776732</v>
      </c>
      <c r="H20" s="63">
        <f t="shared" si="1"/>
        <v>134083.25378279696</v>
      </c>
      <c r="I20" s="63">
        <f>( Table28[[#This Row],[Future value (Nominal)]]-Table28[[#This Row],[Tax (Nominal)]] ) -K20</f>
        <v>134083.25378279696</v>
      </c>
      <c r="J20" s="63">
        <f t="shared" si="25"/>
        <v>284193.34264774784</v>
      </c>
      <c r="K20" s="63">
        <f t="shared" si="2"/>
        <v>257052.4534172297</v>
      </c>
      <c r="L20" s="63">
        <f t="shared" si="26"/>
        <v>41298.072677740638</v>
      </c>
      <c r="M20" s="63">
        <f t="shared" si="3"/>
        <v>27140.889230518118</v>
      </c>
      <c r="N20" s="63">
        <f t="shared" si="27"/>
        <v>158838.74106823321</v>
      </c>
      <c r="O20" s="63">
        <f t="shared" si="4"/>
        <v>77247.146271474645</v>
      </c>
      <c r="P20" s="147">
        <f t="shared" si="28"/>
        <v>0.27181194860021685</v>
      </c>
      <c r="Q20" s="145">
        <f t="shared" si="29"/>
        <v>0.36729084375246007</v>
      </c>
      <c r="R20" s="145">
        <f>Table28[[#This Row],[Net Capital gain(Real)]]/Table28[[#This Row],[Savings (Real, adj. per year)]]</f>
        <v>0.36729084375420645</v>
      </c>
      <c r="S20" s="63">
        <f t="shared" si="5"/>
        <v>-1000</v>
      </c>
      <c r="T20" s="145">
        <f>IF(Table28[[#This Row],[+10% Net Gain/Savings (real, adj.)'']]&gt;0,Table28[[#This Row],[Real Capital gain/Savings (adj. per year)]],-0.000001)</f>
        <v>-9.9999999999999995E-7</v>
      </c>
      <c r="U20" s="208">
        <f>((Table28[[#This Row],[Net Present value (real)]]-Table28[[#This Row],[Savings* (real, full inflation* max year)]])) /Table28[[#This Row],[Savings* (real, full inflation* max year)]]</f>
        <v>0.4296154963260122</v>
      </c>
      <c r="V20" s="208">
        <f>IF(U19=0,0,IF(Table28[[#This Row],[Real Capital gain/Savings* (all inflation)]]&gt;ROUNDUP(U19,1),Table28[[#This Row],[Real Capital gain/Savings* (all inflation)]],0))</f>
        <v>0.4296154963260122</v>
      </c>
      <c r="W20" s="235">
        <f>IF(Table28[[#This Row],[Column1]]&gt;0,Table28[[#This Row],[Net Capital gain(Real)]],-1000)</f>
        <v>77247.146271474645</v>
      </c>
      <c r="X20" s="63">
        <f>Table28[[#This Row],[Net Present value (real)]]-Table28[[#This Row],[Net Capital gain(Real)]]-Table28[[#This Row],[Savings* (real, full inflation* max year)]]</f>
        <v>0</v>
      </c>
      <c r="Y20" s="63">
        <f t="shared" si="30"/>
        <v>335028.47755392309</v>
      </c>
      <c r="Z20" s="63">
        <f t="shared" si="31"/>
        <v>209681.88383436608</v>
      </c>
      <c r="AA20" s="243">
        <f>((Table28[[#This Row],[Net Present value (real)]]-Table28[[#This Row],[Net deposit (real)]]))</f>
        <v>47370.569582863624</v>
      </c>
      <c r="AB20" s="241">
        <f>((Table28[[#This Row],[Net gain on deposit]] / Table28[[#This Row],[Net deposit (real)]]))</f>
        <v>0.22591636776920146</v>
      </c>
      <c r="AC20" s="241">
        <f>IF(AB19=0,0,IF(Table28[[#This Row],[Net gain on deposit/Deposit]]&gt;ROUNDUP(AB19,1),Table28[[#This Row],[Net gain on deposit/Deposit]],0))</f>
        <v>0</v>
      </c>
      <c r="AD20" s="242">
        <f>IF(Table28[[#This Row],[Column13]]&gt;0,Table28[[#This Row],[Net gain on deposit]],-1000)</f>
        <v>-1000</v>
      </c>
      <c r="AE20"/>
      <c r="AF20"/>
      <c r="AG20"/>
      <c r="AH20"/>
      <c r="AI20"/>
      <c r="AJ20"/>
      <c r="AK20"/>
      <c r="AL20"/>
      <c r="AM20"/>
      <c r="AN20"/>
      <c r="AO20"/>
      <c r="AP20"/>
      <c r="AQ20"/>
      <c r="AR20"/>
      <c r="AS20"/>
      <c r="AT20"/>
      <c r="AU20">
        <v>18</v>
      </c>
      <c r="AV20" s="63">
        <f t="shared" si="6"/>
        <v>30326.821709957661</v>
      </c>
      <c r="AW20" s="112">
        <f t="shared" si="32"/>
        <v>30326.821709957661</v>
      </c>
      <c r="AX20" s="63">
        <f t="shared" si="33"/>
        <v>19930.637324566389</v>
      </c>
      <c r="AY20" s="194">
        <f t="shared" si="71"/>
        <v>273595.0388095341</v>
      </c>
      <c r="AZ20" s="112">
        <f>SUM($AV$3:$AV20)</f>
        <v>273595.0388095341</v>
      </c>
      <c r="BA20" s="63">
        <f t="shared" si="34"/>
        <v>179805.30714575507</v>
      </c>
      <c r="BB20" s="63">
        <f>SUM($AX$3:$AX20)</f>
        <v>210316.01409364009</v>
      </c>
      <c r="BC20" s="63">
        <f t="shared" si="35"/>
        <v>268276.75659204688</v>
      </c>
      <c r="BD20" s="114">
        <f t="shared" si="7"/>
        <v>158838.74106823321</v>
      </c>
      <c r="BE20" s="72">
        <f t="shared" si="36"/>
        <v>109438.01552381366</v>
      </c>
      <c r="BF20" s="72">
        <f t="shared" si="8"/>
        <v>0</v>
      </c>
      <c r="BG20" s="63">
        <f t="shared" si="37"/>
        <v>0</v>
      </c>
      <c r="BH20" s="114">
        <f t="shared" si="9"/>
        <v>0</v>
      </c>
      <c r="BI20" s="63">
        <f t="shared" si="38"/>
        <v>164157.02328572044</v>
      </c>
      <c r="BJ20" s="114">
        <f t="shared" si="10"/>
        <v>0</v>
      </c>
      <c r="BK20" s="119">
        <f t="shared" si="11"/>
        <v>432433.77987776732</v>
      </c>
      <c r="BL20" s="126">
        <f t="shared" si="39"/>
        <v>158838.74106823321</v>
      </c>
      <c r="BM20" s="120">
        <f t="shared" si="12"/>
        <v>284193.34264774784</v>
      </c>
      <c r="BN20" s="113">
        <f t="shared" si="13"/>
        <v>104388.03550199275</v>
      </c>
      <c r="BO20" s="63">
        <f t="shared" si="14"/>
        <v>77247.146271474645</v>
      </c>
      <c r="BP20" s="63">
        <f t="shared" si="40"/>
        <v>27140.889230518136</v>
      </c>
      <c r="BQ20" s="63">
        <f t="shared" si="15"/>
        <v>0</v>
      </c>
      <c r="BR20" s="63">
        <f t="shared" si="16"/>
        <v>0</v>
      </c>
      <c r="BS20" s="63">
        <f t="shared" si="41"/>
        <v>0</v>
      </c>
      <c r="BT20" s="63">
        <f t="shared" si="17"/>
        <v>0</v>
      </c>
      <c r="BV20" s="63">
        <f t="shared" si="42"/>
        <v>41298.072677740638</v>
      </c>
      <c r="BW20" s="63">
        <f t="shared" si="18"/>
        <v>27140.889230518118</v>
      </c>
      <c r="BX20" s="113">
        <f t="shared" si="19"/>
        <v>391135.70720002666</v>
      </c>
      <c r="BY20" s="63">
        <f t="shared" si="20"/>
        <v>257052.4534172297</v>
      </c>
      <c r="BZ20" s="63">
        <f t="shared" si="43"/>
        <v>257052.45341722973</v>
      </c>
      <c r="CA20" s="63">
        <f t="shared" si="21"/>
        <v>0</v>
      </c>
      <c r="CB20" s="204">
        <f t="shared" si="44"/>
        <v>0.36729084375246007</v>
      </c>
      <c r="CC20" s="63">
        <f t="shared" si="45"/>
        <v>77247.146271474645</v>
      </c>
      <c r="CD20" s="63">
        <f t="shared" si="46"/>
        <v>77247.146271474645</v>
      </c>
      <c r="CE20" s="63">
        <f t="shared" si="47"/>
        <v>77247.146271474645</v>
      </c>
      <c r="CF20" s="63">
        <f t="shared" si="48"/>
        <v>0</v>
      </c>
      <c r="CG20" s="63">
        <f t="shared" si="49"/>
        <v>0</v>
      </c>
      <c r="CH20" s="63">
        <f t="shared" si="50"/>
        <v>0</v>
      </c>
      <c r="CI20" s="63">
        <f t="shared" si="51"/>
        <v>0</v>
      </c>
      <c r="CJ20" s="63">
        <f t="shared" si="52"/>
        <v>0</v>
      </c>
      <c r="CK20" s="63">
        <f t="shared" si="53"/>
        <v>0</v>
      </c>
      <c r="CL20" s="63">
        <f t="shared" si="54"/>
        <v>0</v>
      </c>
      <c r="CM20" s="63">
        <f t="shared" si="55"/>
        <v>0</v>
      </c>
      <c r="CN20" s="63">
        <f t="shared" si="56"/>
        <v>0</v>
      </c>
      <c r="CO20" s="63">
        <f t="shared" si="57"/>
        <v>0</v>
      </c>
      <c r="CP20" s="63">
        <f t="shared" si="58"/>
        <v>0</v>
      </c>
      <c r="CQ20" s="63">
        <f t="shared" si="59"/>
        <v>0</v>
      </c>
      <c r="CR20" s="63">
        <f t="shared" si="60"/>
        <v>0</v>
      </c>
      <c r="CS20" s="63">
        <f t="shared" si="61"/>
        <v>0</v>
      </c>
      <c r="CT20" s="63">
        <f t="shared" si="62"/>
        <v>0</v>
      </c>
      <c r="CU20" s="63">
        <f t="shared" si="63"/>
        <v>0</v>
      </c>
      <c r="CV20" s="63">
        <f t="shared" si="64"/>
        <v>0</v>
      </c>
      <c r="CW20" s="63">
        <f t="shared" si="65"/>
        <v>-1000</v>
      </c>
      <c r="CY20" s="63">
        <f t="shared" si="66"/>
        <v>335028.47755392309</v>
      </c>
      <c r="CZ20" s="63">
        <f t="shared" si="67"/>
        <v>61433.438744388986</v>
      </c>
      <c r="DA20" s="63">
        <f t="shared" si="68"/>
        <v>15972.694073541137</v>
      </c>
      <c r="DB20" s="63">
        <f t="shared" si="69"/>
        <v>10497.175593295753</v>
      </c>
      <c r="DC20" s="63">
        <f t="shared" si="22"/>
        <v>220179.05942766182</v>
      </c>
      <c r="DD20" s="63">
        <f t="shared" si="70"/>
        <v>209681.88383436608</v>
      </c>
    </row>
    <row r="21" spans="2:108" s="63" customFormat="1" x14ac:dyDescent="0.3">
      <c r="B21">
        <v>20</v>
      </c>
      <c r="C21">
        <v>19</v>
      </c>
      <c r="D21" s="63">
        <f t="shared" si="23"/>
        <v>306954.54269048752</v>
      </c>
      <c r="E21" s="63">
        <f t="shared" si="24"/>
        <v>196808.7884905152</v>
      </c>
      <c r="F21" s="63">
        <f>SUM($AX$3:$AX21)</f>
        <v>231704.99073463815</v>
      </c>
      <c r="G21" s="63">
        <f t="shared" si="0"/>
        <v>499596.15508931869</v>
      </c>
      <c r="H21" s="63">
        <f t="shared" si="1"/>
        <v>161299.27377804538</v>
      </c>
      <c r="I21" s="63">
        <f>( Table28[[#This Row],[Future value (Nominal)]]-Table28[[#This Row],[Tax (Nominal)]] ) -K21</f>
        <v>161299.27377804538</v>
      </c>
      <c r="J21" s="63">
        <f t="shared" si="25"/>
        <v>320324.02308113954</v>
      </c>
      <c r="K21" s="63">
        <f t="shared" si="2"/>
        <v>288210.06208757724</v>
      </c>
      <c r="L21" s="63">
        <f t="shared" si="26"/>
        <v>50086.819223696104</v>
      </c>
      <c r="M21" s="63">
        <f t="shared" si="3"/>
        <v>32113.960993562323</v>
      </c>
      <c r="N21" s="63">
        <f t="shared" si="27"/>
        <v>192641.61239883117</v>
      </c>
      <c r="O21" s="63">
        <f t="shared" si="4"/>
        <v>91401.273597061998</v>
      </c>
      <c r="P21" s="147">
        <f t="shared" si="28"/>
        <v>0.28534005251730882</v>
      </c>
      <c r="Q21" s="145">
        <f t="shared" si="29"/>
        <v>0.39447261496989294</v>
      </c>
      <c r="R21" s="145">
        <f>Table28[[#This Row],[Net Capital gain(Real)]]/Table28[[#This Row],[Savings (Real, adj. per year)]]</f>
        <v>0.39447261497159541</v>
      </c>
      <c r="S21" s="63">
        <f t="shared" si="5"/>
        <v>-1000</v>
      </c>
      <c r="T21" s="145">
        <f>IF(Table28[[#This Row],[+10% Net Gain/Savings (real, adj.)'']]&gt;0,Table28[[#This Row],[Real Capital gain/Savings (adj. per year)]],-0.000001)</f>
        <v>-9.9999999999999995E-7</v>
      </c>
      <c r="U21" s="208">
        <f>((Table28[[#This Row],[Net Present value (real)]]-Table28[[#This Row],[Savings* (real, full inflation* max year)]])) /Table28[[#This Row],[Savings* (real, full inflation* max year)]]</f>
        <v>0.46441662640216363</v>
      </c>
      <c r="V21" s="208">
        <f>IF(U20=0,0,IF(Table28[[#This Row],[Real Capital gain/Savings* (all inflation)]]&gt;ROUNDUP(U20,1),Table28[[#This Row],[Real Capital gain/Savings* (all inflation)]],0))</f>
        <v>0</v>
      </c>
      <c r="W21" s="235">
        <f>IF(Table28[[#This Row],[Column1]]&gt;0,Table28[[#This Row],[Net Capital gain(Real)]],-1000)</f>
        <v>-1000</v>
      </c>
      <c r="X21" s="63">
        <f>Table28[[#This Row],[Net Present value (real)]]-Table28[[#This Row],[Net Capital gain(Real)]]-Table28[[#This Row],[Savings* (real, full inflation* max year)]]</f>
        <v>0</v>
      </c>
      <c r="Y21" s="63">
        <f t="shared" si="30"/>
        <v>379108.89271660207</v>
      </c>
      <c r="Z21" s="63">
        <f t="shared" si="31"/>
        <v>231043.3414815962</v>
      </c>
      <c r="AA21" s="243">
        <f>((Table28[[#This Row],[Net Present value (real)]]-Table28[[#This Row],[Net deposit (real)]]))</f>
        <v>57166.720605981041</v>
      </c>
      <c r="AB21" s="241">
        <f>((Table28[[#This Row],[Net gain on deposit]] / Table28[[#This Row],[Net deposit (real)]]))</f>
        <v>0.24742855708107331</v>
      </c>
      <c r="AC21" s="241">
        <f>IF(AB20=0,0,IF(Table28[[#This Row],[Net gain on deposit/Deposit]]&gt;ROUNDUP(AB20,1),Table28[[#This Row],[Net gain on deposit/Deposit]],0))</f>
        <v>0</v>
      </c>
      <c r="AD21" s="242">
        <f>IF(Table28[[#This Row],[Column13]]&gt;0,Table28[[#This Row],[Net gain on deposit]],-1000)</f>
        <v>-1000</v>
      </c>
      <c r="AE21"/>
      <c r="AF21"/>
      <c r="AG21"/>
      <c r="AH21"/>
      <c r="AI21"/>
      <c r="AJ21"/>
      <c r="AK21"/>
      <c r="AL21"/>
      <c r="AM21"/>
      <c r="AN21"/>
      <c r="AO21"/>
      <c r="AP21"/>
      <c r="AQ21"/>
      <c r="AR21"/>
      <c r="AS21"/>
      <c r="AT21"/>
      <c r="AU21">
        <v>19</v>
      </c>
      <c r="AV21" s="63">
        <f t="shared" si="6"/>
        <v>33359.503880953431</v>
      </c>
      <c r="AW21" s="112">
        <f t="shared" si="32"/>
        <v>33359.503880953431</v>
      </c>
      <c r="AX21" s="63">
        <f t="shared" si="33"/>
        <v>21388.976640998077</v>
      </c>
      <c r="AY21" s="194">
        <f t="shared" si="71"/>
        <v>306954.54269048752</v>
      </c>
      <c r="AZ21" s="112">
        <f>SUM($AV$3:$AV21)</f>
        <v>306954.54269048752</v>
      </c>
      <c r="BA21" s="63">
        <f t="shared" si="34"/>
        <v>196808.7884905152</v>
      </c>
      <c r="BB21" s="63">
        <f>SUM($AX$3:$AX21)</f>
        <v>231704.99073463815</v>
      </c>
      <c r="BC21" s="63">
        <f t="shared" si="35"/>
        <v>315423.42947502621</v>
      </c>
      <c r="BD21" s="114">
        <f t="shared" si="7"/>
        <v>192641.61239883117</v>
      </c>
      <c r="BE21" s="72">
        <f t="shared" si="36"/>
        <v>122781.81707619503</v>
      </c>
      <c r="BF21" s="72">
        <f t="shared" si="8"/>
        <v>0</v>
      </c>
      <c r="BG21" s="63">
        <f t="shared" si="37"/>
        <v>0</v>
      </c>
      <c r="BH21" s="114">
        <f t="shared" si="9"/>
        <v>0</v>
      </c>
      <c r="BI21" s="63">
        <f t="shared" si="38"/>
        <v>184172.72561429249</v>
      </c>
      <c r="BJ21" s="114">
        <f t="shared" si="10"/>
        <v>0</v>
      </c>
      <c r="BK21" s="119">
        <f t="shared" si="11"/>
        <v>499596.15508931869</v>
      </c>
      <c r="BL21" s="126">
        <f t="shared" si="39"/>
        <v>192641.61239883117</v>
      </c>
      <c r="BM21" s="120">
        <f t="shared" si="12"/>
        <v>320324.02308113954</v>
      </c>
      <c r="BN21" s="113">
        <f t="shared" si="13"/>
        <v>123515.23459062433</v>
      </c>
      <c r="BO21" s="63">
        <f t="shared" si="14"/>
        <v>91401.273597061998</v>
      </c>
      <c r="BP21" s="63">
        <f t="shared" si="40"/>
        <v>32113.960993562359</v>
      </c>
      <c r="BQ21" s="63">
        <f t="shared" si="15"/>
        <v>0</v>
      </c>
      <c r="BR21" s="63">
        <f t="shared" si="16"/>
        <v>0</v>
      </c>
      <c r="BS21" s="63">
        <f t="shared" si="41"/>
        <v>0</v>
      </c>
      <c r="BT21" s="63">
        <f t="shared" si="17"/>
        <v>0</v>
      </c>
      <c r="BV21" s="63">
        <f t="shared" si="42"/>
        <v>50086.819223696104</v>
      </c>
      <c r="BW21" s="63">
        <f t="shared" si="18"/>
        <v>32113.960993562323</v>
      </c>
      <c r="BX21" s="113">
        <f t="shared" si="19"/>
        <v>449509.33586562262</v>
      </c>
      <c r="BY21" s="63">
        <f t="shared" si="20"/>
        <v>288210.06208757724</v>
      </c>
      <c r="BZ21" s="63">
        <f t="shared" si="43"/>
        <v>288210.06208757724</v>
      </c>
      <c r="CA21" s="63">
        <f t="shared" si="21"/>
        <v>0</v>
      </c>
      <c r="CB21" s="204">
        <f t="shared" si="44"/>
        <v>0.39447261496989294</v>
      </c>
      <c r="CC21" s="63">
        <f t="shared" si="45"/>
        <v>91401.273597061998</v>
      </c>
      <c r="CD21" s="63">
        <f t="shared" si="46"/>
        <v>91401.273597061998</v>
      </c>
      <c r="CE21" s="63">
        <f t="shared" si="47"/>
        <v>91401.273597061998</v>
      </c>
      <c r="CF21" s="63">
        <f t="shared" si="48"/>
        <v>0</v>
      </c>
      <c r="CG21" s="63">
        <f t="shared" si="49"/>
        <v>0</v>
      </c>
      <c r="CH21" s="63">
        <f t="shared" si="50"/>
        <v>0</v>
      </c>
      <c r="CI21" s="63">
        <f t="shared" si="51"/>
        <v>0</v>
      </c>
      <c r="CJ21" s="63">
        <f t="shared" si="52"/>
        <v>0</v>
      </c>
      <c r="CK21" s="63">
        <f t="shared" si="53"/>
        <v>0</v>
      </c>
      <c r="CL21" s="63">
        <f t="shared" si="54"/>
        <v>0</v>
      </c>
      <c r="CM21" s="63">
        <f t="shared" si="55"/>
        <v>0</v>
      </c>
      <c r="CN21" s="63">
        <f t="shared" si="56"/>
        <v>0</v>
      </c>
      <c r="CO21" s="63">
        <f t="shared" si="57"/>
        <v>0</v>
      </c>
      <c r="CP21" s="63">
        <f t="shared" si="58"/>
        <v>0</v>
      </c>
      <c r="CQ21" s="63">
        <f t="shared" si="59"/>
        <v>0</v>
      </c>
      <c r="CR21" s="63">
        <f t="shared" si="60"/>
        <v>0</v>
      </c>
      <c r="CS21" s="63">
        <f t="shared" si="61"/>
        <v>0</v>
      </c>
      <c r="CT21" s="63">
        <f t="shared" si="62"/>
        <v>0</v>
      </c>
      <c r="CU21" s="63">
        <f t="shared" si="63"/>
        <v>0</v>
      </c>
      <c r="CV21" s="63">
        <f t="shared" si="64"/>
        <v>0</v>
      </c>
      <c r="CW21" s="63">
        <f t="shared" si="65"/>
        <v>-1000</v>
      </c>
      <c r="CY21" s="63">
        <f t="shared" si="66"/>
        <v>379108.89271660207</v>
      </c>
      <c r="CZ21" s="63">
        <f t="shared" si="67"/>
        <v>72154.350026114553</v>
      </c>
      <c r="DA21" s="63">
        <f t="shared" si="68"/>
        <v>18760.131006789783</v>
      </c>
      <c r="DB21" s="63">
        <f t="shared" si="69"/>
        <v>12028.356456325759</v>
      </c>
      <c r="DC21" s="63">
        <f t="shared" si="22"/>
        <v>243071.69793792197</v>
      </c>
      <c r="DD21" s="63">
        <f t="shared" si="70"/>
        <v>231043.3414815962</v>
      </c>
    </row>
    <row r="22" spans="2:108" s="63" customFormat="1" x14ac:dyDescent="0.3">
      <c r="B22">
        <v>20</v>
      </c>
      <c r="C22">
        <v>20</v>
      </c>
      <c r="D22" s="63">
        <f t="shared" si="23"/>
        <v>343649.99695953628</v>
      </c>
      <c r="E22" s="63">
        <f t="shared" si="24"/>
        <v>214962.59784937862</v>
      </c>
      <c r="F22" s="63">
        <f>SUM($AX$3:$AX22)</f>
        <v>254659.01444692878</v>
      </c>
      <c r="G22" s="63">
        <f t="shared" si="0"/>
        <v>576034.96147222084</v>
      </c>
      <c r="H22" s="63">
        <f t="shared" si="1"/>
        <v>193083.4780731207</v>
      </c>
      <c r="I22" s="63">
        <f>( Table28[[#This Row],[Future value (Nominal)]]-Table28[[#This Row],[Tax (Nominal)]] ) -K22</f>
        <v>193083.4780731207</v>
      </c>
      <c r="J22" s="63">
        <f t="shared" si="25"/>
        <v>360325.83403373475</v>
      </c>
      <c r="K22" s="63">
        <f t="shared" si="2"/>
        <v>322531.39262580214</v>
      </c>
      <c r="L22" s="63">
        <f t="shared" si="26"/>
        <v>60420.090773297976</v>
      </c>
      <c r="M22" s="63">
        <f t="shared" si="3"/>
        <v>37794.441407932587</v>
      </c>
      <c r="N22" s="63">
        <f t="shared" si="27"/>
        <v>232384.96451268453</v>
      </c>
      <c r="O22" s="63">
        <f t="shared" si="4"/>
        <v>107568.79477642351</v>
      </c>
      <c r="P22" s="147">
        <f t="shared" si="28"/>
        <v>0.29853200793951234</v>
      </c>
      <c r="Q22" s="145">
        <f t="shared" si="29"/>
        <v>0.42240324776886529</v>
      </c>
      <c r="R22" s="145">
        <f>Table28[[#This Row],[Net Capital gain(Real)]]/Table28[[#This Row],[Savings (Real, adj. per year)]]</f>
        <v>0.42240324777052402</v>
      </c>
      <c r="S22" s="63">
        <f t="shared" si="5"/>
        <v>107568.79477642351</v>
      </c>
      <c r="T22" s="145">
        <f>IF(Table28[[#This Row],[+10% Net Gain/Savings (real, adj.)'']]&gt;0,Table28[[#This Row],[Real Capital gain/Savings (adj. per year)]],-0.000001)</f>
        <v>0.42240324776886529</v>
      </c>
      <c r="U22" s="208">
        <f>((Table28[[#This Row],[Net Present value (real)]]-Table28[[#This Row],[Savings* (real, full inflation* max year)]])) /Table28[[#This Row],[Savings* (real, full inflation* max year)]]</f>
        <v>0.50040702825798333</v>
      </c>
      <c r="V22" s="208">
        <f>IF(U21=0,0,IF(Table28[[#This Row],[Real Capital gain/Savings* (all inflation)]]&gt;ROUNDUP(U21,1),Table28[[#This Row],[Real Capital gain/Savings* (all inflation)]],0))</f>
        <v>0.50040702825798333</v>
      </c>
      <c r="W22" s="235">
        <f>IF(Table28[[#This Row],[Column1]]&gt;0,Table28[[#This Row],[Net Capital gain(Real)]],-1000)</f>
        <v>107568.79477642351</v>
      </c>
      <c r="X22" s="63">
        <f>Table28[[#This Row],[Net Present value (real)]]-Table28[[#This Row],[Net Capital gain(Real)]]-Table28[[#This Row],[Savings* (real, full inflation* max year)]]</f>
        <v>0</v>
      </c>
      <c r="Y22" s="63">
        <f t="shared" si="30"/>
        <v>427935.83155258209</v>
      </c>
      <c r="Z22" s="63">
        <f t="shared" si="31"/>
        <v>253977.71082328205</v>
      </c>
      <c r="AA22" s="243">
        <f>((Table28[[#This Row],[Net Present value (real)]]-Table28[[#This Row],[Net deposit (real)]]))</f>
        <v>68553.681802520092</v>
      </c>
      <c r="AB22" s="241">
        <f>((Table28[[#This Row],[Net gain on deposit]] / Table28[[#This Row],[Net deposit (real)]]))</f>
        <v>0.26992007125467721</v>
      </c>
      <c r="AC22" s="241">
        <f>IF(AB21=0,0,IF(Table28[[#This Row],[Net gain on deposit/Deposit]]&gt;ROUNDUP(AB21,1),Table28[[#This Row],[Net gain on deposit/Deposit]],0))</f>
        <v>0</v>
      </c>
      <c r="AD22" s="242">
        <f>IF(Table28[[#This Row],[Column13]]&gt;0,Table28[[#This Row],[Net gain on deposit]],-1000)</f>
        <v>-1000</v>
      </c>
      <c r="AE22"/>
      <c r="AF22"/>
      <c r="AG22"/>
      <c r="AH22"/>
      <c r="AI22"/>
      <c r="AJ22"/>
      <c r="AK22"/>
      <c r="AL22"/>
      <c r="AM22"/>
      <c r="AN22"/>
      <c r="AO22"/>
      <c r="AP22"/>
      <c r="AQ22"/>
      <c r="AR22"/>
      <c r="AS22"/>
      <c r="AT22"/>
      <c r="AU22">
        <v>20</v>
      </c>
      <c r="AV22" s="63">
        <f t="shared" si="6"/>
        <v>36695.45426904878</v>
      </c>
      <c r="AW22" s="112">
        <f t="shared" si="32"/>
        <v>36695.45426904878</v>
      </c>
      <c r="AX22" s="63">
        <f t="shared" si="33"/>
        <v>22954.023712290626</v>
      </c>
      <c r="AY22" s="194">
        <f t="shared" si="71"/>
        <v>343649.99695953628</v>
      </c>
      <c r="AZ22" s="112">
        <f>SUM($AV$3:$AV22)</f>
        <v>343649.99695953628</v>
      </c>
      <c r="BA22" s="63">
        <f t="shared" si="34"/>
        <v>214962.59784937862</v>
      </c>
      <c r="BB22" s="63">
        <f>SUM($AX$3:$AX22)</f>
        <v>254659.01444692878</v>
      </c>
      <c r="BC22" s="63">
        <f t="shared" si="35"/>
        <v>369844.96329649905</v>
      </c>
      <c r="BD22" s="114">
        <f t="shared" si="7"/>
        <v>232384.96451268453</v>
      </c>
      <c r="BE22" s="72">
        <f t="shared" si="36"/>
        <v>137459.99878381452</v>
      </c>
      <c r="BF22" s="72">
        <f t="shared" si="8"/>
        <v>0</v>
      </c>
      <c r="BG22" s="63">
        <f t="shared" si="37"/>
        <v>0</v>
      </c>
      <c r="BH22" s="114">
        <f t="shared" si="9"/>
        <v>0</v>
      </c>
      <c r="BI22" s="63">
        <f t="shared" si="38"/>
        <v>206189.99817572176</v>
      </c>
      <c r="BJ22" s="114">
        <f t="shared" si="10"/>
        <v>0</v>
      </c>
      <c r="BK22" s="119">
        <f t="shared" si="11"/>
        <v>576034.96147222084</v>
      </c>
      <c r="BL22" s="126">
        <f t="shared" si="39"/>
        <v>232384.96451268453</v>
      </c>
      <c r="BM22" s="120">
        <f t="shared" si="12"/>
        <v>360325.83403373475</v>
      </c>
      <c r="BN22" s="113">
        <f t="shared" si="13"/>
        <v>145363.23618435609</v>
      </c>
      <c r="BO22" s="63">
        <f t="shared" si="14"/>
        <v>107568.79477642351</v>
      </c>
      <c r="BP22" s="63">
        <f t="shared" si="40"/>
        <v>37794.441407932609</v>
      </c>
      <c r="BQ22" s="63">
        <f t="shared" si="15"/>
        <v>0</v>
      </c>
      <c r="BR22" s="63">
        <f t="shared" si="16"/>
        <v>0</v>
      </c>
      <c r="BS22" s="63">
        <f t="shared" si="41"/>
        <v>0</v>
      </c>
      <c r="BT22" s="63">
        <f t="shared" si="17"/>
        <v>0</v>
      </c>
      <c r="BV22" s="63">
        <f t="shared" si="42"/>
        <v>60420.090773297976</v>
      </c>
      <c r="BW22" s="63">
        <f t="shared" si="18"/>
        <v>37794.441407932587</v>
      </c>
      <c r="BX22" s="113">
        <f t="shared" si="19"/>
        <v>515614.87069892284</v>
      </c>
      <c r="BY22" s="63">
        <f t="shared" si="20"/>
        <v>322531.39262580214</v>
      </c>
      <c r="BZ22" s="63">
        <f t="shared" si="43"/>
        <v>322531.39262580214</v>
      </c>
      <c r="CA22" s="63">
        <f t="shared" si="21"/>
        <v>0</v>
      </c>
      <c r="CB22" s="204">
        <f t="shared" si="44"/>
        <v>0.42240324776886529</v>
      </c>
      <c r="CC22" s="63">
        <f t="shared" si="45"/>
        <v>107568.79477642351</v>
      </c>
      <c r="CD22" s="63">
        <f t="shared" si="46"/>
        <v>107568.79477642351</v>
      </c>
      <c r="CE22" s="63">
        <f t="shared" si="47"/>
        <v>107568.79477642351</v>
      </c>
      <c r="CF22" s="63">
        <f t="shared" si="48"/>
        <v>107568.79477642351</v>
      </c>
      <c r="CG22" s="63">
        <f t="shared" si="49"/>
        <v>0</v>
      </c>
      <c r="CH22" s="63">
        <f t="shared" si="50"/>
        <v>0</v>
      </c>
      <c r="CI22" s="63">
        <f t="shared" si="51"/>
        <v>0</v>
      </c>
      <c r="CJ22" s="63">
        <f t="shared" si="52"/>
        <v>0</v>
      </c>
      <c r="CK22" s="63">
        <f t="shared" si="53"/>
        <v>0</v>
      </c>
      <c r="CL22" s="63">
        <f t="shared" si="54"/>
        <v>0</v>
      </c>
      <c r="CM22" s="63">
        <f t="shared" si="55"/>
        <v>0</v>
      </c>
      <c r="CN22" s="63">
        <f t="shared" si="56"/>
        <v>0</v>
      </c>
      <c r="CO22" s="63">
        <f t="shared" si="57"/>
        <v>0</v>
      </c>
      <c r="CP22" s="63">
        <f t="shared" si="58"/>
        <v>0</v>
      </c>
      <c r="CQ22" s="63">
        <f t="shared" si="59"/>
        <v>0</v>
      </c>
      <c r="CR22" s="63">
        <f t="shared" si="60"/>
        <v>0</v>
      </c>
      <c r="CS22" s="63">
        <f t="shared" si="61"/>
        <v>0</v>
      </c>
      <c r="CT22" s="63">
        <f t="shared" si="62"/>
        <v>0</v>
      </c>
      <c r="CU22" s="63">
        <f t="shared" si="63"/>
        <v>0</v>
      </c>
      <c r="CV22" s="63">
        <f t="shared" si="64"/>
        <v>0</v>
      </c>
      <c r="CW22" s="63">
        <f t="shared" si="65"/>
        <v>107568.79477642351</v>
      </c>
      <c r="CY22" s="63">
        <f t="shared" si="66"/>
        <v>427935.83155258209</v>
      </c>
      <c r="CZ22" s="63">
        <f t="shared" si="67"/>
        <v>84285.834593045816</v>
      </c>
      <c r="DA22" s="63">
        <f t="shared" si="68"/>
        <v>21914.316994191911</v>
      </c>
      <c r="DB22" s="63">
        <f t="shared" si="69"/>
        <v>13708.012666506605</v>
      </c>
      <c r="DC22" s="63">
        <f t="shared" si="22"/>
        <v>267685.72348978865</v>
      </c>
      <c r="DD22" s="63">
        <f t="shared" si="70"/>
        <v>253977.71082328205</v>
      </c>
    </row>
    <row r="23" spans="2:108" s="63" customFormat="1" x14ac:dyDescent="0.3">
      <c r="B23">
        <v>30</v>
      </c>
      <c r="C23">
        <v>21</v>
      </c>
      <c r="D23" s="63">
        <f t="shared" si="23"/>
        <v>384014.99665548996</v>
      </c>
      <c r="E23" s="63">
        <f t="shared" si="24"/>
        <v>234353.19408087642</v>
      </c>
      <c r="F23" s="63">
        <f>SUM($AX$3:$AX23)</f>
        <v>279292.60086987482</v>
      </c>
      <c r="G23" s="63">
        <f t="shared" si="0"/>
        <v>663000.42654353334</v>
      </c>
      <c r="H23" s="63">
        <f t="shared" si="1"/>
        <v>230121.06169894285</v>
      </c>
      <c r="I23" s="63">
        <f>( Table28[[#This Row],[Future value (Nominal)]]-Table28[[#This Row],[Tax (Nominal)]] ) -K23</f>
        <v>230121.06169894285</v>
      </c>
      <c r="J23" s="63">
        <f t="shared" si="25"/>
        <v>404609.89542252879</v>
      </c>
      <c r="K23" s="63">
        <f t="shared" si="2"/>
        <v>360343.15307369916</v>
      </c>
      <c r="L23" s="63">
        <f t="shared" si="26"/>
        <v>72536.211770891299</v>
      </c>
      <c r="M23" s="63">
        <f t="shared" si="3"/>
        <v>44266.742348829619</v>
      </c>
      <c r="N23" s="63">
        <f t="shared" si="27"/>
        <v>278985.42988804344</v>
      </c>
      <c r="O23" s="63">
        <f t="shared" si="4"/>
        <v>125989.95899282275</v>
      </c>
      <c r="P23" s="147">
        <f t="shared" si="28"/>
        <v>0.31138625225691641</v>
      </c>
      <c r="Q23" s="145">
        <f t="shared" si="29"/>
        <v>0.45110381943512928</v>
      </c>
      <c r="R23" s="145">
        <f>Table28[[#This Row],[Net Capital gain(Real)]]/Table28[[#This Row],[Savings (Real, adj. per year)]]</f>
        <v>0.45110381943674449</v>
      </c>
      <c r="S23" s="63">
        <f t="shared" si="5"/>
        <v>-1000</v>
      </c>
      <c r="T23" s="145">
        <f>IF(Table28[[#This Row],[+10% Net Gain/Savings (real, adj.)'']]&gt;0,Table28[[#This Row],[Real Capital gain/Savings (adj. per year)]],-0.000001)</f>
        <v>-9.9999999999999995E-7</v>
      </c>
      <c r="U23" s="208">
        <f>((Table28[[#This Row],[Net Present value (real)]]-Table28[[#This Row],[Savings* (real, full inflation* max year)]])) /Table28[[#This Row],[Savings* (real, full inflation* max year)]]</f>
        <v>0.53760717658212498</v>
      </c>
      <c r="V23" s="208">
        <f>IF(U22=0,0,IF(Table28[[#This Row],[Real Capital gain/Savings* (all inflation)]]&gt;ROUNDUP(U22,1),Table28[[#This Row],[Real Capital gain/Savings* (all inflation)]],0))</f>
        <v>0</v>
      </c>
      <c r="W23" s="235">
        <f>IF(Table28[[#This Row],[Column1]]&gt;0,Table28[[#This Row],[Net Capital gain(Real)]],-1000)</f>
        <v>-1000</v>
      </c>
      <c r="X23" s="63">
        <f>Table28[[#This Row],[Net Present value (real)]]-Table28[[#This Row],[Net Capital gain(Real)]]-Table28[[#This Row],[Savings* (real, full inflation* max year)]]</f>
        <v>0</v>
      </c>
      <c r="Y23" s="63">
        <f t="shared" si="30"/>
        <v>481994.77785821841</v>
      </c>
      <c r="Z23" s="63">
        <f t="shared" si="31"/>
        <v>278600.91203808779</v>
      </c>
      <c r="AA23" s="243">
        <f>((Table28[[#This Row],[Net Present value (real)]]-Table28[[#This Row],[Net deposit (real)]]))</f>
        <v>81742.241035611369</v>
      </c>
      <c r="AB23" s="241">
        <f>((Table28[[#This Row],[Net gain on deposit]] / Table28[[#This Row],[Net deposit (real)]]))</f>
        <v>0.29340263259596333</v>
      </c>
      <c r="AC23" s="241">
        <f>IF(AB22=0,0,IF(Table28[[#This Row],[Net gain on deposit/Deposit]]&gt;ROUNDUP(AB22,1),Table28[[#This Row],[Net gain on deposit/Deposit]],0))</f>
        <v>0</v>
      </c>
      <c r="AD23" s="242">
        <f>IF(Table28[[#This Row],[Column13]]&gt;0,Table28[[#This Row],[Net gain on deposit]],-1000)</f>
        <v>-1000</v>
      </c>
      <c r="AE23"/>
      <c r="AF23"/>
      <c r="AG23"/>
      <c r="AH23"/>
      <c r="AI23"/>
      <c r="AJ23"/>
      <c r="AK23"/>
      <c r="AL23"/>
      <c r="AM23"/>
      <c r="AN23"/>
      <c r="AO23"/>
      <c r="AP23"/>
      <c r="AQ23"/>
      <c r="AR23"/>
      <c r="AS23"/>
      <c r="AT23"/>
      <c r="AU23">
        <v>21</v>
      </c>
      <c r="AV23" s="63">
        <f t="shared" si="6"/>
        <v>40364.999695953658</v>
      </c>
      <c r="AW23" s="112">
        <f t="shared" si="32"/>
        <v>40364.999695953658</v>
      </c>
      <c r="AX23" s="63">
        <f t="shared" si="33"/>
        <v>24633.586422946039</v>
      </c>
      <c r="AY23" s="194">
        <f t="shared" si="71"/>
        <v>384014.99665548996</v>
      </c>
      <c r="AZ23" s="112">
        <f>SUM($AV$3:$AV23)</f>
        <v>384014.99665548996</v>
      </c>
      <c r="BA23" s="63">
        <f t="shared" si="34"/>
        <v>234353.19408087642</v>
      </c>
      <c r="BB23" s="63">
        <f>SUM($AX$3:$AX23)</f>
        <v>279292.60086987482</v>
      </c>
      <c r="BC23" s="63">
        <f t="shared" si="35"/>
        <v>432591.42855023942</v>
      </c>
      <c r="BD23" s="114">
        <f t="shared" si="7"/>
        <v>278985.42988804344</v>
      </c>
      <c r="BE23" s="72">
        <f t="shared" si="36"/>
        <v>153605.99866219598</v>
      </c>
      <c r="BF23" s="72">
        <f t="shared" si="8"/>
        <v>0</v>
      </c>
      <c r="BG23" s="63">
        <f t="shared" si="37"/>
        <v>0</v>
      </c>
      <c r="BH23" s="114">
        <f t="shared" si="9"/>
        <v>0</v>
      </c>
      <c r="BI23" s="63">
        <f t="shared" si="38"/>
        <v>230408.99799329395</v>
      </c>
      <c r="BJ23" s="114">
        <f t="shared" si="10"/>
        <v>0</v>
      </c>
      <c r="BK23" s="119">
        <f t="shared" si="11"/>
        <v>663000.42654353334</v>
      </c>
      <c r="BL23" s="126">
        <f t="shared" si="39"/>
        <v>278985.42988804344</v>
      </c>
      <c r="BM23" s="120">
        <f t="shared" si="12"/>
        <v>404609.89542252879</v>
      </c>
      <c r="BN23" s="113">
        <f t="shared" si="13"/>
        <v>170256.70134165237</v>
      </c>
      <c r="BO23" s="63">
        <f t="shared" si="14"/>
        <v>125989.95899282275</v>
      </c>
      <c r="BP23" s="63">
        <f t="shared" si="40"/>
        <v>44266.742348829634</v>
      </c>
      <c r="BQ23" s="63">
        <f t="shared" si="15"/>
        <v>0</v>
      </c>
      <c r="BR23" s="63">
        <f t="shared" si="16"/>
        <v>0</v>
      </c>
      <c r="BS23" s="63">
        <f t="shared" si="41"/>
        <v>0</v>
      </c>
      <c r="BT23" s="63">
        <f t="shared" si="17"/>
        <v>0</v>
      </c>
      <c r="BV23" s="63">
        <f t="shared" si="42"/>
        <v>72536.211770891299</v>
      </c>
      <c r="BW23" s="63">
        <f t="shared" si="18"/>
        <v>44266.742348829619</v>
      </c>
      <c r="BX23" s="113">
        <f t="shared" si="19"/>
        <v>590464.21477264201</v>
      </c>
      <c r="BY23" s="63">
        <f t="shared" si="20"/>
        <v>360343.15307369916</v>
      </c>
      <c r="BZ23" s="63">
        <f t="shared" si="43"/>
        <v>360343.15307369916</v>
      </c>
      <c r="CA23" s="63">
        <f t="shared" si="21"/>
        <v>0</v>
      </c>
      <c r="CB23" s="204">
        <f t="shared" si="44"/>
        <v>0.45110381943512928</v>
      </c>
      <c r="CC23" s="63">
        <f t="shared" si="45"/>
        <v>125989.95899282275</v>
      </c>
      <c r="CD23" s="63">
        <f t="shared" si="46"/>
        <v>125989.95899282275</v>
      </c>
      <c r="CE23" s="63">
        <f t="shared" si="47"/>
        <v>125989.95899282275</v>
      </c>
      <c r="CF23" s="63">
        <f t="shared" si="48"/>
        <v>125989.95899282275</v>
      </c>
      <c r="CG23" s="63">
        <f t="shared" si="49"/>
        <v>0</v>
      </c>
      <c r="CH23" s="63">
        <f t="shared" si="50"/>
        <v>0</v>
      </c>
      <c r="CI23" s="63">
        <f t="shared" si="51"/>
        <v>0</v>
      </c>
      <c r="CJ23" s="63">
        <f t="shared" si="52"/>
        <v>0</v>
      </c>
      <c r="CK23" s="63">
        <f t="shared" si="53"/>
        <v>0</v>
      </c>
      <c r="CL23" s="63">
        <f t="shared" si="54"/>
        <v>0</v>
      </c>
      <c r="CM23" s="63">
        <f t="shared" si="55"/>
        <v>0</v>
      </c>
      <c r="CN23" s="63">
        <f t="shared" si="56"/>
        <v>0</v>
      </c>
      <c r="CO23" s="63">
        <f t="shared" si="57"/>
        <v>0</v>
      </c>
      <c r="CP23" s="63">
        <f t="shared" si="58"/>
        <v>0</v>
      </c>
      <c r="CQ23" s="63">
        <f t="shared" si="59"/>
        <v>0</v>
      </c>
      <c r="CR23" s="63">
        <f t="shared" si="60"/>
        <v>0</v>
      </c>
      <c r="CS23" s="63">
        <f t="shared" si="61"/>
        <v>0</v>
      </c>
      <c r="CT23" s="63">
        <f t="shared" si="62"/>
        <v>0</v>
      </c>
      <c r="CU23" s="63">
        <f t="shared" si="63"/>
        <v>0</v>
      </c>
      <c r="CV23" s="63">
        <f t="shared" si="64"/>
        <v>0</v>
      </c>
      <c r="CW23" s="63">
        <f t="shared" si="65"/>
        <v>-1000</v>
      </c>
      <c r="CY23" s="63">
        <f t="shared" si="66"/>
        <v>481994.77785821841</v>
      </c>
      <c r="CZ23" s="63">
        <f t="shared" si="67"/>
        <v>97979.781202728453</v>
      </c>
      <c r="DA23" s="63">
        <f t="shared" si="68"/>
        <v>25474.743112709399</v>
      </c>
      <c r="DB23" s="63">
        <f t="shared" si="69"/>
        <v>15546.495498479659</v>
      </c>
      <c r="DC23" s="63">
        <f t="shared" si="22"/>
        <v>294147.40753656742</v>
      </c>
      <c r="DD23" s="63">
        <f t="shared" si="70"/>
        <v>278600.91203808779</v>
      </c>
    </row>
    <row r="24" spans="2:108" s="63" customFormat="1" x14ac:dyDescent="0.3">
      <c r="B24">
        <v>30</v>
      </c>
      <c r="C24">
        <v>22</v>
      </c>
      <c r="D24" s="63">
        <f t="shared" si="23"/>
        <v>428416.49632103898</v>
      </c>
      <c r="E24" s="63">
        <f t="shared" si="24"/>
        <v>255073.30648401671</v>
      </c>
      <c r="F24" s="63">
        <f>SUM($AX$3:$AX24)</f>
        <v>305728.64483596326</v>
      </c>
      <c r="G24" s="63">
        <f t="shared" si="0"/>
        <v>761908.44620641263</v>
      </c>
      <c r="H24" s="63">
        <f t="shared" si="1"/>
        <v>273195.39806697069</v>
      </c>
      <c r="I24" s="63">
        <f>( Table28[[#This Row],[Future value (Nominal)]]-Table28[[#This Row],[Tax (Nominal)]] ) -K24</f>
        <v>273195.39806697069</v>
      </c>
      <c r="J24" s="63">
        <f t="shared" si="25"/>
        <v>453629.83984243305</v>
      </c>
      <c r="K24" s="63">
        <f t="shared" si="2"/>
        <v>402005.14116924483</v>
      </c>
      <c r="L24" s="63">
        <f t="shared" si="26"/>
        <v>86707.906970197146</v>
      </c>
      <c r="M24" s="63">
        <f t="shared" si="3"/>
        <v>51624.698673188257</v>
      </c>
      <c r="N24" s="63">
        <f t="shared" si="27"/>
        <v>333491.94988537364</v>
      </c>
      <c r="O24" s="63">
        <f t="shared" si="4"/>
        <v>146931.83468522812</v>
      </c>
      <c r="P24" s="147">
        <f t="shared" si="28"/>
        <v>0.32390248997701343</v>
      </c>
      <c r="Q24" s="145">
        <f t="shared" si="29"/>
        <v>0.48059557770120903</v>
      </c>
      <c r="R24" s="145">
        <f>Table28[[#This Row],[Net Capital gain(Real)]]/Table28[[#This Row],[Savings (Real, adj. per year)]]</f>
        <v>0.480595577702781</v>
      </c>
      <c r="S24" s="63">
        <f t="shared" si="5"/>
        <v>-1000</v>
      </c>
      <c r="T24" s="145">
        <f>IF(Table28[[#This Row],[+10% Net Gain/Savings (real, adj.)'']]&gt;0,Table28[[#This Row],[Real Capital gain/Savings (adj. per year)]],-0.000001)</f>
        <v>-9.9999999999999995E-7</v>
      </c>
      <c r="U24" s="208">
        <f>((Table28[[#This Row],[Net Present value (real)]]-Table28[[#This Row],[Savings* (real, full inflation* max year)]])) /Table28[[#This Row],[Savings* (real, full inflation* max year)]]</f>
        <v>0.57603767603347822</v>
      </c>
      <c r="V24" s="208">
        <f>IF(U23=0,0,IF(Table28[[#This Row],[Real Capital gain/Savings* (all inflation)]]&gt;ROUNDUP(U23,1),Table28[[#This Row],[Real Capital gain/Savings* (all inflation)]],0))</f>
        <v>0</v>
      </c>
      <c r="W24" s="235">
        <f>IF(Table28[[#This Row],[Column1]]&gt;0,Table28[[#This Row],[Net Capital gain(Real)]],-1000)</f>
        <v>-1000</v>
      </c>
      <c r="X24" s="63">
        <f>Table28[[#This Row],[Net Present value (real)]]-Table28[[#This Row],[Net Capital gain(Real)]]-Table28[[#This Row],[Savings* (real, full inflation* max year)]]</f>
        <v>0</v>
      </c>
      <c r="Y24" s="63">
        <f t="shared" si="30"/>
        <v>541820.11041523051</v>
      </c>
      <c r="Z24" s="63">
        <f t="shared" si="31"/>
        <v>305037.33435492136</v>
      </c>
      <c r="AA24" s="243">
        <f>((Table28[[#This Row],[Net Present value (real)]]-Table28[[#This Row],[Net deposit (real)]]))</f>
        <v>96967.80681432347</v>
      </c>
      <c r="AB24" s="241">
        <f>((Table28[[#This Row],[Net gain on deposit]] / Table28[[#This Row],[Net deposit (real)]]))</f>
        <v>0.31788832347157253</v>
      </c>
      <c r="AC24" s="241">
        <f>IF(AB23=0,0,IF(Table28[[#This Row],[Net gain on deposit/Deposit]]&gt;ROUNDUP(AB23,1),Table28[[#This Row],[Net gain on deposit/Deposit]],0))</f>
        <v>0.31788832347157253</v>
      </c>
      <c r="AD24" s="242">
        <f>IF(Table28[[#This Row],[Column13]]&gt;0,Table28[[#This Row],[Net gain on deposit]],-1000)</f>
        <v>96967.80681432347</v>
      </c>
      <c r="AE24"/>
      <c r="AF24"/>
      <c r="AG24"/>
      <c r="AH24"/>
      <c r="AI24"/>
      <c r="AJ24"/>
      <c r="AK24"/>
      <c r="AL24"/>
      <c r="AM24"/>
      <c r="AN24"/>
      <c r="AO24"/>
      <c r="AP24"/>
      <c r="AQ24"/>
      <c r="AR24"/>
      <c r="AS24"/>
      <c r="AT24"/>
      <c r="AU24">
        <v>22</v>
      </c>
      <c r="AV24" s="63">
        <f t="shared" si="6"/>
        <v>44401.499665549025</v>
      </c>
      <c r="AW24" s="112">
        <f t="shared" si="32"/>
        <v>44401.499665549025</v>
      </c>
      <c r="AX24" s="63">
        <f t="shared" si="33"/>
        <v>26436.043966088437</v>
      </c>
      <c r="AY24" s="194">
        <f t="shared" si="71"/>
        <v>428416.49632103898</v>
      </c>
      <c r="AZ24" s="112">
        <f>SUM($AV$3:$AV24)</f>
        <v>428416.49632103898</v>
      </c>
      <c r="BA24" s="63">
        <f t="shared" si="34"/>
        <v>255073.30648401671</v>
      </c>
      <c r="BB24" s="63">
        <f>SUM($AX$3:$AX24)</f>
        <v>305728.64483596326</v>
      </c>
      <c r="BC24" s="63">
        <f t="shared" si="35"/>
        <v>504858.54841378925</v>
      </c>
      <c r="BD24" s="114">
        <f t="shared" si="7"/>
        <v>333491.94988537364</v>
      </c>
      <c r="BE24" s="72">
        <f t="shared" si="36"/>
        <v>171366.5985284156</v>
      </c>
      <c r="BF24" s="72">
        <f t="shared" si="8"/>
        <v>0</v>
      </c>
      <c r="BG24" s="63">
        <f t="shared" si="37"/>
        <v>0</v>
      </c>
      <c r="BH24" s="114">
        <f t="shared" si="9"/>
        <v>0</v>
      </c>
      <c r="BI24" s="63">
        <f t="shared" si="38"/>
        <v>257049.89779262335</v>
      </c>
      <c r="BJ24" s="114">
        <f t="shared" si="10"/>
        <v>0</v>
      </c>
      <c r="BK24" s="119">
        <f t="shared" si="11"/>
        <v>761908.44620641263</v>
      </c>
      <c r="BL24" s="126">
        <f t="shared" si="39"/>
        <v>333491.94988537364</v>
      </c>
      <c r="BM24" s="120">
        <f t="shared" si="12"/>
        <v>453629.83984243305</v>
      </c>
      <c r="BN24" s="113">
        <f t="shared" si="13"/>
        <v>198556.53335841637</v>
      </c>
      <c r="BO24" s="63">
        <f t="shared" si="14"/>
        <v>146931.83468522812</v>
      </c>
      <c r="BP24" s="63">
        <f t="shared" si="40"/>
        <v>51624.698673188221</v>
      </c>
      <c r="BQ24" s="63">
        <f t="shared" si="15"/>
        <v>0</v>
      </c>
      <c r="BR24" s="63">
        <f t="shared" si="16"/>
        <v>0</v>
      </c>
      <c r="BS24" s="63">
        <f t="shared" si="41"/>
        <v>0</v>
      </c>
      <c r="BT24" s="63">
        <f t="shared" si="17"/>
        <v>0</v>
      </c>
      <c r="BV24" s="63">
        <f t="shared" si="42"/>
        <v>86707.906970197146</v>
      </c>
      <c r="BW24" s="63">
        <f t="shared" si="18"/>
        <v>51624.698673188257</v>
      </c>
      <c r="BX24" s="113">
        <f t="shared" si="19"/>
        <v>675200.53923621553</v>
      </c>
      <c r="BY24" s="63">
        <f t="shared" si="20"/>
        <v>402005.14116924483</v>
      </c>
      <c r="BZ24" s="63">
        <f t="shared" si="43"/>
        <v>402005.14116924477</v>
      </c>
      <c r="CA24" s="63">
        <f t="shared" si="21"/>
        <v>0</v>
      </c>
      <c r="CB24" s="204">
        <f t="shared" si="44"/>
        <v>0.48059557770120903</v>
      </c>
      <c r="CC24" s="63">
        <f t="shared" si="45"/>
        <v>146931.83468522812</v>
      </c>
      <c r="CD24" s="63">
        <f t="shared" si="46"/>
        <v>146931.83468522812</v>
      </c>
      <c r="CE24" s="63">
        <f t="shared" si="47"/>
        <v>146931.83468522812</v>
      </c>
      <c r="CF24" s="63">
        <f t="shared" si="48"/>
        <v>146931.83468522812</v>
      </c>
      <c r="CG24" s="63">
        <f t="shared" si="49"/>
        <v>0</v>
      </c>
      <c r="CH24" s="63">
        <f t="shared" si="50"/>
        <v>0</v>
      </c>
      <c r="CI24" s="63">
        <f t="shared" si="51"/>
        <v>0</v>
      </c>
      <c r="CJ24" s="63">
        <f t="shared" si="52"/>
        <v>0</v>
      </c>
      <c r="CK24" s="63">
        <f t="shared" si="53"/>
        <v>0</v>
      </c>
      <c r="CL24" s="63">
        <f t="shared" si="54"/>
        <v>0</v>
      </c>
      <c r="CM24" s="63">
        <f t="shared" si="55"/>
        <v>0</v>
      </c>
      <c r="CN24" s="63">
        <f t="shared" si="56"/>
        <v>0</v>
      </c>
      <c r="CO24" s="63">
        <f t="shared" si="57"/>
        <v>0</v>
      </c>
      <c r="CP24" s="63">
        <f t="shared" si="58"/>
        <v>0</v>
      </c>
      <c r="CQ24" s="63">
        <f t="shared" si="59"/>
        <v>0</v>
      </c>
      <c r="CR24" s="63">
        <f t="shared" si="60"/>
        <v>0</v>
      </c>
      <c r="CS24" s="63">
        <f t="shared" si="61"/>
        <v>0</v>
      </c>
      <c r="CT24" s="63">
        <f t="shared" si="62"/>
        <v>0</v>
      </c>
      <c r="CU24" s="63">
        <f t="shared" si="63"/>
        <v>0</v>
      </c>
      <c r="CV24" s="63">
        <f t="shared" si="64"/>
        <v>0</v>
      </c>
      <c r="CW24" s="63">
        <f t="shared" si="65"/>
        <v>-1000</v>
      </c>
      <c r="CY24" s="63">
        <f t="shared" si="66"/>
        <v>541820.11041523051</v>
      </c>
      <c r="CZ24" s="63">
        <f t="shared" si="67"/>
        <v>113403.61409419152</v>
      </c>
      <c r="DA24" s="63">
        <f t="shared" si="68"/>
        <v>29484.939664489797</v>
      </c>
      <c r="DB24" s="63">
        <f t="shared" si="69"/>
        <v>17554.928711398941</v>
      </c>
      <c r="DC24" s="63">
        <f t="shared" si="22"/>
        <v>322592.26306632033</v>
      </c>
      <c r="DD24" s="63">
        <f t="shared" si="70"/>
        <v>305037.33435492136</v>
      </c>
    </row>
    <row r="25" spans="2:108" s="63" customFormat="1" x14ac:dyDescent="0.3">
      <c r="B25">
        <v>30</v>
      </c>
      <c r="C25">
        <v>23</v>
      </c>
      <c r="D25" s="63">
        <f t="shared" si="23"/>
        <v>477258.1459531429</v>
      </c>
      <c r="E25" s="63">
        <f t="shared" si="24"/>
        <v>277222.39497240388</v>
      </c>
      <c r="F25" s="63">
        <f>SUM($AX$3:$AX25)</f>
        <v>334099.03348249721</v>
      </c>
      <c r="G25" s="63">
        <f t="shared" si="0"/>
        <v>874362.27293865394</v>
      </c>
      <c r="H25" s="63">
        <f t="shared" si="1"/>
        <v>323201.62456543691</v>
      </c>
      <c r="I25" s="63">
        <f>( Table28[[#This Row],[Future value (Nominal)]]-Table28[[#This Row],[Tax (Nominal)]] ) -K25</f>
        <v>323201.62456543691</v>
      </c>
      <c r="J25" s="63">
        <f t="shared" si="25"/>
        <v>507886.15224886365</v>
      </c>
      <c r="K25" s="63">
        <f t="shared" si="2"/>
        <v>447913.5753569841</v>
      </c>
      <c r="L25" s="63">
        <f t="shared" si="26"/>
        <v>103247.07301623287</v>
      </c>
      <c r="M25" s="63">
        <f t="shared" si="3"/>
        <v>59972.576891879544</v>
      </c>
      <c r="N25" s="63">
        <f t="shared" si="27"/>
        <v>397104.12698551104</v>
      </c>
      <c r="O25" s="63">
        <f t="shared" si="4"/>
        <v>170691.18038458025</v>
      </c>
      <c r="P25" s="147">
        <f t="shared" si="28"/>
        <v>0.33608157969098085</v>
      </c>
      <c r="Q25" s="145">
        <f t="shared" si="29"/>
        <v>0.51089995264236976</v>
      </c>
      <c r="R25" s="145">
        <f>Table28[[#This Row],[Net Capital gain(Real)]]/Table28[[#This Row],[Savings (Real, adj. per year)]]</f>
        <v>0.51089995264389898</v>
      </c>
      <c r="S25" s="63">
        <f t="shared" si="5"/>
        <v>170691.18038458025</v>
      </c>
      <c r="T25" s="145">
        <f>IF(Table28[[#This Row],[+10% Net Gain/Savings (real, adj.)'']]&gt;0,Table28[[#This Row],[Real Capital gain/Savings (adj. per year)]],-0.000001)</f>
        <v>0.51089995264236976</v>
      </c>
      <c r="U25" s="208">
        <f>((Table28[[#This Row],[Net Present value (real)]]-Table28[[#This Row],[Savings* (real, full inflation* max year)]])) /Table28[[#This Row],[Savings* (real, full inflation* max year)]]</f>
        <v>0.61571930507840711</v>
      </c>
      <c r="V25" s="208">
        <f>IF(U24=0,0,IF(Table28[[#This Row],[Real Capital gain/Savings* (all inflation)]]&gt;ROUNDUP(U24,1),Table28[[#This Row],[Real Capital gain/Savings* (all inflation)]],0))</f>
        <v>0.61571930507840711</v>
      </c>
      <c r="W25" s="235">
        <f>IF(Table28[[#This Row],[Column1]]&gt;0,Table28[[#This Row],[Net Capital gain(Real)]],-1000)</f>
        <v>170691.18038458025</v>
      </c>
      <c r="X25" s="63">
        <f>Table28[[#This Row],[Net Present value (real)]]-Table28[[#This Row],[Net Capital gain(Real)]]-Table28[[#This Row],[Savings* (real, full inflation* max year)]]</f>
        <v>0</v>
      </c>
      <c r="Y25" s="63">
        <f t="shared" si="30"/>
        <v>608000.00358062191</v>
      </c>
      <c r="Z25" s="63">
        <f t="shared" si="31"/>
        <v>333420.45610441873</v>
      </c>
      <c r="AA25" s="243">
        <f>((Table28[[#This Row],[Net Present value (real)]]-Table28[[#This Row],[Net deposit (real)]]))</f>
        <v>114493.11925256538</v>
      </c>
      <c r="AB25" s="241">
        <f>((Table28[[#This Row],[Net gain on deposit]] / Table28[[#This Row],[Net deposit (real)]]))</f>
        <v>0.34338960659543055</v>
      </c>
      <c r="AC25" s="241">
        <f>IF(AB24=0,0,IF(Table28[[#This Row],[Net gain on deposit/Deposit]]&gt;ROUNDUP(AB24,1),Table28[[#This Row],[Net gain on deposit/Deposit]],0))</f>
        <v>0</v>
      </c>
      <c r="AD25" s="242">
        <f>IF(Table28[[#This Row],[Column13]]&gt;0,Table28[[#This Row],[Net gain on deposit]],-1000)</f>
        <v>-1000</v>
      </c>
      <c r="AE25"/>
      <c r="AF25"/>
      <c r="AG25"/>
      <c r="AH25"/>
      <c r="AI25"/>
      <c r="AJ25"/>
      <c r="AK25"/>
      <c r="AL25"/>
      <c r="AM25"/>
      <c r="AN25"/>
      <c r="AO25"/>
      <c r="AP25"/>
      <c r="AQ25"/>
      <c r="AR25"/>
      <c r="AS25"/>
      <c r="AT25"/>
      <c r="AU25">
        <v>23</v>
      </c>
      <c r="AV25" s="63">
        <f t="shared" si="6"/>
        <v>48841.64963210393</v>
      </c>
      <c r="AW25" s="112">
        <f t="shared" si="32"/>
        <v>48841.64963210393</v>
      </c>
      <c r="AX25" s="63">
        <f t="shared" si="33"/>
        <v>28370.388646533935</v>
      </c>
      <c r="AY25" s="194">
        <f t="shared" si="71"/>
        <v>477258.1459531429</v>
      </c>
      <c r="AZ25" s="112">
        <f>SUM($AV$3:$AV25)</f>
        <v>477258.1459531429</v>
      </c>
      <c r="BA25" s="63">
        <f t="shared" si="34"/>
        <v>277222.39497240388</v>
      </c>
      <c r="BB25" s="63">
        <f>SUM($AX$3:$AX25)</f>
        <v>334099.03348249721</v>
      </c>
      <c r="BC25" s="63">
        <f t="shared" si="35"/>
        <v>588007.38536676823</v>
      </c>
      <c r="BD25" s="114">
        <f t="shared" si="7"/>
        <v>397104.12698551104</v>
      </c>
      <c r="BE25" s="72">
        <f t="shared" si="36"/>
        <v>190903.25838125718</v>
      </c>
      <c r="BF25" s="72">
        <f t="shared" si="8"/>
        <v>0</v>
      </c>
      <c r="BG25" s="63">
        <f t="shared" si="37"/>
        <v>0</v>
      </c>
      <c r="BH25" s="114">
        <f t="shared" si="9"/>
        <v>0</v>
      </c>
      <c r="BI25" s="63">
        <f t="shared" si="38"/>
        <v>286354.88757188572</v>
      </c>
      <c r="BJ25" s="114">
        <f t="shared" si="10"/>
        <v>0</v>
      </c>
      <c r="BK25" s="119">
        <f t="shared" si="11"/>
        <v>874362.27293865394</v>
      </c>
      <c r="BL25" s="126">
        <f t="shared" si="39"/>
        <v>397104.12698551104</v>
      </c>
      <c r="BM25" s="120">
        <f t="shared" si="12"/>
        <v>507886.15224886365</v>
      </c>
      <c r="BN25" s="113">
        <f t="shared" si="13"/>
        <v>230663.75727645977</v>
      </c>
      <c r="BO25" s="63">
        <f t="shared" si="14"/>
        <v>170691.18038458025</v>
      </c>
      <c r="BP25" s="63">
        <f t="shared" si="40"/>
        <v>59972.576891879493</v>
      </c>
      <c r="BQ25" s="63">
        <f t="shared" si="15"/>
        <v>0</v>
      </c>
      <c r="BR25" s="63">
        <f t="shared" si="16"/>
        <v>0</v>
      </c>
      <c r="BS25" s="63">
        <f t="shared" si="41"/>
        <v>0</v>
      </c>
      <c r="BT25" s="63">
        <f t="shared" si="17"/>
        <v>0</v>
      </c>
      <c r="BV25" s="63">
        <f t="shared" si="42"/>
        <v>103247.07301623287</v>
      </c>
      <c r="BW25" s="63">
        <f t="shared" si="18"/>
        <v>59972.576891879544</v>
      </c>
      <c r="BX25" s="113">
        <f t="shared" si="19"/>
        <v>771115.19992242102</v>
      </c>
      <c r="BY25" s="63">
        <f t="shared" si="20"/>
        <v>447913.5753569841</v>
      </c>
      <c r="BZ25" s="63">
        <f t="shared" si="43"/>
        <v>447913.5753569841</v>
      </c>
      <c r="CA25" s="63">
        <f t="shared" si="21"/>
        <v>0</v>
      </c>
      <c r="CB25" s="204">
        <f t="shared" si="44"/>
        <v>0.51089995264236976</v>
      </c>
      <c r="CC25" s="63">
        <f t="shared" si="45"/>
        <v>170691.18038458025</v>
      </c>
      <c r="CD25" s="63">
        <f t="shared" si="46"/>
        <v>170691.18038458025</v>
      </c>
      <c r="CE25" s="63">
        <f t="shared" si="47"/>
        <v>170691.18038458025</v>
      </c>
      <c r="CF25" s="63">
        <f t="shared" si="48"/>
        <v>170691.18038458025</v>
      </c>
      <c r="CG25" s="63">
        <f t="shared" si="49"/>
        <v>170691.18038458025</v>
      </c>
      <c r="CH25" s="63">
        <f t="shared" si="50"/>
        <v>0</v>
      </c>
      <c r="CI25" s="63">
        <f t="shared" si="51"/>
        <v>0</v>
      </c>
      <c r="CJ25" s="63">
        <f t="shared" si="52"/>
        <v>0</v>
      </c>
      <c r="CK25" s="63">
        <f t="shared" si="53"/>
        <v>0</v>
      </c>
      <c r="CL25" s="63">
        <f t="shared" si="54"/>
        <v>0</v>
      </c>
      <c r="CM25" s="63">
        <f t="shared" si="55"/>
        <v>0</v>
      </c>
      <c r="CN25" s="63">
        <f t="shared" si="56"/>
        <v>0</v>
      </c>
      <c r="CO25" s="63">
        <f t="shared" si="57"/>
        <v>0</v>
      </c>
      <c r="CP25" s="63">
        <f t="shared" si="58"/>
        <v>0</v>
      </c>
      <c r="CQ25" s="63">
        <f t="shared" si="59"/>
        <v>0</v>
      </c>
      <c r="CR25" s="63">
        <f t="shared" si="60"/>
        <v>0</v>
      </c>
      <c r="CS25" s="63">
        <f t="shared" si="61"/>
        <v>0</v>
      </c>
      <c r="CT25" s="63">
        <f t="shared" si="62"/>
        <v>0</v>
      </c>
      <c r="CU25" s="63">
        <f t="shared" si="63"/>
        <v>0</v>
      </c>
      <c r="CV25" s="63">
        <f t="shared" si="64"/>
        <v>0</v>
      </c>
      <c r="CW25" s="63">
        <f t="shared" si="65"/>
        <v>170691.18038458025</v>
      </c>
      <c r="CY25" s="63">
        <f t="shared" si="66"/>
        <v>608000.00358062191</v>
      </c>
      <c r="CZ25" s="63">
        <f t="shared" si="67"/>
        <v>130741.85762747901</v>
      </c>
      <c r="DA25" s="63">
        <f t="shared" si="68"/>
        <v>33992.882983144547</v>
      </c>
      <c r="DB25" s="63">
        <f t="shared" si="69"/>
        <v>19745.264722059266</v>
      </c>
      <c r="DC25" s="63">
        <f t="shared" si="22"/>
        <v>353165.72082647798</v>
      </c>
      <c r="DD25" s="63">
        <f t="shared" si="70"/>
        <v>333420.45610441873</v>
      </c>
    </row>
    <row r="26" spans="2:108" s="63" customFormat="1" x14ac:dyDescent="0.3">
      <c r="B26">
        <v>30</v>
      </c>
      <c r="C26">
        <v>24</v>
      </c>
      <c r="D26" s="63">
        <f t="shared" si="23"/>
        <v>530983.96054845722</v>
      </c>
      <c r="E26" s="63">
        <f t="shared" si="24"/>
        <v>300907.14388643048</v>
      </c>
      <c r="F26" s="63">
        <f>SUM($AX$3:$AX26)</f>
        <v>364545.30422511901</v>
      </c>
      <c r="G26" s="63">
        <f t="shared" si="0"/>
        <v>1002177.0180901813</v>
      </c>
      <c r="H26" s="63">
        <f t="shared" si="1"/>
        <v>381162.06406638725</v>
      </c>
      <c r="I26" s="63">
        <f>( Table28[[#This Row],[Future value (Nominal)]]-Table28[[#This Row],[Tax (Nominal)]] ) -K26</f>
        <v>381162.06406638725</v>
      </c>
      <c r="J26" s="63">
        <f t="shared" si="25"/>
        <v>567930.9481790188</v>
      </c>
      <c r="K26" s="63">
        <f t="shared" si="2"/>
        <v>498504.75906294584</v>
      </c>
      <c r="L26" s="63">
        <f t="shared" si="26"/>
        <v>122510.19496084824</v>
      </c>
      <c r="M26" s="63">
        <f t="shared" si="3"/>
        <v>69426.189116072957</v>
      </c>
      <c r="N26" s="63">
        <f t="shared" si="27"/>
        <v>471193.057541724</v>
      </c>
      <c r="O26" s="63">
        <f t="shared" si="4"/>
        <v>197597.6151765153</v>
      </c>
      <c r="P26" s="147">
        <f t="shared" si="28"/>
        <v>0.34792542258048875</v>
      </c>
      <c r="Q26" s="145">
        <f t="shared" si="29"/>
        <v>0.54203856937888328</v>
      </c>
      <c r="R26" s="145">
        <f>Table28[[#This Row],[Net Capital gain(Real)]]/Table28[[#This Row],[Savings (Real, adj. per year)]]</f>
        <v>0.54203856938037009</v>
      </c>
      <c r="S26" s="63">
        <f t="shared" si="5"/>
        <v>-1000</v>
      </c>
      <c r="T26" s="145">
        <f>IF(Table28[[#This Row],[+10% Net Gain/Savings (real, adj.)'']]&gt;0,Table28[[#This Row],[Real Capital gain/Savings (adj. per year)]],-0.000001)</f>
        <v>-9.9999999999999995E-7</v>
      </c>
      <c r="U26" s="208">
        <f>((Table28[[#This Row],[Net Present value (real)]]-Table28[[#This Row],[Savings* (real, full inflation* max year)]])) /Table28[[#This Row],[Savings* (real, full inflation* max year)]]</f>
        <v>0.65667306074691734</v>
      </c>
      <c r="V26" s="208">
        <f>IF(U25=0,0,IF(Table28[[#This Row],[Real Capital gain/Savings* (all inflation)]]&gt;ROUNDUP(U25,1),Table28[[#This Row],[Real Capital gain/Savings* (all inflation)]],0))</f>
        <v>0</v>
      </c>
      <c r="W26" s="235">
        <f>IF(Table28[[#This Row],[Column1]]&gt;0,Table28[[#This Row],[Net Capital gain(Real)]],-1000)</f>
        <v>-1000</v>
      </c>
      <c r="X26" s="63">
        <f>Table28[[#This Row],[Net Present value (real)]]-Table28[[#This Row],[Net Capital gain(Real)]]-Table28[[#This Row],[Savings* (real, full inflation* max year)]]</f>
        <v>0</v>
      </c>
      <c r="Y26" s="63">
        <f t="shared" si="30"/>
        <v>681181.81829051615</v>
      </c>
      <c r="Z26" s="63">
        <f t="shared" si="31"/>
        <v>363893.51013148983</v>
      </c>
      <c r="AA26" s="243">
        <f>((Table28[[#This Row],[Net Present value (real)]]-Table28[[#This Row],[Net deposit (real)]]))</f>
        <v>134611.24893145601</v>
      </c>
      <c r="AB26" s="241">
        <f>((Table28[[#This Row],[Net gain on deposit]] / Table28[[#This Row],[Net deposit (real)]]))</f>
        <v>0.3699193450381002</v>
      </c>
      <c r="AC26" s="241">
        <f>IF(AB25=0,0,IF(Table28[[#This Row],[Net gain on deposit/Deposit]]&gt;ROUNDUP(AB25,1),Table28[[#This Row],[Net gain on deposit/Deposit]],0))</f>
        <v>0</v>
      </c>
      <c r="AD26" s="242">
        <f>IF(Table28[[#This Row],[Column13]]&gt;0,Table28[[#This Row],[Net gain on deposit]],-1000)</f>
        <v>-1000</v>
      </c>
      <c r="AE26"/>
      <c r="AF26"/>
      <c r="AG26"/>
      <c r="AH26"/>
      <c r="AI26"/>
      <c r="AJ26"/>
      <c r="AK26"/>
      <c r="AL26"/>
      <c r="AM26"/>
      <c r="AN26"/>
      <c r="AO26"/>
      <c r="AP26"/>
      <c r="AQ26"/>
      <c r="AR26"/>
      <c r="AS26"/>
      <c r="AT26"/>
      <c r="AU26">
        <v>24</v>
      </c>
      <c r="AV26" s="63">
        <f t="shared" si="6"/>
        <v>53725.814595314332</v>
      </c>
      <c r="AW26" s="112">
        <f t="shared" si="32"/>
        <v>53725.814595314332</v>
      </c>
      <c r="AX26" s="63">
        <f t="shared" si="33"/>
        <v>30446.270742621789</v>
      </c>
      <c r="AY26" s="194">
        <f t="shared" si="71"/>
        <v>530983.96054845722</v>
      </c>
      <c r="AZ26" s="112">
        <f>SUM($AV$3:$AV26)</f>
        <v>530983.96054845722</v>
      </c>
      <c r="BA26" s="63">
        <f t="shared" si="34"/>
        <v>300907.14388643048</v>
      </c>
      <c r="BB26" s="63">
        <f>SUM($AX$3:$AX26)</f>
        <v>364545.30422511901</v>
      </c>
      <c r="BC26" s="63">
        <f t="shared" si="35"/>
        <v>683586.6417611069</v>
      </c>
      <c r="BD26" s="114">
        <f t="shared" si="7"/>
        <v>471193.057541724</v>
      </c>
      <c r="BE26" s="72">
        <f t="shared" si="36"/>
        <v>212393.5842193829</v>
      </c>
      <c r="BF26" s="72">
        <f t="shared" si="8"/>
        <v>0</v>
      </c>
      <c r="BG26" s="63">
        <f t="shared" si="37"/>
        <v>0</v>
      </c>
      <c r="BH26" s="114">
        <f t="shared" si="9"/>
        <v>0</v>
      </c>
      <c r="BI26" s="63">
        <f t="shared" si="38"/>
        <v>318590.37632907432</v>
      </c>
      <c r="BJ26" s="114">
        <f t="shared" si="10"/>
        <v>0</v>
      </c>
      <c r="BK26" s="119">
        <f t="shared" si="11"/>
        <v>1002177.0180901813</v>
      </c>
      <c r="BL26" s="126">
        <f t="shared" si="39"/>
        <v>471193.057541724</v>
      </c>
      <c r="BM26" s="120">
        <f t="shared" si="12"/>
        <v>567930.9481790188</v>
      </c>
      <c r="BN26" s="113">
        <f t="shared" si="13"/>
        <v>267023.80429258826</v>
      </c>
      <c r="BO26" s="63">
        <f t="shared" si="14"/>
        <v>197597.6151765153</v>
      </c>
      <c r="BP26" s="63">
        <f t="shared" si="40"/>
        <v>69426.189116073016</v>
      </c>
      <c r="BQ26" s="63">
        <f t="shared" si="15"/>
        <v>0</v>
      </c>
      <c r="BR26" s="63">
        <f t="shared" si="16"/>
        <v>0</v>
      </c>
      <c r="BS26" s="63">
        <f t="shared" si="41"/>
        <v>0</v>
      </c>
      <c r="BT26" s="63">
        <f t="shared" si="17"/>
        <v>0</v>
      </c>
      <c r="BV26" s="63">
        <f t="shared" si="42"/>
        <v>122510.19496084824</v>
      </c>
      <c r="BW26" s="63">
        <f t="shared" si="18"/>
        <v>69426.189116072957</v>
      </c>
      <c r="BX26" s="113">
        <f t="shared" si="19"/>
        <v>879666.82312933309</v>
      </c>
      <c r="BY26" s="63">
        <f t="shared" si="20"/>
        <v>498504.75906294584</v>
      </c>
      <c r="BZ26" s="63">
        <f t="shared" si="43"/>
        <v>498504.75906294584</v>
      </c>
      <c r="CA26" s="63">
        <f t="shared" si="21"/>
        <v>0</v>
      </c>
      <c r="CB26" s="204">
        <f t="shared" si="44"/>
        <v>0.54203856937888328</v>
      </c>
      <c r="CC26" s="63">
        <f t="shared" si="45"/>
        <v>197597.6151765153</v>
      </c>
      <c r="CD26" s="63">
        <f t="shared" si="46"/>
        <v>197597.6151765153</v>
      </c>
      <c r="CE26" s="63">
        <f t="shared" si="47"/>
        <v>197597.6151765153</v>
      </c>
      <c r="CF26" s="63">
        <f t="shared" si="48"/>
        <v>197597.6151765153</v>
      </c>
      <c r="CG26" s="63">
        <f t="shared" si="49"/>
        <v>197597.6151765153</v>
      </c>
      <c r="CH26" s="63">
        <f t="shared" si="50"/>
        <v>0</v>
      </c>
      <c r="CI26" s="63">
        <f t="shared" si="51"/>
        <v>0</v>
      </c>
      <c r="CJ26" s="63">
        <f t="shared" si="52"/>
        <v>0</v>
      </c>
      <c r="CK26" s="63">
        <f t="shared" si="53"/>
        <v>0</v>
      </c>
      <c r="CL26" s="63">
        <f t="shared" si="54"/>
        <v>0</v>
      </c>
      <c r="CM26" s="63">
        <f t="shared" si="55"/>
        <v>0</v>
      </c>
      <c r="CN26" s="63">
        <f t="shared" si="56"/>
        <v>0</v>
      </c>
      <c r="CO26" s="63">
        <f t="shared" si="57"/>
        <v>0</v>
      </c>
      <c r="CP26" s="63">
        <f t="shared" si="58"/>
        <v>0</v>
      </c>
      <c r="CQ26" s="63">
        <f t="shared" si="59"/>
        <v>0</v>
      </c>
      <c r="CR26" s="63">
        <f t="shared" si="60"/>
        <v>0</v>
      </c>
      <c r="CS26" s="63">
        <f t="shared" si="61"/>
        <v>0</v>
      </c>
      <c r="CT26" s="63">
        <f t="shared" si="62"/>
        <v>0</v>
      </c>
      <c r="CU26" s="63">
        <f t="shared" si="63"/>
        <v>0</v>
      </c>
      <c r="CV26" s="63">
        <f t="shared" si="64"/>
        <v>0</v>
      </c>
      <c r="CW26" s="63">
        <f t="shared" si="65"/>
        <v>-1000</v>
      </c>
      <c r="CY26" s="63">
        <f t="shared" si="66"/>
        <v>681181.81829051615</v>
      </c>
      <c r="CZ26" s="63">
        <f t="shared" si="67"/>
        <v>150197.85774205893</v>
      </c>
      <c r="DA26" s="63">
        <f t="shared" si="68"/>
        <v>39051.44301293532</v>
      </c>
      <c r="DB26" s="63">
        <f t="shared" si="69"/>
        <v>22130.344896912746</v>
      </c>
      <c r="DC26" s="63">
        <f t="shared" si="22"/>
        <v>386023.85502840258</v>
      </c>
      <c r="DD26" s="63">
        <f t="shared" si="70"/>
        <v>363893.51013148983</v>
      </c>
    </row>
    <row r="27" spans="2:108" s="63" customFormat="1" x14ac:dyDescent="0.3">
      <c r="B27">
        <v>30</v>
      </c>
      <c r="C27">
        <v>25</v>
      </c>
      <c r="D27" s="63">
        <f t="shared" si="23"/>
        <v>590082.35660330299</v>
      </c>
      <c r="E27" s="63">
        <f t="shared" si="24"/>
        <v>326241.99190567265</v>
      </c>
      <c r="F27" s="63">
        <f>SUM($AX$3:$AX27)</f>
        <v>397219.35087573749</v>
      </c>
      <c r="G27" s="63">
        <f t="shared" si="0"/>
        <v>1147407.3310069265</v>
      </c>
      <c r="H27" s="63">
        <f t="shared" si="1"/>
        <v>448243.72621763416</v>
      </c>
      <c r="I27" s="63">
        <f>( Table28[[#This Row],[Future value (Nominal)]]-Table28[[#This Row],[Tax (Nominal)]] ) -K27</f>
        <v>448243.72621763416</v>
      </c>
      <c r="J27" s="63">
        <f t="shared" si="25"/>
        <v>634373.23452550732</v>
      </c>
      <c r="K27" s="63">
        <f t="shared" si="2"/>
        <v>554259.11144435022</v>
      </c>
      <c r="L27" s="63">
        <f t="shared" si="26"/>
        <v>144904.49334494211</v>
      </c>
      <c r="M27" s="63">
        <f t="shared" si="3"/>
        <v>80114.123081157013</v>
      </c>
      <c r="N27" s="63">
        <f t="shared" si="27"/>
        <v>557324.97440362349</v>
      </c>
      <c r="O27" s="63">
        <f t="shared" si="4"/>
        <v>228017.11953867762</v>
      </c>
      <c r="P27" s="147">
        <f t="shared" si="28"/>
        <v>0.35943685372111278</v>
      </c>
      <c r="Q27" s="145">
        <f t="shared" si="29"/>
        <v>0.57403326156039769</v>
      </c>
      <c r="R27" s="145">
        <f>Table28[[#This Row],[Net Capital gain(Real)]]/Table28[[#This Row],[Savings (Real, adj. per year)]]</f>
        <v>0.57403326156184276</v>
      </c>
      <c r="S27" s="63">
        <f t="shared" si="5"/>
        <v>-1000</v>
      </c>
      <c r="T27" s="145">
        <f>IF(Table28[[#This Row],[+10% Net Gain/Savings (real, adj.)'']]&gt;0,Table28[[#This Row],[Real Capital gain/Savings (adj. per year)]],-0.000001)</f>
        <v>-9.9999999999999995E-7</v>
      </c>
      <c r="U27" s="208">
        <f>((Table28[[#This Row],[Net Present value (real)]]-Table28[[#This Row],[Savings* (real, full inflation* max year)]])) /Table28[[#This Row],[Savings* (real, full inflation* max year)]]</f>
        <v>0.69892020400796495</v>
      </c>
      <c r="V27" s="208">
        <f>IF(U26=0,0,IF(Table28[[#This Row],[Real Capital gain/Savings* (all inflation)]]&gt;ROUNDUP(U26,1),Table28[[#This Row],[Real Capital gain/Savings* (all inflation)]],0))</f>
        <v>0</v>
      </c>
      <c r="W27" s="235">
        <f>IF(Table28[[#This Row],[Column1]]&gt;0,Table28[[#This Row],[Net Capital gain(Real)]],-1000)</f>
        <v>-1000</v>
      </c>
      <c r="X27" s="63">
        <f>Table28[[#This Row],[Net Present value (real)]]-Table28[[#This Row],[Net Capital gain(Real)]]-Table28[[#This Row],[Savings* (real, full inflation* max year)]]</f>
        <v>0</v>
      </c>
      <c r="Y27" s="63">
        <f t="shared" si="30"/>
        <v>762078.03253065841</v>
      </c>
      <c r="Z27" s="63">
        <f t="shared" si="31"/>
        <v>396610.19788824033</v>
      </c>
      <c r="AA27" s="243">
        <f>((Table28[[#This Row],[Net Present value (real)]]-Table28[[#This Row],[Net deposit (real)]]))</f>
        <v>157648.91355610988</v>
      </c>
      <c r="AB27" s="241">
        <f>((Table28[[#This Row],[Net gain on deposit]] / Table28[[#This Row],[Net deposit (real)]]))</f>
        <v>0.39749082195948304</v>
      </c>
      <c r="AC27" s="241">
        <f>IF(AB26=0,0,IF(Table28[[#This Row],[Net gain on deposit/Deposit]]&gt;ROUNDUP(AB26,1),Table28[[#This Row],[Net gain on deposit/Deposit]],0))</f>
        <v>0</v>
      </c>
      <c r="AD27" s="242">
        <f>IF(Table28[[#This Row],[Column13]]&gt;0,Table28[[#This Row],[Net gain on deposit]],-1000)</f>
        <v>-1000</v>
      </c>
      <c r="AE27"/>
      <c r="AF27"/>
      <c r="AG27"/>
      <c r="AH27"/>
      <c r="AI27"/>
      <c r="AJ27"/>
      <c r="AK27"/>
      <c r="AL27"/>
      <c r="AM27"/>
      <c r="AN27"/>
      <c r="AO27"/>
      <c r="AP27"/>
      <c r="AQ27"/>
      <c r="AR27"/>
      <c r="AS27"/>
      <c r="AT27"/>
      <c r="AU27">
        <v>25</v>
      </c>
      <c r="AV27" s="63">
        <f t="shared" si="6"/>
        <v>59098.396054845754</v>
      </c>
      <c r="AW27" s="112">
        <f t="shared" si="32"/>
        <v>59098.396054845754</v>
      </c>
      <c r="AX27" s="63">
        <f t="shared" si="33"/>
        <v>32674.0466506185</v>
      </c>
      <c r="AY27" s="194">
        <f t="shared" si="71"/>
        <v>590082.35660330299</v>
      </c>
      <c r="AZ27" s="112">
        <f>SUM($AV$3:$AV27)</f>
        <v>590082.35660330299</v>
      </c>
      <c r="BA27" s="63">
        <f t="shared" si="34"/>
        <v>326241.99190567265</v>
      </c>
      <c r="BB27" s="63">
        <f>SUM($AX$3:$AX27)</f>
        <v>397219.35087573749</v>
      </c>
      <c r="BC27" s="63">
        <f t="shared" si="35"/>
        <v>793357.91704494471</v>
      </c>
      <c r="BD27" s="114">
        <f t="shared" si="7"/>
        <v>557324.97440362349</v>
      </c>
      <c r="BE27" s="72">
        <f t="shared" si="36"/>
        <v>236032.94264132122</v>
      </c>
      <c r="BF27" s="72">
        <f t="shared" si="8"/>
        <v>0</v>
      </c>
      <c r="BG27" s="63">
        <f t="shared" si="37"/>
        <v>0</v>
      </c>
      <c r="BH27" s="114">
        <f t="shared" si="9"/>
        <v>0</v>
      </c>
      <c r="BI27" s="63">
        <f t="shared" si="38"/>
        <v>354049.41396198177</v>
      </c>
      <c r="BJ27" s="114">
        <f t="shared" si="10"/>
        <v>0</v>
      </c>
      <c r="BK27" s="119">
        <f t="shared" si="11"/>
        <v>1147407.3310069265</v>
      </c>
      <c r="BL27" s="126">
        <f t="shared" si="39"/>
        <v>557324.97440362349</v>
      </c>
      <c r="BM27" s="120">
        <f t="shared" si="12"/>
        <v>634373.23452550732</v>
      </c>
      <c r="BN27" s="113">
        <f t="shared" si="13"/>
        <v>308131.24261983467</v>
      </c>
      <c r="BO27" s="63">
        <f t="shared" si="14"/>
        <v>228017.11953867762</v>
      </c>
      <c r="BP27" s="63">
        <f t="shared" si="40"/>
        <v>80114.123081156984</v>
      </c>
      <c r="BQ27" s="63">
        <f t="shared" si="15"/>
        <v>0</v>
      </c>
      <c r="BR27" s="63">
        <f t="shared" si="16"/>
        <v>0</v>
      </c>
      <c r="BS27" s="63">
        <f t="shared" si="41"/>
        <v>0</v>
      </c>
      <c r="BT27" s="63">
        <f t="shared" si="17"/>
        <v>0</v>
      </c>
      <c r="BV27" s="63">
        <f t="shared" si="42"/>
        <v>144904.49334494211</v>
      </c>
      <c r="BW27" s="63">
        <f t="shared" si="18"/>
        <v>80114.123081157013</v>
      </c>
      <c r="BX27" s="113">
        <f t="shared" si="19"/>
        <v>1002502.8376619844</v>
      </c>
      <c r="BY27" s="63">
        <f t="shared" si="20"/>
        <v>554259.11144435022</v>
      </c>
      <c r="BZ27" s="63">
        <f t="shared" si="43"/>
        <v>554259.11144435033</v>
      </c>
      <c r="CA27" s="63">
        <f t="shared" si="21"/>
        <v>0</v>
      </c>
      <c r="CB27" s="204">
        <f t="shared" si="44"/>
        <v>0.57403326156039769</v>
      </c>
      <c r="CC27" s="63">
        <f t="shared" si="45"/>
        <v>228017.11953867762</v>
      </c>
      <c r="CD27" s="63">
        <f t="shared" si="46"/>
        <v>228017.11953867762</v>
      </c>
      <c r="CE27" s="63">
        <f t="shared" si="47"/>
        <v>228017.11953867762</v>
      </c>
      <c r="CF27" s="63">
        <f t="shared" si="48"/>
        <v>228017.11953867762</v>
      </c>
      <c r="CG27" s="63">
        <f t="shared" si="49"/>
        <v>228017.11953867762</v>
      </c>
      <c r="CH27" s="63">
        <f t="shared" si="50"/>
        <v>0</v>
      </c>
      <c r="CI27" s="63">
        <f t="shared" si="51"/>
        <v>0</v>
      </c>
      <c r="CJ27" s="63">
        <f t="shared" si="52"/>
        <v>0</v>
      </c>
      <c r="CK27" s="63">
        <f t="shared" si="53"/>
        <v>0</v>
      </c>
      <c r="CL27" s="63">
        <f t="shared" si="54"/>
        <v>0</v>
      </c>
      <c r="CM27" s="63">
        <f t="shared" si="55"/>
        <v>0</v>
      </c>
      <c r="CN27" s="63">
        <f t="shared" si="56"/>
        <v>0</v>
      </c>
      <c r="CO27" s="63">
        <f t="shared" si="57"/>
        <v>0</v>
      </c>
      <c r="CP27" s="63">
        <f t="shared" si="58"/>
        <v>0</v>
      </c>
      <c r="CQ27" s="63">
        <f t="shared" si="59"/>
        <v>0</v>
      </c>
      <c r="CR27" s="63">
        <f t="shared" si="60"/>
        <v>0</v>
      </c>
      <c r="CS27" s="63">
        <f t="shared" si="61"/>
        <v>0</v>
      </c>
      <c r="CT27" s="63">
        <f t="shared" si="62"/>
        <v>0</v>
      </c>
      <c r="CU27" s="63">
        <f t="shared" si="63"/>
        <v>0</v>
      </c>
      <c r="CV27" s="63">
        <f t="shared" si="64"/>
        <v>0</v>
      </c>
      <c r="CW27" s="63">
        <f t="shared" si="65"/>
        <v>-1000</v>
      </c>
      <c r="CY27" s="63">
        <f t="shared" si="66"/>
        <v>762078.03253065841</v>
      </c>
      <c r="CZ27" s="63">
        <f t="shared" si="67"/>
        <v>171995.67592735542</v>
      </c>
      <c r="DA27" s="63">
        <f t="shared" si="68"/>
        <v>44718.87574111241</v>
      </c>
      <c r="DB27" s="63">
        <f t="shared" si="69"/>
        <v>24723.964264145416</v>
      </c>
      <c r="DC27" s="63">
        <f t="shared" si="22"/>
        <v>421334.16215238575</v>
      </c>
      <c r="DD27" s="63">
        <f t="shared" si="70"/>
        <v>396610.19788824033</v>
      </c>
    </row>
    <row r="28" spans="2:108" s="63" customFormat="1" x14ac:dyDescent="0.3">
      <c r="B28">
        <v>30</v>
      </c>
      <c r="C28">
        <v>26</v>
      </c>
      <c r="D28" s="63">
        <f t="shared" si="23"/>
        <v>655090.59226363339</v>
      </c>
      <c r="E28" s="63">
        <f t="shared" si="24"/>
        <v>353349.7007037591</v>
      </c>
      <c r="F28" s="63">
        <f>SUM($AX$3:$AX28)</f>
        <v>432284.18142762076</v>
      </c>
      <c r="G28" s="63">
        <f t="shared" si="0"/>
        <v>1312378.66421492</v>
      </c>
      <c r="H28" s="63">
        <f t="shared" si="1"/>
        <v>525778.16438366531</v>
      </c>
      <c r="I28" s="63">
        <f>( Table28[[#This Row],[Future value (Nominal)]]-Table28[[#This Row],[Tax (Nominal)]] ) -K28</f>
        <v>525778.16438366531</v>
      </c>
      <c r="J28" s="63">
        <f t="shared" si="25"/>
        <v>707884.70127154421</v>
      </c>
      <c r="K28" s="63">
        <f t="shared" si="2"/>
        <v>615705.60112392006</v>
      </c>
      <c r="L28" s="63">
        <f t="shared" si="26"/>
        <v>170894.89870733453</v>
      </c>
      <c r="M28" s="63">
        <f t="shared" si="3"/>
        <v>92179.100147624151</v>
      </c>
      <c r="N28" s="63">
        <f t="shared" si="27"/>
        <v>657288.07195128663</v>
      </c>
      <c r="O28" s="63">
        <f t="shared" si="4"/>
        <v>262355.90042016102</v>
      </c>
      <c r="P28" s="147">
        <f t="shared" si="28"/>
        <v>0.37061953720971785</v>
      </c>
      <c r="Q28" s="145">
        <f t="shared" si="29"/>
        <v>0.6069060856058216</v>
      </c>
      <c r="R28" s="145">
        <f>Table28[[#This Row],[Net Capital gain(Real)]]/Table28[[#This Row],[Savings (Real, adj. per year)]]</f>
        <v>0.60690608560722559</v>
      </c>
      <c r="S28" s="63">
        <f t="shared" si="5"/>
        <v>262355.90042016102</v>
      </c>
      <c r="T28" s="145">
        <f>IF(Table28[[#This Row],[+10% Net Gain/Savings (real, adj.)'']]&gt;0,Table28[[#This Row],[Real Capital gain/Savings (adj. per year)]],-0.000001)</f>
        <v>0.6069060856058216</v>
      </c>
      <c r="U28" s="208">
        <f>((Table28[[#This Row],[Net Present value (real)]]-Table28[[#This Row],[Savings* (real, full inflation* max year)]])) /Table28[[#This Row],[Savings* (real, full inflation* max year)]]</f>
        <v>0.74248230548273364</v>
      </c>
      <c r="V28" s="208">
        <f>IF(U27=0,0,IF(Table28[[#This Row],[Real Capital gain/Savings* (all inflation)]]&gt;ROUNDUP(U27,1),Table28[[#This Row],[Real Capital gain/Savings* (all inflation)]],0))</f>
        <v>0.74248230548273364</v>
      </c>
      <c r="W28" s="235">
        <f>IF(Table28[[#This Row],[Column1]]&gt;0,Table28[[#This Row],[Net Capital gain(Real)]],-1000)</f>
        <v>262355.90042016102</v>
      </c>
      <c r="X28" s="63">
        <f>Table28[[#This Row],[Net Present value (real)]]-Table28[[#This Row],[Net Capital gain(Real)]]-Table28[[#This Row],[Savings* (real, full inflation* max year)]]</f>
        <v>0</v>
      </c>
      <c r="Y28" s="63">
        <f t="shared" si="30"/>
        <v>851472.76523196988</v>
      </c>
      <c r="Z28" s="63">
        <f t="shared" si="31"/>
        <v>431735.45576945296</v>
      </c>
      <c r="AA28" s="243">
        <f>((Table28[[#This Row],[Net Present value (real)]]-Table28[[#This Row],[Net deposit (real)]]))</f>
        <v>183970.14535446709</v>
      </c>
      <c r="AB28" s="241">
        <f>((Table28[[#This Row],[Net gain on deposit]] / Table28[[#This Row],[Net deposit (real)]]))</f>
        <v>0.42611776006811747</v>
      </c>
      <c r="AC28" s="241">
        <f>IF(AB27=0,0,IF(Table28[[#This Row],[Net gain on deposit/Deposit]]&gt;ROUNDUP(AB27,1),Table28[[#This Row],[Net gain on deposit/Deposit]],0))</f>
        <v>0.42611776006811747</v>
      </c>
      <c r="AD28" s="242">
        <f>IF(Table28[[#This Row],[Column13]]&gt;0,Table28[[#This Row],[Net gain on deposit]],-1000)</f>
        <v>183970.14535446709</v>
      </c>
      <c r="AE28"/>
      <c r="AF28"/>
      <c r="AG28"/>
      <c r="AH28"/>
      <c r="AI28"/>
      <c r="AJ28"/>
      <c r="AK28"/>
      <c r="AL28"/>
      <c r="AM28"/>
      <c r="AN28"/>
      <c r="AO28"/>
      <c r="AP28"/>
      <c r="AQ28"/>
      <c r="AR28"/>
      <c r="AS28"/>
      <c r="AT28"/>
      <c r="AU28">
        <v>26</v>
      </c>
      <c r="AV28" s="63">
        <f t="shared" si="6"/>
        <v>65008.235660330349</v>
      </c>
      <c r="AW28" s="112">
        <f t="shared" si="32"/>
        <v>65008.235660330349</v>
      </c>
      <c r="AX28" s="63">
        <f t="shared" si="33"/>
        <v>35064.830551883286</v>
      </c>
      <c r="AY28" s="194">
        <f t="shared" si="71"/>
        <v>655090.59226363339</v>
      </c>
      <c r="AZ28" s="112">
        <f>SUM($AV$3:$AV28)</f>
        <v>655090.59226363339</v>
      </c>
      <c r="BA28" s="63">
        <f t="shared" si="34"/>
        <v>353349.7007037591</v>
      </c>
      <c r="BB28" s="63">
        <f>SUM($AX$3:$AX28)</f>
        <v>432284.18142762076</v>
      </c>
      <c r="BC28" s="63">
        <f t="shared" si="35"/>
        <v>919324.30885674001</v>
      </c>
      <c r="BD28" s="114">
        <f t="shared" si="7"/>
        <v>657288.07195128663</v>
      </c>
      <c r="BE28" s="72">
        <f t="shared" si="36"/>
        <v>262036.23690545338</v>
      </c>
      <c r="BF28" s="72">
        <f t="shared" si="8"/>
        <v>0</v>
      </c>
      <c r="BG28" s="63">
        <f t="shared" si="37"/>
        <v>0</v>
      </c>
      <c r="BH28" s="114">
        <f t="shared" si="9"/>
        <v>0</v>
      </c>
      <c r="BI28" s="63">
        <f t="shared" si="38"/>
        <v>393054.35535818001</v>
      </c>
      <c r="BJ28" s="114">
        <f t="shared" si="10"/>
        <v>0</v>
      </c>
      <c r="BK28" s="119">
        <f t="shared" si="11"/>
        <v>1312378.66421492</v>
      </c>
      <c r="BL28" s="126">
        <f t="shared" si="39"/>
        <v>657288.07195128663</v>
      </c>
      <c r="BM28" s="120">
        <f t="shared" si="12"/>
        <v>707884.70127154421</v>
      </c>
      <c r="BN28" s="113">
        <f t="shared" si="13"/>
        <v>354535.00056778517</v>
      </c>
      <c r="BO28" s="63">
        <f t="shared" si="14"/>
        <v>262355.90042016102</v>
      </c>
      <c r="BP28" s="63">
        <f t="shared" si="40"/>
        <v>92179.100147624034</v>
      </c>
      <c r="BQ28" s="63">
        <f t="shared" si="15"/>
        <v>0</v>
      </c>
      <c r="BR28" s="63">
        <f t="shared" si="16"/>
        <v>0</v>
      </c>
      <c r="BS28" s="63">
        <f t="shared" si="41"/>
        <v>0</v>
      </c>
      <c r="BT28" s="63">
        <f t="shared" si="17"/>
        <v>0</v>
      </c>
      <c r="BV28" s="63">
        <f t="shared" si="42"/>
        <v>170894.89870733453</v>
      </c>
      <c r="BW28" s="63">
        <f t="shared" si="18"/>
        <v>92179.100147624151</v>
      </c>
      <c r="BX28" s="113">
        <f t="shared" si="19"/>
        <v>1141483.7655075854</v>
      </c>
      <c r="BY28" s="63">
        <f t="shared" si="20"/>
        <v>615705.60112392006</v>
      </c>
      <c r="BZ28" s="63">
        <f t="shared" si="43"/>
        <v>615705.60112392006</v>
      </c>
      <c r="CA28" s="63">
        <f t="shared" si="21"/>
        <v>0</v>
      </c>
      <c r="CB28" s="204">
        <f t="shared" si="44"/>
        <v>0.6069060856058216</v>
      </c>
      <c r="CC28" s="63">
        <f t="shared" si="45"/>
        <v>262355.90042016102</v>
      </c>
      <c r="CD28" s="63">
        <f t="shared" si="46"/>
        <v>262355.90042016102</v>
      </c>
      <c r="CE28" s="63">
        <f t="shared" si="47"/>
        <v>262355.90042016102</v>
      </c>
      <c r="CF28" s="63">
        <f t="shared" si="48"/>
        <v>262355.90042016102</v>
      </c>
      <c r="CG28" s="63">
        <f t="shared" si="49"/>
        <v>262355.90042016102</v>
      </c>
      <c r="CH28" s="63">
        <f t="shared" si="50"/>
        <v>262355.90042016102</v>
      </c>
      <c r="CI28" s="63">
        <f t="shared" si="51"/>
        <v>0</v>
      </c>
      <c r="CJ28" s="63">
        <f t="shared" si="52"/>
        <v>0</v>
      </c>
      <c r="CK28" s="63">
        <f t="shared" si="53"/>
        <v>0</v>
      </c>
      <c r="CL28" s="63">
        <f t="shared" si="54"/>
        <v>0</v>
      </c>
      <c r="CM28" s="63">
        <f t="shared" si="55"/>
        <v>0</v>
      </c>
      <c r="CN28" s="63">
        <f t="shared" si="56"/>
        <v>0</v>
      </c>
      <c r="CO28" s="63">
        <f t="shared" si="57"/>
        <v>0</v>
      </c>
      <c r="CP28" s="63">
        <f t="shared" si="58"/>
        <v>0</v>
      </c>
      <c r="CQ28" s="63">
        <f t="shared" si="59"/>
        <v>0</v>
      </c>
      <c r="CR28" s="63">
        <f t="shared" si="60"/>
        <v>0</v>
      </c>
      <c r="CS28" s="63">
        <f t="shared" si="61"/>
        <v>0</v>
      </c>
      <c r="CT28" s="63">
        <f t="shared" si="62"/>
        <v>0</v>
      </c>
      <c r="CU28" s="63">
        <f t="shared" si="63"/>
        <v>0</v>
      </c>
      <c r="CV28" s="63">
        <f t="shared" si="64"/>
        <v>0</v>
      </c>
      <c r="CW28" s="63">
        <f t="shared" si="65"/>
        <v>262355.90042016102</v>
      </c>
      <c r="CY28" s="63">
        <f t="shared" si="66"/>
        <v>851472.76523196988</v>
      </c>
      <c r="CZ28" s="63">
        <f t="shared" si="67"/>
        <v>196382.1729683365</v>
      </c>
      <c r="DA28" s="63">
        <f t="shared" si="68"/>
        <v>51059.364971767493</v>
      </c>
      <c r="DB28" s="63">
        <f t="shared" si="69"/>
        <v>27540.940969027582</v>
      </c>
      <c r="DC28" s="63">
        <f t="shared" si="22"/>
        <v>459276.39673848054</v>
      </c>
      <c r="DD28" s="63">
        <f t="shared" si="70"/>
        <v>431735.45576945296</v>
      </c>
    </row>
    <row r="29" spans="2:108" s="63" customFormat="1" x14ac:dyDescent="0.3">
      <c r="B29">
        <v>30</v>
      </c>
      <c r="C29">
        <v>27</v>
      </c>
      <c r="D29" s="63">
        <f t="shared" si="23"/>
        <v>726599.65148999682</v>
      </c>
      <c r="E29" s="63">
        <f t="shared" si="24"/>
        <v>382361.96518129832</v>
      </c>
      <c r="F29" s="63">
        <f>SUM($AX$3:$AX29)</f>
        <v>469914.73128817842</v>
      </c>
      <c r="G29" s="63">
        <f t="shared" si="0"/>
        <v>1499722.5863572326</v>
      </c>
      <c r="H29" s="63">
        <f t="shared" si="1"/>
        <v>615284.00024650304</v>
      </c>
      <c r="I29" s="63">
        <f>( Table28[[#This Row],[Future value (Nominal)]]-Table28[[#This Row],[Tax (Nominal)]] ) -K29</f>
        <v>615284.00024650304</v>
      </c>
      <c r="J29" s="63">
        <f t="shared" si="25"/>
        <v>789206.09742987948</v>
      </c>
      <c r="K29" s="63">
        <f t="shared" si="2"/>
        <v>683426.62304524833</v>
      </c>
      <c r="L29" s="63">
        <f t="shared" si="26"/>
        <v>201011.96306548134</v>
      </c>
      <c r="M29" s="63">
        <f t="shared" si="3"/>
        <v>105779.4743846311</v>
      </c>
      <c r="N29" s="63">
        <f t="shared" si="27"/>
        <v>773122.93486723583</v>
      </c>
      <c r="O29" s="63">
        <f t="shared" si="4"/>
        <v>301064.65786395001</v>
      </c>
      <c r="P29" s="147">
        <f t="shared" si="28"/>
        <v>0.38147786592912336</v>
      </c>
      <c r="Q29" s="145">
        <f t="shared" si="29"/>
        <v>0.64067933567011193</v>
      </c>
      <c r="R29" s="145">
        <f>Table28[[#This Row],[Net Capital gain(Real)]]/Table28[[#This Row],[Savings (Real, adj. per year)]]</f>
        <v>0.64067933567147539</v>
      </c>
      <c r="S29" s="63">
        <f t="shared" si="5"/>
        <v>-1000</v>
      </c>
      <c r="T29" s="145">
        <f>IF(Table28[[#This Row],[+10% Net Gain/Savings (real, adj.)'']]&gt;0,Table28[[#This Row],[Real Capital gain/Savings (adj. per year)]],-0.000001)</f>
        <v>-9.9999999999999995E-7</v>
      </c>
      <c r="U29" s="208">
        <f>((Table28[[#This Row],[Net Present value (real)]]-Table28[[#This Row],[Savings* (real, full inflation* max year)]])) /Table28[[#This Row],[Savings* (real, full inflation* max year)]]</f>
        <v>0.78738129123590805</v>
      </c>
      <c r="V29" s="208">
        <f>IF(U28=0,0,IF(Table28[[#This Row],[Real Capital gain/Savings* (all inflation)]]&gt;ROUNDUP(U28,1),Table28[[#This Row],[Real Capital gain/Savings* (all inflation)]],0))</f>
        <v>0</v>
      </c>
      <c r="W29" s="235">
        <f>IF(Table28[[#This Row],[Column1]]&gt;0,Table28[[#This Row],[Net Capital gain(Real)]],-1000)</f>
        <v>-1000</v>
      </c>
      <c r="X29" s="63">
        <f>Table28[[#This Row],[Net Present value (real)]]-Table28[[#This Row],[Net Capital gain(Real)]]-Table28[[#This Row],[Savings* (real, full inflation* max year)]]</f>
        <v>0</v>
      </c>
      <c r="Y29" s="63">
        <f t="shared" si="30"/>
        <v>950228.95294575638</v>
      </c>
      <c r="Z29" s="63">
        <f t="shared" si="31"/>
        <v>469446.27751345554</v>
      </c>
      <c r="AA29" s="243">
        <f>((Table28[[#This Row],[Net Present value (real)]]-Table28[[#This Row],[Net deposit (real)]]))</f>
        <v>213980.34553179279</v>
      </c>
      <c r="AB29" s="241">
        <f>((Table28[[#This Row],[Net gain on deposit]] / Table28[[#This Row],[Net deposit (real)]]))</f>
        <v>0.45581434081274519</v>
      </c>
      <c r="AC29" s="241">
        <f>IF(AB28=0,0,IF(Table28[[#This Row],[Net gain on deposit/Deposit]]&gt;ROUNDUP(AB28,1),Table28[[#This Row],[Net gain on deposit/Deposit]],0))</f>
        <v>0</v>
      </c>
      <c r="AD29" s="242">
        <f>IF(Table28[[#This Row],[Column13]]&gt;0,Table28[[#This Row],[Net gain on deposit]],-1000)</f>
        <v>-1000</v>
      </c>
      <c r="AE29"/>
      <c r="AF29"/>
      <c r="AG29"/>
      <c r="AH29"/>
      <c r="AI29"/>
      <c r="AJ29"/>
      <c r="AK29"/>
      <c r="AL29"/>
      <c r="AM29"/>
      <c r="AN29"/>
      <c r="AO29"/>
      <c r="AP29"/>
      <c r="AQ29"/>
      <c r="AR29"/>
      <c r="AS29"/>
      <c r="AT29"/>
      <c r="AU29">
        <v>27</v>
      </c>
      <c r="AV29" s="63">
        <f t="shared" si="6"/>
        <v>71509.059226363388</v>
      </c>
      <c r="AW29" s="112">
        <f t="shared" si="32"/>
        <v>71509.059226363388</v>
      </c>
      <c r="AX29" s="63">
        <f t="shared" si="33"/>
        <v>37630.549860557679</v>
      </c>
      <c r="AY29" s="194">
        <f t="shared" si="71"/>
        <v>726599.65148999682</v>
      </c>
      <c r="AZ29" s="112">
        <f>SUM($AV$3:$AV29)</f>
        <v>726599.65148999682</v>
      </c>
      <c r="BA29" s="63">
        <f t="shared" si="34"/>
        <v>382361.96518129832</v>
      </c>
      <c r="BB29" s="63">
        <f>SUM($AX$3:$AX29)</f>
        <v>469914.73128817842</v>
      </c>
      <c r="BC29" s="63">
        <f t="shared" si="35"/>
        <v>1063762.7954632347</v>
      </c>
      <c r="BD29" s="114">
        <f t="shared" si="7"/>
        <v>773122.93486723583</v>
      </c>
      <c r="BE29" s="72">
        <f t="shared" si="36"/>
        <v>290639.86059599882</v>
      </c>
      <c r="BF29" s="72">
        <f t="shared" si="8"/>
        <v>0</v>
      </c>
      <c r="BG29" s="63">
        <f t="shared" si="37"/>
        <v>0</v>
      </c>
      <c r="BH29" s="114">
        <f t="shared" si="9"/>
        <v>0</v>
      </c>
      <c r="BI29" s="63">
        <f t="shared" si="38"/>
        <v>435959.79089399806</v>
      </c>
      <c r="BJ29" s="114">
        <f t="shared" si="10"/>
        <v>0</v>
      </c>
      <c r="BK29" s="119">
        <f t="shared" si="11"/>
        <v>1499722.5863572326</v>
      </c>
      <c r="BL29" s="126">
        <f t="shared" si="39"/>
        <v>773122.93486723583</v>
      </c>
      <c r="BM29" s="120">
        <f t="shared" si="12"/>
        <v>789206.09742987948</v>
      </c>
      <c r="BN29" s="113">
        <f t="shared" si="13"/>
        <v>406844.1322485811</v>
      </c>
      <c r="BO29" s="63">
        <f t="shared" si="14"/>
        <v>301064.65786395001</v>
      </c>
      <c r="BP29" s="63">
        <f t="shared" si="40"/>
        <v>105779.47438463115</v>
      </c>
      <c r="BQ29" s="63">
        <f t="shared" si="15"/>
        <v>0</v>
      </c>
      <c r="BR29" s="63">
        <f t="shared" si="16"/>
        <v>0</v>
      </c>
      <c r="BS29" s="63">
        <f t="shared" si="41"/>
        <v>0</v>
      </c>
      <c r="BT29" s="63">
        <f t="shared" si="17"/>
        <v>0</v>
      </c>
      <c r="BV29" s="63">
        <f t="shared" si="42"/>
        <v>201011.96306548134</v>
      </c>
      <c r="BW29" s="63">
        <f t="shared" si="18"/>
        <v>105779.4743846311</v>
      </c>
      <c r="BX29" s="113">
        <f t="shared" si="19"/>
        <v>1298710.6232917514</v>
      </c>
      <c r="BY29" s="63">
        <f t="shared" si="20"/>
        <v>683426.62304524833</v>
      </c>
      <c r="BZ29" s="63">
        <f t="shared" si="43"/>
        <v>683426.62304524833</v>
      </c>
      <c r="CA29" s="63">
        <f t="shared" si="21"/>
        <v>0</v>
      </c>
      <c r="CB29" s="204">
        <f t="shared" si="44"/>
        <v>0.64067933567011193</v>
      </c>
      <c r="CC29" s="63">
        <f t="shared" si="45"/>
        <v>301064.65786395001</v>
      </c>
      <c r="CD29" s="63">
        <f t="shared" si="46"/>
        <v>301064.65786395001</v>
      </c>
      <c r="CE29" s="63">
        <f t="shared" si="47"/>
        <v>301064.65786395001</v>
      </c>
      <c r="CF29" s="63">
        <f t="shared" si="48"/>
        <v>301064.65786395001</v>
      </c>
      <c r="CG29" s="63">
        <f t="shared" si="49"/>
        <v>301064.65786395001</v>
      </c>
      <c r="CH29" s="63">
        <f t="shared" si="50"/>
        <v>301064.65786395001</v>
      </c>
      <c r="CI29" s="63">
        <f t="shared" si="51"/>
        <v>0</v>
      </c>
      <c r="CJ29" s="63">
        <f t="shared" si="52"/>
        <v>0</v>
      </c>
      <c r="CK29" s="63">
        <f t="shared" si="53"/>
        <v>0</v>
      </c>
      <c r="CL29" s="63">
        <f t="shared" si="54"/>
        <v>0</v>
      </c>
      <c r="CM29" s="63">
        <f t="shared" si="55"/>
        <v>0</v>
      </c>
      <c r="CN29" s="63">
        <f t="shared" si="56"/>
        <v>0</v>
      </c>
      <c r="CO29" s="63">
        <f t="shared" si="57"/>
        <v>0</v>
      </c>
      <c r="CP29" s="63">
        <f t="shared" si="58"/>
        <v>0</v>
      </c>
      <c r="CQ29" s="63">
        <f t="shared" si="59"/>
        <v>0</v>
      </c>
      <c r="CR29" s="63">
        <f t="shared" si="60"/>
        <v>0</v>
      </c>
      <c r="CS29" s="63">
        <f t="shared" si="61"/>
        <v>0</v>
      </c>
      <c r="CT29" s="63">
        <f t="shared" si="62"/>
        <v>0</v>
      </c>
      <c r="CU29" s="63">
        <f t="shared" si="63"/>
        <v>0</v>
      </c>
      <c r="CV29" s="63">
        <f t="shared" si="64"/>
        <v>0</v>
      </c>
      <c r="CW29" s="63">
        <f t="shared" si="65"/>
        <v>-1000</v>
      </c>
      <c r="CY29" s="63">
        <f t="shared" si="66"/>
        <v>950228.95294575638</v>
      </c>
      <c r="CZ29" s="63">
        <f t="shared" si="67"/>
        <v>223629.30145575956</v>
      </c>
      <c r="DA29" s="63">
        <f t="shared" si="68"/>
        <v>58143.618378497486</v>
      </c>
      <c r="DB29" s="63">
        <f t="shared" si="69"/>
        <v>30597.190819406584</v>
      </c>
      <c r="DC29" s="63">
        <f t="shared" si="22"/>
        <v>500043.46833286213</v>
      </c>
      <c r="DD29" s="63">
        <f t="shared" si="70"/>
        <v>469446.27751345554</v>
      </c>
    </row>
    <row r="30" spans="2:108" s="63" customFormat="1" x14ac:dyDescent="0.3">
      <c r="B30">
        <v>30</v>
      </c>
      <c r="C30">
        <v>28</v>
      </c>
      <c r="D30" s="63">
        <f t="shared" si="23"/>
        <v>805259.61663899652</v>
      </c>
      <c r="E30" s="63">
        <f t="shared" si="24"/>
        <v>413420.06831991393</v>
      </c>
      <c r="F30" s="63">
        <f>SUM($AX$3:$AX30)</f>
        <v>510298.73601658177</v>
      </c>
      <c r="G30" s="63">
        <f t="shared" si="0"/>
        <v>1712416.6637345999</v>
      </c>
      <c r="H30" s="63">
        <f t="shared" si="1"/>
        <v>718492.46891791746</v>
      </c>
      <c r="I30" s="63">
        <f>( Table28[[#This Row],[Future value (Nominal)]]-Table28[[#This Row],[Tax (Nominal)]] ) -K30</f>
        <v>718492.46891791746</v>
      </c>
      <c r="J30" s="63">
        <f t="shared" si="25"/>
        <v>879154.24974141608</v>
      </c>
      <c r="K30" s="63">
        <f t="shared" si="2"/>
        <v>758063.36257182551</v>
      </c>
      <c r="L30" s="63">
        <f t="shared" si="26"/>
        <v>235860.83224485692</v>
      </c>
      <c r="M30" s="63">
        <f t="shared" si="3"/>
        <v>121090.88716959058</v>
      </c>
      <c r="N30" s="63">
        <f t="shared" si="27"/>
        <v>907157.04709560354</v>
      </c>
      <c r="O30" s="63">
        <f t="shared" si="4"/>
        <v>344643.29425191163</v>
      </c>
      <c r="P30" s="147">
        <f t="shared" si="28"/>
        <v>0.39201686656702078</v>
      </c>
      <c r="Q30" s="145">
        <f t="shared" si="29"/>
        <v>0.67537555930774895</v>
      </c>
      <c r="R30" s="145">
        <f>Table28[[#This Row],[Net Capital gain(Real)]]/Table28[[#This Row],[Savings (Real, adj. per year)]]</f>
        <v>0.67537555930907245</v>
      </c>
      <c r="S30" s="63">
        <f t="shared" si="5"/>
        <v>-1000</v>
      </c>
      <c r="T30" s="145">
        <f>IF(Table28[[#This Row],[+10% Net Gain/Savings (real, adj.)'']]&gt;0,Table28[[#This Row],[Real Capital gain/Savings (adj. per year)]],-0.000001)</f>
        <v>-9.9999999999999995E-7</v>
      </c>
      <c r="U30" s="208">
        <f>((Table28[[#This Row],[Net Present value (real)]]-Table28[[#This Row],[Savings* (real, full inflation* max year)]])) /Table28[[#This Row],[Savings* (real, full inflation* max year)]]</f>
        <v>0.83363948840823732</v>
      </c>
      <c r="V30" s="208">
        <f>IF(U29=0,0,IF(Table28[[#This Row],[Real Capital gain/Savings* (all inflation)]]&gt;ROUNDUP(U29,1),Table28[[#This Row],[Real Capital gain/Savings* (all inflation)]],0))</f>
        <v>0.83363948840823732</v>
      </c>
      <c r="W30" s="235">
        <f>IF(Table28[[#This Row],[Column1]]&gt;0,Table28[[#This Row],[Net Capital gain(Real)]],-1000)</f>
        <v>344643.29425191163</v>
      </c>
      <c r="X30" s="63">
        <f>Table28[[#This Row],[Net Present value (real)]]-Table28[[#This Row],[Net Capital gain(Real)]]-Table28[[#This Row],[Savings* (real, full inflation* max year)]]</f>
        <v>0</v>
      </c>
      <c r="Y30" s="63">
        <f t="shared" si="30"/>
        <v>1059296.2445890203</v>
      </c>
      <c r="Z30" s="63">
        <f t="shared" si="31"/>
        <v>509932.59677091811</v>
      </c>
      <c r="AA30" s="243">
        <f>((Table28[[#This Row],[Net Present value (real)]]-Table28[[#This Row],[Net deposit (real)]]))</f>
        <v>248130.76580090739</v>
      </c>
      <c r="AB30" s="241">
        <f>((Table28[[#This Row],[Net gain on deposit]] / Table28[[#This Row],[Net deposit (real)]]))</f>
        <v>0.48659522331414623</v>
      </c>
      <c r="AC30" s="241">
        <f>IF(AB29=0,0,IF(Table28[[#This Row],[Net gain on deposit/Deposit]]&gt;ROUNDUP(AB29,1),Table28[[#This Row],[Net gain on deposit/Deposit]],0))</f>
        <v>0</v>
      </c>
      <c r="AD30" s="242">
        <f>IF(Table28[[#This Row],[Column13]]&gt;0,Table28[[#This Row],[Net gain on deposit]],-1000)</f>
        <v>-1000</v>
      </c>
      <c r="AE30"/>
      <c r="AF30"/>
      <c r="AG30"/>
      <c r="AH30"/>
      <c r="AI30"/>
      <c r="AJ30"/>
      <c r="AK30"/>
      <c r="AL30"/>
      <c r="AM30"/>
      <c r="AN30"/>
      <c r="AO30"/>
      <c r="AP30"/>
      <c r="AQ30"/>
      <c r="AR30"/>
      <c r="AS30"/>
      <c r="AT30"/>
      <c r="AU30">
        <v>28</v>
      </c>
      <c r="AV30" s="63">
        <f t="shared" si="6"/>
        <v>78659.965148999734</v>
      </c>
      <c r="AW30" s="112">
        <f t="shared" si="32"/>
        <v>78659.965148999734</v>
      </c>
      <c r="AX30" s="63">
        <f t="shared" si="33"/>
        <v>40384.004728403364</v>
      </c>
      <c r="AY30" s="194">
        <f t="shared" si="71"/>
        <v>805259.61663899652</v>
      </c>
      <c r="AZ30" s="112">
        <f>SUM($AV$3:$AV30)</f>
        <v>805259.61663899652</v>
      </c>
      <c r="BA30" s="63">
        <f t="shared" si="34"/>
        <v>413420.06831991393</v>
      </c>
      <c r="BB30" s="63">
        <f>SUM($AX$3:$AX30)</f>
        <v>510298.73601658177</v>
      </c>
      <c r="BC30" s="63">
        <f t="shared" si="35"/>
        <v>1229260.8937512022</v>
      </c>
      <c r="BD30" s="114">
        <f t="shared" si="7"/>
        <v>907157.04709560354</v>
      </c>
      <c r="BE30" s="72">
        <f t="shared" si="36"/>
        <v>322103.84665559861</v>
      </c>
      <c r="BF30" s="72">
        <f t="shared" si="8"/>
        <v>0</v>
      </c>
      <c r="BG30" s="63">
        <f t="shared" si="37"/>
        <v>0</v>
      </c>
      <c r="BH30" s="114">
        <f t="shared" si="9"/>
        <v>0</v>
      </c>
      <c r="BI30" s="63">
        <f t="shared" si="38"/>
        <v>483155.76998339791</v>
      </c>
      <c r="BJ30" s="114">
        <f t="shared" si="10"/>
        <v>0</v>
      </c>
      <c r="BK30" s="119">
        <f t="shared" si="11"/>
        <v>1712416.6637345999</v>
      </c>
      <c r="BL30" s="126">
        <f t="shared" si="39"/>
        <v>907157.04709560354</v>
      </c>
      <c r="BM30" s="120">
        <f t="shared" si="12"/>
        <v>879154.24974141608</v>
      </c>
      <c r="BN30" s="113">
        <f t="shared" si="13"/>
        <v>465734.18142150226</v>
      </c>
      <c r="BO30" s="63">
        <f t="shared" si="14"/>
        <v>344643.29425191163</v>
      </c>
      <c r="BP30" s="63">
        <f t="shared" si="40"/>
        <v>121090.88716959057</v>
      </c>
      <c r="BQ30" s="63">
        <f t="shared" si="15"/>
        <v>0</v>
      </c>
      <c r="BR30" s="63">
        <f t="shared" si="16"/>
        <v>0</v>
      </c>
      <c r="BS30" s="63">
        <f t="shared" si="41"/>
        <v>0</v>
      </c>
      <c r="BT30" s="63">
        <f t="shared" si="17"/>
        <v>0</v>
      </c>
      <c r="BV30" s="63">
        <f t="shared" si="42"/>
        <v>235860.83224485692</v>
      </c>
      <c r="BW30" s="63">
        <f t="shared" si="18"/>
        <v>121090.88716959058</v>
      </c>
      <c r="BX30" s="113">
        <f t="shared" si="19"/>
        <v>1476555.831489743</v>
      </c>
      <c r="BY30" s="63">
        <f t="shared" si="20"/>
        <v>758063.36257182551</v>
      </c>
      <c r="BZ30" s="63">
        <f t="shared" si="43"/>
        <v>758063.36257182551</v>
      </c>
      <c r="CA30" s="63">
        <f t="shared" si="21"/>
        <v>0</v>
      </c>
      <c r="CB30" s="204">
        <f t="shared" si="44"/>
        <v>0.67537555930774895</v>
      </c>
      <c r="CC30" s="63">
        <f t="shared" si="45"/>
        <v>344643.29425191163</v>
      </c>
      <c r="CD30" s="63">
        <f t="shared" si="46"/>
        <v>344643.29425191163</v>
      </c>
      <c r="CE30" s="63">
        <f t="shared" si="47"/>
        <v>344643.29425191163</v>
      </c>
      <c r="CF30" s="63">
        <f t="shared" si="48"/>
        <v>344643.29425191163</v>
      </c>
      <c r="CG30" s="63">
        <f t="shared" si="49"/>
        <v>344643.29425191163</v>
      </c>
      <c r="CH30" s="63">
        <f t="shared" si="50"/>
        <v>344643.29425191163</v>
      </c>
      <c r="CI30" s="63">
        <f t="shared" si="51"/>
        <v>0</v>
      </c>
      <c r="CJ30" s="63">
        <f t="shared" si="52"/>
        <v>0</v>
      </c>
      <c r="CK30" s="63">
        <f t="shared" si="53"/>
        <v>0</v>
      </c>
      <c r="CL30" s="63">
        <f t="shared" si="54"/>
        <v>0</v>
      </c>
      <c r="CM30" s="63">
        <f t="shared" si="55"/>
        <v>0</v>
      </c>
      <c r="CN30" s="63">
        <f t="shared" si="56"/>
        <v>0</v>
      </c>
      <c r="CO30" s="63">
        <f t="shared" si="57"/>
        <v>0</v>
      </c>
      <c r="CP30" s="63">
        <f t="shared" si="58"/>
        <v>0</v>
      </c>
      <c r="CQ30" s="63">
        <f t="shared" si="59"/>
        <v>0</v>
      </c>
      <c r="CR30" s="63">
        <f t="shared" si="60"/>
        <v>0</v>
      </c>
      <c r="CS30" s="63">
        <f t="shared" si="61"/>
        <v>0</v>
      </c>
      <c r="CT30" s="63">
        <f t="shared" si="62"/>
        <v>0</v>
      </c>
      <c r="CU30" s="63">
        <f t="shared" si="63"/>
        <v>0</v>
      </c>
      <c r="CV30" s="63">
        <f t="shared" si="64"/>
        <v>0</v>
      </c>
      <c r="CW30" s="63">
        <f t="shared" si="65"/>
        <v>-1000</v>
      </c>
      <c r="CY30" s="63">
        <f t="shared" si="66"/>
        <v>1059296.2445890203</v>
      </c>
      <c r="CZ30" s="63">
        <f t="shared" si="67"/>
        <v>254036.62795002374</v>
      </c>
      <c r="DA30" s="63">
        <f t="shared" si="68"/>
        <v>66049.523267006181</v>
      </c>
      <c r="DB30" s="63">
        <f t="shared" si="69"/>
        <v>33909.807293596095</v>
      </c>
      <c r="DC30" s="63">
        <f t="shared" si="22"/>
        <v>543842.40406451421</v>
      </c>
      <c r="DD30" s="63">
        <f t="shared" si="70"/>
        <v>509932.59677091811</v>
      </c>
    </row>
    <row r="31" spans="2:108" s="63" customFormat="1" x14ac:dyDescent="0.3">
      <c r="B31">
        <v>30</v>
      </c>
      <c r="C31">
        <v>29</v>
      </c>
      <c r="D31" s="63">
        <f t="shared" si="23"/>
        <v>891785.57830289623</v>
      </c>
      <c r="E31" s="63">
        <f t="shared" si="24"/>
        <v>446675.58392308059</v>
      </c>
      <c r="F31" s="63">
        <f>SUM($AX$3:$AX31)</f>
        <v>553637.66792023415</v>
      </c>
      <c r="G31" s="63">
        <f t="shared" si="0"/>
        <v>1953829.4980111516</v>
      </c>
      <c r="H31" s="63">
        <f t="shared" si="1"/>
        <v>837376.38355347374</v>
      </c>
      <c r="I31" s="63">
        <f>( Table28[[#This Row],[Future value (Nominal)]]-Table28[[#This Row],[Tax (Nominal)]] ) -K31</f>
        <v>837376.38355347374</v>
      </c>
      <c r="J31" s="63">
        <f t="shared" si="25"/>
        <v>978629.78853179805</v>
      </c>
      <c r="K31" s="63">
        <f t="shared" si="2"/>
        <v>840321.69533353159</v>
      </c>
      <c r="L31" s="63">
        <f t="shared" si="26"/>
        <v>276131.41912414634</v>
      </c>
      <c r="M31" s="63">
        <f t="shared" si="3"/>
        <v>138308.09319826652</v>
      </c>
      <c r="N31" s="63">
        <f t="shared" si="27"/>
        <v>1062043.9197082552</v>
      </c>
      <c r="O31" s="63">
        <f t="shared" si="4"/>
        <v>393646.11141045089</v>
      </c>
      <c r="P31" s="147">
        <f t="shared" si="28"/>
        <v>0.4022421103293814</v>
      </c>
      <c r="Q31" s="145">
        <f t="shared" si="29"/>
        <v>0.71101757380145381</v>
      </c>
      <c r="R31" s="145">
        <f>Table28[[#This Row],[Net Capital gain(Real)]]/Table28[[#This Row],[Savings (Real, adj. per year)]]</f>
        <v>0.71101757380273811</v>
      </c>
      <c r="S31" s="63">
        <f t="shared" si="5"/>
        <v>393646.11141045089</v>
      </c>
      <c r="T31" s="145">
        <f>IF(Table28[[#This Row],[+10% Net Gain/Savings (real, adj.)'']]&gt;0,Table28[[#This Row],[Real Capital gain/Savings (adj. per year)]],-0.000001)</f>
        <v>0.71101757380145381</v>
      </c>
      <c r="U31" s="208">
        <f>((Table28[[#This Row],[Net Present value (real)]]-Table28[[#This Row],[Savings* (real, full inflation* max year)]])) /Table28[[#This Row],[Savings* (real, full inflation* max year)]]</f>
        <v>0.88127967047833655</v>
      </c>
      <c r="V31" s="208">
        <f>IF(U30=0,0,IF(Table28[[#This Row],[Real Capital gain/Savings* (all inflation)]]&gt;ROUNDUP(U30,1),Table28[[#This Row],[Real Capital gain/Savings* (all inflation)]],0))</f>
        <v>0</v>
      </c>
      <c r="W31" s="235">
        <f>IF(Table28[[#This Row],[Column1]]&gt;0,Table28[[#This Row],[Net Capital gain(Real)]],-1000)</f>
        <v>-1000</v>
      </c>
      <c r="X31" s="63">
        <f>Table28[[#This Row],[Net Present value (real)]]-Table28[[#This Row],[Net Capital gain(Real)]]-Table28[[#This Row],[Savings* (real, full inflation* max year)]]</f>
        <v>0</v>
      </c>
      <c r="Y31" s="63">
        <f t="shared" si="30"/>
        <v>1179719.6860797687</v>
      </c>
      <c r="Z31" s="63">
        <f t="shared" si="31"/>
        <v>553398.23424430203</v>
      </c>
      <c r="AA31" s="243">
        <f>((Table28[[#This Row],[Net Present value (real)]]-Table28[[#This Row],[Net deposit (real)]]))</f>
        <v>286923.46108922956</v>
      </c>
      <c r="AB31" s="241">
        <f>((Table28[[#This Row],[Net gain on deposit]] / Table28[[#This Row],[Net deposit (real)]]))</f>
        <v>0.51847556304736042</v>
      </c>
      <c r="AC31" s="241">
        <f>IF(AB30=0,0,IF(Table28[[#This Row],[Net gain on deposit/Deposit]]&gt;ROUNDUP(AB30,1),Table28[[#This Row],[Net gain on deposit/Deposit]],0))</f>
        <v>0.51847556304736042</v>
      </c>
      <c r="AD31" s="242">
        <f>IF(Table28[[#This Row],[Column13]]&gt;0,Table28[[#This Row],[Net gain on deposit]],-1000)</f>
        <v>286923.46108922956</v>
      </c>
      <c r="AE31"/>
      <c r="AF31"/>
      <c r="AG31"/>
      <c r="AH31"/>
      <c r="AI31"/>
      <c r="AJ31"/>
      <c r="AK31"/>
      <c r="AL31"/>
      <c r="AM31"/>
      <c r="AN31"/>
      <c r="AO31"/>
      <c r="AP31"/>
      <c r="AQ31"/>
      <c r="AR31"/>
      <c r="AS31"/>
      <c r="AT31"/>
      <c r="AU31">
        <v>29</v>
      </c>
      <c r="AV31" s="63">
        <f t="shared" si="6"/>
        <v>86525.96166389971</v>
      </c>
      <c r="AW31" s="112">
        <f t="shared" si="32"/>
        <v>86525.96166389971</v>
      </c>
      <c r="AX31" s="63">
        <f t="shared" si="33"/>
        <v>43338.931903652396</v>
      </c>
      <c r="AY31" s="194">
        <f t="shared" si="71"/>
        <v>891785.57830289623</v>
      </c>
      <c r="AZ31" s="112">
        <f>SUM($AV$3:$AV31)</f>
        <v>891785.57830289623</v>
      </c>
      <c r="BA31" s="63">
        <f t="shared" si="34"/>
        <v>446675.58392308059</v>
      </c>
      <c r="BB31" s="63">
        <f>SUM($AX$3:$AX31)</f>
        <v>553637.66792023415</v>
      </c>
      <c r="BC31" s="63">
        <f t="shared" si="35"/>
        <v>1418758.1510294138</v>
      </c>
      <c r="BD31" s="114">
        <f t="shared" si="7"/>
        <v>1062043.9197082552</v>
      </c>
      <c r="BE31" s="72">
        <f t="shared" si="36"/>
        <v>356714.23132115859</v>
      </c>
      <c r="BF31" s="72">
        <f t="shared" si="8"/>
        <v>0</v>
      </c>
      <c r="BG31" s="63">
        <f t="shared" si="37"/>
        <v>0</v>
      </c>
      <c r="BH31" s="114">
        <f t="shared" si="9"/>
        <v>0</v>
      </c>
      <c r="BI31" s="63">
        <f t="shared" si="38"/>
        <v>535071.34698173776</v>
      </c>
      <c r="BJ31" s="114">
        <f t="shared" si="10"/>
        <v>0</v>
      </c>
      <c r="BK31" s="119">
        <f t="shared" si="11"/>
        <v>1953829.4980111516</v>
      </c>
      <c r="BL31" s="126">
        <f t="shared" si="39"/>
        <v>1062043.9197082552</v>
      </c>
      <c r="BM31" s="120">
        <f t="shared" si="12"/>
        <v>978629.78853179805</v>
      </c>
      <c r="BN31" s="113">
        <f t="shared" si="13"/>
        <v>531954.20460871735</v>
      </c>
      <c r="BO31" s="63">
        <f t="shared" si="14"/>
        <v>393646.11141045089</v>
      </c>
      <c r="BP31" s="63">
        <f t="shared" si="40"/>
        <v>138308.09319826658</v>
      </c>
      <c r="BQ31" s="63">
        <f t="shared" si="15"/>
        <v>0</v>
      </c>
      <c r="BR31" s="63">
        <f t="shared" si="16"/>
        <v>0</v>
      </c>
      <c r="BS31" s="63">
        <f t="shared" si="41"/>
        <v>0</v>
      </c>
      <c r="BT31" s="63">
        <f t="shared" si="17"/>
        <v>0</v>
      </c>
      <c r="BV31" s="63">
        <f t="shared" si="42"/>
        <v>276131.41912414634</v>
      </c>
      <c r="BW31" s="63">
        <f t="shared" si="18"/>
        <v>138308.09319826652</v>
      </c>
      <c r="BX31" s="113">
        <f t="shared" si="19"/>
        <v>1677698.0788870053</v>
      </c>
      <c r="BY31" s="63">
        <f t="shared" si="20"/>
        <v>840321.69533353159</v>
      </c>
      <c r="BZ31" s="63">
        <f t="shared" si="43"/>
        <v>840321.69533353159</v>
      </c>
      <c r="CA31" s="63">
        <f t="shared" si="21"/>
        <v>0</v>
      </c>
      <c r="CB31" s="204">
        <f t="shared" si="44"/>
        <v>0.71101757380145381</v>
      </c>
      <c r="CC31" s="63">
        <f t="shared" si="45"/>
        <v>393646.11141045089</v>
      </c>
      <c r="CD31" s="63">
        <f t="shared" si="46"/>
        <v>393646.11141045089</v>
      </c>
      <c r="CE31" s="63">
        <f t="shared" si="47"/>
        <v>393646.11141045089</v>
      </c>
      <c r="CF31" s="63">
        <f t="shared" si="48"/>
        <v>393646.11141045089</v>
      </c>
      <c r="CG31" s="63">
        <f t="shared" si="49"/>
        <v>393646.11141045089</v>
      </c>
      <c r="CH31" s="63">
        <f t="shared" si="50"/>
        <v>393646.11141045089</v>
      </c>
      <c r="CI31" s="63">
        <f t="shared" si="51"/>
        <v>393646.11141045089</v>
      </c>
      <c r="CJ31" s="63">
        <f t="shared" si="52"/>
        <v>0</v>
      </c>
      <c r="CK31" s="63">
        <f t="shared" si="53"/>
        <v>0</v>
      </c>
      <c r="CL31" s="63">
        <f t="shared" si="54"/>
        <v>0</v>
      </c>
      <c r="CM31" s="63">
        <f t="shared" si="55"/>
        <v>0</v>
      </c>
      <c r="CN31" s="63">
        <f t="shared" si="56"/>
        <v>0</v>
      </c>
      <c r="CO31" s="63">
        <f t="shared" si="57"/>
        <v>0</v>
      </c>
      <c r="CP31" s="63">
        <f t="shared" si="58"/>
        <v>0</v>
      </c>
      <c r="CQ31" s="63">
        <f t="shared" si="59"/>
        <v>0</v>
      </c>
      <c r="CR31" s="63">
        <f t="shared" si="60"/>
        <v>0</v>
      </c>
      <c r="CS31" s="63">
        <f t="shared" si="61"/>
        <v>0</v>
      </c>
      <c r="CT31" s="63">
        <f t="shared" si="62"/>
        <v>0</v>
      </c>
      <c r="CU31" s="63">
        <f t="shared" si="63"/>
        <v>0</v>
      </c>
      <c r="CV31" s="63">
        <f t="shared" si="64"/>
        <v>0</v>
      </c>
      <c r="CW31" s="63">
        <f t="shared" si="65"/>
        <v>393646.11141045089</v>
      </c>
      <c r="CY31" s="63">
        <f t="shared" si="66"/>
        <v>1179719.6860797687</v>
      </c>
      <c r="CZ31" s="63">
        <f t="shared" si="67"/>
        <v>287934.10777687246</v>
      </c>
      <c r="DA31" s="63">
        <f t="shared" si="68"/>
        <v>74862.86802198684</v>
      </c>
      <c r="DB31" s="63">
        <f t="shared" si="69"/>
        <v>37497.14741015889</v>
      </c>
      <c r="DC31" s="63">
        <f t="shared" si="22"/>
        <v>590895.38165446091</v>
      </c>
      <c r="DD31" s="63">
        <f t="shared" si="70"/>
        <v>553398.23424430203</v>
      </c>
    </row>
    <row r="32" spans="2:108" s="63" customFormat="1" x14ac:dyDescent="0.3">
      <c r="B32">
        <v>30</v>
      </c>
      <c r="C32">
        <v>30</v>
      </c>
      <c r="D32" s="63">
        <f t="shared" si="23"/>
        <v>986964.13613318594</v>
      </c>
      <c r="E32" s="63">
        <f t="shared" si="24"/>
        <v>482291.13074838847</v>
      </c>
      <c r="F32" s="63">
        <f>SUM($AX$3:$AX32)</f>
        <v>600147.74118269037</v>
      </c>
      <c r="G32" s="63">
        <f t="shared" si="0"/>
        <v>2227771.5828711479</v>
      </c>
      <c r="H32" s="63">
        <f t="shared" si="1"/>
        <v>974182.97057951079</v>
      </c>
      <c r="I32" s="63">
        <f>( Table28[[#This Row],[Future value (Nominal)]]-Table28[[#This Row],[Tax (Nominal)]] ) -K32</f>
        <v>974182.97057951079</v>
      </c>
      <c r="J32" s="63">
        <f t="shared" si="25"/>
        <v>1088625.6515475488</v>
      </c>
      <c r="K32" s="63">
        <f t="shared" si="2"/>
        <v>930978.67613976705</v>
      </c>
      <c r="L32" s="63">
        <f t="shared" si="26"/>
        <v>322609.93615187012</v>
      </c>
      <c r="M32" s="63">
        <f t="shared" si="3"/>
        <v>157646.97540778166</v>
      </c>
      <c r="N32" s="63">
        <f t="shared" si="27"/>
        <v>1240807.4467379618</v>
      </c>
      <c r="O32" s="63">
        <f t="shared" si="4"/>
        <v>448687.54539137858</v>
      </c>
      <c r="P32" s="147">
        <f t="shared" si="28"/>
        <v>0.41215962963239516</v>
      </c>
      <c r="Q32" s="145">
        <f t="shared" si="29"/>
        <v>0.74762848312386865</v>
      </c>
      <c r="R32" s="145">
        <f>Table28[[#This Row],[Net Capital gain(Real)]]/Table28[[#This Row],[Savings (Real, adj. per year)]]</f>
        <v>0.74762848312511443</v>
      </c>
      <c r="S32" s="63">
        <f t="shared" si="5"/>
        <v>-1000</v>
      </c>
      <c r="T32" s="145">
        <f>IF(Table28[[#This Row],[+10% Net Gain/Savings (real, adj.)'']]&gt;0,Table28[[#This Row],[Real Capital gain/Savings (adj. per year)]],-0.000001)</f>
        <v>-9.9999999999999995E-7</v>
      </c>
      <c r="U32" s="208">
        <f>((Table28[[#This Row],[Net Present value (real)]]-Table28[[#This Row],[Savings* (real, full inflation* max year)]])) /Table28[[#This Row],[Savings* (real, full inflation* max year)]]</f>
        <v>0.93032510196721629</v>
      </c>
      <c r="V32" s="208">
        <f>IF(U31=0,0,IF(Table28[[#This Row],[Real Capital gain/Savings* (all inflation)]]&gt;ROUNDUP(U31,1),Table28[[#This Row],[Real Capital gain/Savings* (all inflation)]],0))</f>
        <v>0.93032510196721629</v>
      </c>
      <c r="W32" s="235">
        <f>IF(Table28[[#This Row],[Column1]]&gt;0,Table28[[#This Row],[Net Capital gain(Real)]],-1000)</f>
        <v>448687.54539137858</v>
      </c>
      <c r="X32" s="63">
        <f>Table28[[#This Row],[Net Present value (real)]]-Table28[[#This Row],[Net Capital gain(Real)]]-Table28[[#This Row],[Savings* (real, full inflation* max year)]]</f>
        <v>0</v>
      </c>
      <c r="Y32" s="63">
        <f t="shared" si="30"/>
        <v>1312649.2738646111</v>
      </c>
      <c r="Z32" s="63">
        <f t="shared" si="31"/>
        <v>600061.91412282654</v>
      </c>
      <c r="AA32" s="243">
        <f>((Table28[[#This Row],[Net Present value (real)]]-Table28[[#This Row],[Net deposit (real)]]))</f>
        <v>330916.76201694051</v>
      </c>
      <c r="AB32" s="241">
        <f>((Table28[[#This Row],[Net gain on deposit]] / Table28[[#This Row],[Net deposit (real)]]))</f>
        <v>0.55147103028639344</v>
      </c>
      <c r="AC32" s="241">
        <f>IF(AB31=0,0,IF(Table28[[#This Row],[Net gain on deposit/Deposit]]&gt;ROUNDUP(AB31,1),Table28[[#This Row],[Net gain on deposit/Deposit]],0))</f>
        <v>0</v>
      </c>
      <c r="AD32" s="242">
        <f>IF(Table28[[#This Row],[Column13]]&gt;0,Table28[[#This Row],[Net gain on deposit]],-1000)</f>
        <v>-1000</v>
      </c>
      <c r="AE32"/>
      <c r="AF32"/>
      <c r="AG32"/>
      <c r="AH32"/>
      <c r="AI32"/>
      <c r="AJ32"/>
      <c r="AK32"/>
      <c r="AL32"/>
      <c r="AM32"/>
      <c r="AN32"/>
      <c r="AO32"/>
      <c r="AP32"/>
      <c r="AQ32"/>
      <c r="AR32"/>
      <c r="AS32"/>
      <c r="AT32"/>
      <c r="AU32">
        <v>30</v>
      </c>
      <c r="AV32" s="63">
        <f t="shared" si="6"/>
        <v>95178.557830289676</v>
      </c>
      <c r="AW32" s="112">
        <f t="shared" si="32"/>
        <v>95178.557830289676</v>
      </c>
      <c r="AX32" s="63">
        <f t="shared" si="33"/>
        <v>46510.073262456215</v>
      </c>
      <c r="AY32" s="194">
        <f t="shared" si="71"/>
        <v>986964.13613318594</v>
      </c>
      <c r="AZ32" s="112">
        <f>SUM($AV$3:$AV32)</f>
        <v>986964.13613318594</v>
      </c>
      <c r="BA32" s="63">
        <f t="shared" si="34"/>
        <v>482291.13074838847</v>
      </c>
      <c r="BB32" s="63">
        <f>SUM($AX$3:$AX32)</f>
        <v>600147.74118269037</v>
      </c>
      <c r="BC32" s="63">
        <f t="shared" si="35"/>
        <v>1635593.1011912362</v>
      </c>
      <c r="BD32" s="114">
        <f t="shared" si="7"/>
        <v>1240807.4467379618</v>
      </c>
      <c r="BE32" s="72">
        <f t="shared" si="36"/>
        <v>394785.65445327433</v>
      </c>
      <c r="BF32" s="72">
        <f t="shared" si="8"/>
        <v>0</v>
      </c>
      <c r="BG32" s="63">
        <f t="shared" si="37"/>
        <v>0</v>
      </c>
      <c r="BH32" s="114">
        <f t="shared" si="9"/>
        <v>0</v>
      </c>
      <c r="BI32" s="63">
        <f t="shared" si="38"/>
        <v>592178.48167991161</v>
      </c>
      <c r="BJ32" s="114">
        <f t="shared" si="10"/>
        <v>0</v>
      </c>
      <c r="BK32" s="119">
        <f t="shared" si="11"/>
        <v>2227771.5828711479</v>
      </c>
      <c r="BL32" s="126">
        <f t="shared" si="39"/>
        <v>1240807.4467379618</v>
      </c>
      <c r="BM32" s="120">
        <f t="shared" si="12"/>
        <v>1088625.6515475488</v>
      </c>
      <c r="BN32" s="113">
        <f t="shared" si="13"/>
        <v>606334.52079916024</v>
      </c>
      <c r="BO32" s="63">
        <f t="shared" si="14"/>
        <v>448687.54539137858</v>
      </c>
      <c r="BP32" s="63">
        <f t="shared" si="40"/>
        <v>157646.97540778178</v>
      </c>
      <c r="BQ32" s="63">
        <f t="shared" si="15"/>
        <v>0</v>
      </c>
      <c r="BR32" s="63">
        <f t="shared" si="16"/>
        <v>0</v>
      </c>
      <c r="BS32" s="63">
        <f t="shared" si="41"/>
        <v>0</v>
      </c>
      <c r="BT32" s="63">
        <f t="shared" si="17"/>
        <v>0</v>
      </c>
      <c r="BV32" s="63">
        <f t="shared" si="42"/>
        <v>322609.93615187012</v>
      </c>
      <c r="BW32" s="63">
        <f t="shared" si="18"/>
        <v>157646.97540778166</v>
      </c>
      <c r="BX32" s="113">
        <f t="shared" si="19"/>
        <v>1905161.6467192778</v>
      </c>
      <c r="BY32" s="63">
        <f t="shared" si="20"/>
        <v>930978.67613976705</v>
      </c>
      <c r="BZ32" s="63">
        <f t="shared" si="43"/>
        <v>930978.67613976717</v>
      </c>
      <c r="CA32" s="63">
        <f t="shared" si="21"/>
        <v>0</v>
      </c>
      <c r="CB32" s="204">
        <f t="shared" si="44"/>
        <v>0.74762848312386865</v>
      </c>
      <c r="CC32" s="63">
        <f t="shared" si="45"/>
        <v>448687.54539137858</v>
      </c>
      <c r="CD32" s="63">
        <f t="shared" si="46"/>
        <v>448687.54539137858</v>
      </c>
      <c r="CE32" s="63">
        <f t="shared" si="47"/>
        <v>448687.54539137858</v>
      </c>
      <c r="CF32" s="63">
        <f t="shared" si="48"/>
        <v>448687.54539137858</v>
      </c>
      <c r="CG32" s="63">
        <f t="shared" si="49"/>
        <v>448687.54539137858</v>
      </c>
      <c r="CH32" s="63">
        <f t="shared" si="50"/>
        <v>448687.54539137858</v>
      </c>
      <c r="CI32" s="63">
        <f t="shared" si="51"/>
        <v>448687.54539137858</v>
      </c>
      <c r="CJ32" s="63">
        <f t="shared" si="52"/>
        <v>0</v>
      </c>
      <c r="CK32" s="63">
        <f t="shared" si="53"/>
        <v>0</v>
      </c>
      <c r="CL32" s="63">
        <f t="shared" si="54"/>
        <v>0</v>
      </c>
      <c r="CM32" s="63">
        <f t="shared" si="55"/>
        <v>0</v>
      </c>
      <c r="CN32" s="63">
        <f t="shared" si="56"/>
        <v>0</v>
      </c>
      <c r="CO32" s="63">
        <f t="shared" si="57"/>
        <v>0</v>
      </c>
      <c r="CP32" s="63">
        <f t="shared" si="58"/>
        <v>0</v>
      </c>
      <c r="CQ32" s="63">
        <f t="shared" si="59"/>
        <v>0</v>
      </c>
      <c r="CR32" s="63">
        <f t="shared" si="60"/>
        <v>0</v>
      </c>
      <c r="CS32" s="63">
        <f t="shared" si="61"/>
        <v>0</v>
      </c>
      <c r="CT32" s="63">
        <f t="shared" si="62"/>
        <v>0</v>
      </c>
      <c r="CU32" s="63">
        <f t="shared" si="63"/>
        <v>0</v>
      </c>
      <c r="CV32" s="63">
        <f t="shared" si="64"/>
        <v>0</v>
      </c>
      <c r="CW32" s="63">
        <f t="shared" si="65"/>
        <v>-1000</v>
      </c>
      <c r="CY32" s="63">
        <f t="shared" si="66"/>
        <v>1312649.2738646111</v>
      </c>
      <c r="CZ32" s="63">
        <f t="shared" si="67"/>
        <v>325685.13773142511</v>
      </c>
      <c r="DA32" s="63">
        <f t="shared" si="68"/>
        <v>84678.135810170526</v>
      </c>
      <c r="DB32" s="63">
        <f t="shared" si="69"/>
        <v>41378.923888316094</v>
      </c>
      <c r="DC32" s="63">
        <f t="shared" si="22"/>
        <v>641440.83801114268</v>
      </c>
      <c r="DD32" s="63">
        <f t="shared" si="70"/>
        <v>600061.91412282654</v>
      </c>
    </row>
    <row r="33" spans="2:108" s="63" customFormat="1" x14ac:dyDescent="0.3">
      <c r="B33">
        <v>40</v>
      </c>
      <c r="C33">
        <v>31</v>
      </c>
      <c r="D33" s="63">
        <f t="shared" si="23"/>
        <v>1091660.5497465045</v>
      </c>
      <c r="E33" s="63">
        <f t="shared" si="24"/>
        <v>520441.18179228337</v>
      </c>
      <c r="F33" s="63">
        <f>SUM($AX$3:$AX33)</f>
        <v>650060.99053752143</v>
      </c>
      <c r="G33" s="63">
        <f t="shared" si="0"/>
        <v>2538552.7272345624</v>
      </c>
      <c r="H33" s="63">
        <f t="shared" si="1"/>
        <v>1131471.0855167648</v>
      </c>
      <c r="I33" s="63">
        <f>( Table28[[#This Row],[Future value (Nominal)]]-Table28[[#This Row],[Tax (Nominal)]] ) -K33</f>
        <v>1131471.0855167648</v>
      </c>
      <c r="J33" s="63">
        <f t="shared" si="25"/>
        <v>1210236.443655282</v>
      </c>
      <c r="K33" s="63">
        <f t="shared" si="2"/>
        <v>1030889.6755709023</v>
      </c>
      <c r="L33" s="63">
        <f t="shared" si="26"/>
        <v>376191.96614689508</v>
      </c>
      <c r="M33" s="63">
        <f t="shared" si="3"/>
        <v>179346.76808437964</v>
      </c>
      <c r="N33" s="63">
        <f t="shared" si="27"/>
        <v>1446892.1774880579</v>
      </c>
      <c r="O33" s="63">
        <f t="shared" si="4"/>
        <v>510448.49377861887</v>
      </c>
      <c r="P33" s="147">
        <f t="shared" si="28"/>
        <v>0.42177584092140841</v>
      </c>
      <c r="Q33" s="145">
        <f t="shared" si="29"/>
        <v>0.78523169549945582</v>
      </c>
      <c r="R33" s="145">
        <f>Table28[[#This Row],[Net Capital gain(Real)]]/Table28[[#This Row],[Savings (Real, adj. per year)]]</f>
        <v>0.78523169550066374</v>
      </c>
      <c r="S33" s="63">
        <f t="shared" si="5"/>
        <v>-1000</v>
      </c>
      <c r="T33" s="145">
        <f>IF(Table28[[#This Row],[+10% Net Gain/Savings (real, adj.)'']]&gt;0,Table28[[#This Row],[Real Capital gain/Savings (adj. per year)]],-0.000001)</f>
        <v>-9.9999999999999995E-7</v>
      </c>
      <c r="U33" s="208">
        <f>((Table28[[#This Row],[Net Present value (real)]]-Table28[[#This Row],[Savings* (real, full inflation* max year)]])) /Table28[[#This Row],[Savings* (real, full inflation* max year)]]</f>
        <v>0.9807995824249498</v>
      </c>
      <c r="V33" s="208">
        <f>IF(U32=0,0,IF(Table28[[#This Row],[Real Capital gain/Savings* (all inflation)]]&gt;ROUNDUP(U32,1),Table28[[#This Row],[Real Capital gain/Savings* (all inflation)]],0))</f>
        <v>0</v>
      </c>
      <c r="W33" s="235">
        <f>IF(Table28[[#This Row],[Column1]]&gt;0,Table28[[#This Row],[Net Capital gain(Real)]],-1000)</f>
        <v>-1000</v>
      </c>
      <c r="X33" s="63">
        <f>Table28[[#This Row],[Net Present value (real)]]-Table28[[#This Row],[Net Capital gain(Real)]]-Table28[[#This Row],[Savings* (real, full inflation* max year)]]</f>
        <v>0</v>
      </c>
      <c r="Y33" s="63">
        <f t="shared" si="30"/>
        <v>1459350.4642415973</v>
      </c>
      <c r="Z33" s="63">
        <f t="shared" si="31"/>
        <v>650158.35488354391</v>
      </c>
      <c r="AA33" s="243">
        <f>((Table28[[#This Row],[Net Present value (real)]]-Table28[[#This Row],[Net deposit (real)]]))</f>
        <v>380731.32068735838</v>
      </c>
      <c r="AB33" s="241">
        <f>((Table28[[#This Row],[Net gain on deposit]] / Table28[[#This Row],[Net deposit (real)]]))</f>
        <v>0.58559782832530827</v>
      </c>
      <c r="AC33" s="241">
        <f>IF(AB32=0,0,IF(Table28[[#This Row],[Net gain on deposit/Deposit]]&gt;ROUNDUP(AB32,1),Table28[[#This Row],[Net gain on deposit/Deposit]],0))</f>
        <v>0</v>
      </c>
      <c r="AD33" s="242">
        <f>IF(Table28[[#This Row],[Column13]]&gt;0,Table28[[#This Row],[Net gain on deposit]],-1000)</f>
        <v>-1000</v>
      </c>
      <c r="AE33"/>
      <c r="AF33"/>
      <c r="AG33"/>
      <c r="AH33"/>
      <c r="AI33"/>
      <c r="AJ33"/>
      <c r="AK33"/>
      <c r="AL33"/>
      <c r="AM33"/>
      <c r="AN33"/>
      <c r="AO33"/>
      <c r="AP33"/>
      <c r="AQ33"/>
      <c r="AR33"/>
      <c r="AS33"/>
      <c r="AT33"/>
      <c r="AU33">
        <v>31</v>
      </c>
      <c r="AV33" s="63">
        <f t="shared" si="6"/>
        <v>104696.41361331867</v>
      </c>
      <c r="AW33" s="112">
        <f t="shared" si="32"/>
        <v>104696.41361331867</v>
      </c>
      <c r="AX33" s="63">
        <f t="shared" si="33"/>
        <v>49913.249354831096</v>
      </c>
      <c r="AY33" s="194">
        <f t="shared" si="71"/>
        <v>1091660.5497465045</v>
      </c>
      <c r="AZ33" s="112">
        <f>SUM($AV$3:$AV33)</f>
        <v>1091660.5497465045</v>
      </c>
      <c r="BA33" s="63">
        <f t="shared" si="34"/>
        <v>520441.18179228337</v>
      </c>
      <c r="BB33" s="63">
        <f>SUM($AX$3:$AX33)</f>
        <v>650060.99053752143</v>
      </c>
      <c r="BC33" s="63">
        <f t="shared" si="35"/>
        <v>1883556.3973866596</v>
      </c>
      <c r="BD33" s="114">
        <f t="shared" si="7"/>
        <v>1446892.1774880579</v>
      </c>
      <c r="BE33" s="72">
        <f t="shared" si="36"/>
        <v>436664.21989860176</v>
      </c>
      <c r="BF33" s="72">
        <f t="shared" si="8"/>
        <v>0</v>
      </c>
      <c r="BG33" s="63">
        <f t="shared" si="37"/>
        <v>0</v>
      </c>
      <c r="BH33" s="114">
        <f t="shared" si="9"/>
        <v>0</v>
      </c>
      <c r="BI33" s="63">
        <f t="shared" si="38"/>
        <v>654996.32984790276</v>
      </c>
      <c r="BJ33" s="114">
        <f t="shared" si="10"/>
        <v>0</v>
      </c>
      <c r="BK33" s="119">
        <f t="shared" si="11"/>
        <v>2538552.7272345624</v>
      </c>
      <c r="BL33" s="126">
        <f t="shared" si="39"/>
        <v>1446892.1774880579</v>
      </c>
      <c r="BM33" s="120">
        <f t="shared" si="12"/>
        <v>1210236.443655282</v>
      </c>
      <c r="BN33" s="113">
        <f t="shared" si="13"/>
        <v>689795.2618629986</v>
      </c>
      <c r="BO33" s="63">
        <f t="shared" si="14"/>
        <v>510448.49377861887</v>
      </c>
      <c r="BP33" s="63">
        <f t="shared" si="40"/>
        <v>179346.76808437984</v>
      </c>
      <c r="BQ33" s="63">
        <f t="shared" si="15"/>
        <v>0</v>
      </c>
      <c r="BR33" s="63">
        <f t="shared" si="16"/>
        <v>0</v>
      </c>
      <c r="BS33" s="63">
        <f t="shared" si="41"/>
        <v>0</v>
      </c>
      <c r="BT33" s="63">
        <f t="shared" si="17"/>
        <v>0</v>
      </c>
      <c r="BV33" s="63">
        <f t="shared" si="42"/>
        <v>376191.96614689508</v>
      </c>
      <c r="BW33" s="63">
        <f t="shared" si="18"/>
        <v>179346.76808437964</v>
      </c>
      <c r="BX33" s="113">
        <f t="shared" si="19"/>
        <v>2162360.7610876672</v>
      </c>
      <c r="BY33" s="63">
        <f t="shared" si="20"/>
        <v>1030889.6755709023</v>
      </c>
      <c r="BZ33" s="63">
        <f t="shared" si="43"/>
        <v>1030889.6755709024</v>
      </c>
      <c r="CA33" s="63">
        <f t="shared" si="21"/>
        <v>0</v>
      </c>
      <c r="CB33" s="204">
        <f t="shared" si="44"/>
        <v>0.78523169549945582</v>
      </c>
      <c r="CC33" s="63">
        <f t="shared" si="45"/>
        <v>510448.49377861887</v>
      </c>
      <c r="CD33" s="63">
        <f t="shared" si="46"/>
        <v>510448.49377861887</v>
      </c>
      <c r="CE33" s="63">
        <f t="shared" si="47"/>
        <v>510448.49377861887</v>
      </c>
      <c r="CF33" s="63">
        <f t="shared" si="48"/>
        <v>510448.49377861887</v>
      </c>
      <c r="CG33" s="63">
        <f t="shared" si="49"/>
        <v>510448.49377861887</v>
      </c>
      <c r="CH33" s="63">
        <f t="shared" si="50"/>
        <v>510448.49377861887</v>
      </c>
      <c r="CI33" s="63">
        <f t="shared" si="51"/>
        <v>510448.49377861887</v>
      </c>
      <c r="CJ33" s="63">
        <f t="shared" si="52"/>
        <v>0</v>
      </c>
      <c r="CK33" s="63">
        <f t="shared" si="53"/>
        <v>0</v>
      </c>
      <c r="CL33" s="63">
        <f t="shared" si="54"/>
        <v>0</v>
      </c>
      <c r="CM33" s="63">
        <f t="shared" si="55"/>
        <v>0</v>
      </c>
      <c r="CN33" s="63">
        <f t="shared" si="56"/>
        <v>0</v>
      </c>
      <c r="CO33" s="63">
        <f t="shared" si="57"/>
        <v>0</v>
      </c>
      <c r="CP33" s="63">
        <f t="shared" si="58"/>
        <v>0</v>
      </c>
      <c r="CQ33" s="63">
        <f t="shared" si="59"/>
        <v>0</v>
      </c>
      <c r="CR33" s="63">
        <f t="shared" si="60"/>
        <v>0</v>
      </c>
      <c r="CS33" s="63">
        <f t="shared" si="61"/>
        <v>0</v>
      </c>
      <c r="CT33" s="63">
        <f t="shared" si="62"/>
        <v>0</v>
      </c>
      <c r="CU33" s="63">
        <f t="shared" si="63"/>
        <v>0</v>
      </c>
      <c r="CV33" s="63">
        <f t="shared" si="64"/>
        <v>0</v>
      </c>
      <c r="CW33" s="63">
        <f t="shared" si="65"/>
        <v>-1000</v>
      </c>
      <c r="CY33" s="63">
        <f t="shared" si="66"/>
        <v>1459350.4642415973</v>
      </c>
      <c r="CZ33" s="63">
        <f t="shared" si="67"/>
        <v>367689.91449509282</v>
      </c>
      <c r="DA33" s="63">
        <f t="shared" si="68"/>
        <v>95599.377768724138</v>
      </c>
      <c r="DB33" s="63">
        <f t="shared" si="69"/>
        <v>45576.304059091555</v>
      </c>
      <c r="DC33" s="63">
        <f t="shared" si="22"/>
        <v>695734.65894263552</v>
      </c>
      <c r="DD33" s="63">
        <f t="shared" si="70"/>
        <v>650158.35488354391</v>
      </c>
    </row>
    <row r="34" spans="2:108" s="63" customFormat="1" x14ac:dyDescent="0.3">
      <c r="B34">
        <v>40</v>
      </c>
      <c r="C34">
        <v>32</v>
      </c>
      <c r="D34" s="63">
        <f t="shared" si="23"/>
        <v>1206826.604721155</v>
      </c>
      <c r="E34" s="63">
        <f t="shared" si="24"/>
        <v>561312.93276350957</v>
      </c>
      <c r="F34" s="63">
        <f>SUM($AX$3:$AX34)</f>
        <v>703626.42886953522</v>
      </c>
      <c r="G34" s="63">
        <f t="shared" si="0"/>
        <v>2891046.8882799321</v>
      </c>
      <c r="H34" s="63">
        <f t="shared" si="1"/>
        <v>1312153.3858781164</v>
      </c>
      <c r="I34" s="63">
        <f>( Table28[[#This Row],[Future value (Nominal)]]-Table28[[#This Row],[Tax (Nominal)]] ) -K34</f>
        <v>1312153.3858781164</v>
      </c>
      <c r="J34" s="63">
        <f t="shared" si="25"/>
        <v>1344668.73805138</v>
      </c>
      <c r="K34" s="63">
        <f t="shared" si="2"/>
        <v>1140996.2286765338</v>
      </c>
      <c r="L34" s="63">
        <f t="shared" si="26"/>
        <v>437897.27372528205</v>
      </c>
      <c r="M34" s="63">
        <f t="shared" si="3"/>
        <v>203672.50937484633</v>
      </c>
      <c r="N34" s="63">
        <f t="shared" si="27"/>
        <v>1684220.2835587771</v>
      </c>
      <c r="O34" s="63">
        <f t="shared" si="4"/>
        <v>579683.29591302422</v>
      </c>
      <c r="P34" s="147">
        <f t="shared" si="28"/>
        <v>0.43109747364987422</v>
      </c>
      <c r="Q34" s="145">
        <f t="shared" si="29"/>
        <v>0.82385094153375515</v>
      </c>
      <c r="R34" s="145">
        <f>Table28[[#This Row],[Net Capital gain(Real)]]/Table28[[#This Row],[Savings (Real, adj. per year)]]</f>
        <v>0.823850941534926</v>
      </c>
      <c r="S34" s="63">
        <f t="shared" si="5"/>
        <v>579683.29591302422</v>
      </c>
      <c r="T34" s="145">
        <f>IF(Table28[[#This Row],[+10% Net Gain/Savings (real, adj.)'']]&gt;0,Table28[[#This Row],[Real Capital gain/Savings (adj. per year)]],-0.000001)</f>
        <v>0.82385094153375515</v>
      </c>
      <c r="U34" s="208">
        <f>((Table28[[#This Row],[Net Present value (real)]]-Table28[[#This Row],[Savings* (real, full inflation* max year)]])) /Table28[[#This Row],[Savings* (real, full inflation* max year)]]</f>
        <v>1.032727489564639</v>
      </c>
      <c r="V34" s="208">
        <f>IF(U33=0,0,IF(Table28[[#This Row],[Real Capital gain/Savings* (all inflation)]]&gt;ROUNDUP(U33,1),Table28[[#This Row],[Real Capital gain/Savings* (all inflation)]],0))</f>
        <v>1.032727489564639</v>
      </c>
      <c r="W34" s="235">
        <f>IF(Table28[[#This Row],[Column1]]&gt;0,Table28[[#This Row],[Net Capital gain(Real)]],-1000)</f>
        <v>579683.29591302422</v>
      </c>
      <c r="X34" s="63">
        <f>Table28[[#This Row],[Net Present value (real)]]-Table28[[#This Row],[Net Capital gain(Real)]]-Table28[[#This Row],[Savings* (real, full inflation* max year)]]</f>
        <v>0</v>
      </c>
      <c r="Y34" s="63">
        <f t="shared" si="30"/>
        <v>1621215.7340719791</v>
      </c>
      <c r="Z34" s="63">
        <f t="shared" si="31"/>
        <v>703939.43990011653</v>
      </c>
      <c r="AA34" s="243">
        <f>((Table28[[#This Row],[Net Present value (real)]]-Table28[[#This Row],[Net deposit (real)]]))</f>
        <v>437056.78877641726</v>
      </c>
      <c r="AB34" s="241">
        <f>((Table28[[#This Row],[Net gain on deposit]] / Table28[[#This Row],[Net deposit (real)]]))</f>
        <v>0.62087271149125012</v>
      </c>
      <c r="AC34" s="241">
        <f>IF(AB33=0,0,IF(Table28[[#This Row],[Net gain on deposit/Deposit]]&gt;ROUNDUP(AB33,1),Table28[[#This Row],[Net gain on deposit/Deposit]],0))</f>
        <v>0.62087271149125012</v>
      </c>
      <c r="AD34" s="242">
        <f>IF(Table28[[#This Row],[Column13]]&gt;0,Table28[[#This Row],[Net gain on deposit]],-1000)</f>
        <v>437056.78877641726</v>
      </c>
      <c r="AE34"/>
      <c r="AF34"/>
      <c r="AG34"/>
      <c r="AH34"/>
      <c r="AI34"/>
      <c r="AJ34"/>
      <c r="AK34"/>
      <c r="AL34"/>
      <c r="AM34"/>
      <c r="AN34"/>
      <c r="AO34"/>
      <c r="AP34"/>
      <c r="AQ34"/>
      <c r="AR34"/>
      <c r="AS34"/>
      <c r="AT34"/>
      <c r="AU34">
        <v>32</v>
      </c>
      <c r="AV34" s="63">
        <f t="shared" si="6"/>
        <v>115166.05497465054</v>
      </c>
      <c r="AW34" s="112">
        <f t="shared" si="32"/>
        <v>115166.05497465054</v>
      </c>
      <c r="AX34" s="63">
        <f t="shared" si="33"/>
        <v>53565.438332013837</v>
      </c>
      <c r="AY34" s="194">
        <f t="shared" si="71"/>
        <v>1206826.604721155</v>
      </c>
      <c r="AZ34" s="112">
        <f>SUM($AV$3:$AV34)</f>
        <v>1206826.604721155</v>
      </c>
      <c r="BA34" s="63">
        <f t="shared" si="34"/>
        <v>561312.93276350957</v>
      </c>
      <c r="BB34" s="63">
        <f>SUM($AX$3:$AX34)</f>
        <v>703626.42886953522</v>
      </c>
      <c r="BC34" s="63">
        <f t="shared" si="35"/>
        <v>2166950.9254472391</v>
      </c>
      <c r="BD34" s="114">
        <f t="shared" si="7"/>
        <v>1684220.2835587771</v>
      </c>
      <c r="BE34" s="72">
        <f t="shared" si="36"/>
        <v>482730.64188846201</v>
      </c>
      <c r="BF34" s="72">
        <f t="shared" si="8"/>
        <v>0</v>
      </c>
      <c r="BG34" s="63">
        <f t="shared" si="37"/>
        <v>0</v>
      </c>
      <c r="BH34" s="114">
        <f t="shared" si="9"/>
        <v>0</v>
      </c>
      <c r="BI34" s="63">
        <f t="shared" si="38"/>
        <v>724095.96283269313</v>
      </c>
      <c r="BJ34" s="114">
        <f t="shared" si="10"/>
        <v>0</v>
      </c>
      <c r="BK34" s="119">
        <f t="shared" si="11"/>
        <v>2891046.8882799321</v>
      </c>
      <c r="BL34" s="126">
        <f t="shared" si="39"/>
        <v>1684220.2835587771</v>
      </c>
      <c r="BM34" s="120">
        <f t="shared" si="12"/>
        <v>1344668.73805138</v>
      </c>
      <c r="BN34" s="113">
        <f t="shared" si="13"/>
        <v>783355.80528787046</v>
      </c>
      <c r="BO34" s="63">
        <f t="shared" si="14"/>
        <v>579683.29591302422</v>
      </c>
      <c r="BP34" s="63">
        <f t="shared" si="40"/>
        <v>203672.50937484624</v>
      </c>
      <c r="BQ34" s="63">
        <f t="shared" si="15"/>
        <v>0</v>
      </c>
      <c r="BR34" s="63">
        <f t="shared" si="16"/>
        <v>0</v>
      </c>
      <c r="BS34" s="63">
        <f t="shared" si="41"/>
        <v>0</v>
      </c>
      <c r="BT34" s="63">
        <f t="shared" si="17"/>
        <v>0</v>
      </c>
      <c r="BV34" s="63">
        <f t="shared" si="42"/>
        <v>437897.27372528205</v>
      </c>
      <c r="BW34" s="63">
        <f t="shared" si="18"/>
        <v>203672.50937484633</v>
      </c>
      <c r="BX34" s="113">
        <f t="shared" si="19"/>
        <v>2453149.6145546502</v>
      </c>
      <c r="BY34" s="63">
        <f t="shared" si="20"/>
        <v>1140996.2286765338</v>
      </c>
      <c r="BZ34" s="63">
        <f t="shared" si="43"/>
        <v>1140996.2286765338</v>
      </c>
      <c r="CA34" s="63">
        <f t="shared" si="21"/>
        <v>0</v>
      </c>
      <c r="CB34" s="204">
        <f t="shared" si="44"/>
        <v>0.82385094153375515</v>
      </c>
      <c r="CC34" s="63">
        <f t="shared" si="45"/>
        <v>579683.29591302422</v>
      </c>
      <c r="CD34" s="63">
        <f t="shared" si="46"/>
        <v>579683.29591302422</v>
      </c>
      <c r="CE34" s="63">
        <f t="shared" si="47"/>
        <v>579683.29591302422</v>
      </c>
      <c r="CF34" s="63">
        <f t="shared" si="48"/>
        <v>579683.29591302422</v>
      </c>
      <c r="CG34" s="63">
        <f t="shared" si="49"/>
        <v>579683.29591302422</v>
      </c>
      <c r="CH34" s="63">
        <f t="shared" si="50"/>
        <v>579683.29591302422</v>
      </c>
      <c r="CI34" s="63">
        <f t="shared" si="51"/>
        <v>579683.29591302422</v>
      </c>
      <c r="CJ34" s="63">
        <f t="shared" si="52"/>
        <v>579683.29591302422</v>
      </c>
      <c r="CK34" s="63">
        <f t="shared" si="53"/>
        <v>0</v>
      </c>
      <c r="CL34" s="63">
        <f t="shared" si="54"/>
        <v>0</v>
      </c>
      <c r="CM34" s="63">
        <f t="shared" si="55"/>
        <v>0</v>
      </c>
      <c r="CN34" s="63">
        <f t="shared" si="56"/>
        <v>0</v>
      </c>
      <c r="CO34" s="63">
        <f t="shared" si="57"/>
        <v>0</v>
      </c>
      <c r="CP34" s="63">
        <f t="shared" si="58"/>
        <v>0</v>
      </c>
      <c r="CQ34" s="63">
        <f t="shared" si="59"/>
        <v>0</v>
      </c>
      <c r="CR34" s="63">
        <f t="shared" si="60"/>
        <v>0</v>
      </c>
      <c r="CS34" s="63">
        <f t="shared" si="61"/>
        <v>0</v>
      </c>
      <c r="CT34" s="63">
        <f t="shared" si="62"/>
        <v>0</v>
      </c>
      <c r="CU34" s="63">
        <f t="shared" si="63"/>
        <v>0</v>
      </c>
      <c r="CV34" s="63">
        <f t="shared" si="64"/>
        <v>0</v>
      </c>
      <c r="CW34" s="63">
        <f t="shared" si="65"/>
        <v>579683.29591302422</v>
      </c>
      <c r="CY34" s="63">
        <f t="shared" si="66"/>
        <v>1621215.7340719791</v>
      </c>
      <c r="CZ34" s="63">
        <f t="shared" si="67"/>
        <v>414389.12935082405</v>
      </c>
      <c r="DA34" s="63">
        <f t="shared" si="68"/>
        <v>107741.17363121426</v>
      </c>
      <c r="DB34" s="63">
        <f t="shared" si="69"/>
        <v>50112.016020970026</v>
      </c>
      <c r="DC34" s="63">
        <f t="shared" si="22"/>
        <v>754051.4559210866</v>
      </c>
      <c r="DD34" s="63">
        <f t="shared" si="70"/>
        <v>703939.43990011653</v>
      </c>
    </row>
    <row r="35" spans="2:108" s="63" customFormat="1" x14ac:dyDescent="0.3">
      <c r="B35">
        <v>40</v>
      </c>
      <c r="C35">
        <v>33</v>
      </c>
      <c r="D35" s="63">
        <f t="shared" si="23"/>
        <v>1333509.2651932705</v>
      </c>
      <c r="E35" s="63">
        <f t="shared" si="24"/>
        <v>605107.23407680483</v>
      </c>
      <c r="F35" s="63">
        <f>SUM($AX$3:$AX35)</f>
        <v>761111.28951852571</v>
      </c>
      <c r="G35" s="63">
        <f t="shared" ref="G35:G52" si="72">SUM($BC35)+SUM($BG35)+SUM($BI35)</f>
        <v>3290765.3653584006</v>
      </c>
      <c r="H35" s="63">
        <f t="shared" ref="H35:H52" si="73">((G35-L35)) - ( (G35-L35)*(1/(1+r_i)^(AU35-1)))</f>
        <v>1519544.1127133807</v>
      </c>
      <c r="I35" s="63">
        <f>( Table28[[#This Row],[Future value (Nominal)]]-Table28[[#This Row],[Tax (Nominal)]] ) -K35</f>
        <v>1519544.1127133807</v>
      </c>
      <c r="J35" s="63">
        <f t="shared" ref="J35:J52" si="74">$BK35*(1/(1+r_i)^($AU35-1))</f>
        <v>1493252.4131650229</v>
      </c>
      <c r="K35" s="63">
        <f t="shared" si="2"/>
        <v>1262334.6666020863</v>
      </c>
      <c r="L35" s="63">
        <f t="shared" si="26"/>
        <v>508886.58604293375</v>
      </c>
      <c r="M35" s="63">
        <f t="shared" si="3"/>
        <v>230917.74656293669</v>
      </c>
      <c r="N35" s="63">
        <f t="shared" si="27"/>
        <v>1957256.1001651296</v>
      </c>
      <c r="O35" s="63">
        <f t="shared" ref="O35:O52" si="75">($BL35-$BV35)*(1/(1+r_i)^($AU35-1))</f>
        <v>657227.43252528133</v>
      </c>
      <c r="P35" s="147">
        <f t="shared" si="28"/>
        <v>0.44013150535497336</v>
      </c>
      <c r="Q35" s="145">
        <f t="shared" si="29"/>
        <v>0.8635102928773738</v>
      </c>
      <c r="R35" s="145">
        <f>Table28[[#This Row],[Net Capital gain(Real)]]/Table28[[#This Row],[Savings (Real, adj. per year)]]</f>
        <v>0.86351029287850845</v>
      </c>
      <c r="S35" s="63">
        <f t="shared" ref="S35:S52" si="76">IF(AND($CC35&gt;$CC34,$CC34=0),$CC35,IF(AND($CD35&gt;$CD34,$CD34=0),$CD35,IF(AND($CE35&gt;$CE34,$CE34=0),$CE35,IF(AND($CF35&gt;$CF34,$CF34=0),$CF35,IF(AND($CG35&gt;$CG34,$CG34=0),$CG35,IF(AND($CH35&gt;$CH34,$CH34=0),$CH35,IF(AND($CI35&gt;$CI34,$CI34=0),$CI35,IF(AND($CJ35&gt;$CJ34,$CJ34=0),$CJ35,IF(AND($CK35&gt;$CK34,$CK34=0),$CK35,IF(AND($CL35&gt;$CL34,$CL34=0),$CL35,IF(AND($CM35&gt;$CM34,$CM34=0),$CM35,IF(AND($CN35&gt;$CN34,$CN34=0),$CN35,IF(AND($CO35&gt;$CO34,$CO34=0),$CO35,IF(AND($CP35&gt;$CP34,$CP34=0),$CP35,IF(AND($CQ35&gt;$CQ34,$CQ34=0),$CQ35,IF(AND($CR35&gt;$CR34,$CR34=0),$CR35,IF(AND($CS35&gt;$CS34,$CS34=0),$CS35,IF(AND($CT35&gt;$CT34,$CT34=0),$CT35,IF(AND($CU35&gt;$CU34,$CU34=0),$CU35,IF(AND($CV35&gt;$CV34,$CV34=0),$CV35,-1000))))))))))))))))))))</f>
        <v>-1000</v>
      </c>
      <c r="T35" s="145">
        <f>IF(Table28[[#This Row],[+10% Net Gain/Savings (real, adj.)'']]&gt;0,Table28[[#This Row],[Real Capital gain/Savings (adj. per year)]],-0.000001)</f>
        <v>-9.9999999999999995E-7</v>
      </c>
      <c r="U35" s="208">
        <f>((Table28[[#This Row],[Net Present value (real)]]-Table28[[#This Row],[Savings* (real, full inflation* max year)]])) /Table28[[#This Row],[Savings* (real, full inflation* max year)]]</f>
        <v>1.0861338214341378</v>
      </c>
      <c r="V35" s="208">
        <f>IF(U34=0,0,IF(Table28[[#This Row],[Real Capital gain/Savings* (all inflation)]]&gt;ROUNDUP(U34,1),Table28[[#This Row],[Real Capital gain/Savings* (all inflation)]],0))</f>
        <v>0</v>
      </c>
      <c r="W35" s="235">
        <f>IF(Table28[[#This Row],[Column1]]&gt;0,Table28[[#This Row],[Net Capital gain(Real)]],-1000)</f>
        <v>-1000</v>
      </c>
      <c r="X35" s="63">
        <f>Table28[[#This Row],[Net Present value (real)]]-Table28[[#This Row],[Net Capital gain(Real)]]-Table28[[#This Row],[Savings* (real, full inflation* max year)]]</f>
        <v>0</v>
      </c>
      <c r="Y35" s="63">
        <f t="shared" si="30"/>
        <v>1799777.2980343979</v>
      </c>
      <c r="Z35" s="63">
        <f t="shared" si="31"/>
        <v>761675.47369906656</v>
      </c>
      <c r="AA35" s="243">
        <f>((Table28[[#This Row],[Net Present value (real)]]-Table28[[#This Row],[Net deposit (real)]]))</f>
        <v>500659.19290301972</v>
      </c>
      <c r="AB35" s="241">
        <f>((Table28[[#This Row],[Net gain on deposit]] / Table28[[#This Row],[Net deposit (real)]]))</f>
        <v>0.6573130029664408</v>
      </c>
      <c r="AC35" s="241">
        <f>IF(AB34=0,0,IF(Table28[[#This Row],[Net gain on deposit/Deposit]]&gt;ROUNDUP(AB34,1),Table28[[#This Row],[Net gain on deposit/Deposit]],0))</f>
        <v>0</v>
      </c>
      <c r="AD35" s="242">
        <f>IF(Table28[[#This Row],[Column13]]&gt;0,Table28[[#This Row],[Net gain on deposit]],-1000)</f>
        <v>-1000</v>
      </c>
      <c r="AE35"/>
      <c r="AF35"/>
      <c r="AG35"/>
      <c r="AH35"/>
      <c r="AI35"/>
      <c r="AJ35"/>
      <c r="AK35"/>
      <c r="AL35" t="s">
        <v>102</v>
      </c>
      <c r="AM35"/>
      <c r="AN35"/>
      <c r="AO35"/>
      <c r="AP35"/>
      <c r="AQ35"/>
      <c r="AR35"/>
      <c r="AS35"/>
      <c r="AT35"/>
      <c r="AU35">
        <v>33</v>
      </c>
      <c r="AV35" s="63">
        <f t="shared" ref="AV35:AV52" si="77">Capital*(1+r_a)^($AU35-1)</f>
        <v>126682.66047211559</v>
      </c>
      <c r="AW35" s="112">
        <f t="shared" si="32"/>
        <v>126682.66047211559</v>
      </c>
      <c r="AX35" s="63">
        <f t="shared" ref="AX35:AX52" si="78">$AV35*(1/(1+r_i)^($AU35-1))</f>
        <v>57484.860648990471</v>
      </c>
      <c r="AY35" s="194">
        <f t="shared" si="71"/>
        <v>1333509.2651932705</v>
      </c>
      <c r="AZ35" s="112">
        <f>SUM($AV$3:$AV35)</f>
        <v>1333509.2651932705</v>
      </c>
      <c r="BA35" s="63">
        <f t="shared" ref="BA35:BA52" si="79">$AY35*(1/(1+r_i)^($AU35-1))</f>
        <v>605107.23407680483</v>
      </c>
      <c r="BB35" s="63">
        <f>SUM($AX$3:$AX35)</f>
        <v>761111.28951852571</v>
      </c>
      <c r="BC35" s="63">
        <f t="shared" si="35"/>
        <v>2490659.806242438</v>
      </c>
      <c r="BD35" s="114">
        <f t="shared" ref="BD35:BD52" si="80">$BC35-($AY35*q_s)</f>
        <v>1957256.1001651296</v>
      </c>
      <c r="BE35" s="72">
        <f t="shared" si="36"/>
        <v>533403.70607730839</v>
      </c>
      <c r="BF35" s="72">
        <f t="shared" ref="BF35:BF52" si="81">BC35 - BD35-(AY35*q_s)</f>
        <v>0</v>
      </c>
      <c r="BG35" s="63">
        <f t="shared" si="37"/>
        <v>0</v>
      </c>
      <c r="BH35" s="114">
        <f t="shared" ref="BH35:BH52" si="82">$BG35-($AY35*q_b*(1-q_b_BTP))</f>
        <v>0</v>
      </c>
      <c r="BI35" s="63">
        <f t="shared" si="38"/>
        <v>800105.55911596247</v>
      </c>
      <c r="BJ35" s="114">
        <f t="shared" ref="BJ35:BJ52" si="83">$BI35-($AY35*q_b*q_b_BTP)</f>
        <v>0</v>
      </c>
      <c r="BK35" s="119">
        <f t="shared" si="11"/>
        <v>3290765.3653584006</v>
      </c>
      <c r="BL35" s="126">
        <f t="shared" si="39"/>
        <v>1957256.1001651296</v>
      </c>
      <c r="BM35" s="120">
        <f t="shared" ref="BM35:BM52" si="84">$BK35*(1/(1+r_i)^($AU35-1))</f>
        <v>1493252.4131650229</v>
      </c>
      <c r="BN35" s="113">
        <f t="shared" ref="BN35:BN52" si="85">$BL35*(1/(1+r_i)^($AU35-1))</f>
        <v>888145.1790882179</v>
      </c>
      <c r="BO35" s="63">
        <f t="shared" ref="BO35:BO52" si="86">($BL35-$BV35)*(1/(1+r_i)^($AU35-1))</f>
        <v>657227.43252528133</v>
      </c>
      <c r="BP35" s="63">
        <f t="shared" si="40"/>
        <v>230917.74656293658</v>
      </c>
      <c r="BQ35" s="63">
        <f t="shared" ref="BQ35:BQ52" si="87">(BO35+BW35)*((1+r_i)^((AU35-1)))+AY35 -BK35</f>
        <v>0</v>
      </c>
      <c r="BR35" s="63">
        <f t="shared" ref="BR35:BR52" si="88">BM35*((1+r_i)^($AU35-1))-BK35</f>
        <v>0</v>
      </c>
      <c r="BS35" s="63">
        <f t="shared" si="41"/>
        <v>0</v>
      </c>
      <c r="BT35" s="63">
        <f t="shared" ref="BT35:BT52" si="89">(BM35-BN35)*((1+r_i)^($AU35-1)) -AY35</f>
        <v>0</v>
      </c>
      <c r="BV35" s="63">
        <f t="shared" si="42"/>
        <v>508886.58604293375</v>
      </c>
      <c r="BW35" s="63">
        <f t="shared" ref="BW35:BW52" si="90">$BV35*(1/(1+r_i)^($AU35-1))</f>
        <v>230917.74656293669</v>
      </c>
      <c r="BX35" s="113">
        <f t="shared" ref="BX35:BX52" si="91">$BK35-$BV35</f>
        <v>2781878.779315467</v>
      </c>
      <c r="BY35" s="63">
        <f t="shared" ref="BY35:BY52" si="92">$BX35*(1/(1+r_i)^($AU35-1))</f>
        <v>1262334.6666020863</v>
      </c>
      <c r="BZ35" s="63">
        <f t="shared" si="43"/>
        <v>1262334.6666020863</v>
      </c>
      <c r="CA35" s="63">
        <f t="shared" ref="CA35:CA52" si="93">BL35+AY35-BK35</f>
        <v>0</v>
      </c>
      <c r="CB35" s="204">
        <f t="shared" si="44"/>
        <v>0.8635102928773738</v>
      </c>
      <c r="CC35" s="63">
        <f t="shared" si="45"/>
        <v>657227.43252528133</v>
      </c>
      <c r="CD35" s="63">
        <f t="shared" si="46"/>
        <v>657227.43252528133</v>
      </c>
      <c r="CE35" s="63">
        <f t="shared" si="47"/>
        <v>657227.43252528133</v>
      </c>
      <c r="CF35" s="63">
        <f t="shared" si="48"/>
        <v>657227.43252528133</v>
      </c>
      <c r="CG35" s="63">
        <f t="shared" si="49"/>
        <v>657227.43252528133</v>
      </c>
      <c r="CH35" s="63">
        <f t="shared" si="50"/>
        <v>657227.43252528133</v>
      </c>
      <c r="CI35" s="63">
        <f t="shared" si="51"/>
        <v>657227.43252528133</v>
      </c>
      <c r="CJ35" s="63">
        <f t="shared" si="52"/>
        <v>657227.43252528133</v>
      </c>
      <c r="CK35" s="63">
        <f t="shared" si="53"/>
        <v>0</v>
      </c>
      <c r="CL35" s="63">
        <f t="shared" si="54"/>
        <v>0</v>
      </c>
      <c r="CM35" s="63">
        <f t="shared" si="55"/>
        <v>0</v>
      </c>
      <c r="CN35" s="63">
        <f t="shared" si="56"/>
        <v>0</v>
      </c>
      <c r="CO35" s="63">
        <f t="shared" si="57"/>
        <v>0</v>
      </c>
      <c r="CP35" s="63">
        <f t="shared" si="58"/>
        <v>0</v>
      </c>
      <c r="CQ35" s="63">
        <f t="shared" si="59"/>
        <v>0</v>
      </c>
      <c r="CR35" s="63">
        <f t="shared" si="60"/>
        <v>0</v>
      </c>
      <c r="CS35" s="63">
        <f t="shared" si="61"/>
        <v>0</v>
      </c>
      <c r="CT35" s="63">
        <f t="shared" si="62"/>
        <v>0</v>
      </c>
      <c r="CU35" s="63">
        <f t="shared" si="63"/>
        <v>0</v>
      </c>
      <c r="CV35" s="63">
        <f t="shared" si="64"/>
        <v>0</v>
      </c>
      <c r="CW35" s="63">
        <f t="shared" si="65"/>
        <v>-1000</v>
      </c>
      <c r="CY35" s="63">
        <f t="shared" si="66"/>
        <v>1799777.2980343979</v>
      </c>
      <c r="CZ35" s="63">
        <f t="shared" si="67"/>
        <v>466268.03284112737</v>
      </c>
      <c r="DA35" s="63">
        <f t="shared" si="68"/>
        <v>121229.68853869312</v>
      </c>
      <c r="DB35" s="63">
        <f t="shared" si="69"/>
        <v>55010.46256998388</v>
      </c>
      <c r="DC35" s="63">
        <f t="shared" ref="DC35:DC52" si="94">$CY35*(1/(1+r_i)^($AU35-1))</f>
        <v>816685.93626905046</v>
      </c>
      <c r="DD35" s="63">
        <f t="shared" si="70"/>
        <v>761675.47369906656</v>
      </c>
    </row>
    <row r="36" spans="2:108" s="63" customFormat="1" x14ac:dyDescent="0.3">
      <c r="B36">
        <v>40</v>
      </c>
      <c r="C36">
        <v>34</v>
      </c>
      <c r="D36" s="63">
        <f t="shared" ref="D36:D52" si="95">$AY35+$AV36</f>
        <v>1472860.1917125976</v>
      </c>
      <c r="E36" s="63">
        <f t="shared" si="24"/>
        <v>652039.59101531154</v>
      </c>
      <c r="F36" s="63">
        <f>SUM($AX$3:$AX36)</f>
        <v>822802.35948329594</v>
      </c>
      <c r="G36" s="63">
        <f t="shared" si="72"/>
        <v>3743939.4274642756</v>
      </c>
      <c r="H36" s="63">
        <f t="shared" si="73"/>
        <v>1757413.2171773368</v>
      </c>
      <c r="I36" s="63">
        <f>( Table28[[#This Row],[Future value (Nominal)]]-Table28[[#This Row],[Tax (Nominal)]] ) -K36</f>
        <v>1757413.2171773368</v>
      </c>
      <c r="J36" s="63">
        <f t="shared" si="74"/>
        <v>1657453.1288209751</v>
      </c>
      <c r="K36" s="63">
        <f t="shared" si="2"/>
        <v>1396045.6089915026</v>
      </c>
      <c r="L36" s="63">
        <f t="shared" si="26"/>
        <v>590480.60129543615</v>
      </c>
      <c r="M36" s="63">
        <f t="shared" si="3"/>
        <v>261407.51982947244</v>
      </c>
      <c r="N36" s="63">
        <f t="shared" si="27"/>
        <v>2271079.2357516773</v>
      </c>
      <c r="O36" s="63">
        <f t="shared" si="75"/>
        <v>744006.01797619066</v>
      </c>
      <c r="P36" s="147">
        <f t="shared" si="28"/>
        <v>0.44888510268797094</v>
      </c>
      <c r="Q36" s="145">
        <f t="shared" si="29"/>
        <v>0.90423418139261036</v>
      </c>
      <c r="R36" s="145">
        <f>Table28[[#This Row],[Net Capital gain(Real)]]/Table28[[#This Row],[Savings (Real, adj. per year)]]</f>
        <v>0.90423418139370937</v>
      </c>
      <c r="S36" s="63">
        <f t="shared" si="76"/>
        <v>744006.01797619066</v>
      </c>
      <c r="T36" s="145">
        <f>IF(Table28[[#This Row],[+10% Net Gain/Savings (real, adj.)'']]&gt;0,Table28[[#This Row],[Real Capital gain/Savings (adj. per year)]],-0.000001)</f>
        <v>0.90423418139261036</v>
      </c>
      <c r="U36" s="208">
        <f>((Table28[[#This Row],[Net Present value (real)]]-Table28[[#This Row],[Savings* (real, full inflation* max year)]])) /Table28[[#This Row],[Savings* (real, full inflation* max year)]]</f>
        <v>1.1410442375403549</v>
      </c>
      <c r="V36" s="208">
        <f>IF(U35=0,0,IF(Table28[[#This Row],[Real Capital gain/Savings* (all inflation)]]&gt;ROUNDUP(U35,1),Table28[[#This Row],[Real Capital gain/Savings* (all inflation)]],0))</f>
        <v>1.1410442375403549</v>
      </c>
      <c r="W36" s="235">
        <f>IF(Table28[[#This Row],[Column1]]&gt;0,Table28[[#This Row],[Net Capital gain(Real)]],-1000)</f>
        <v>744006.01797619066</v>
      </c>
      <c r="X36" s="63">
        <f>Table28[[#This Row],[Net Present value (real)]]-Table28[[#This Row],[Net Capital gain(Real)]]-Table28[[#This Row],[Savings* (real, full inflation* max year)]]</f>
        <v>0</v>
      </c>
      <c r="Y36" s="63">
        <f t="shared" ref="Y36:Y52" si="96">($CY35)*(1+r_d-r_c) +($AV36)</f>
        <v>1996721.0980908258</v>
      </c>
      <c r="Z36" s="63">
        <f t="shared" si="31"/>
        <v>823656.53013054375</v>
      </c>
      <c r="AA36" s="243">
        <f>((Table28[[#This Row],[Net Present value (real)]]-Table28[[#This Row],[Net deposit (real)]]))</f>
        <v>572389.07886095881</v>
      </c>
      <c r="AB36" s="241">
        <f>((Table28[[#This Row],[Net gain on deposit]] / Table28[[#This Row],[Net deposit (real)]]))</f>
        <v>0.69493661243751592</v>
      </c>
      <c r="AC36" s="241">
        <f>IF(AB35=0,0,IF(Table28[[#This Row],[Net gain on deposit/Deposit]]&gt;ROUNDUP(AB35,1),Table28[[#This Row],[Net gain on deposit/Deposit]],0))</f>
        <v>0</v>
      </c>
      <c r="AD36" s="242">
        <f>IF(Table28[[#This Row],[Column13]]&gt;0,Table28[[#This Row],[Net gain on deposit]],-1000)</f>
        <v>-1000</v>
      </c>
      <c r="AE36"/>
      <c r="AF36"/>
      <c r="AG36"/>
      <c r="AH36"/>
      <c r="AI36"/>
      <c r="AJ36"/>
      <c r="AK36"/>
      <c r="AL36"/>
      <c r="AM36"/>
      <c r="AN36"/>
      <c r="AO36"/>
      <c r="AP36"/>
      <c r="AQ36"/>
      <c r="AR36"/>
      <c r="AS36"/>
      <c r="AT36"/>
      <c r="AU36">
        <v>34</v>
      </c>
      <c r="AV36" s="63">
        <f t="shared" si="77"/>
        <v>139350.92651932716</v>
      </c>
      <c r="AW36" s="112">
        <f t="shared" si="32"/>
        <v>139350.92651932716</v>
      </c>
      <c r="AX36" s="63">
        <f t="shared" si="78"/>
        <v>61691.069964770271</v>
      </c>
      <c r="AY36" s="194">
        <f t="shared" si="71"/>
        <v>1472860.1917125976</v>
      </c>
      <c r="AZ36" s="112">
        <f>SUM($AV$3:$AV36)</f>
        <v>1472860.1917125976</v>
      </c>
      <c r="BA36" s="63">
        <f t="shared" si="79"/>
        <v>652039.59101531154</v>
      </c>
      <c r="BB36" s="63">
        <f>SUM($AX$3:$AX36)</f>
        <v>822802.35948329594</v>
      </c>
      <c r="BC36" s="63">
        <f t="shared" ref="BC36:BC52" si="97">($BC35)*(1+r_s-r_c) +($AV36*q_s)</f>
        <v>2860223.3124367166</v>
      </c>
      <c r="BD36" s="114">
        <f t="shared" si="80"/>
        <v>2271079.2357516773</v>
      </c>
      <c r="BE36" s="72">
        <f t="shared" si="36"/>
        <v>589144.07668503933</v>
      </c>
      <c r="BF36" s="72">
        <f t="shared" si="81"/>
        <v>0</v>
      </c>
      <c r="BG36" s="63">
        <f t="shared" ref="BG36:BG52" si="98">($AV36*q_b*(1-q_b_BTP))+($BG35)*(1+r_b-r_c)</f>
        <v>0</v>
      </c>
      <c r="BH36" s="114">
        <f t="shared" si="82"/>
        <v>0</v>
      </c>
      <c r="BI36" s="63">
        <f t="shared" ref="BI36:BI52" si="99">($AV36*q_b*q_b_BTP)+BI35*(1+r_b_btp-r_c)</f>
        <v>883716.11502755876</v>
      </c>
      <c r="BJ36" s="114">
        <f t="shared" si="83"/>
        <v>0</v>
      </c>
      <c r="BK36" s="119">
        <f t="shared" si="11"/>
        <v>3743939.4274642756</v>
      </c>
      <c r="BL36" s="126">
        <f t="shared" si="39"/>
        <v>2271079.2357516773</v>
      </c>
      <c r="BM36" s="120">
        <f t="shared" si="84"/>
        <v>1657453.1288209751</v>
      </c>
      <c r="BN36" s="113">
        <f t="shared" si="85"/>
        <v>1005413.5378056632</v>
      </c>
      <c r="BO36" s="63">
        <f t="shared" si="86"/>
        <v>744006.01797619066</v>
      </c>
      <c r="BP36" s="63">
        <f t="shared" si="40"/>
        <v>261407.51982947276</v>
      </c>
      <c r="BQ36" s="63">
        <f t="shared" si="87"/>
        <v>0</v>
      </c>
      <c r="BR36" s="63">
        <f t="shared" si="88"/>
        <v>0</v>
      </c>
      <c r="BS36" s="63">
        <f t="shared" si="41"/>
        <v>0</v>
      </c>
      <c r="BT36" s="63">
        <f t="shared" si="89"/>
        <v>0</v>
      </c>
      <c r="BV36" s="63">
        <f t="shared" si="42"/>
        <v>590480.60129543615</v>
      </c>
      <c r="BW36" s="63">
        <f t="shared" si="90"/>
        <v>261407.51982947244</v>
      </c>
      <c r="BX36" s="113">
        <f t="shared" si="91"/>
        <v>3153458.8261688394</v>
      </c>
      <c r="BY36" s="63">
        <f t="shared" si="92"/>
        <v>1396045.6089915026</v>
      </c>
      <c r="BZ36" s="63">
        <f t="shared" si="43"/>
        <v>1396045.6089915026</v>
      </c>
      <c r="CA36" s="63">
        <f t="shared" si="93"/>
        <v>0</v>
      </c>
      <c r="CB36" s="204">
        <f t="shared" si="44"/>
        <v>0.90423418139261036</v>
      </c>
      <c r="CC36" s="63">
        <f t="shared" si="45"/>
        <v>744006.01797619066</v>
      </c>
      <c r="CD36" s="63">
        <f t="shared" si="46"/>
        <v>744006.01797619066</v>
      </c>
      <c r="CE36" s="63">
        <f t="shared" si="47"/>
        <v>744006.01797619066</v>
      </c>
      <c r="CF36" s="63">
        <f t="shared" si="48"/>
        <v>744006.01797619066</v>
      </c>
      <c r="CG36" s="63">
        <f t="shared" si="49"/>
        <v>744006.01797619066</v>
      </c>
      <c r="CH36" s="63">
        <f t="shared" si="50"/>
        <v>744006.01797619066</v>
      </c>
      <c r="CI36" s="63">
        <f t="shared" si="51"/>
        <v>744006.01797619066</v>
      </c>
      <c r="CJ36" s="63">
        <f t="shared" si="52"/>
        <v>744006.01797619066</v>
      </c>
      <c r="CK36" s="63">
        <f t="shared" si="53"/>
        <v>744006.01797619066</v>
      </c>
      <c r="CL36" s="63">
        <f t="shared" si="54"/>
        <v>0</v>
      </c>
      <c r="CM36" s="63">
        <f t="shared" si="55"/>
        <v>0</v>
      </c>
      <c r="CN36" s="63">
        <f t="shared" si="56"/>
        <v>0</v>
      </c>
      <c r="CO36" s="63">
        <f t="shared" si="57"/>
        <v>0</v>
      </c>
      <c r="CP36" s="63">
        <f t="shared" si="58"/>
        <v>0</v>
      </c>
      <c r="CQ36" s="63">
        <f t="shared" si="59"/>
        <v>0</v>
      </c>
      <c r="CR36" s="63">
        <f t="shared" si="60"/>
        <v>0</v>
      </c>
      <c r="CS36" s="63">
        <f t="shared" si="61"/>
        <v>0</v>
      </c>
      <c r="CT36" s="63">
        <f t="shared" si="62"/>
        <v>0</v>
      </c>
      <c r="CU36" s="63">
        <f t="shared" si="63"/>
        <v>0</v>
      </c>
      <c r="CV36" s="63">
        <f t="shared" si="64"/>
        <v>0</v>
      </c>
      <c r="CW36" s="63">
        <f t="shared" si="65"/>
        <v>744006.01797619066</v>
      </c>
      <c r="CY36" s="63">
        <f t="shared" ref="CY36:CY52" si="100">($CY35)*(1+r_d-r_c) +($AV36)</f>
        <v>1996721.0980908258</v>
      </c>
      <c r="CZ36" s="63">
        <f t="shared" si="67"/>
        <v>523860.90637822822</v>
      </c>
      <c r="DA36" s="63">
        <f t="shared" ref="DA36:DA52" si="101">CZ36*r_tax</f>
        <v>136203.83565833935</v>
      </c>
      <c r="DB36" s="63">
        <f t="shared" ref="DB36:DB52" si="102">DA36*(1/(1+r_i)^(AU36-1))</f>
        <v>60297.84347291942</v>
      </c>
      <c r="DC36" s="63">
        <f t="shared" si="94"/>
        <v>883954.37360346317</v>
      </c>
      <c r="DD36" s="63">
        <f t="shared" si="70"/>
        <v>823656.53013054375</v>
      </c>
    </row>
    <row r="37" spans="2:108" s="184" customFormat="1" x14ac:dyDescent="0.3">
      <c r="B37">
        <v>40</v>
      </c>
      <c r="C37" s="183">
        <v>35</v>
      </c>
      <c r="D37" s="184">
        <f t="shared" si="95"/>
        <v>1626146.2108838574</v>
      </c>
      <c r="E37" s="63">
        <f t="shared" si="24"/>
        <v>702341.2370503014</v>
      </c>
      <c r="F37" s="63">
        <f>SUM($AX$3:$AX37)</f>
        <v>889007.41017719579</v>
      </c>
      <c r="G37" s="184">
        <f t="shared" si="72"/>
        <v>4257613.5840025619</v>
      </c>
      <c r="H37" s="63">
        <f t="shared" si="73"/>
        <v>2030047.6642558384</v>
      </c>
      <c r="I37" s="63">
        <f>( Table28[[#This Row],[Future value (Nominal)]]-Table28[[#This Row],[Tax (Nominal)]] ) -K37</f>
        <v>2030047.6642558384</v>
      </c>
      <c r="J37" s="184">
        <f t="shared" si="74"/>
        <v>1838886.0555443002</v>
      </c>
      <c r="K37" s="63">
        <f t="shared" si="2"/>
        <v>1543384.4027358606</v>
      </c>
      <c r="L37" s="63">
        <f t="shared" si="26"/>
        <v>684181.51701086306</v>
      </c>
      <c r="M37" s="63">
        <f t="shared" si="3"/>
        <v>295501.65280843969</v>
      </c>
      <c r="N37" s="184">
        <f t="shared" si="27"/>
        <v>2631467.3731187042</v>
      </c>
      <c r="O37" s="184">
        <f t="shared" si="75"/>
        <v>841043.16568555916</v>
      </c>
      <c r="P37" s="185">
        <f t="shared" si="28"/>
        <v>0.4573655681949681</v>
      </c>
      <c r="Q37" s="186">
        <f t="shared" si="29"/>
        <v>0.94604741879145582</v>
      </c>
      <c r="R37" s="145">
        <f>Table28[[#This Row],[Net Capital gain(Real)]]/Table28[[#This Row],[Savings (Real, adj. per year)]]</f>
        <v>0.94604741879251997</v>
      </c>
      <c r="S37" s="63">
        <f t="shared" si="76"/>
        <v>-1000</v>
      </c>
      <c r="T37" s="186">
        <f>IF(Table28[[#This Row],[+10% Net Gain/Savings (real, adj.)'']]&gt;0,Table28[[#This Row],[Real Capital gain/Savings (adj. per year)]],-0.000001)</f>
        <v>-9.9999999999999995E-7</v>
      </c>
      <c r="U37" s="208">
        <f>((Table28[[#This Row],[Net Present value (real)]]-Table28[[#This Row],[Savings* (real, full inflation* max year)]])) /Table28[[#This Row],[Savings* (real, full inflation* max year)]]</f>
        <v>1.1974850988641637</v>
      </c>
      <c r="V37" s="208">
        <f>IF(U36=0,0,IF(Table28[[#This Row],[Real Capital gain/Savings* (all inflation)]]&gt;ROUNDUP(U36,1),Table28[[#This Row],[Real Capital gain/Savings* (all inflation)]],0))</f>
        <v>0</v>
      </c>
      <c r="W37" s="235">
        <f>IF(Table28[[#This Row],[Column1]]&gt;0,Table28[[#This Row],[Net Capital gain(Real)]],-1000)</f>
        <v>-1000</v>
      </c>
      <c r="X37" s="63">
        <f>Table28[[#This Row],[Net Present value (real)]]-Table28[[#This Row],[Net Capital gain(Real)]]-Table28[[#This Row],[Savings* (real, full inflation* max year)]]</f>
        <v>0</v>
      </c>
      <c r="Y37" s="63">
        <f t="shared" si="96"/>
        <v>2213902.1924009924</v>
      </c>
      <c r="Z37" s="63">
        <f t="shared" si="31"/>
        <v>890193.89917924022</v>
      </c>
      <c r="AA37" s="243">
        <f>((Table28[[#This Row],[Net Present value (real)]]-Table28[[#This Row],[Net deposit (real)]]))</f>
        <v>653190.50355662033</v>
      </c>
      <c r="AB37" s="241">
        <f>((Table28[[#This Row],[Net gain on deposit]] / Table28[[#This Row],[Net deposit (real)]]))</f>
        <v>0.7337620535917655</v>
      </c>
      <c r="AC37" s="241">
        <f>IF(AB36=0,0,IF(Table28[[#This Row],[Net gain on deposit/Deposit]]&gt;ROUNDUP(AB36,1),Table28[[#This Row],[Net gain on deposit/Deposit]],0))</f>
        <v>0.7337620535917655</v>
      </c>
      <c r="AD37" s="242">
        <f>IF(Table28[[#This Row],[Column13]]&gt;0,Table28[[#This Row],[Net gain on deposit]],-1000)</f>
        <v>653190.50355662033</v>
      </c>
      <c r="AE37" s="183"/>
      <c r="AF37" s="183"/>
      <c r="AG37" s="183"/>
      <c r="AH37" s="183"/>
      <c r="AJ37" s="183"/>
      <c r="AK37" s="183"/>
      <c r="AL37" s="183"/>
      <c r="AM37" s="183"/>
      <c r="AN37" s="183"/>
      <c r="AO37" s="183"/>
      <c r="AP37" s="183"/>
      <c r="AQ37" s="183"/>
      <c r="AR37" s="183"/>
      <c r="AS37" s="183"/>
      <c r="AT37" s="183"/>
      <c r="AU37" s="183">
        <v>35</v>
      </c>
      <c r="AV37" s="184">
        <f t="shared" si="77"/>
        <v>153286.01917125989</v>
      </c>
      <c r="AW37" s="187">
        <f t="shared" si="32"/>
        <v>153286.01917125989</v>
      </c>
      <c r="AX37" s="184">
        <f t="shared" si="78"/>
        <v>66205.050693899815</v>
      </c>
      <c r="AY37" s="195">
        <f t="shared" si="71"/>
        <v>1626146.2108838574</v>
      </c>
      <c r="AZ37" s="187">
        <f>SUM($AV$3:$AV37)</f>
        <v>1626146.2108838574</v>
      </c>
      <c r="BA37" s="184">
        <f t="shared" si="79"/>
        <v>702341.2370503014</v>
      </c>
      <c r="BB37" s="184">
        <f>SUM($AX$3:$AX37)</f>
        <v>889007.41017719579</v>
      </c>
      <c r="BC37" s="63">
        <f t="shared" si="97"/>
        <v>3281925.857472247</v>
      </c>
      <c r="BD37" s="188">
        <f t="shared" si="80"/>
        <v>2631467.3731187042</v>
      </c>
      <c r="BE37" s="72">
        <f t="shared" si="36"/>
        <v>650458.48435354279</v>
      </c>
      <c r="BF37" s="72">
        <f t="shared" si="81"/>
        <v>0</v>
      </c>
      <c r="BG37" s="63">
        <f t="shared" si="98"/>
        <v>0</v>
      </c>
      <c r="BH37" s="188">
        <f t="shared" si="82"/>
        <v>0</v>
      </c>
      <c r="BI37" s="63">
        <f t="shared" si="99"/>
        <v>975687.72653031466</v>
      </c>
      <c r="BJ37" s="188">
        <f t="shared" si="83"/>
        <v>0</v>
      </c>
      <c r="BK37" s="189">
        <f t="shared" si="11"/>
        <v>4257613.5840025619</v>
      </c>
      <c r="BL37" s="190">
        <f t="shared" si="39"/>
        <v>2631467.3731187042</v>
      </c>
      <c r="BM37" s="191">
        <f t="shared" si="84"/>
        <v>1838886.0555443002</v>
      </c>
      <c r="BN37" s="113">
        <f t="shared" si="85"/>
        <v>1136544.8184939988</v>
      </c>
      <c r="BO37" s="184">
        <f t="shared" si="86"/>
        <v>841043.16568555916</v>
      </c>
      <c r="BP37" s="184">
        <f t="shared" si="40"/>
        <v>295501.65280843969</v>
      </c>
      <c r="BQ37" s="63">
        <f t="shared" si="87"/>
        <v>0</v>
      </c>
      <c r="BR37" s="184">
        <f t="shared" si="88"/>
        <v>0</v>
      </c>
      <c r="BS37" s="63">
        <f t="shared" si="41"/>
        <v>0</v>
      </c>
      <c r="BT37" s="63">
        <f t="shared" si="89"/>
        <v>0</v>
      </c>
      <c r="BV37" s="184">
        <f t="shared" si="42"/>
        <v>684181.51701086306</v>
      </c>
      <c r="BW37" s="184">
        <f t="shared" si="90"/>
        <v>295501.65280843969</v>
      </c>
      <c r="BX37" s="192">
        <f t="shared" si="91"/>
        <v>3573432.0669916989</v>
      </c>
      <c r="BY37" s="184">
        <f t="shared" si="92"/>
        <v>1543384.4027358606</v>
      </c>
      <c r="BZ37" s="63">
        <f t="shared" si="43"/>
        <v>1543384.4027358606</v>
      </c>
      <c r="CA37" s="184">
        <f t="shared" si="93"/>
        <v>0</v>
      </c>
      <c r="CB37" s="204">
        <f t="shared" si="44"/>
        <v>0.94604741879145582</v>
      </c>
      <c r="CC37" s="63">
        <f t="shared" si="45"/>
        <v>841043.16568555916</v>
      </c>
      <c r="CD37" s="63">
        <f t="shared" si="46"/>
        <v>841043.16568555916</v>
      </c>
      <c r="CE37" s="63">
        <f t="shared" si="47"/>
        <v>841043.16568555916</v>
      </c>
      <c r="CF37" s="63">
        <f t="shared" si="48"/>
        <v>841043.16568555916</v>
      </c>
      <c r="CG37" s="63">
        <f t="shared" si="49"/>
        <v>841043.16568555916</v>
      </c>
      <c r="CH37" s="63">
        <f t="shared" si="50"/>
        <v>841043.16568555916</v>
      </c>
      <c r="CI37" s="63">
        <f t="shared" si="51"/>
        <v>841043.16568555916</v>
      </c>
      <c r="CJ37" s="63">
        <f t="shared" si="52"/>
        <v>841043.16568555916</v>
      </c>
      <c r="CK37" s="63">
        <f t="shared" si="53"/>
        <v>841043.16568555916</v>
      </c>
      <c r="CL37" s="63">
        <f t="shared" si="54"/>
        <v>0</v>
      </c>
      <c r="CM37" s="63">
        <f t="shared" si="55"/>
        <v>0</v>
      </c>
      <c r="CN37" s="63">
        <f t="shared" si="56"/>
        <v>0</v>
      </c>
      <c r="CO37" s="63">
        <f t="shared" si="57"/>
        <v>0</v>
      </c>
      <c r="CP37" s="63">
        <f t="shared" si="58"/>
        <v>0</v>
      </c>
      <c r="CQ37" s="63">
        <f t="shared" si="59"/>
        <v>0</v>
      </c>
      <c r="CR37" s="63">
        <f t="shared" si="60"/>
        <v>0</v>
      </c>
      <c r="CS37" s="63">
        <f t="shared" si="61"/>
        <v>0</v>
      </c>
      <c r="CT37" s="63">
        <f t="shared" si="62"/>
        <v>0</v>
      </c>
      <c r="CU37" s="63">
        <f t="shared" si="63"/>
        <v>0</v>
      </c>
      <c r="CV37" s="63">
        <f t="shared" si="64"/>
        <v>0</v>
      </c>
      <c r="CW37" s="63">
        <f t="shared" si="65"/>
        <v>-1000</v>
      </c>
      <c r="CY37" s="63">
        <f t="shared" si="100"/>
        <v>2213902.1924009924</v>
      </c>
      <c r="CZ37" s="63">
        <f t="shared" si="67"/>
        <v>587755.98151713493</v>
      </c>
      <c r="DA37" s="63">
        <f t="shared" si="101"/>
        <v>152816.55519445508</v>
      </c>
      <c r="DB37" s="63">
        <f t="shared" si="102"/>
        <v>66002.286693951479</v>
      </c>
      <c r="DC37" s="63">
        <f t="shared" si="94"/>
        <v>956196.18587319169</v>
      </c>
      <c r="DD37" s="63">
        <f t="shared" si="70"/>
        <v>890193.89917924022</v>
      </c>
    </row>
    <row r="38" spans="2:108" s="63" customFormat="1" x14ac:dyDescent="0.3">
      <c r="B38">
        <v>40</v>
      </c>
      <c r="C38">
        <v>36</v>
      </c>
      <c r="D38" s="63">
        <f t="shared" si="95"/>
        <v>1794760.8319722433</v>
      </c>
      <c r="E38" s="63">
        <f t="shared" si="24"/>
        <v>756260.2856717963</v>
      </c>
      <c r="F38" s="63">
        <f>SUM($AX$3:$AX38)</f>
        <v>960056.73287308833</v>
      </c>
      <c r="G38" s="63">
        <f t="shared" si="72"/>
        <v>4839750.8631324507</v>
      </c>
      <c r="H38" s="63">
        <f t="shared" si="73"/>
        <v>2342320.8539063493</v>
      </c>
      <c r="I38" s="63">
        <f>( Table28[[#This Row],[Future value (Nominal)]]-Table28[[#This Row],[Tax (Nominal)]] ) -K38</f>
        <v>2342320.8539063493</v>
      </c>
      <c r="J38" s="63">
        <f t="shared" si="74"/>
        <v>2039330.9822294333</v>
      </c>
      <c r="K38" s="63">
        <f t="shared" si="2"/>
        <v>1705732.6011244478</v>
      </c>
      <c r="L38" s="63">
        <f t="shared" si="26"/>
        <v>791697.40810165391</v>
      </c>
      <c r="M38" s="63">
        <f t="shared" si="3"/>
        <v>333598.3811049856</v>
      </c>
      <c r="N38" s="63">
        <f t="shared" si="27"/>
        <v>3044990.0311602075</v>
      </c>
      <c r="O38" s="63">
        <f t="shared" si="75"/>
        <v>949472.31545265159</v>
      </c>
      <c r="P38" s="147">
        <f t="shared" si="28"/>
        <v>0.46558029259581657</v>
      </c>
      <c r="Q38" s="145">
        <f t="shared" si="29"/>
        <v>0.98897521671479716</v>
      </c>
      <c r="R38" s="145">
        <f>Table28[[#This Row],[Net Capital gain(Real)]]/Table28[[#This Row],[Savings (Real, adj. per year)]]</f>
        <v>0.98897521671582722</v>
      </c>
      <c r="S38" s="63">
        <f t="shared" si="76"/>
        <v>-1000</v>
      </c>
      <c r="T38" s="145">
        <f>IF(Table28[[#This Row],[+10% Net Gain/Savings (real, adj.)'']]&gt;0,Table28[[#This Row],[Real Capital gain/Savings (adj. per year)]],-0.000001)</f>
        <v>-9.9999999999999995E-7</v>
      </c>
      <c r="U38" s="208">
        <f>((Table28[[#This Row],[Net Present value (real)]]-Table28[[#This Row],[Savings* (real, full inflation* max year)]])) /Table28[[#This Row],[Savings* (real, full inflation* max year)]]</f>
        <v>1.2554835067257595</v>
      </c>
      <c r="V38" s="208">
        <f>IF(U37=0,0,IF(Table28[[#This Row],[Real Capital gain/Savings* (all inflation)]]&gt;ROUNDUP(U37,1),Table28[[#This Row],[Real Capital gain/Savings* (all inflation)]],0))</f>
        <v>1.2554835067257595</v>
      </c>
      <c r="W38" s="235">
        <f>IF(Table28[[#This Row],[Column1]]&gt;0,Table28[[#This Row],[Net Capital gain(Real)]],-1000)</f>
        <v>949472.31545265159</v>
      </c>
      <c r="X38" s="63">
        <f>Table28[[#This Row],[Net Present value (real)]]-Table28[[#This Row],[Net Capital gain(Real)]]-Table28[[#This Row],[Savings* (real, full inflation* max year)]]</f>
        <v>0</v>
      </c>
      <c r="Y38" s="63">
        <f t="shared" si="96"/>
        <v>2453361.6836462105</v>
      </c>
      <c r="Z38" s="63">
        <f t="shared" si="31"/>
        <v>961621.63963317801</v>
      </c>
      <c r="AA38" s="243">
        <f>((Table28[[#This Row],[Net Present value (real)]]-Table28[[#This Row],[Net deposit (real)]]))</f>
        <v>744110.96149126976</v>
      </c>
      <c r="AB38" s="241">
        <f>((Table28[[#This Row],[Net gain on deposit]] / Table28[[#This Row],[Net deposit (real)]]))</f>
        <v>0.77380846148087901</v>
      </c>
      <c r="AC38" s="241">
        <f>IF(AB37=0,0,IF(Table28[[#This Row],[Net gain on deposit/Deposit]]&gt;ROUNDUP(AB37,1),Table28[[#This Row],[Net gain on deposit/Deposit]],0))</f>
        <v>0</v>
      </c>
      <c r="AD38" s="242">
        <f>IF(Table28[[#This Row],[Column13]]&gt;0,Table28[[#This Row],[Net gain on deposit]],-1000)</f>
        <v>-1000</v>
      </c>
      <c r="AE38"/>
      <c r="AF38"/>
      <c r="AG38"/>
      <c r="AH38"/>
      <c r="AI38"/>
      <c r="AJ38"/>
      <c r="AK38"/>
      <c r="AL38"/>
      <c r="AM38"/>
      <c r="AN38"/>
      <c r="AO38"/>
      <c r="AP38"/>
      <c r="AQ38"/>
      <c r="AR38"/>
      <c r="AS38"/>
      <c r="AT38"/>
      <c r="AU38">
        <v>36</v>
      </c>
      <c r="AV38" s="63">
        <f t="shared" si="77"/>
        <v>168614.6210883859</v>
      </c>
      <c r="AW38" s="112">
        <f t="shared" si="32"/>
        <v>168614.6210883859</v>
      </c>
      <c r="AX38" s="63">
        <f t="shared" si="78"/>
        <v>71049.322695892493</v>
      </c>
      <c r="AY38" s="194">
        <f t="shared" si="71"/>
        <v>1794760.8319722433</v>
      </c>
      <c r="AZ38" s="112">
        <f>SUM($AV$3:$AV38)</f>
        <v>1794760.8319722433</v>
      </c>
      <c r="BA38" s="63">
        <f t="shared" si="79"/>
        <v>756260.2856717963</v>
      </c>
      <c r="BB38" s="63">
        <f>SUM($AX$3:$AX38)</f>
        <v>960056.73287308833</v>
      </c>
      <c r="BC38" s="63">
        <f t="shared" si="97"/>
        <v>3762894.3639491047</v>
      </c>
      <c r="BD38" s="114">
        <f t="shared" si="80"/>
        <v>3044990.0311602075</v>
      </c>
      <c r="BE38" s="72">
        <f t="shared" si="36"/>
        <v>717904.33278889721</v>
      </c>
      <c r="BF38" s="72">
        <f t="shared" si="81"/>
        <v>0</v>
      </c>
      <c r="BG38" s="63">
        <f t="shared" si="98"/>
        <v>0</v>
      </c>
      <c r="BH38" s="114">
        <f t="shared" si="82"/>
        <v>0</v>
      </c>
      <c r="BI38" s="63">
        <f t="shared" si="99"/>
        <v>1076856.4991833463</v>
      </c>
      <c r="BJ38" s="114">
        <f t="shared" si="83"/>
        <v>0</v>
      </c>
      <c r="BK38" s="119">
        <f t="shared" si="11"/>
        <v>4839750.8631324507</v>
      </c>
      <c r="BL38" s="126">
        <f t="shared" si="39"/>
        <v>3044990.0311602075</v>
      </c>
      <c r="BM38" s="120">
        <f t="shared" si="84"/>
        <v>2039330.9822294333</v>
      </c>
      <c r="BN38" s="113">
        <f t="shared" si="85"/>
        <v>1283070.6965576371</v>
      </c>
      <c r="BO38" s="63">
        <f t="shared" si="86"/>
        <v>949472.31545265159</v>
      </c>
      <c r="BP38" s="63">
        <f t="shared" si="40"/>
        <v>333598.38110498548</v>
      </c>
      <c r="BQ38" s="63">
        <f t="shared" si="87"/>
        <v>0</v>
      </c>
      <c r="BR38" s="63">
        <f t="shared" si="88"/>
        <v>0</v>
      </c>
      <c r="BS38" s="63">
        <f t="shared" si="41"/>
        <v>0</v>
      </c>
      <c r="BT38" s="63">
        <f t="shared" si="89"/>
        <v>0</v>
      </c>
      <c r="BV38" s="63">
        <f t="shared" si="42"/>
        <v>791697.40810165391</v>
      </c>
      <c r="BW38" s="63">
        <f t="shared" si="90"/>
        <v>333598.3811049856</v>
      </c>
      <c r="BX38" s="113">
        <f t="shared" si="91"/>
        <v>4048053.455030797</v>
      </c>
      <c r="BY38" s="63">
        <f t="shared" si="92"/>
        <v>1705732.6011244478</v>
      </c>
      <c r="BZ38" s="63">
        <f t="shared" si="43"/>
        <v>1705732.6011244478</v>
      </c>
      <c r="CA38" s="63">
        <f t="shared" si="93"/>
        <v>0</v>
      </c>
      <c r="CB38" s="204">
        <f t="shared" si="44"/>
        <v>0.98897521671479716</v>
      </c>
      <c r="CC38" s="63">
        <f t="shared" si="45"/>
        <v>949472.31545265159</v>
      </c>
      <c r="CD38" s="63">
        <f t="shared" si="46"/>
        <v>949472.31545265159</v>
      </c>
      <c r="CE38" s="63">
        <f t="shared" si="47"/>
        <v>949472.31545265159</v>
      </c>
      <c r="CF38" s="63">
        <f t="shared" si="48"/>
        <v>949472.31545265159</v>
      </c>
      <c r="CG38" s="63">
        <f t="shared" si="49"/>
        <v>949472.31545265159</v>
      </c>
      <c r="CH38" s="63">
        <f t="shared" si="50"/>
        <v>949472.31545265159</v>
      </c>
      <c r="CI38" s="63">
        <f t="shared" si="51"/>
        <v>949472.31545265159</v>
      </c>
      <c r="CJ38" s="63">
        <f t="shared" si="52"/>
        <v>949472.31545265159</v>
      </c>
      <c r="CK38" s="63">
        <f t="shared" si="53"/>
        <v>949472.31545265159</v>
      </c>
      <c r="CL38" s="63">
        <f t="shared" si="54"/>
        <v>0</v>
      </c>
      <c r="CM38" s="63">
        <f t="shared" si="55"/>
        <v>0</v>
      </c>
      <c r="CN38" s="63">
        <f t="shared" si="56"/>
        <v>0</v>
      </c>
      <c r="CO38" s="63">
        <f t="shared" si="57"/>
        <v>0</v>
      </c>
      <c r="CP38" s="63">
        <f t="shared" si="58"/>
        <v>0</v>
      </c>
      <c r="CQ38" s="63">
        <f t="shared" si="59"/>
        <v>0</v>
      </c>
      <c r="CR38" s="63">
        <f t="shared" si="60"/>
        <v>0</v>
      </c>
      <c r="CS38" s="63">
        <f t="shared" si="61"/>
        <v>0</v>
      </c>
      <c r="CT38" s="63">
        <f t="shared" si="62"/>
        <v>0</v>
      </c>
      <c r="CU38" s="63">
        <f t="shared" si="63"/>
        <v>0</v>
      </c>
      <c r="CV38" s="63">
        <f t="shared" si="64"/>
        <v>0</v>
      </c>
      <c r="CW38" s="63">
        <f t="shared" si="65"/>
        <v>-1000</v>
      </c>
      <c r="CY38" s="63">
        <f t="shared" si="100"/>
        <v>2453361.6836462105</v>
      </c>
      <c r="CZ38" s="63">
        <f t="shared" si="67"/>
        <v>658600.8516739672</v>
      </c>
      <c r="DA38" s="63">
        <f t="shared" si="101"/>
        <v>171236.22143523148</v>
      </c>
      <c r="DB38" s="63">
        <f t="shared" si="102"/>
        <v>72153.989229674626</v>
      </c>
      <c r="DC38" s="63">
        <f t="shared" si="94"/>
        <v>1033775.6288628526</v>
      </c>
      <c r="DD38" s="63">
        <f t="shared" si="70"/>
        <v>961621.63963317801</v>
      </c>
    </row>
    <row r="39" spans="2:108" x14ac:dyDescent="0.3">
      <c r="B39">
        <v>40</v>
      </c>
      <c r="C39">
        <v>37</v>
      </c>
      <c r="D39" s="63">
        <f t="shared" si="95"/>
        <v>1980236.9151694677</v>
      </c>
      <c r="E39" s="63">
        <f t="shared" si="24"/>
        <v>814062.96647539304</v>
      </c>
      <c r="F39" s="63">
        <f>SUM($AX$3:$AX39)</f>
        <v>1036304.7864979486</v>
      </c>
      <c r="G39" s="63">
        <f t="shared" si="72"/>
        <v>5499351.6361872628</v>
      </c>
      <c r="H39" s="63">
        <f t="shared" si="73"/>
        <v>2699771.2219408029</v>
      </c>
      <c r="I39" s="63">
        <f>( Table28[[#This Row],[Future value (Nominal)]]-Table28[[#This Row],[Tax (Nominal)]] ) -K39</f>
        <v>2699771.2219408029</v>
      </c>
      <c r="J39" s="63">
        <f t="shared" si="74"/>
        <v>2260748.9398624739</v>
      </c>
      <c r="K39" s="63">
        <f t="shared" si="2"/>
        <v>1884610.5867818329</v>
      </c>
      <c r="L39" s="63">
        <f t="shared" si="26"/>
        <v>914969.82746462664</v>
      </c>
      <c r="M39" s="63">
        <f t="shared" si="3"/>
        <v>376138.35308064101</v>
      </c>
      <c r="N39" s="63">
        <f t="shared" si="27"/>
        <v>3519114.7210177947</v>
      </c>
      <c r="O39" s="63">
        <f t="shared" si="75"/>
        <v>1070547.6203064397</v>
      </c>
      <c r="P39" s="147">
        <f t="shared" si="28"/>
        <v>0.47353671227385813</v>
      </c>
      <c r="Q39" s="145">
        <f t="shared" si="29"/>
        <v>1.0330432072239839</v>
      </c>
      <c r="R39" s="145">
        <f>Table28[[#This Row],[Net Capital gain(Real)]]/Table28[[#This Row],[Savings (Real, adj. per year)]]</f>
        <v>1.0330432072249807</v>
      </c>
      <c r="S39" s="63">
        <f t="shared" si="76"/>
        <v>1070547.6203064397</v>
      </c>
      <c r="T39" s="145">
        <f>IF(Table28[[#This Row],[+10% Net Gain/Savings (real, adj.)'']]&gt;0,Table28[[#This Row],[Real Capital gain/Savings (adj. per year)]],-0.000001)</f>
        <v>1.0330432072239839</v>
      </c>
      <c r="U39" s="208">
        <f>((Table28[[#This Row],[Net Present value (real)]]-Table28[[#This Row],[Savings* (real, full inflation* max year)]])) /Table28[[#This Row],[Savings* (real, full inflation* max year)]]</f>
        <v>1.3150673404804731</v>
      </c>
      <c r="V39" s="208">
        <f>IF(U38=0,0,IF(Table28[[#This Row],[Real Capital gain/Savings* (all inflation)]]&gt;ROUNDUP(U38,1),Table28[[#This Row],[Real Capital gain/Savings* (all inflation)]],0))</f>
        <v>1.3150673404804731</v>
      </c>
      <c r="W39" s="235">
        <f>IF(Table28[[#This Row],[Column1]]&gt;0,Table28[[#This Row],[Net Capital gain(Real)]],-1000)</f>
        <v>1070547.6203064397</v>
      </c>
      <c r="X39" s="63">
        <f>Table28[[#This Row],[Net Present value (real)]]-Table28[[#This Row],[Net Capital gain(Real)]]-Table28[[#This Row],[Savings* (real, full inflation* max year)]]</f>
        <v>0</v>
      </c>
      <c r="Y39" s="63">
        <f t="shared" si="96"/>
        <v>2717345.3407201138</v>
      </c>
      <c r="Z39" s="63">
        <f t="shared" si="31"/>
        <v>1038298.2453562262</v>
      </c>
      <c r="AA39" s="243">
        <f>((Table28[[#This Row],[Net Present value (real)]]-Table28[[#This Row],[Net deposit (real)]]))</f>
        <v>846312.34142560663</v>
      </c>
      <c r="AB39" s="241">
        <f>((Table28[[#This Row],[Net gain on deposit]] / Table28[[#This Row],[Net deposit (real)]]))</f>
        <v>0.81509560977371021</v>
      </c>
      <c r="AC39" s="241">
        <f>IF(AB38=0,0,IF(Table28[[#This Row],[Net gain on deposit/Deposit]]&gt;ROUNDUP(AB38,1),Table28[[#This Row],[Net gain on deposit/Deposit]],0))</f>
        <v>0.81509560977371021</v>
      </c>
      <c r="AD39" s="242">
        <f>IF(Table28[[#This Row],[Column13]]&gt;0,Table28[[#This Row],[Net gain on deposit]],-1000)</f>
        <v>846312.34142560663</v>
      </c>
      <c r="AU39">
        <v>37</v>
      </c>
      <c r="AV39" s="63">
        <f t="shared" si="77"/>
        <v>185476.08319722448</v>
      </c>
      <c r="AW39" s="112">
        <f t="shared" si="32"/>
        <v>185476.08319722448</v>
      </c>
      <c r="AX39" s="63">
        <f t="shared" si="78"/>
        <v>76248.053624860229</v>
      </c>
      <c r="AY39" s="194">
        <f t="shared" si="71"/>
        <v>1980236.9151694677</v>
      </c>
      <c r="AZ39" s="112">
        <f>SUM($AV$3:$AV39)</f>
        <v>1980236.9151694677</v>
      </c>
      <c r="BA39" s="63">
        <f t="shared" si="79"/>
        <v>814062.96647539304</v>
      </c>
      <c r="BB39" s="63">
        <f>SUM($AX$3:$AX39)</f>
        <v>1036304.7864979486</v>
      </c>
      <c r="BC39" s="63">
        <f t="shared" si="97"/>
        <v>4311209.4870855818</v>
      </c>
      <c r="BD39" s="114">
        <f t="shared" si="80"/>
        <v>3519114.7210177947</v>
      </c>
      <c r="BE39" s="72">
        <f t="shared" si="36"/>
        <v>792094.76606778707</v>
      </c>
      <c r="BF39" s="72">
        <f t="shared" si="81"/>
        <v>0</v>
      </c>
      <c r="BG39" s="63">
        <f t="shared" si="98"/>
        <v>0</v>
      </c>
      <c r="BH39" s="114">
        <f t="shared" si="82"/>
        <v>0</v>
      </c>
      <c r="BI39" s="63">
        <f t="shared" si="99"/>
        <v>1188142.1491016811</v>
      </c>
      <c r="BJ39" s="114">
        <f t="shared" si="83"/>
        <v>0</v>
      </c>
      <c r="BK39" s="119">
        <f t="shared" si="11"/>
        <v>5499351.6361872628</v>
      </c>
      <c r="BL39" s="126">
        <f t="shared" si="39"/>
        <v>3519114.7210177947</v>
      </c>
      <c r="BM39" s="120">
        <f t="shared" si="84"/>
        <v>2260748.9398624739</v>
      </c>
      <c r="BN39" s="113">
        <f t="shared" si="85"/>
        <v>1446685.9733870807</v>
      </c>
      <c r="BO39" s="63">
        <f t="shared" si="86"/>
        <v>1070547.6203064397</v>
      </c>
      <c r="BP39" s="63">
        <f t="shared" si="40"/>
        <v>376138.35308064101</v>
      </c>
      <c r="BQ39" s="63">
        <f t="shared" si="87"/>
        <v>0</v>
      </c>
      <c r="BR39" s="63">
        <f t="shared" si="88"/>
        <v>0</v>
      </c>
      <c r="BS39" s="63">
        <f t="shared" si="41"/>
        <v>0</v>
      </c>
      <c r="BT39" s="63">
        <f t="shared" si="89"/>
        <v>0</v>
      </c>
      <c r="BU39" s="63"/>
      <c r="BV39" s="63">
        <f t="shared" si="42"/>
        <v>914969.82746462664</v>
      </c>
      <c r="BW39" s="63">
        <f t="shared" si="90"/>
        <v>376138.35308064101</v>
      </c>
      <c r="BX39" s="113">
        <f t="shared" si="91"/>
        <v>4584381.8087226357</v>
      </c>
      <c r="BY39" s="63">
        <f t="shared" si="92"/>
        <v>1884610.5867818329</v>
      </c>
      <c r="BZ39" s="63">
        <f t="shared" si="43"/>
        <v>1884610.5867818329</v>
      </c>
      <c r="CA39" s="63">
        <f t="shared" si="93"/>
        <v>0</v>
      </c>
      <c r="CB39" s="204">
        <f t="shared" si="44"/>
        <v>1.0330432072239839</v>
      </c>
      <c r="CC39" s="63">
        <f t="shared" si="45"/>
        <v>1070547.6203064397</v>
      </c>
      <c r="CD39" s="63">
        <f t="shared" si="46"/>
        <v>1070547.6203064397</v>
      </c>
      <c r="CE39" s="63">
        <f t="shared" si="47"/>
        <v>1070547.6203064397</v>
      </c>
      <c r="CF39" s="63">
        <f t="shared" si="48"/>
        <v>1070547.6203064397</v>
      </c>
      <c r="CG39" s="63">
        <f t="shared" si="49"/>
        <v>1070547.6203064397</v>
      </c>
      <c r="CH39" s="63">
        <f t="shared" si="50"/>
        <v>1070547.6203064397</v>
      </c>
      <c r="CI39" s="63">
        <f t="shared" si="51"/>
        <v>1070547.6203064397</v>
      </c>
      <c r="CJ39" s="63">
        <f t="shared" si="52"/>
        <v>1070547.6203064397</v>
      </c>
      <c r="CK39" s="63">
        <f t="shared" si="53"/>
        <v>1070547.6203064397</v>
      </c>
      <c r="CL39" s="63">
        <f t="shared" si="54"/>
        <v>1070547.6203064397</v>
      </c>
      <c r="CM39" s="63">
        <f t="shared" si="55"/>
        <v>0</v>
      </c>
      <c r="CN39" s="63">
        <f t="shared" si="56"/>
        <v>0</v>
      </c>
      <c r="CO39" s="63">
        <f t="shared" si="57"/>
        <v>0</v>
      </c>
      <c r="CP39" s="63">
        <f t="shared" si="58"/>
        <v>0</v>
      </c>
      <c r="CQ39" s="63">
        <f t="shared" si="59"/>
        <v>0</v>
      </c>
      <c r="CR39" s="63">
        <f t="shared" si="60"/>
        <v>0</v>
      </c>
      <c r="CS39" s="63">
        <f t="shared" si="61"/>
        <v>0</v>
      </c>
      <c r="CT39" s="63">
        <f t="shared" si="62"/>
        <v>0</v>
      </c>
      <c r="CU39" s="63">
        <f t="shared" si="63"/>
        <v>0</v>
      </c>
      <c r="CV39" s="63">
        <f t="shared" si="64"/>
        <v>0</v>
      </c>
      <c r="CW39" s="63">
        <f t="shared" si="65"/>
        <v>1070547.6203064397</v>
      </c>
      <c r="CY39" s="63">
        <f t="shared" si="100"/>
        <v>2717345.3407201138</v>
      </c>
      <c r="CZ39" s="63">
        <f t="shared" si="67"/>
        <v>737108.42555064615</v>
      </c>
      <c r="DA39" s="63">
        <f t="shared" si="101"/>
        <v>191648.190643168</v>
      </c>
      <c r="DB39" s="63">
        <f t="shared" si="102"/>
        <v>78785.368255427878</v>
      </c>
      <c r="DC39" s="63">
        <f t="shared" si="94"/>
        <v>1117083.6136116541</v>
      </c>
      <c r="DD39" s="63">
        <f t="shared" si="70"/>
        <v>1038298.2453562262</v>
      </c>
    </row>
    <row r="40" spans="2:108" x14ac:dyDescent="0.3">
      <c r="B40">
        <v>40</v>
      </c>
      <c r="C40">
        <v>38</v>
      </c>
      <c r="D40" s="63">
        <f t="shared" si="95"/>
        <v>2184260.6066864147</v>
      </c>
      <c r="E40" s="63">
        <f t="shared" si="24"/>
        <v>876034.95167096541</v>
      </c>
      <c r="F40" s="63">
        <f>SUM($AX$3:$AX40)</f>
        <v>1118131.9659977986</v>
      </c>
      <c r="G40" s="63">
        <f t="shared" si="72"/>
        <v>6246587.7230769936</v>
      </c>
      <c r="H40" s="63">
        <f t="shared" si="73"/>
        <v>3108691.2207906065</v>
      </c>
      <c r="I40" s="63">
        <f>( Table28[[#This Row],[Future value (Nominal)]]-Table28[[#This Row],[Tax (Nominal)]] ) -K40</f>
        <v>3108691.2207906065</v>
      </c>
      <c r="J40" s="63">
        <f t="shared" si="74"/>
        <v>2505300.4926897101</v>
      </c>
      <c r="K40" s="63">
        <f t="shared" si="2"/>
        <v>2081691.4520248366</v>
      </c>
      <c r="L40" s="63">
        <f t="shared" si="26"/>
        <v>1056205.0502615504</v>
      </c>
      <c r="M40" s="63">
        <f t="shared" si="3"/>
        <v>423609.04066487355</v>
      </c>
      <c r="N40" s="63">
        <f t="shared" si="27"/>
        <v>4062327.1163905784</v>
      </c>
      <c r="O40" s="63">
        <f t="shared" si="75"/>
        <v>1205656.5003538709</v>
      </c>
      <c r="P40" s="147">
        <f t="shared" si="28"/>
        <v>0.48124227166512251</v>
      </c>
      <c r="Q40" s="145">
        <f t="shared" si="29"/>
        <v>1.078277463677455</v>
      </c>
      <c r="R40" s="145">
        <f>Table28[[#This Row],[Net Capital gain(Real)]]/Table28[[#This Row],[Savings (Real, adj. per year)]]</f>
        <v>1.0782774636784194</v>
      </c>
      <c r="S40" s="63">
        <f t="shared" si="76"/>
        <v>-1000</v>
      </c>
      <c r="T40" s="145">
        <f>IF(Table28[[#This Row],[+10% Net Gain/Savings (real, adj.)'']]&gt;0,Table28[[#This Row],[Real Capital gain/Savings (adj. per year)]],-0.000001)</f>
        <v>-9.9999999999999995E-7</v>
      </c>
      <c r="U40" s="208">
        <f>((Table28[[#This Row],[Net Present value (real)]]-Table28[[#This Row],[Savings* (real, full inflation* max year)]])) /Table28[[#This Row],[Savings* (real, full inflation* max year)]]</f>
        <v>1.3762652940435531</v>
      </c>
      <c r="V40" s="208">
        <f>IF(U39=0,0,IF(Table28[[#This Row],[Real Capital gain/Savings* (all inflation)]]&gt;ROUNDUP(U39,1),Table28[[#This Row],[Real Capital gain/Savings* (all inflation)]],0))</f>
        <v>0</v>
      </c>
      <c r="W40" s="235">
        <f>IF(Table28[[#This Row],[Column1]]&gt;0,Table28[[#This Row],[Net Capital gain(Real)]],-1000)</f>
        <v>-1000</v>
      </c>
      <c r="X40" s="63">
        <f>Table28[[#This Row],[Net Present value (real)]]-Table28[[#This Row],[Net Capital gain(Real)]]-Table28[[#This Row],[Savings* (real, full inflation* max year)]]</f>
        <v>0</v>
      </c>
      <c r="Y40" s="63">
        <f t="shared" si="96"/>
        <v>3008324.0831401045</v>
      </c>
      <c r="Z40" s="63">
        <f t="shared" si="31"/>
        <v>1120608.4334769726</v>
      </c>
      <c r="AA40" s="243">
        <f>((Table28[[#This Row],[Net Present value (real)]]-Table28[[#This Row],[Net deposit (real)]]))</f>
        <v>961083.01854786393</v>
      </c>
      <c r="AB40" s="241">
        <f>((Table28[[#This Row],[Net gain on deposit]] / Table28[[#This Row],[Net deposit (real)]]))</f>
        <v>0.8576439279203526</v>
      </c>
      <c r="AC40" s="241">
        <f>IF(AB39=0,0,IF(Table28[[#This Row],[Net gain on deposit/Deposit]]&gt;ROUNDUP(AB39,1),Table28[[#This Row],[Net gain on deposit/Deposit]],0))</f>
        <v>0</v>
      </c>
      <c r="AD40" s="242">
        <f>IF(Table28[[#This Row],[Column13]]&gt;0,Table28[[#This Row],[Net gain on deposit]],-1000)</f>
        <v>-1000</v>
      </c>
      <c r="AU40">
        <v>38</v>
      </c>
      <c r="AV40" s="63">
        <f t="shared" si="77"/>
        <v>204023.69151694694</v>
      </c>
      <c r="AW40" s="112">
        <f t="shared" si="32"/>
        <v>204023.69151694694</v>
      </c>
      <c r="AX40" s="63">
        <f t="shared" si="78"/>
        <v>81827.179499850026</v>
      </c>
      <c r="AY40" s="194">
        <f t="shared" si="71"/>
        <v>2184260.6066864147</v>
      </c>
      <c r="AZ40" s="112">
        <f>SUM($AV$3:$AV40)</f>
        <v>2184260.6066864147</v>
      </c>
      <c r="BA40" s="63">
        <f t="shared" si="79"/>
        <v>876034.95167096541</v>
      </c>
      <c r="BB40" s="63">
        <f>SUM($AX$3:$AX40)</f>
        <v>1118131.9659977986</v>
      </c>
      <c r="BC40" s="63">
        <f t="shared" si="97"/>
        <v>4936031.3590651443</v>
      </c>
      <c r="BD40" s="114">
        <f t="shared" si="80"/>
        <v>4062327.1163905784</v>
      </c>
      <c r="BE40" s="72">
        <f t="shared" si="36"/>
        <v>873704.24267456587</v>
      </c>
      <c r="BF40" s="72">
        <f t="shared" si="81"/>
        <v>0</v>
      </c>
      <c r="BG40" s="63">
        <f t="shared" si="98"/>
        <v>0</v>
      </c>
      <c r="BH40" s="114">
        <f t="shared" si="82"/>
        <v>0</v>
      </c>
      <c r="BI40" s="63">
        <f t="shared" si="99"/>
        <v>1310556.3640118493</v>
      </c>
      <c r="BJ40" s="114">
        <f t="shared" si="83"/>
        <v>0</v>
      </c>
      <c r="BK40" s="119">
        <f t="shared" si="11"/>
        <v>6246587.7230769936</v>
      </c>
      <c r="BL40" s="126">
        <f t="shared" si="39"/>
        <v>4062327.1163905784</v>
      </c>
      <c r="BM40" s="120">
        <f t="shared" si="84"/>
        <v>2505300.4926897101</v>
      </c>
      <c r="BN40" s="113">
        <f t="shared" si="85"/>
        <v>1629265.5410187445</v>
      </c>
      <c r="BO40" s="63">
        <f t="shared" si="86"/>
        <v>1205656.5003538709</v>
      </c>
      <c r="BP40" s="63">
        <f t="shared" si="40"/>
        <v>423609.04066487378</v>
      </c>
      <c r="BQ40" s="63">
        <f t="shared" si="87"/>
        <v>0</v>
      </c>
      <c r="BR40" s="63">
        <f t="shared" si="88"/>
        <v>0</v>
      </c>
      <c r="BS40" s="63">
        <f t="shared" si="41"/>
        <v>0</v>
      </c>
      <c r="BT40" s="63">
        <f t="shared" si="89"/>
        <v>0</v>
      </c>
      <c r="BU40" s="63"/>
      <c r="BV40" s="63">
        <f t="shared" si="42"/>
        <v>1056205.0502615504</v>
      </c>
      <c r="BW40" s="63">
        <f t="shared" si="90"/>
        <v>423609.04066487355</v>
      </c>
      <c r="BX40" s="113">
        <f t="shared" si="91"/>
        <v>5190382.672815443</v>
      </c>
      <c r="BY40" s="63">
        <f t="shared" si="92"/>
        <v>2081691.4520248366</v>
      </c>
      <c r="BZ40" s="63">
        <f t="shared" si="43"/>
        <v>2081691.4520248366</v>
      </c>
      <c r="CA40" s="63">
        <f t="shared" si="93"/>
        <v>0</v>
      </c>
      <c r="CB40" s="204">
        <f t="shared" si="44"/>
        <v>1.078277463677455</v>
      </c>
      <c r="CC40" s="63">
        <f t="shared" si="45"/>
        <v>1205656.5003538709</v>
      </c>
      <c r="CD40" s="63">
        <f t="shared" si="46"/>
        <v>1205656.5003538709</v>
      </c>
      <c r="CE40" s="63">
        <f t="shared" si="47"/>
        <v>1205656.5003538709</v>
      </c>
      <c r="CF40" s="63">
        <f t="shared" si="48"/>
        <v>1205656.5003538709</v>
      </c>
      <c r="CG40" s="63">
        <f t="shared" si="49"/>
        <v>1205656.5003538709</v>
      </c>
      <c r="CH40" s="63">
        <f t="shared" si="50"/>
        <v>1205656.5003538709</v>
      </c>
      <c r="CI40" s="63">
        <f t="shared" si="51"/>
        <v>1205656.5003538709</v>
      </c>
      <c r="CJ40" s="63">
        <f t="shared" si="52"/>
        <v>1205656.5003538709</v>
      </c>
      <c r="CK40" s="63">
        <f t="shared" si="53"/>
        <v>1205656.5003538709</v>
      </c>
      <c r="CL40" s="63">
        <f t="shared" si="54"/>
        <v>1205656.5003538709</v>
      </c>
      <c r="CM40" s="63">
        <f t="shared" si="55"/>
        <v>0</v>
      </c>
      <c r="CN40" s="63">
        <f t="shared" si="56"/>
        <v>0</v>
      </c>
      <c r="CO40" s="63">
        <f t="shared" si="57"/>
        <v>0</v>
      </c>
      <c r="CP40" s="63">
        <f t="shared" si="58"/>
        <v>0</v>
      </c>
      <c r="CQ40" s="63">
        <f t="shared" si="59"/>
        <v>0</v>
      </c>
      <c r="CR40" s="63">
        <f t="shared" si="60"/>
        <v>0</v>
      </c>
      <c r="CS40" s="63">
        <f t="shared" si="61"/>
        <v>0</v>
      </c>
      <c r="CT40" s="63">
        <f t="shared" si="62"/>
        <v>0</v>
      </c>
      <c r="CU40" s="63">
        <f t="shared" si="63"/>
        <v>0</v>
      </c>
      <c r="CV40" s="63">
        <f t="shared" si="64"/>
        <v>0</v>
      </c>
      <c r="CW40" s="63">
        <f t="shared" si="65"/>
        <v>-1000</v>
      </c>
      <c r="CY40" s="63">
        <f t="shared" si="100"/>
        <v>3008324.0831401045</v>
      </c>
      <c r="CZ40" s="63">
        <f t="shared" si="67"/>
        <v>824063.47645368986</v>
      </c>
      <c r="DA40" s="63">
        <f t="shared" si="101"/>
        <v>214256.50387795936</v>
      </c>
      <c r="DB40" s="63">
        <f t="shared" si="102"/>
        <v>85931.223337245727</v>
      </c>
      <c r="DC40" s="63">
        <f t="shared" si="94"/>
        <v>1206539.6568142183</v>
      </c>
      <c r="DD40" s="63">
        <f t="shared" si="70"/>
        <v>1120608.4334769726</v>
      </c>
    </row>
    <row r="41" spans="2:108" x14ac:dyDescent="0.3">
      <c r="B41">
        <v>40</v>
      </c>
      <c r="C41">
        <v>39</v>
      </c>
      <c r="D41" s="63">
        <f t="shared" si="95"/>
        <v>2408686.6673550564</v>
      </c>
      <c r="E41" s="63">
        <f t="shared" si="24"/>
        <v>942482.77963004948</v>
      </c>
      <c r="F41" s="63">
        <f>SUM($AX$3:$AX41)</f>
        <v>1205946.5000951986</v>
      </c>
      <c r="G41" s="63">
        <f t="shared" si="72"/>
        <v>7092953.7349878438</v>
      </c>
      <c r="H41" s="63">
        <f t="shared" si="73"/>
        <v>3576228.0358649967</v>
      </c>
      <c r="I41" s="63">
        <f>( Table28[[#This Row],[Future value (Nominal)]]-Table28[[#This Row],[Tax (Nominal)]] ) -K41</f>
        <v>3576228.0358649967</v>
      </c>
      <c r="J41" s="63">
        <f t="shared" si="74"/>
        <v>2775365.8632898773</v>
      </c>
      <c r="K41" s="63">
        <f t="shared" si="2"/>
        <v>2298816.2615383221</v>
      </c>
      <c r="L41" s="63">
        <f t="shared" si="26"/>
        <v>1217909.4375845247</v>
      </c>
      <c r="M41" s="63">
        <f t="shared" si="3"/>
        <v>476549.60175155528</v>
      </c>
      <c r="N41" s="63">
        <f t="shared" si="27"/>
        <v>4684267.0676327869</v>
      </c>
      <c r="O41" s="63">
        <f t="shared" si="75"/>
        <v>1356333.4819082725</v>
      </c>
      <c r="P41" s="147">
        <f t="shared" si="28"/>
        <v>0.48870439022105167</v>
      </c>
      <c r="Q41" s="145">
        <f t="shared" si="29"/>
        <v>1.1247045219668348</v>
      </c>
      <c r="R41" s="145">
        <f>Table28[[#This Row],[Net Capital gain(Real)]]/Table28[[#This Row],[Savings (Real, adj. per year)]]</f>
        <v>1.1247045219677674</v>
      </c>
      <c r="S41" s="63">
        <f t="shared" si="76"/>
        <v>-1000</v>
      </c>
      <c r="T41" s="145">
        <f>IF(Table28[[#This Row],[+10% Net Gain/Savings (real, adj.)'']]&gt;0,Table28[[#This Row],[Real Capital gain/Savings (adj. per year)]],-0.000001)</f>
        <v>-9.9999999999999995E-7</v>
      </c>
      <c r="U41" s="208">
        <f>((Table28[[#This Row],[Net Present value (real)]]-Table28[[#This Row],[Savings* (real, full inflation* max year)]])) /Table28[[#This Row],[Savings* (real, full inflation* max year)]]</f>
        <v>1.4391069112590797</v>
      </c>
      <c r="V41" s="208">
        <f>IF(U40=0,0,IF(Table28[[#This Row],[Real Capital gain/Savings* (all inflation)]]&gt;ROUNDUP(U40,1),Table28[[#This Row],[Real Capital gain/Savings* (all inflation)]],0))</f>
        <v>1.4391069112590797</v>
      </c>
      <c r="W41" s="235">
        <f>IF(Table28[[#This Row],[Column1]]&gt;0,Table28[[#This Row],[Net Capital gain(Real)]],-1000)</f>
        <v>1356333.4819082725</v>
      </c>
      <c r="X41" s="63">
        <f>Table28[[#This Row],[Net Present value (real)]]-Table28[[#This Row],[Net Capital gain(Real)]]-Table28[[#This Row],[Savings* (real, full inflation* max year)]]</f>
        <v>0</v>
      </c>
      <c r="Y41" s="63">
        <f t="shared" si="96"/>
        <v>3329016.5144692296</v>
      </c>
      <c r="Z41" s="63">
        <f t="shared" si="31"/>
        <v>1208965.0634147986</v>
      </c>
      <c r="AA41" s="243">
        <f>((Table28[[#This Row],[Net Present value (real)]]-Table28[[#This Row],[Net deposit (real)]]))</f>
        <v>1089851.1981235235</v>
      </c>
      <c r="AB41" s="241">
        <f>((Table28[[#This Row],[Net gain on deposit]] / Table28[[#This Row],[Net deposit (real)]]))</f>
        <v>0.90147451825048575</v>
      </c>
      <c r="AC41" s="241">
        <f>IF(AB40=0,0,IF(Table28[[#This Row],[Net gain on deposit/Deposit]]&gt;ROUNDUP(AB40,1),Table28[[#This Row],[Net gain on deposit/Deposit]],0))</f>
        <v>0.90147451825048575</v>
      </c>
      <c r="AD41" s="242">
        <f>IF(Table28[[#This Row],[Column13]]&gt;0,Table28[[#This Row],[Net gain on deposit]],-1000)</f>
        <v>1089851.1981235235</v>
      </c>
      <c r="AU41">
        <v>39</v>
      </c>
      <c r="AV41" s="63">
        <f t="shared" si="77"/>
        <v>224426.0606686417</v>
      </c>
      <c r="AW41" s="112">
        <f t="shared" si="32"/>
        <v>224426.0606686417</v>
      </c>
      <c r="AX41" s="63">
        <f t="shared" si="78"/>
        <v>87814.534097400072</v>
      </c>
      <c r="AY41" s="194">
        <f t="shared" si="71"/>
        <v>2408686.6673550564</v>
      </c>
      <c r="AZ41" s="112">
        <f>SUM($AV$3:$AV41)</f>
        <v>2408686.6673550564</v>
      </c>
      <c r="BA41" s="63">
        <f t="shared" si="79"/>
        <v>942482.77963004948</v>
      </c>
      <c r="BB41" s="63">
        <f>SUM($AX$3:$AX41)</f>
        <v>1205946.5000951986</v>
      </c>
      <c r="BC41" s="63">
        <f t="shared" si="97"/>
        <v>5647741.7345748097</v>
      </c>
      <c r="BD41" s="114">
        <f t="shared" si="80"/>
        <v>4684267.0676327869</v>
      </c>
      <c r="BE41" s="72">
        <f t="shared" si="36"/>
        <v>963474.66694202274</v>
      </c>
      <c r="BF41" s="72">
        <f t="shared" si="81"/>
        <v>0</v>
      </c>
      <c r="BG41" s="63">
        <f t="shared" si="98"/>
        <v>0</v>
      </c>
      <c r="BH41" s="114">
        <f t="shared" si="82"/>
        <v>0</v>
      </c>
      <c r="BI41" s="63">
        <f t="shared" si="99"/>
        <v>1445212.0004130343</v>
      </c>
      <c r="BJ41" s="114">
        <f t="shared" si="83"/>
        <v>0</v>
      </c>
      <c r="BK41" s="119">
        <f t="shared" si="11"/>
        <v>7092953.7349878438</v>
      </c>
      <c r="BL41" s="126">
        <f t="shared" si="39"/>
        <v>4684267.0676327869</v>
      </c>
      <c r="BM41" s="120">
        <f t="shared" si="84"/>
        <v>2775365.8632898773</v>
      </c>
      <c r="BN41" s="113">
        <f t="shared" si="85"/>
        <v>1832883.0836598279</v>
      </c>
      <c r="BO41" s="63">
        <f t="shared" si="86"/>
        <v>1356333.4819082725</v>
      </c>
      <c r="BP41" s="63">
        <f t="shared" si="40"/>
        <v>476549.60175155522</v>
      </c>
      <c r="BQ41" s="63">
        <f t="shared" si="87"/>
        <v>0</v>
      </c>
      <c r="BR41" s="63">
        <f t="shared" si="88"/>
        <v>0</v>
      </c>
      <c r="BS41" s="63">
        <f t="shared" si="41"/>
        <v>0</v>
      </c>
      <c r="BT41" s="63">
        <f t="shared" si="89"/>
        <v>0</v>
      </c>
      <c r="BU41" s="63"/>
      <c r="BV41" s="63">
        <f t="shared" si="42"/>
        <v>1217909.4375845247</v>
      </c>
      <c r="BW41" s="63">
        <f t="shared" si="90"/>
        <v>476549.60175155528</v>
      </c>
      <c r="BX41" s="113">
        <f t="shared" si="91"/>
        <v>5875044.2974033188</v>
      </c>
      <c r="BY41" s="63">
        <f t="shared" si="92"/>
        <v>2298816.2615383221</v>
      </c>
      <c r="BZ41" s="63">
        <f t="shared" si="43"/>
        <v>2298816.2615383221</v>
      </c>
      <c r="CA41" s="63">
        <f t="shared" si="93"/>
        <v>0</v>
      </c>
      <c r="CB41" s="204">
        <f t="shared" si="44"/>
        <v>1.1247045219668348</v>
      </c>
      <c r="CC41" s="63">
        <f t="shared" si="45"/>
        <v>1356333.4819082725</v>
      </c>
      <c r="CD41" s="63">
        <f t="shared" si="46"/>
        <v>1356333.4819082725</v>
      </c>
      <c r="CE41" s="63">
        <f t="shared" si="47"/>
        <v>1356333.4819082725</v>
      </c>
      <c r="CF41" s="63">
        <f t="shared" si="48"/>
        <v>1356333.4819082725</v>
      </c>
      <c r="CG41" s="63">
        <f t="shared" si="49"/>
        <v>1356333.4819082725</v>
      </c>
      <c r="CH41" s="63">
        <f t="shared" si="50"/>
        <v>1356333.4819082725</v>
      </c>
      <c r="CI41" s="63">
        <f t="shared" si="51"/>
        <v>1356333.4819082725</v>
      </c>
      <c r="CJ41" s="63">
        <f t="shared" si="52"/>
        <v>1356333.4819082725</v>
      </c>
      <c r="CK41" s="63">
        <f t="shared" si="53"/>
        <v>1356333.4819082725</v>
      </c>
      <c r="CL41" s="63">
        <f t="shared" si="54"/>
        <v>1356333.4819082725</v>
      </c>
      <c r="CM41" s="63">
        <f t="shared" si="55"/>
        <v>0</v>
      </c>
      <c r="CN41" s="63">
        <f t="shared" si="56"/>
        <v>0</v>
      </c>
      <c r="CO41" s="63">
        <f t="shared" si="57"/>
        <v>0</v>
      </c>
      <c r="CP41" s="63">
        <f t="shared" si="58"/>
        <v>0</v>
      </c>
      <c r="CQ41" s="63">
        <f t="shared" si="59"/>
        <v>0</v>
      </c>
      <c r="CR41" s="63">
        <f t="shared" si="60"/>
        <v>0</v>
      </c>
      <c r="CS41" s="63">
        <f t="shared" si="61"/>
        <v>0</v>
      </c>
      <c r="CT41" s="63">
        <f t="shared" si="62"/>
        <v>0</v>
      </c>
      <c r="CU41" s="63">
        <f t="shared" si="63"/>
        <v>0</v>
      </c>
      <c r="CV41" s="63">
        <f t="shared" si="64"/>
        <v>0</v>
      </c>
      <c r="CW41" s="63">
        <f t="shared" si="65"/>
        <v>-1000</v>
      </c>
      <c r="CY41" s="63">
        <f t="shared" si="100"/>
        <v>3329016.5144692296</v>
      </c>
      <c r="CZ41" s="63">
        <f t="shared" si="67"/>
        <v>920329.84711417323</v>
      </c>
      <c r="DA41" s="63">
        <f t="shared" si="101"/>
        <v>239285.76024968506</v>
      </c>
      <c r="DB41" s="63">
        <f t="shared" si="102"/>
        <v>93628.910518965902</v>
      </c>
      <c r="DC41" s="63">
        <f t="shared" si="94"/>
        <v>1302593.9739337645</v>
      </c>
      <c r="DD41" s="63">
        <f t="shared" si="70"/>
        <v>1208965.0634147986</v>
      </c>
    </row>
    <row r="42" spans="2:108" x14ac:dyDescent="0.3">
      <c r="B42">
        <v>40</v>
      </c>
      <c r="C42">
        <v>40</v>
      </c>
      <c r="D42" s="63">
        <f t="shared" si="95"/>
        <v>2655555.3340905621</v>
      </c>
      <c r="E42" s="63">
        <f t="shared" si="24"/>
        <v>1013735.3825728676</v>
      </c>
      <c r="F42" s="63">
        <f>SUM($AX$3:$AX42)</f>
        <v>1300186.4879070425</v>
      </c>
      <c r="G42" s="63">
        <f t="shared" si="72"/>
        <v>8051437.8602797762</v>
      </c>
      <c r="H42" s="63">
        <f t="shared" si="73"/>
        <v>4110497.568821813</v>
      </c>
      <c r="I42" s="63">
        <f>( Table28[[#This Row],[Future value (Nominal)]]-Table28[[#This Row],[Tax (Nominal)]] ) -K42</f>
        <v>4110497.568821813</v>
      </c>
      <c r="J42" s="63">
        <f t="shared" si="74"/>
        <v>3073567.0745673268</v>
      </c>
      <c r="K42" s="63">
        <f t="shared" si="2"/>
        <v>2538010.8346487675</v>
      </c>
      <c r="L42" s="63">
        <f t="shared" si="26"/>
        <v>1402929.4568091957</v>
      </c>
      <c r="M42" s="63">
        <f t="shared" si="3"/>
        <v>535556.23991855944</v>
      </c>
      <c r="N42" s="63">
        <f t="shared" si="27"/>
        <v>5395882.5261892136</v>
      </c>
      <c r="O42" s="63">
        <f t="shared" si="75"/>
        <v>1524275.4520758998</v>
      </c>
      <c r="P42" s="147">
        <f t="shared" si="28"/>
        <v>0.4959304336121842</v>
      </c>
      <c r="Q42" s="145">
        <f t="shared" si="29"/>
        <v>1.1723514020887951</v>
      </c>
      <c r="R42" s="145">
        <f>Table28[[#This Row],[Net Capital gain(Real)]]/Table28[[#This Row],[Savings (Real, adj. per year)]]</f>
        <v>1.1723514020896968</v>
      </c>
      <c r="S42" s="63">
        <f t="shared" si="76"/>
        <v>-1000</v>
      </c>
      <c r="T42" s="145">
        <f>IF(Table28[[#This Row],[+10% Net Gain/Savings (real, adj.)'']]&gt;0,Table28[[#This Row],[Real Capital gain/Savings (adj. per year)]],-0.000001)</f>
        <v>-9.9999999999999995E-7</v>
      </c>
      <c r="U42" s="208">
        <f>((Table28[[#This Row],[Net Present value (real)]]-Table28[[#This Row],[Savings* (real, full inflation* max year)]])) /Table28[[#This Row],[Savings* (real, full inflation* max year)]]</f>
        <v>1.5036226201430183</v>
      </c>
      <c r="V42" s="208">
        <f>IF(U41=0,0,IF(Table28[[#This Row],[Real Capital gain/Savings* (all inflation)]]&gt;ROUNDUP(U41,1),Table28[[#This Row],[Real Capital gain/Savings* (all inflation)]],0))</f>
        <v>1.5036226201430183</v>
      </c>
      <c r="W42" s="235">
        <f>IF(Table28[[#This Row],[Column1]]&gt;0,Table28[[#This Row],[Net Capital gain(Real)]],-1000)</f>
        <v>1524275.4520758998</v>
      </c>
      <c r="X42" s="63">
        <f>Table28[[#This Row],[Net Present value (real)]]-Table28[[#This Row],[Net Capital gain(Real)]]-Table28[[#This Row],[Savings* (real, full inflation* max year)]]</f>
        <v>0</v>
      </c>
      <c r="Y42" s="63">
        <f t="shared" si="96"/>
        <v>3682413.7096677506</v>
      </c>
      <c r="Z42" s="63">
        <f t="shared" si="31"/>
        <v>1303811.1963167707</v>
      </c>
      <c r="AA42" s="243">
        <f>((Table28[[#This Row],[Net Present value (real)]]-Table28[[#This Row],[Net deposit (real)]]))</f>
        <v>1234199.6383319967</v>
      </c>
      <c r="AB42" s="241">
        <f>((Table28[[#This Row],[Net gain on deposit]] / Table28[[#This Row],[Net deposit (real)]]))</f>
        <v>0.94660917302948111</v>
      </c>
      <c r="AC42" s="241">
        <f>IF(AB41=0,0,IF(Table28[[#This Row],[Net gain on deposit/Deposit]]&gt;ROUNDUP(AB41,1),Table28[[#This Row],[Net gain on deposit/Deposit]],0))</f>
        <v>0</v>
      </c>
      <c r="AD42" s="242">
        <f>IF(Table28[[#This Row],[Column13]]&gt;0,Table28[[#This Row],[Net gain on deposit]],-1000)</f>
        <v>-1000</v>
      </c>
      <c r="AU42">
        <v>40</v>
      </c>
      <c r="AV42" s="63">
        <f t="shared" si="77"/>
        <v>246868.66673550589</v>
      </c>
      <c r="AW42" s="112">
        <f t="shared" si="32"/>
        <v>246868.66673550589</v>
      </c>
      <c r="AX42" s="63">
        <f t="shared" si="78"/>
        <v>94239.987811843966</v>
      </c>
      <c r="AY42" s="194">
        <f t="shared" si="71"/>
        <v>2655555.3340905621</v>
      </c>
      <c r="AZ42" s="112">
        <f>SUM($AV$3:$AV42)</f>
        <v>2655555.3340905621</v>
      </c>
      <c r="BA42" s="63">
        <f t="shared" si="79"/>
        <v>1013735.3825728676</v>
      </c>
      <c r="BB42" s="63">
        <f>SUM($AX$3:$AX42)</f>
        <v>1300186.4879070425</v>
      </c>
      <c r="BC42" s="63">
        <f t="shared" si="97"/>
        <v>6458104.6598254386</v>
      </c>
      <c r="BD42" s="114">
        <f t="shared" si="80"/>
        <v>5395882.5261892136</v>
      </c>
      <c r="BE42" s="72">
        <f t="shared" si="36"/>
        <v>1062222.133636225</v>
      </c>
      <c r="BF42" s="72">
        <f t="shared" si="81"/>
        <v>0</v>
      </c>
      <c r="BG42" s="63">
        <f t="shared" si="98"/>
        <v>0</v>
      </c>
      <c r="BH42" s="114">
        <f t="shared" si="82"/>
        <v>0</v>
      </c>
      <c r="BI42" s="63">
        <f t="shared" si="99"/>
        <v>1593333.200454338</v>
      </c>
      <c r="BJ42" s="114">
        <f t="shared" si="83"/>
        <v>0</v>
      </c>
      <c r="BK42" s="119">
        <f t="shared" si="11"/>
        <v>8051437.8602797762</v>
      </c>
      <c r="BL42" s="126">
        <f t="shared" si="39"/>
        <v>5395882.5261892136</v>
      </c>
      <c r="BM42" s="120">
        <f t="shared" si="84"/>
        <v>3073567.0745673268</v>
      </c>
      <c r="BN42" s="113">
        <f t="shared" si="85"/>
        <v>2059831.6919944591</v>
      </c>
      <c r="BO42" s="63">
        <f t="shared" si="86"/>
        <v>1524275.4520758998</v>
      </c>
      <c r="BP42" s="63">
        <f t="shared" si="40"/>
        <v>535556.23991855932</v>
      </c>
      <c r="BQ42" s="63">
        <f t="shared" si="87"/>
        <v>0</v>
      </c>
      <c r="BR42" s="63">
        <f t="shared" si="88"/>
        <v>0</v>
      </c>
      <c r="BS42" s="63">
        <f t="shared" si="41"/>
        <v>0</v>
      </c>
      <c r="BT42" s="63">
        <f t="shared" si="89"/>
        <v>0</v>
      </c>
      <c r="BU42" s="63"/>
      <c r="BV42" s="63">
        <f t="shared" si="42"/>
        <v>1402929.4568091957</v>
      </c>
      <c r="BW42" s="63">
        <f t="shared" si="90"/>
        <v>535556.23991855944</v>
      </c>
      <c r="BX42" s="113">
        <f t="shared" si="91"/>
        <v>6648508.4034705805</v>
      </c>
      <c r="BY42" s="63">
        <f t="shared" si="92"/>
        <v>2538010.8346487675</v>
      </c>
      <c r="BZ42" s="63">
        <f t="shared" si="43"/>
        <v>2538010.8346487675</v>
      </c>
      <c r="CA42" s="63">
        <f t="shared" si="93"/>
        <v>0</v>
      </c>
      <c r="CB42" s="204">
        <f t="shared" si="44"/>
        <v>1.1723514020887951</v>
      </c>
      <c r="CC42" s="63">
        <f t="shared" si="45"/>
        <v>1524275.4520758998</v>
      </c>
      <c r="CD42" s="63">
        <f t="shared" si="46"/>
        <v>1524275.4520758998</v>
      </c>
      <c r="CE42" s="63">
        <f t="shared" si="47"/>
        <v>1524275.4520758998</v>
      </c>
      <c r="CF42" s="63">
        <f t="shared" si="48"/>
        <v>1524275.4520758998</v>
      </c>
      <c r="CG42" s="63">
        <f t="shared" si="49"/>
        <v>1524275.4520758998</v>
      </c>
      <c r="CH42" s="63">
        <f t="shared" si="50"/>
        <v>1524275.4520758998</v>
      </c>
      <c r="CI42" s="63">
        <f t="shared" si="51"/>
        <v>1524275.4520758998</v>
      </c>
      <c r="CJ42" s="63">
        <f t="shared" si="52"/>
        <v>1524275.4520758998</v>
      </c>
      <c r="CK42" s="63">
        <f t="shared" si="53"/>
        <v>1524275.4520758998</v>
      </c>
      <c r="CL42" s="63">
        <f t="shared" si="54"/>
        <v>1524275.4520758998</v>
      </c>
      <c r="CM42" s="63">
        <f t="shared" si="55"/>
        <v>0</v>
      </c>
      <c r="CN42" s="63">
        <f t="shared" si="56"/>
        <v>0</v>
      </c>
      <c r="CO42" s="63">
        <f t="shared" si="57"/>
        <v>0</v>
      </c>
      <c r="CP42" s="63">
        <f t="shared" si="58"/>
        <v>0</v>
      </c>
      <c r="CQ42" s="63">
        <f t="shared" si="59"/>
        <v>0</v>
      </c>
      <c r="CR42" s="63">
        <f t="shared" si="60"/>
        <v>0</v>
      </c>
      <c r="CS42" s="63">
        <f t="shared" si="61"/>
        <v>0</v>
      </c>
      <c r="CT42" s="63">
        <f t="shared" si="62"/>
        <v>0</v>
      </c>
      <c r="CU42" s="63">
        <f t="shared" si="63"/>
        <v>0</v>
      </c>
      <c r="CV42" s="63">
        <f t="shared" si="64"/>
        <v>0</v>
      </c>
      <c r="CW42" s="63">
        <f t="shared" si="65"/>
        <v>-1000</v>
      </c>
      <c r="CY42" s="63">
        <f t="shared" si="100"/>
        <v>3682413.7096677506</v>
      </c>
      <c r="CZ42" s="63">
        <f t="shared" si="67"/>
        <v>1026858.3755771886</v>
      </c>
      <c r="DA42" s="63">
        <f t="shared" si="101"/>
        <v>266983.17765006906</v>
      </c>
      <c r="DB42" s="63">
        <f t="shared" si="102"/>
        <v>101918.52915326323</v>
      </c>
      <c r="DC42" s="63">
        <f t="shared" si="94"/>
        <v>1405729.7254700339</v>
      </c>
      <c r="DD42" s="63">
        <f t="shared" si="70"/>
        <v>1303811.1963167707</v>
      </c>
    </row>
    <row r="43" spans="2:108" x14ac:dyDescent="0.3">
      <c r="B43">
        <v>50</v>
      </c>
      <c r="C43">
        <v>41</v>
      </c>
      <c r="D43" s="63">
        <f t="shared" si="95"/>
        <v>2927110.8674996183</v>
      </c>
      <c r="E43" s="63">
        <f t="shared" si="24"/>
        <v>1090145.7260155084</v>
      </c>
      <c r="F43" s="63">
        <f>SUM($AX$3:$AX43)</f>
        <v>1401322.0845831677</v>
      </c>
      <c r="G43" s="63">
        <f t="shared" si="72"/>
        <v>9136714.5808268394</v>
      </c>
      <c r="H43" s="63">
        <f t="shared" si="73"/>
        <v>4720713.4172819592</v>
      </c>
      <c r="I43" s="63">
        <f>( Table28[[#This Row],[Future value (Nominal)]]-Table28[[#This Row],[Tax (Nominal)]] ) -K43</f>
        <v>4720713.4172819592</v>
      </c>
      <c r="J43" s="63">
        <f t="shared" si="74"/>
        <v>3402792.3098861761</v>
      </c>
      <c r="K43" s="63">
        <f t="shared" si="2"/>
        <v>2801504.1980798026</v>
      </c>
      <c r="L43" s="63">
        <f t="shared" si="26"/>
        <v>1614496.9654650772</v>
      </c>
      <c r="M43" s="63">
        <f t="shared" si="3"/>
        <v>601288.11180637358</v>
      </c>
      <c r="N43" s="63">
        <f t="shared" si="27"/>
        <v>6209603.7133272197</v>
      </c>
      <c r="O43" s="63">
        <f t="shared" si="75"/>
        <v>1711358.4720642939</v>
      </c>
      <c r="P43" s="147">
        <f t="shared" si="28"/>
        <v>0.50292768884012384</v>
      </c>
      <c r="Q43" s="145">
        <f t="shared" si="29"/>
        <v>1.2212456300309626</v>
      </c>
      <c r="R43" s="145">
        <f>Table28[[#This Row],[Net Capital gain(Real)]]/Table28[[#This Row],[Savings (Real, adj. per year)]]</f>
        <v>1.2212456300318342</v>
      </c>
      <c r="S43" s="63">
        <f t="shared" si="76"/>
        <v>1711358.4720642939</v>
      </c>
      <c r="T43" s="145">
        <f>IF(Table28[[#This Row],[+10% Net Gain/Savings (real, adj.)'']]&gt;0,Table28[[#This Row],[Real Capital gain/Savings (adj. per year)]],-0.000001)</f>
        <v>1.2212456300309626</v>
      </c>
      <c r="U43" s="208">
        <f>((Table28[[#This Row],[Net Present value (real)]]-Table28[[#This Row],[Savings* (real, full inflation* max year)]])) /Table28[[#This Row],[Savings* (real, full inflation* max year)]]</f>
        <v>1.5698437660433926</v>
      </c>
      <c r="V43" s="208">
        <f>IF(U42=0,0,IF(Table28[[#This Row],[Real Capital gain/Savings* (all inflation)]]&gt;ROUNDUP(U42,1),Table28[[#This Row],[Real Capital gain/Savings* (all inflation)]],0))</f>
        <v>0</v>
      </c>
      <c r="W43" s="235">
        <f>IF(Table28[[#This Row],[Column1]]&gt;0,Table28[[#This Row],[Net Capital gain(Real)]],-1000)</f>
        <v>-1000</v>
      </c>
      <c r="X43" s="63">
        <f>Table28[[#This Row],[Net Present value (real)]]-Table28[[#This Row],[Net Capital gain(Real)]]-Table28[[#This Row],[Savings* (real, full inflation* max year)]]</f>
        <v>0</v>
      </c>
      <c r="Y43" s="63">
        <f t="shared" si="96"/>
        <v>4071806.4817861752</v>
      </c>
      <c r="Z43" s="63">
        <f t="shared" si="31"/>
        <v>1405622.3051794434</v>
      </c>
      <c r="AA43" s="243">
        <f>((Table28[[#This Row],[Net Present value (real)]]-Table28[[#This Row],[Net deposit (real)]]))</f>
        <v>1395881.8929003591</v>
      </c>
      <c r="AB43" s="241">
        <f>((Table28[[#This Row],[Net gain on deposit]] / Table28[[#This Row],[Net deposit (real)]]))</f>
        <v>0.9930703914962129</v>
      </c>
      <c r="AC43" s="241">
        <f>IF(AB42=0,0,IF(Table28[[#This Row],[Net gain on deposit/Deposit]]&gt;ROUNDUP(AB42,1),Table28[[#This Row],[Net gain on deposit/Deposit]],0))</f>
        <v>0</v>
      </c>
      <c r="AD43" s="242">
        <f>IF(Table28[[#This Row],[Column13]]&gt;0,Table28[[#This Row],[Net gain on deposit]],-1000)</f>
        <v>-1000</v>
      </c>
      <c r="AU43">
        <v>41</v>
      </c>
      <c r="AV43" s="63">
        <f t="shared" si="77"/>
        <v>271555.53340905643</v>
      </c>
      <c r="AW43" s="112">
        <f t="shared" si="32"/>
        <v>271555.53340905643</v>
      </c>
      <c r="AX43" s="63">
        <f t="shared" si="78"/>
        <v>101135.59667612523</v>
      </c>
      <c r="AY43" s="194">
        <f t="shared" si="71"/>
        <v>2927110.8674996183</v>
      </c>
      <c r="AZ43" s="112">
        <f>SUM($AV$3:$AV43)</f>
        <v>2927110.8674996183</v>
      </c>
      <c r="BA43" s="63">
        <f t="shared" si="79"/>
        <v>1090145.7260155084</v>
      </c>
      <c r="BB43" s="63">
        <f>SUM($AX$3:$AX43)</f>
        <v>1401322.0845831677</v>
      </c>
      <c r="BC43" s="63">
        <f t="shared" si="97"/>
        <v>7380448.060327067</v>
      </c>
      <c r="BD43" s="114">
        <f t="shared" si="80"/>
        <v>6209603.7133272197</v>
      </c>
      <c r="BE43" s="72">
        <f t="shared" si="36"/>
        <v>1170844.3469998473</v>
      </c>
      <c r="BF43" s="72">
        <f t="shared" si="81"/>
        <v>0</v>
      </c>
      <c r="BG43" s="63">
        <f t="shared" si="98"/>
        <v>0</v>
      </c>
      <c r="BH43" s="114">
        <f t="shared" si="82"/>
        <v>0</v>
      </c>
      <c r="BI43" s="63">
        <f t="shared" si="99"/>
        <v>1756266.5204997719</v>
      </c>
      <c r="BJ43" s="114">
        <f t="shared" si="83"/>
        <v>0</v>
      </c>
      <c r="BK43" s="119">
        <f t="shared" si="11"/>
        <v>9136714.5808268394</v>
      </c>
      <c r="BL43" s="126">
        <f t="shared" si="39"/>
        <v>6209603.7133272197</v>
      </c>
      <c r="BM43" s="120">
        <f t="shared" si="84"/>
        <v>3402792.3098861761</v>
      </c>
      <c r="BN43" s="113">
        <f t="shared" si="85"/>
        <v>2312646.5838706675</v>
      </c>
      <c r="BO43" s="63">
        <f t="shared" si="86"/>
        <v>1711358.4720642939</v>
      </c>
      <c r="BP43" s="63">
        <f t="shared" si="40"/>
        <v>601288.11180637404</v>
      </c>
      <c r="BQ43" s="63">
        <f t="shared" si="87"/>
        <v>0</v>
      </c>
      <c r="BR43" s="63">
        <f t="shared" si="88"/>
        <v>0</v>
      </c>
      <c r="BS43" s="63">
        <f t="shared" si="41"/>
        <v>0</v>
      </c>
      <c r="BT43" s="63">
        <f t="shared" si="89"/>
        <v>0</v>
      </c>
      <c r="BU43" s="63"/>
      <c r="BV43" s="63">
        <f t="shared" si="42"/>
        <v>1614496.9654650772</v>
      </c>
      <c r="BW43" s="63">
        <f t="shared" si="90"/>
        <v>601288.11180637358</v>
      </c>
      <c r="BX43" s="113">
        <f t="shared" si="91"/>
        <v>7522217.6153617622</v>
      </c>
      <c r="BY43" s="63">
        <f t="shared" si="92"/>
        <v>2801504.1980798026</v>
      </c>
      <c r="BZ43" s="63">
        <f t="shared" si="43"/>
        <v>2801504.1980798026</v>
      </c>
      <c r="CA43" s="63">
        <f t="shared" si="93"/>
        <v>0</v>
      </c>
      <c r="CB43" s="204">
        <f t="shared" si="44"/>
        <v>1.2212456300309626</v>
      </c>
      <c r="CC43" s="63">
        <f t="shared" si="45"/>
        <v>1711358.4720642939</v>
      </c>
      <c r="CD43" s="63">
        <f t="shared" si="46"/>
        <v>1711358.4720642939</v>
      </c>
      <c r="CE43" s="63">
        <f t="shared" si="47"/>
        <v>1711358.4720642939</v>
      </c>
      <c r="CF43" s="63">
        <f t="shared" si="48"/>
        <v>1711358.4720642939</v>
      </c>
      <c r="CG43" s="63">
        <f t="shared" si="49"/>
        <v>1711358.4720642939</v>
      </c>
      <c r="CH43" s="63">
        <f t="shared" si="50"/>
        <v>1711358.4720642939</v>
      </c>
      <c r="CI43" s="63">
        <f t="shared" si="51"/>
        <v>1711358.4720642939</v>
      </c>
      <c r="CJ43" s="63">
        <f t="shared" si="52"/>
        <v>1711358.4720642939</v>
      </c>
      <c r="CK43" s="63">
        <f t="shared" si="53"/>
        <v>1711358.4720642939</v>
      </c>
      <c r="CL43" s="63">
        <f t="shared" si="54"/>
        <v>1711358.4720642939</v>
      </c>
      <c r="CM43" s="63">
        <f t="shared" si="55"/>
        <v>1711358.4720642939</v>
      </c>
      <c r="CN43" s="63">
        <f t="shared" si="56"/>
        <v>0</v>
      </c>
      <c r="CO43" s="63">
        <f t="shared" si="57"/>
        <v>0</v>
      </c>
      <c r="CP43" s="63">
        <f t="shared" si="58"/>
        <v>0</v>
      </c>
      <c r="CQ43" s="63">
        <f t="shared" si="59"/>
        <v>0</v>
      </c>
      <c r="CR43" s="63">
        <f t="shared" si="60"/>
        <v>0</v>
      </c>
      <c r="CS43" s="63">
        <f t="shared" si="61"/>
        <v>0</v>
      </c>
      <c r="CT43" s="63">
        <f t="shared" si="62"/>
        <v>0</v>
      </c>
      <c r="CU43" s="63">
        <f t="shared" si="63"/>
        <v>0</v>
      </c>
      <c r="CV43" s="63">
        <f t="shared" si="64"/>
        <v>0</v>
      </c>
      <c r="CW43" s="63">
        <f t="shared" si="65"/>
        <v>1711358.4720642939</v>
      </c>
      <c r="CY43" s="63">
        <f t="shared" si="100"/>
        <v>4071806.4817861752</v>
      </c>
      <c r="CZ43" s="63">
        <f t="shared" si="67"/>
        <v>1144695.6142865568</v>
      </c>
      <c r="DA43" s="63">
        <f t="shared" si="101"/>
        <v>297620.8597145048</v>
      </c>
      <c r="DB43" s="63">
        <f t="shared" si="102"/>
        <v>110843.12240895019</v>
      </c>
      <c r="DC43" s="63">
        <f t="shared" si="94"/>
        <v>1516465.4275883937</v>
      </c>
      <c r="DD43" s="63">
        <f t="shared" si="70"/>
        <v>1405622.3051794434</v>
      </c>
    </row>
    <row r="44" spans="2:108" x14ac:dyDescent="0.3">
      <c r="B44">
        <v>50</v>
      </c>
      <c r="C44">
        <v>42</v>
      </c>
      <c r="D44" s="63">
        <f t="shared" si="95"/>
        <v>3225821.9542495804</v>
      </c>
      <c r="E44" s="63">
        <f t="shared" si="24"/>
        <v>1172092.568155362</v>
      </c>
      <c r="F44" s="63">
        <f>SUM($AX$3:$AX44)</f>
        <v>1509857.8468697411</v>
      </c>
      <c r="G44" s="63">
        <f t="shared" si="72"/>
        <v>10365362.123178013</v>
      </c>
      <c r="H44" s="63">
        <f t="shared" si="73"/>
        <v>5417332.8042311408</v>
      </c>
      <c r="I44" s="63">
        <f>( Table28[[#This Row],[Future value (Nominal)]]-Table28[[#This Row],[Tax (Nominal)]] ) -K44</f>
        <v>5417332.8042311408</v>
      </c>
      <c r="J44" s="63">
        <f t="shared" si="74"/>
        <v>3766222.7125744391</v>
      </c>
      <c r="K44" s="63">
        <f t="shared" si="2"/>
        <v>3091748.8750254787</v>
      </c>
      <c r="L44" s="63">
        <f t="shared" si="26"/>
        <v>1856280.4439213923</v>
      </c>
      <c r="M44" s="63">
        <f t="shared" si="3"/>
        <v>674473.83754896</v>
      </c>
      <c r="N44" s="63">
        <f t="shared" si="27"/>
        <v>7139540.1689284313</v>
      </c>
      <c r="O44" s="63">
        <f t="shared" si="75"/>
        <v>1919656.3068701166</v>
      </c>
      <c r="P44" s="147">
        <f t="shared" si="28"/>
        <v>0.50970334293028208</v>
      </c>
      <c r="Q44" s="145">
        <f t="shared" si="29"/>
        <v>1.2714152599522559</v>
      </c>
      <c r="R44" s="145">
        <f>Table28[[#This Row],[Net Capital gain(Real)]]/Table28[[#This Row],[Savings (Real, adj. per year)]]</f>
        <v>1.2714152599530979</v>
      </c>
      <c r="S44" s="63">
        <f t="shared" si="76"/>
        <v>-1000</v>
      </c>
      <c r="T44" s="145">
        <f>IF(Table28[[#This Row],[+10% Net Gain/Savings (real, adj.)'']]&gt;0,Table28[[#This Row],[Real Capital gain/Savings (adj. per year)]],-0.000001)</f>
        <v>-9.9999999999999995E-7</v>
      </c>
      <c r="U44" s="208">
        <f>((Table28[[#This Row],[Net Present value (real)]]-Table28[[#This Row],[Savings* (real, full inflation* max year)]])) /Table28[[#This Row],[Savings* (real, full inflation* max year)]]</f>
        <v>1.6378026437717881</v>
      </c>
      <c r="V44" s="208">
        <f>IF(U43=0,0,IF(Table28[[#This Row],[Real Capital gain/Savings* (all inflation)]]&gt;ROUNDUP(U43,1),Table28[[#This Row],[Real Capital gain/Savings* (all inflation)]],0))</f>
        <v>1.6378026437717881</v>
      </c>
      <c r="W44" s="235">
        <f>IF(Table28[[#This Row],[Column1]]&gt;0,Table28[[#This Row],[Net Capital gain(Real)]],-1000)</f>
        <v>1919656.3068701166</v>
      </c>
      <c r="X44" s="63">
        <f>Table28[[#This Row],[Net Present value (real)]]-Table28[[#This Row],[Net Capital gain(Real)]]-Table28[[#This Row],[Savings* (real, full inflation* max year)]]</f>
        <v>0</v>
      </c>
      <c r="Y44" s="63">
        <f t="shared" si="96"/>
        <v>4500815.3759532953</v>
      </c>
      <c r="Z44" s="63">
        <f t="shared" si="31"/>
        <v>1514908.6466814384</v>
      </c>
      <c r="AA44" s="243">
        <f>((Table28[[#This Row],[Net Present value (real)]]-Table28[[#This Row],[Net deposit (real)]]))</f>
        <v>1576840.2283440402</v>
      </c>
      <c r="AB44" s="241">
        <f>((Table28[[#This Row],[Net gain on deposit]] / Table28[[#This Row],[Net deposit (real)]]))</f>
        <v>1.0408813969068493</v>
      </c>
      <c r="AC44" s="241">
        <f>IF(AB43=0,0,IF(Table28[[#This Row],[Net gain on deposit/Deposit]]&gt;ROUNDUP(AB43,1),Table28[[#This Row],[Net gain on deposit/Deposit]],0))</f>
        <v>1.0408813969068493</v>
      </c>
      <c r="AD44" s="242">
        <f>IF(Table28[[#This Row],[Column13]]&gt;0,Table28[[#This Row],[Net gain on deposit]],-1000)</f>
        <v>1576840.2283440402</v>
      </c>
      <c r="AU44">
        <v>42</v>
      </c>
      <c r="AV44" s="63">
        <f t="shared" si="77"/>
        <v>298711.08674996212</v>
      </c>
      <c r="AW44" s="112">
        <f t="shared" si="32"/>
        <v>298711.08674996212</v>
      </c>
      <c r="AX44" s="63">
        <f t="shared" si="78"/>
        <v>108535.76228657343</v>
      </c>
      <c r="AY44" s="194">
        <f t="shared" si="71"/>
        <v>3225821.9542495804</v>
      </c>
      <c r="AZ44" s="112">
        <f>SUM($AV$3:$AV44)</f>
        <v>3225821.9542495804</v>
      </c>
      <c r="BA44" s="63">
        <f t="shared" si="79"/>
        <v>1172092.568155362</v>
      </c>
      <c r="BB44" s="63">
        <f>SUM($AX$3:$AX44)</f>
        <v>1509857.8468697411</v>
      </c>
      <c r="BC44" s="63">
        <f t="shared" si="97"/>
        <v>8429868.9506282639</v>
      </c>
      <c r="BD44" s="114">
        <f t="shared" si="80"/>
        <v>7139540.1689284313</v>
      </c>
      <c r="BE44" s="72">
        <f t="shared" si="36"/>
        <v>1290328.7816998325</v>
      </c>
      <c r="BF44" s="72">
        <f t="shared" si="81"/>
        <v>0</v>
      </c>
      <c r="BG44" s="63">
        <f t="shared" si="98"/>
        <v>0</v>
      </c>
      <c r="BH44" s="114">
        <f t="shared" si="82"/>
        <v>0</v>
      </c>
      <c r="BI44" s="63">
        <f t="shared" si="99"/>
        <v>1935493.1725497493</v>
      </c>
      <c r="BJ44" s="114">
        <f t="shared" si="83"/>
        <v>0</v>
      </c>
      <c r="BK44" s="119">
        <f t="shared" si="11"/>
        <v>10365362.123178013</v>
      </c>
      <c r="BL44" s="126">
        <f t="shared" si="39"/>
        <v>7139540.1689284313</v>
      </c>
      <c r="BM44" s="120">
        <f t="shared" si="84"/>
        <v>3766222.7125744391</v>
      </c>
      <c r="BN44" s="113">
        <f t="shared" si="85"/>
        <v>2594130.1444190769</v>
      </c>
      <c r="BO44" s="63">
        <f t="shared" si="86"/>
        <v>1919656.3068701166</v>
      </c>
      <c r="BP44" s="63">
        <f t="shared" si="40"/>
        <v>674473.83754896047</v>
      </c>
      <c r="BQ44" s="63">
        <f t="shared" si="87"/>
        <v>0</v>
      </c>
      <c r="BR44" s="63">
        <f t="shared" si="88"/>
        <v>0</v>
      </c>
      <c r="BS44" s="63">
        <f t="shared" si="41"/>
        <v>0</v>
      </c>
      <c r="BT44" s="63">
        <f t="shared" si="89"/>
        <v>0</v>
      </c>
      <c r="BU44" s="63"/>
      <c r="BV44" s="63">
        <f t="shared" si="42"/>
        <v>1856280.4439213923</v>
      </c>
      <c r="BW44" s="63">
        <f t="shared" si="90"/>
        <v>674473.83754896</v>
      </c>
      <c r="BX44" s="113">
        <f t="shared" si="91"/>
        <v>8509081.6792566199</v>
      </c>
      <c r="BY44" s="63">
        <f t="shared" si="92"/>
        <v>3091748.8750254787</v>
      </c>
      <c r="BZ44" s="63">
        <f t="shared" si="43"/>
        <v>3091748.8750254791</v>
      </c>
      <c r="CA44" s="63">
        <f t="shared" si="93"/>
        <v>0</v>
      </c>
      <c r="CB44" s="204">
        <f t="shared" si="44"/>
        <v>1.2714152599522559</v>
      </c>
      <c r="CC44" s="63">
        <f t="shared" si="45"/>
        <v>1919656.3068701166</v>
      </c>
      <c r="CD44" s="63">
        <f t="shared" si="46"/>
        <v>1919656.3068701166</v>
      </c>
      <c r="CE44" s="63">
        <f t="shared" si="47"/>
        <v>1919656.3068701166</v>
      </c>
      <c r="CF44" s="63">
        <f t="shared" si="48"/>
        <v>1919656.3068701166</v>
      </c>
      <c r="CG44" s="63">
        <f t="shared" si="49"/>
        <v>1919656.3068701166</v>
      </c>
      <c r="CH44" s="63">
        <f t="shared" si="50"/>
        <v>1919656.3068701166</v>
      </c>
      <c r="CI44" s="63">
        <f t="shared" si="51"/>
        <v>1919656.3068701166</v>
      </c>
      <c r="CJ44" s="63">
        <f t="shared" si="52"/>
        <v>1919656.3068701166</v>
      </c>
      <c r="CK44" s="63">
        <f t="shared" si="53"/>
        <v>1919656.3068701166</v>
      </c>
      <c r="CL44" s="63">
        <f t="shared" si="54"/>
        <v>1919656.3068701166</v>
      </c>
      <c r="CM44" s="63">
        <f t="shared" si="55"/>
        <v>1919656.3068701166</v>
      </c>
      <c r="CN44" s="63">
        <f t="shared" si="56"/>
        <v>0</v>
      </c>
      <c r="CO44" s="63">
        <f t="shared" si="57"/>
        <v>0</v>
      </c>
      <c r="CP44" s="63">
        <f t="shared" si="58"/>
        <v>0</v>
      </c>
      <c r="CQ44" s="63">
        <f t="shared" si="59"/>
        <v>0</v>
      </c>
      <c r="CR44" s="63">
        <f t="shared" si="60"/>
        <v>0</v>
      </c>
      <c r="CS44" s="63">
        <f t="shared" si="61"/>
        <v>0</v>
      </c>
      <c r="CT44" s="63">
        <f t="shared" si="62"/>
        <v>0</v>
      </c>
      <c r="CU44" s="63">
        <f t="shared" si="63"/>
        <v>0</v>
      </c>
      <c r="CV44" s="63">
        <f t="shared" si="64"/>
        <v>0</v>
      </c>
      <c r="CW44" s="63">
        <f t="shared" si="65"/>
        <v>-1000</v>
      </c>
      <c r="CY44" s="63">
        <f t="shared" si="100"/>
        <v>4500815.3759532953</v>
      </c>
      <c r="CZ44" s="63">
        <f t="shared" si="67"/>
        <v>1274993.4217037149</v>
      </c>
      <c r="DA44" s="63">
        <f t="shared" si="101"/>
        <v>331498.28964296589</v>
      </c>
      <c r="DB44" s="63">
        <f t="shared" si="102"/>
        <v>120448.89245510797</v>
      </c>
      <c r="DC44" s="63">
        <f t="shared" si="94"/>
        <v>1635357.5391365464</v>
      </c>
      <c r="DD44" s="63">
        <f t="shared" si="70"/>
        <v>1514908.6466814384</v>
      </c>
    </row>
    <row r="45" spans="2:108" x14ac:dyDescent="0.3">
      <c r="B45">
        <v>50</v>
      </c>
      <c r="C45">
        <v>43</v>
      </c>
      <c r="D45" s="63">
        <f t="shared" si="95"/>
        <v>3554404.1496745385</v>
      </c>
      <c r="E45" s="63">
        <f t="shared" si="24"/>
        <v>1259982.3479713099</v>
      </c>
      <c r="F45" s="63">
        <f>SUM($AX$3:$AX45)</f>
        <v>1626335.2502992346</v>
      </c>
      <c r="G45" s="63">
        <f t="shared" si="72"/>
        <v>11756107.806382135</v>
      </c>
      <c r="H45" s="63">
        <f t="shared" si="73"/>
        <v>6212221.6628300939</v>
      </c>
      <c r="I45" s="63">
        <f>( Table28[[#This Row],[Future value (Nominal)]]-Table28[[#This Row],[Tax (Nominal)]] ) -K45</f>
        <v>6212221.6628300939</v>
      </c>
      <c r="J45" s="63">
        <f t="shared" si="74"/>
        <v>4167361.8680209802</v>
      </c>
      <c r="K45" s="63">
        <f t="shared" si="2"/>
        <v>3411443.192808066</v>
      </c>
      <c r="L45" s="63">
        <f t="shared" si="26"/>
        <v>2132442.9507439747</v>
      </c>
      <c r="M45" s="63">
        <f t="shared" si="3"/>
        <v>755918.67521291412</v>
      </c>
      <c r="N45" s="63">
        <f t="shared" si="27"/>
        <v>8201703.6567075951</v>
      </c>
      <c r="O45" s="63">
        <f t="shared" si="75"/>
        <v>2151460.8448367557</v>
      </c>
      <c r="P45" s="147">
        <f t="shared" si="28"/>
        <v>0.51626446488718936</v>
      </c>
      <c r="Q45" s="145">
        <f t="shared" si="29"/>
        <v>1.322888896640209</v>
      </c>
      <c r="R45" s="145">
        <f>Table28[[#This Row],[Net Capital gain(Real)]]/Table28[[#This Row],[Savings (Real, adj. per year)]]</f>
        <v>1.3228888966410224</v>
      </c>
      <c r="S45" s="63">
        <f t="shared" si="76"/>
        <v>-1000</v>
      </c>
      <c r="T45" s="145">
        <f>IF(Table28[[#This Row],[+10% Net Gain/Savings (real, adj.)'']]&gt;0,Table28[[#This Row],[Real Capital gain/Savings (adj. per year)]],-0.000001)</f>
        <v>-9.9999999999999995E-7</v>
      </c>
      <c r="U45" s="208">
        <f>((Table28[[#This Row],[Net Present value (real)]]-Table28[[#This Row],[Savings* (real, full inflation* max year)]])) /Table28[[#This Row],[Savings* (real, full inflation* max year)]]</f>
        <v>1.7075325287697962</v>
      </c>
      <c r="V45" s="208">
        <f>IF(U44=0,0,IF(Table28[[#This Row],[Real Capital gain/Savings* (all inflation)]]&gt;ROUNDUP(U44,1),Table28[[#This Row],[Real Capital gain/Savings* (all inflation)]],0))</f>
        <v>1.7075325287697962</v>
      </c>
      <c r="W45" s="235">
        <f>IF(Table28[[#This Row],[Column1]]&gt;0,Table28[[#This Row],[Net Capital gain(Real)]],-1000)</f>
        <v>2151460.8448367557</v>
      </c>
      <c r="X45" s="63">
        <f>Table28[[#This Row],[Net Present value (real)]]-Table28[[#This Row],[Net Capital gain(Real)]]-Table28[[#This Row],[Savings* (real, full inflation* max year)]]</f>
        <v>0</v>
      </c>
      <c r="Y45" s="63">
        <f t="shared" si="96"/>
        <v>4973423.6634087591</v>
      </c>
      <c r="Z45" s="63">
        <f t="shared" si="31"/>
        <v>1632217.806559437</v>
      </c>
      <c r="AA45" s="243">
        <f>((Table28[[#This Row],[Net Present value (real)]]-Table28[[#This Row],[Net deposit (real)]]))</f>
        <v>1779225.3862486291</v>
      </c>
      <c r="AB45" s="241">
        <f>((Table28[[#This Row],[Net gain on deposit]] / Table28[[#This Row],[Net deposit (real)]]))</f>
        <v>1.0900661536091623</v>
      </c>
      <c r="AC45" s="241">
        <f>IF(AB44=0,0,IF(Table28[[#This Row],[Net gain on deposit/Deposit]]&gt;ROUNDUP(AB44,1),Table28[[#This Row],[Net gain on deposit/Deposit]],0))</f>
        <v>0</v>
      </c>
      <c r="AD45" s="242">
        <f>IF(Table28[[#This Row],[Column13]]&gt;0,Table28[[#This Row],[Net gain on deposit]],-1000)</f>
        <v>-1000</v>
      </c>
      <c r="AU45">
        <v>43</v>
      </c>
      <c r="AV45" s="63">
        <f t="shared" si="77"/>
        <v>328582.19542495837</v>
      </c>
      <c r="AW45" s="112">
        <f t="shared" si="32"/>
        <v>328582.19542495837</v>
      </c>
      <c r="AX45" s="63">
        <f t="shared" si="78"/>
        <v>116477.40342949345</v>
      </c>
      <c r="AY45" s="194">
        <f t="shared" si="71"/>
        <v>3554404.1496745385</v>
      </c>
      <c r="AZ45" s="112">
        <f>SUM($AV$3:$AV45)</f>
        <v>3554404.1496745385</v>
      </c>
      <c r="BA45" s="63">
        <f t="shared" si="79"/>
        <v>1259982.3479713099</v>
      </c>
      <c r="BB45" s="63">
        <f>SUM($AX$3:$AX45)</f>
        <v>1626335.2502992346</v>
      </c>
      <c r="BC45" s="63">
        <f t="shared" si="97"/>
        <v>9623465.3165774103</v>
      </c>
      <c r="BD45" s="114">
        <f t="shared" si="80"/>
        <v>8201703.6567075951</v>
      </c>
      <c r="BE45" s="72">
        <f t="shared" si="36"/>
        <v>1421761.6598698152</v>
      </c>
      <c r="BF45" s="72">
        <f t="shared" si="81"/>
        <v>0</v>
      </c>
      <c r="BG45" s="63">
        <f t="shared" si="98"/>
        <v>0</v>
      </c>
      <c r="BH45" s="114">
        <f t="shared" si="82"/>
        <v>0</v>
      </c>
      <c r="BI45" s="63">
        <f t="shared" si="99"/>
        <v>2132642.4898047242</v>
      </c>
      <c r="BJ45" s="114">
        <f t="shared" si="83"/>
        <v>0</v>
      </c>
      <c r="BK45" s="119">
        <f t="shared" si="11"/>
        <v>11756107.806382135</v>
      </c>
      <c r="BL45" s="126">
        <f t="shared" si="39"/>
        <v>8201703.6567075951</v>
      </c>
      <c r="BM45" s="120">
        <f t="shared" si="84"/>
        <v>4167361.8680209802</v>
      </c>
      <c r="BN45" s="113">
        <f t="shared" si="85"/>
        <v>2907379.5200496698</v>
      </c>
      <c r="BO45" s="63">
        <f t="shared" si="86"/>
        <v>2151460.8448367557</v>
      </c>
      <c r="BP45" s="63">
        <f t="shared" si="40"/>
        <v>755918.67521291459</v>
      </c>
      <c r="BQ45" s="63">
        <f t="shared" si="87"/>
        <v>0</v>
      </c>
      <c r="BR45" s="63">
        <f t="shared" si="88"/>
        <v>0</v>
      </c>
      <c r="BS45" s="63">
        <f t="shared" si="41"/>
        <v>0</v>
      </c>
      <c r="BT45" s="63">
        <f t="shared" si="89"/>
        <v>0</v>
      </c>
      <c r="BU45" s="63"/>
      <c r="BV45" s="63">
        <f t="shared" si="42"/>
        <v>2132442.9507439747</v>
      </c>
      <c r="BW45" s="63">
        <f t="shared" si="90"/>
        <v>755918.67521291412</v>
      </c>
      <c r="BX45" s="113">
        <f t="shared" si="91"/>
        <v>9623664.8556381594</v>
      </c>
      <c r="BY45" s="63">
        <f t="shared" si="92"/>
        <v>3411443.192808066</v>
      </c>
      <c r="BZ45" s="63">
        <f t="shared" si="43"/>
        <v>3411443.192808066</v>
      </c>
      <c r="CA45" s="63">
        <f t="shared" si="93"/>
        <v>0</v>
      </c>
      <c r="CB45" s="204">
        <f t="shared" si="44"/>
        <v>1.322888896640209</v>
      </c>
      <c r="CC45" s="63">
        <f t="shared" si="45"/>
        <v>2151460.8448367557</v>
      </c>
      <c r="CD45" s="63">
        <f t="shared" si="46"/>
        <v>2151460.8448367557</v>
      </c>
      <c r="CE45" s="63">
        <f t="shared" si="47"/>
        <v>2151460.8448367557</v>
      </c>
      <c r="CF45" s="63">
        <f t="shared" si="48"/>
        <v>2151460.8448367557</v>
      </c>
      <c r="CG45" s="63">
        <f t="shared" si="49"/>
        <v>2151460.8448367557</v>
      </c>
      <c r="CH45" s="63">
        <f t="shared" si="50"/>
        <v>2151460.8448367557</v>
      </c>
      <c r="CI45" s="63">
        <f t="shared" si="51"/>
        <v>2151460.8448367557</v>
      </c>
      <c r="CJ45" s="63">
        <f t="shared" si="52"/>
        <v>2151460.8448367557</v>
      </c>
      <c r="CK45" s="63">
        <f t="shared" si="53"/>
        <v>2151460.8448367557</v>
      </c>
      <c r="CL45" s="63">
        <f t="shared" si="54"/>
        <v>2151460.8448367557</v>
      </c>
      <c r="CM45" s="63">
        <f t="shared" si="55"/>
        <v>2151460.8448367557</v>
      </c>
      <c r="CN45" s="63">
        <f t="shared" si="56"/>
        <v>0</v>
      </c>
      <c r="CO45" s="63">
        <f t="shared" si="57"/>
        <v>0</v>
      </c>
      <c r="CP45" s="63">
        <f t="shared" si="58"/>
        <v>0</v>
      </c>
      <c r="CQ45" s="63">
        <f t="shared" si="59"/>
        <v>0</v>
      </c>
      <c r="CR45" s="63">
        <f t="shared" si="60"/>
        <v>0</v>
      </c>
      <c r="CS45" s="63">
        <f t="shared" si="61"/>
        <v>0</v>
      </c>
      <c r="CT45" s="63">
        <f t="shared" si="62"/>
        <v>0</v>
      </c>
      <c r="CU45" s="63">
        <f t="shared" si="63"/>
        <v>0</v>
      </c>
      <c r="CV45" s="63">
        <f t="shared" si="64"/>
        <v>0</v>
      </c>
      <c r="CW45" s="63">
        <f t="shared" si="65"/>
        <v>-1000</v>
      </c>
      <c r="CY45" s="63">
        <f t="shared" si="100"/>
        <v>4973423.6634087591</v>
      </c>
      <c r="CZ45" s="63">
        <f t="shared" si="67"/>
        <v>1419019.5137342205</v>
      </c>
      <c r="DA45" s="63">
        <f t="shared" si="101"/>
        <v>368945.07357089734</v>
      </c>
      <c r="DB45" s="63">
        <f t="shared" si="102"/>
        <v>130785.43139582835</v>
      </c>
      <c r="DC45" s="63">
        <f t="shared" si="94"/>
        <v>1763003.2379552652</v>
      </c>
      <c r="DD45" s="63">
        <f t="shared" si="70"/>
        <v>1632217.806559437</v>
      </c>
    </row>
    <row r="46" spans="2:108" x14ac:dyDescent="0.3">
      <c r="B46">
        <v>50</v>
      </c>
      <c r="C46">
        <v>44</v>
      </c>
      <c r="D46" s="63">
        <f t="shared" si="95"/>
        <v>3915844.5646419926</v>
      </c>
      <c r="E46" s="63">
        <f t="shared" si="24"/>
        <v>1354251.2114573198</v>
      </c>
      <c r="F46" s="63">
        <f>SUM($AX$3:$AX46)</f>
        <v>1751335.3905650326</v>
      </c>
      <c r="G46" s="63">
        <f t="shared" si="72"/>
        <v>13330104.851238344</v>
      </c>
      <c r="H46" s="63">
        <f t="shared" si="73"/>
        <v>7118841.3672795091</v>
      </c>
      <c r="I46" s="63">
        <f>( Table28[[#This Row],[Future value (Nominal)]]-Table28[[#This Row],[Tax (Nominal)]] ) -K46</f>
        <v>7118841.3672795091</v>
      </c>
      <c r="J46" s="63">
        <f t="shared" si="74"/>
        <v>4610068.2357633524</v>
      </c>
      <c r="K46" s="63">
        <f t="shared" si="2"/>
        <v>3763555.8094437844</v>
      </c>
      <c r="L46" s="63">
        <f t="shared" si="26"/>
        <v>2447707.6745150508</v>
      </c>
      <c r="M46" s="63">
        <f t="shared" si="3"/>
        <v>846512.4263195683</v>
      </c>
      <c r="N46" s="63">
        <f t="shared" si="27"/>
        <v>9414260.2865963485</v>
      </c>
      <c r="O46" s="63">
        <f t="shared" si="75"/>
        <v>2409304.597986463</v>
      </c>
      <c r="P46" s="147">
        <f t="shared" si="28"/>
        <v>0.52261799060665304</v>
      </c>
      <c r="Q46" s="145">
        <f t="shared" si="29"/>
        <v>1.3756957182300613</v>
      </c>
      <c r="R46" s="145">
        <f>Table28[[#This Row],[Net Capital gain(Real)]]/Table28[[#This Row],[Savings (Real, adj. per year)]]</f>
        <v>1.3756957182308467</v>
      </c>
      <c r="S46" s="63">
        <f t="shared" si="76"/>
        <v>-1000</v>
      </c>
      <c r="T46" s="145">
        <f>IF(Table28[[#This Row],[+10% Net Gain/Savings (real, adj.)'']]&gt;0,Table28[[#This Row],[Real Capital gain/Savings (adj. per year)]],-0.000001)</f>
        <v>-9.9999999999999995E-7</v>
      </c>
      <c r="U46" s="208">
        <f>((Table28[[#This Row],[Net Present value (real)]]-Table28[[#This Row],[Savings* (real, full inflation* max year)]])) /Table28[[#This Row],[Savings* (real, full inflation* max year)]]</f>
        <v>1.7790677073818482</v>
      </c>
      <c r="V46" s="208">
        <f>IF(U45=0,0,IF(Table28[[#This Row],[Real Capital gain/Savings* (all inflation)]]&gt;ROUNDUP(U45,1),Table28[[#This Row],[Real Capital gain/Savings* (all inflation)]],0))</f>
        <v>0</v>
      </c>
      <c r="W46" s="235">
        <f>IF(Table28[[#This Row],[Column1]]&gt;0,Table28[[#This Row],[Net Capital gain(Real)]],-1000)</f>
        <v>-1000</v>
      </c>
      <c r="X46" s="63">
        <f>Table28[[#This Row],[Net Present value (real)]]-Table28[[#This Row],[Net Capital gain(Real)]]-Table28[[#This Row],[Savings* (real, full inflation* max year)]]</f>
        <v>0</v>
      </c>
      <c r="Y46" s="63">
        <f t="shared" si="96"/>
        <v>5494013.6356052933</v>
      </c>
      <c r="Z46" s="63">
        <f t="shared" si="31"/>
        <v>1758137.43122601</v>
      </c>
      <c r="AA46" s="243">
        <f>((Table28[[#This Row],[Net Present value (real)]]-Table28[[#This Row],[Net deposit (real)]]))</f>
        <v>2005418.3782177744</v>
      </c>
      <c r="AB46" s="241">
        <f>((Table28[[#This Row],[Net gain on deposit]] / Table28[[#This Row],[Net deposit (real)]]))</f>
        <v>1.140649384172048</v>
      </c>
      <c r="AC46" s="241">
        <f>IF(AB45=0,0,IF(Table28[[#This Row],[Net gain on deposit/Deposit]]&gt;ROUNDUP(AB45,1),Table28[[#This Row],[Net gain on deposit/Deposit]],0))</f>
        <v>1.140649384172048</v>
      </c>
      <c r="AD46" s="242">
        <f>IF(Table28[[#This Row],[Column13]]&gt;0,Table28[[#This Row],[Net gain on deposit]],-1000)</f>
        <v>2005418.3782177744</v>
      </c>
      <c r="AU46">
        <v>44</v>
      </c>
      <c r="AV46" s="63">
        <f t="shared" si="77"/>
        <v>361440.41496745427</v>
      </c>
      <c r="AW46" s="112">
        <f t="shared" si="32"/>
        <v>361440.41496745427</v>
      </c>
      <c r="AX46" s="63">
        <f t="shared" si="78"/>
        <v>125000.14026579789</v>
      </c>
      <c r="AY46" s="194">
        <f t="shared" si="71"/>
        <v>3915844.5646419926</v>
      </c>
      <c r="AZ46" s="112">
        <f>SUM($AV$3:$AV46)</f>
        <v>3915844.5646419926</v>
      </c>
      <c r="BA46" s="63">
        <f t="shared" si="79"/>
        <v>1354251.2114573198</v>
      </c>
      <c r="BB46" s="63">
        <f>SUM($AX$3:$AX46)</f>
        <v>1751335.3905650326</v>
      </c>
      <c r="BC46" s="63">
        <f t="shared" si="97"/>
        <v>10980598.112453146</v>
      </c>
      <c r="BD46" s="114">
        <f t="shared" si="80"/>
        <v>9414260.2865963485</v>
      </c>
      <c r="BE46" s="72">
        <f t="shared" si="36"/>
        <v>1566337.8258567974</v>
      </c>
      <c r="BF46" s="72">
        <f t="shared" si="81"/>
        <v>0</v>
      </c>
      <c r="BG46" s="63">
        <f t="shared" si="98"/>
        <v>0</v>
      </c>
      <c r="BH46" s="114">
        <f t="shared" si="82"/>
        <v>0</v>
      </c>
      <c r="BI46" s="63">
        <f t="shared" si="99"/>
        <v>2349506.738785197</v>
      </c>
      <c r="BJ46" s="114">
        <f t="shared" si="83"/>
        <v>0</v>
      </c>
      <c r="BK46" s="119">
        <f t="shared" si="11"/>
        <v>13330104.851238344</v>
      </c>
      <c r="BL46" s="126">
        <f t="shared" si="39"/>
        <v>9414260.2865963485</v>
      </c>
      <c r="BM46" s="120">
        <f t="shared" si="84"/>
        <v>4610068.2357633524</v>
      </c>
      <c r="BN46" s="113">
        <f t="shared" si="85"/>
        <v>3255817.0243060314</v>
      </c>
      <c r="BO46" s="63">
        <f t="shared" si="86"/>
        <v>2409304.597986463</v>
      </c>
      <c r="BP46" s="63">
        <f t="shared" si="40"/>
        <v>846512.42631956935</v>
      </c>
      <c r="BQ46" s="63">
        <f t="shared" si="87"/>
        <v>0</v>
      </c>
      <c r="BR46" s="63">
        <f t="shared" si="88"/>
        <v>0</v>
      </c>
      <c r="BS46" s="63">
        <f t="shared" si="41"/>
        <v>0</v>
      </c>
      <c r="BT46" s="63">
        <f t="shared" si="89"/>
        <v>0</v>
      </c>
      <c r="BU46" s="63"/>
      <c r="BV46" s="63">
        <f t="shared" si="42"/>
        <v>2447707.6745150508</v>
      </c>
      <c r="BW46" s="63">
        <f t="shared" si="90"/>
        <v>846512.4263195683</v>
      </c>
      <c r="BX46" s="113">
        <f t="shared" si="91"/>
        <v>10882397.176723294</v>
      </c>
      <c r="BY46" s="63">
        <f t="shared" si="92"/>
        <v>3763555.8094437844</v>
      </c>
      <c r="BZ46" s="63">
        <f t="shared" si="43"/>
        <v>3763555.8094437839</v>
      </c>
      <c r="CA46" s="63">
        <f t="shared" si="93"/>
        <v>0</v>
      </c>
      <c r="CB46" s="204">
        <f t="shared" si="44"/>
        <v>1.3756957182300613</v>
      </c>
      <c r="CC46" s="63">
        <f t="shared" si="45"/>
        <v>2409304.597986463</v>
      </c>
      <c r="CD46" s="63">
        <f t="shared" si="46"/>
        <v>2409304.597986463</v>
      </c>
      <c r="CE46" s="63">
        <f t="shared" si="47"/>
        <v>2409304.597986463</v>
      </c>
      <c r="CF46" s="63">
        <f t="shared" si="48"/>
        <v>2409304.597986463</v>
      </c>
      <c r="CG46" s="63">
        <f t="shared" si="49"/>
        <v>2409304.597986463</v>
      </c>
      <c r="CH46" s="63">
        <f t="shared" si="50"/>
        <v>2409304.597986463</v>
      </c>
      <c r="CI46" s="63">
        <f t="shared" si="51"/>
        <v>2409304.597986463</v>
      </c>
      <c r="CJ46" s="63">
        <f t="shared" si="52"/>
        <v>2409304.597986463</v>
      </c>
      <c r="CK46" s="63">
        <f t="shared" si="53"/>
        <v>2409304.597986463</v>
      </c>
      <c r="CL46" s="63">
        <f t="shared" si="54"/>
        <v>2409304.597986463</v>
      </c>
      <c r="CM46" s="63">
        <f t="shared" si="55"/>
        <v>2409304.597986463</v>
      </c>
      <c r="CN46" s="63">
        <f t="shared" si="56"/>
        <v>0</v>
      </c>
      <c r="CO46" s="63">
        <f t="shared" si="57"/>
        <v>0</v>
      </c>
      <c r="CP46" s="63">
        <f t="shared" si="58"/>
        <v>0</v>
      </c>
      <c r="CQ46" s="63">
        <f t="shared" si="59"/>
        <v>0</v>
      </c>
      <c r="CR46" s="63">
        <f t="shared" si="60"/>
        <v>0</v>
      </c>
      <c r="CS46" s="63">
        <f t="shared" si="61"/>
        <v>0</v>
      </c>
      <c r="CT46" s="63">
        <f t="shared" si="62"/>
        <v>0</v>
      </c>
      <c r="CU46" s="63">
        <f t="shared" si="63"/>
        <v>0</v>
      </c>
      <c r="CV46" s="63">
        <f t="shared" si="64"/>
        <v>0</v>
      </c>
      <c r="CW46" s="63">
        <f t="shared" si="65"/>
        <v>-1000</v>
      </c>
      <c r="CY46" s="63">
        <f t="shared" si="100"/>
        <v>5494013.6356052933</v>
      </c>
      <c r="CZ46" s="63">
        <f t="shared" si="67"/>
        <v>1578169.0709633008</v>
      </c>
      <c r="DA46" s="63">
        <f t="shared" si="101"/>
        <v>410323.95845045819</v>
      </c>
      <c r="DB46" s="63">
        <f t="shared" si="102"/>
        <v>141905.96910791818</v>
      </c>
      <c r="DC46" s="63">
        <f t="shared" si="94"/>
        <v>1900043.4003339282</v>
      </c>
      <c r="DD46" s="63">
        <f t="shared" si="70"/>
        <v>1758137.43122601</v>
      </c>
    </row>
    <row r="47" spans="2:108" x14ac:dyDescent="0.3">
      <c r="B47">
        <v>50</v>
      </c>
      <c r="C47">
        <v>45</v>
      </c>
      <c r="D47" s="63">
        <f t="shared" si="95"/>
        <v>4313429.0211061919</v>
      </c>
      <c r="E47" s="63">
        <f t="shared" si="24"/>
        <v>1455367.1860972662</v>
      </c>
      <c r="F47" s="63">
        <f>SUM($AX$3:$AX47)</f>
        <v>1885481.8825575961</v>
      </c>
      <c r="G47" s="63">
        <f t="shared" si="72"/>
        <v>15111244.669871641</v>
      </c>
      <c r="H47" s="63">
        <f t="shared" si="73"/>
        <v>8152459.9219097272</v>
      </c>
      <c r="I47" s="63">
        <f>( Table28[[#This Row],[Future value (Nominal)]]-Table28[[#This Row],[Tax (Nominal)]] ) -K47</f>
        <v>8152459.9219097272</v>
      </c>
      <c r="J47" s="63">
        <f t="shared" si="74"/>
        <v>5098590.8255373081</v>
      </c>
      <c r="K47" s="63">
        <f t="shared" si="2"/>
        <v>4151352.6792828976</v>
      </c>
      <c r="L47" s="63">
        <f t="shared" si="26"/>
        <v>2807432.0686790165</v>
      </c>
      <c r="M47" s="63">
        <f t="shared" si="3"/>
        <v>947238.14625441085</v>
      </c>
      <c r="N47" s="63">
        <f t="shared" si="27"/>
        <v>10797815.648765448</v>
      </c>
      <c r="O47" s="63">
        <f t="shared" si="75"/>
        <v>2695985.493185631</v>
      </c>
      <c r="P47" s="147">
        <f t="shared" si="28"/>
        <v>0.52877071045383239</v>
      </c>
      <c r="Q47" s="145">
        <f t="shared" si="29"/>
        <v>1.429865499172648</v>
      </c>
      <c r="R47" s="145">
        <f>Table28[[#This Row],[Net Capital gain(Real)]]/Table28[[#This Row],[Savings (Real, adj. per year)]]</f>
        <v>1.4298654991734063</v>
      </c>
      <c r="S47" s="63">
        <f t="shared" si="76"/>
        <v>2695985.493185631</v>
      </c>
      <c r="T47" s="145">
        <f>IF(Table28[[#This Row],[+10% Net Gain/Savings (real, adj.)'']]&gt;0,Table28[[#This Row],[Real Capital gain/Savings (adj. per year)]],-0.000001)</f>
        <v>1.429865499172648</v>
      </c>
      <c r="U47" s="208">
        <f>((Table28[[#This Row],[Net Present value (real)]]-Table28[[#This Row],[Savings* (real, full inflation* max year)]])) /Table28[[#This Row],[Savings* (real, full inflation* max year)]]</f>
        <v>1.8524435063121256</v>
      </c>
      <c r="V47" s="208">
        <f>IF(U46=0,0,IF(Table28[[#This Row],[Real Capital gain/Savings* (all inflation)]]&gt;ROUNDUP(U46,1),Table28[[#This Row],[Real Capital gain/Savings* (all inflation)]],0))</f>
        <v>1.8524435063121256</v>
      </c>
      <c r="W47" s="235">
        <f>IF(Table28[[#This Row],[Column1]]&gt;0,Table28[[#This Row],[Net Capital gain(Real)]],-1000)</f>
        <v>2695985.493185631</v>
      </c>
      <c r="X47" s="63">
        <f>Table28[[#This Row],[Net Present value (real)]]-Table28[[#This Row],[Net Capital gain(Real)]]-Table28[[#This Row],[Savings* (real, full inflation* max year)]]</f>
        <v>0</v>
      </c>
      <c r="Y47" s="63">
        <f t="shared" si="96"/>
        <v>6067406.5284088627</v>
      </c>
      <c r="Z47" s="63">
        <f t="shared" si="31"/>
        <v>1893298.1592568739</v>
      </c>
      <c r="AA47" s="243">
        <f>((Table28[[#This Row],[Net Present value (real)]]-Table28[[#This Row],[Net deposit (real)]]))</f>
        <v>2258054.5200260235</v>
      </c>
      <c r="AB47" s="241">
        <f>((Table28[[#This Row],[Net gain on deposit]] / Table28[[#This Row],[Net deposit (real)]]))</f>
        <v>1.1926565865950653</v>
      </c>
      <c r="AC47" s="241">
        <f>IF(AB46=0,0,IF(Table28[[#This Row],[Net gain on deposit/Deposit]]&gt;ROUNDUP(AB46,1),Table28[[#This Row],[Net gain on deposit/Deposit]],0))</f>
        <v>0</v>
      </c>
      <c r="AD47" s="242">
        <f>IF(Table28[[#This Row],[Column13]]&gt;0,Table28[[#This Row],[Net gain on deposit]],-1000)</f>
        <v>-1000</v>
      </c>
      <c r="AU47">
        <v>45</v>
      </c>
      <c r="AV47" s="63">
        <f t="shared" si="77"/>
        <v>397584.45646419964</v>
      </c>
      <c r="AW47" s="112">
        <f t="shared" si="32"/>
        <v>397584.45646419964</v>
      </c>
      <c r="AX47" s="63">
        <f t="shared" si="78"/>
        <v>134146.49199256359</v>
      </c>
      <c r="AY47" s="194">
        <f t="shared" si="71"/>
        <v>4313429.0211061919</v>
      </c>
      <c r="AZ47" s="112">
        <f>SUM($AV$3:$AV47)</f>
        <v>4313429.0211061919</v>
      </c>
      <c r="BA47" s="63">
        <f t="shared" si="79"/>
        <v>1455367.1860972662</v>
      </c>
      <c r="BB47" s="63">
        <f>SUM($AX$3:$AX47)</f>
        <v>1885481.8825575961</v>
      </c>
      <c r="BC47" s="63">
        <f t="shared" si="97"/>
        <v>12523187.257207925</v>
      </c>
      <c r="BD47" s="114">
        <f t="shared" si="80"/>
        <v>10797815.648765448</v>
      </c>
      <c r="BE47" s="72">
        <f t="shared" si="36"/>
        <v>1725371.608442476</v>
      </c>
      <c r="BF47" s="72">
        <f t="shared" si="81"/>
        <v>0</v>
      </c>
      <c r="BG47" s="63">
        <f t="shared" si="98"/>
        <v>0</v>
      </c>
      <c r="BH47" s="114">
        <f t="shared" si="82"/>
        <v>0</v>
      </c>
      <c r="BI47" s="63">
        <f t="shared" si="99"/>
        <v>2588057.4126637168</v>
      </c>
      <c r="BJ47" s="114">
        <f t="shared" si="83"/>
        <v>0</v>
      </c>
      <c r="BK47" s="119">
        <f t="shared" si="11"/>
        <v>15111244.669871641</v>
      </c>
      <c r="BL47" s="126">
        <f t="shared" si="39"/>
        <v>10797815.648765448</v>
      </c>
      <c r="BM47" s="120">
        <f t="shared" si="84"/>
        <v>5098590.8255373081</v>
      </c>
      <c r="BN47" s="113">
        <f t="shared" si="85"/>
        <v>3643223.6394400415</v>
      </c>
      <c r="BO47" s="63">
        <f t="shared" si="86"/>
        <v>2695985.493185631</v>
      </c>
      <c r="BP47" s="63">
        <f t="shared" si="40"/>
        <v>947238.14625441097</v>
      </c>
      <c r="BQ47" s="63">
        <f t="shared" si="87"/>
        <v>0</v>
      </c>
      <c r="BR47" s="63">
        <f t="shared" si="88"/>
        <v>0</v>
      </c>
      <c r="BS47" s="63">
        <f t="shared" si="41"/>
        <v>0</v>
      </c>
      <c r="BT47" s="63">
        <f t="shared" si="89"/>
        <v>0</v>
      </c>
      <c r="BU47" s="63"/>
      <c r="BV47" s="63">
        <f t="shared" si="42"/>
        <v>2807432.0686790165</v>
      </c>
      <c r="BW47" s="63">
        <f t="shared" si="90"/>
        <v>947238.14625441085</v>
      </c>
      <c r="BX47" s="113">
        <f t="shared" si="91"/>
        <v>12303812.601192625</v>
      </c>
      <c r="BY47" s="63">
        <f t="shared" si="92"/>
        <v>4151352.6792828976</v>
      </c>
      <c r="BZ47" s="63">
        <f t="shared" si="43"/>
        <v>4151352.6792828972</v>
      </c>
      <c r="CA47" s="63">
        <f t="shared" si="93"/>
        <v>0</v>
      </c>
      <c r="CB47" s="204">
        <f t="shared" si="44"/>
        <v>1.429865499172648</v>
      </c>
      <c r="CC47" s="63">
        <f t="shared" si="45"/>
        <v>2695985.493185631</v>
      </c>
      <c r="CD47" s="63">
        <f t="shared" si="46"/>
        <v>2695985.493185631</v>
      </c>
      <c r="CE47" s="63">
        <f t="shared" si="47"/>
        <v>2695985.493185631</v>
      </c>
      <c r="CF47" s="63">
        <f t="shared" si="48"/>
        <v>2695985.493185631</v>
      </c>
      <c r="CG47" s="63">
        <f t="shared" si="49"/>
        <v>2695985.493185631</v>
      </c>
      <c r="CH47" s="63">
        <f t="shared" si="50"/>
        <v>2695985.493185631</v>
      </c>
      <c r="CI47" s="63">
        <f t="shared" si="51"/>
        <v>2695985.493185631</v>
      </c>
      <c r="CJ47" s="63">
        <f t="shared" si="52"/>
        <v>2695985.493185631</v>
      </c>
      <c r="CK47" s="63">
        <f t="shared" si="53"/>
        <v>2695985.493185631</v>
      </c>
      <c r="CL47" s="63">
        <f t="shared" si="54"/>
        <v>2695985.493185631</v>
      </c>
      <c r="CM47" s="63">
        <f t="shared" si="55"/>
        <v>2695985.493185631</v>
      </c>
      <c r="CN47" s="63">
        <f t="shared" si="56"/>
        <v>2695985.493185631</v>
      </c>
      <c r="CO47" s="63">
        <f t="shared" si="57"/>
        <v>0</v>
      </c>
      <c r="CP47" s="63">
        <f t="shared" si="58"/>
        <v>0</v>
      </c>
      <c r="CQ47" s="63">
        <f t="shared" si="59"/>
        <v>0</v>
      </c>
      <c r="CR47" s="63">
        <f t="shared" si="60"/>
        <v>0</v>
      </c>
      <c r="CS47" s="63">
        <f t="shared" si="61"/>
        <v>0</v>
      </c>
      <c r="CT47" s="63">
        <f t="shared" si="62"/>
        <v>0</v>
      </c>
      <c r="CU47" s="63">
        <f t="shared" si="63"/>
        <v>0</v>
      </c>
      <c r="CV47" s="63">
        <f t="shared" si="64"/>
        <v>0</v>
      </c>
      <c r="CW47" s="63">
        <f t="shared" si="65"/>
        <v>2695985.493185631</v>
      </c>
      <c r="CY47" s="63">
        <f t="shared" si="100"/>
        <v>6067406.5284088627</v>
      </c>
      <c r="CZ47" s="63">
        <f t="shared" si="67"/>
        <v>1753977.5073026707</v>
      </c>
      <c r="DA47" s="63">
        <f t="shared" si="101"/>
        <v>456034.1518986944</v>
      </c>
      <c r="DB47" s="63">
        <f t="shared" si="102"/>
        <v>153867.63921824057</v>
      </c>
      <c r="DC47" s="63">
        <f t="shared" si="94"/>
        <v>2047165.7984751144</v>
      </c>
      <c r="DD47" s="63">
        <f t="shared" si="70"/>
        <v>1893298.1592568739</v>
      </c>
    </row>
    <row r="48" spans="2:108" x14ac:dyDescent="0.3">
      <c r="B48">
        <v>50</v>
      </c>
      <c r="C48">
        <v>46</v>
      </c>
      <c r="D48" s="63">
        <f t="shared" si="95"/>
        <v>4750771.9232168114</v>
      </c>
      <c r="E48" s="63">
        <f t="shared" si="24"/>
        <v>1563832.5144283765</v>
      </c>
      <c r="F48" s="63">
        <f>SUM($AX$3:$AX48)</f>
        <v>2029443.9715252253</v>
      </c>
      <c r="G48" s="63">
        <f t="shared" si="72"/>
        <v>17126509.16639046</v>
      </c>
      <c r="H48" s="63">
        <f t="shared" si="73"/>
        <v>9330390.7834689319</v>
      </c>
      <c r="I48" s="63">
        <f>( Table28[[#This Row],[Future value (Nominal)]]-Table28[[#This Row],[Tax (Nominal)]] ) -K48</f>
        <v>9330390.7834689319</v>
      </c>
      <c r="J48" s="63">
        <f t="shared" si="74"/>
        <v>5637608.4404662196</v>
      </c>
      <c r="K48" s="63">
        <f t="shared" si="2"/>
        <v>4578426.6996963806</v>
      </c>
      <c r="L48" s="63">
        <f t="shared" si="26"/>
        <v>3217691.6832251484</v>
      </c>
      <c r="M48" s="63">
        <f t="shared" si="3"/>
        <v>1059181.7407698391</v>
      </c>
      <c r="N48" s="63">
        <f t="shared" si="27"/>
        <v>12375737.243173648</v>
      </c>
      <c r="O48" s="63">
        <f t="shared" si="75"/>
        <v>3014594.185268004</v>
      </c>
      <c r="P48" s="147">
        <f t="shared" si="28"/>
        <v>0.5347292592327022</v>
      </c>
      <c r="Q48" s="145">
        <f t="shared" si="29"/>
        <v>1.485428633440373</v>
      </c>
      <c r="R48" s="145">
        <f>Table28[[#This Row],[Net Capital gain(Real)]]/Table28[[#This Row],[Savings (Real, adj. per year)]]</f>
        <v>1.4854286334411049</v>
      </c>
      <c r="S48" s="63">
        <f t="shared" si="76"/>
        <v>-1000</v>
      </c>
      <c r="T48" s="145">
        <f>IF(Table28[[#This Row],[+10% Net Gain/Savings (real, adj.)'']]&gt;0,Table28[[#This Row],[Real Capital gain/Savings (adj. per year)]],-0.000001)</f>
        <v>-9.9999999999999995E-7</v>
      </c>
      <c r="U48" s="208">
        <f>((Table28[[#This Row],[Net Present value (real)]]-Table28[[#This Row],[Savings* (real, full inflation* max year)]])) /Table28[[#This Row],[Savings* (real, full inflation* max year)]]</f>
        <v>1.9276963213480192</v>
      </c>
      <c r="V48" s="208">
        <f>IF(U47=0,0,IF(Table28[[#This Row],[Real Capital gain/Savings* (all inflation)]]&gt;ROUNDUP(U47,1),Table28[[#This Row],[Real Capital gain/Savings* (all inflation)]],0))</f>
        <v>1.9276963213480192</v>
      </c>
      <c r="W48" s="235">
        <f>IF(Table28[[#This Row],[Column1]]&gt;0,Table28[[#This Row],[Net Capital gain(Real)]],-1000)</f>
        <v>3014594.185268004</v>
      </c>
      <c r="X48" s="63">
        <f>Table28[[#This Row],[Net Present value (real)]]-Table28[[#This Row],[Net Capital gain(Real)]]-Table28[[#This Row],[Savings* (real, full inflation* max year)]]</f>
        <v>0</v>
      </c>
      <c r="Y48" s="63">
        <f t="shared" si="96"/>
        <v>6698906.439428566</v>
      </c>
      <c r="Z48" s="63">
        <f t="shared" si="31"/>
        <v>2038376.7673722776</v>
      </c>
      <c r="AA48" s="243">
        <f>((Table28[[#This Row],[Net Present value (real)]]-Table28[[#This Row],[Net deposit (real)]]))</f>
        <v>2540049.9323241031</v>
      </c>
      <c r="AB48" s="241">
        <f>((Table28[[#This Row],[Net gain on deposit]] / Table28[[#This Row],[Net deposit (real)]]))</f>
        <v>1.2461140516228237</v>
      </c>
      <c r="AC48" s="241">
        <f>IF(AB47=0,0,IF(Table28[[#This Row],[Net gain on deposit/Deposit]]&gt;ROUNDUP(AB47,1),Table28[[#This Row],[Net gain on deposit/Deposit]],0))</f>
        <v>1.2461140516228237</v>
      </c>
      <c r="AD48" s="242">
        <f>IF(Table28[[#This Row],[Column13]]&gt;0,Table28[[#This Row],[Net gain on deposit]],-1000)</f>
        <v>2540049.9323241031</v>
      </c>
      <c r="AU48">
        <v>46</v>
      </c>
      <c r="AV48" s="63">
        <f t="shared" si="77"/>
        <v>437342.90211061965</v>
      </c>
      <c r="AW48" s="112">
        <f t="shared" si="32"/>
        <v>437342.90211061965</v>
      </c>
      <c r="AX48" s="63">
        <f t="shared" si="78"/>
        <v>143962.08896762924</v>
      </c>
      <c r="AY48" s="194">
        <f t="shared" si="71"/>
        <v>4750771.9232168114</v>
      </c>
      <c r="AZ48" s="112">
        <f>SUM($AV$3:$AV48)</f>
        <v>4750771.9232168114</v>
      </c>
      <c r="BA48" s="63">
        <f t="shared" si="79"/>
        <v>1563832.5144283765</v>
      </c>
      <c r="BB48" s="63">
        <f>SUM($AX$3:$AX48)</f>
        <v>2029443.9715252253</v>
      </c>
      <c r="BC48" s="63">
        <f t="shared" si="97"/>
        <v>14276046.012460371</v>
      </c>
      <c r="BD48" s="114">
        <f t="shared" si="80"/>
        <v>12375737.243173648</v>
      </c>
      <c r="BE48" s="72">
        <f t="shared" si="36"/>
        <v>1900308.7692867238</v>
      </c>
      <c r="BF48" s="72">
        <f t="shared" si="81"/>
        <v>0</v>
      </c>
      <c r="BG48" s="63">
        <f t="shared" si="98"/>
        <v>0</v>
      </c>
      <c r="BH48" s="114">
        <f t="shared" si="82"/>
        <v>0</v>
      </c>
      <c r="BI48" s="63">
        <f t="shared" si="99"/>
        <v>2850463.1539300885</v>
      </c>
      <c r="BJ48" s="114">
        <f t="shared" si="83"/>
        <v>0</v>
      </c>
      <c r="BK48" s="119">
        <f t="shared" si="11"/>
        <v>17126509.16639046</v>
      </c>
      <c r="BL48" s="126">
        <f t="shared" si="39"/>
        <v>12375737.243173648</v>
      </c>
      <c r="BM48" s="120">
        <f t="shared" si="84"/>
        <v>5637608.4404662196</v>
      </c>
      <c r="BN48" s="113">
        <f t="shared" si="85"/>
        <v>4073775.9260378429</v>
      </c>
      <c r="BO48" s="63">
        <f t="shared" si="86"/>
        <v>3014594.185268004</v>
      </c>
      <c r="BP48" s="63">
        <f t="shared" si="40"/>
        <v>1059181.7407698389</v>
      </c>
      <c r="BQ48" s="63">
        <f t="shared" si="87"/>
        <v>0</v>
      </c>
      <c r="BR48" s="63">
        <f t="shared" si="88"/>
        <v>0</v>
      </c>
      <c r="BS48" s="63">
        <f t="shared" si="41"/>
        <v>0</v>
      </c>
      <c r="BT48" s="63">
        <f t="shared" si="89"/>
        <v>0</v>
      </c>
      <c r="BU48" s="63"/>
      <c r="BV48" s="63">
        <f t="shared" si="42"/>
        <v>3217691.6832251484</v>
      </c>
      <c r="BW48" s="63">
        <f t="shared" si="90"/>
        <v>1059181.7407698391</v>
      </c>
      <c r="BX48" s="113">
        <f t="shared" si="91"/>
        <v>13908817.483165313</v>
      </c>
      <c r="BY48" s="63">
        <f t="shared" si="92"/>
        <v>4578426.6996963806</v>
      </c>
      <c r="BZ48" s="63">
        <f t="shared" si="43"/>
        <v>4578426.6996963806</v>
      </c>
      <c r="CA48" s="63">
        <f t="shared" si="93"/>
        <v>0</v>
      </c>
      <c r="CB48" s="204">
        <f t="shared" si="44"/>
        <v>1.485428633440373</v>
      </c>
      <c r="CC48" s="63">
        <f t="shared" si="45"/>
        <v>3014594.185268004</v>
      </c>
      <c r="CD48" s="63">
        <f t="shared" si="46"/>
        <v>3014594.185268004</v>
      </c>
      <c r="CE48" s="63">
        <f t="shared" si="47"/>
        <v>3014594.185268004</v>
      </c>
      <c r="CF48" s="63">
        <f t="shared" si="48"/>
        <v>3014594.185268004</v>
      </c>
      <c r="CG48" s="63">
        <f t="shared" si="49"/>
        <v>3014594.185268004</v>
      </c>
      <c r="CH48" s="63">
        <f t="shared" si="50"/>
        <v>3014594.185268004</v>
      </c>
      <c r="CI48" s="63">
        <f t="shared" si="51"/>
        <v>3014594.185268004</v>
      </c>
      <c r="CJ48" s="63">
        <f t="shared" si="52"/>
        <v>3014594.185268004</v>
      </c>
      <c r="CK48" s="63">
        <f t="shared" si="53"/>
        <v>3014594.185268004</v>
      </c>
      <c r="CL48" s="63">
        <f t="shared" si="54"/>
        <v>3014594.185268004</v>
      </c>
      <c r="CM48" s="63">
        <f t="shared" si="55"/>
        <v>3014594.185268004</v>
      </c>
      <c r="CN48" s="63">
        <f t="shared" si="56"/>
        <v>3014594.185268004</v>
      </c>
      <c r="CO48" s="63">
        <f t="shared" si="57"/>
        <v>0</v>
      </c>
      <c r="CP48" s="63">
        <f t="shared" si="58"/>
        <v>0</v>
      </c>
      <c r="CQ48" s="63">
        <f t="shared" si="59"/>
        <v>0</v>
      </c>
      <c r="CR48" s="63">
        <f t="shared" si="60"/>
        <v>0</v>
      </c>
      <c r="CS48" s="63">
        <f t="shared" si="61"/>
        <v>0</v>
      </c>
      <c r="CT48" s="63">
        <f t="shared" si="62"/>
        <v>0</v>
      </c>
      <c r="CU48" s="63">
        <f t="shared" si="63"/>
        <v>0</v>
      </c>
      <c r="CV48" s="63">
        <f t="shared" si="64"/>
        <v>0</v>
      </c>
      <c r="CW48" s="63">
        <f t="shared" si="65"/>
        <v>-1000</v>
      </c>
      <c r="CY48" s="63">
        <f t="shared" si="100"/>
        <v>6698906.439428566</v>
      </c>
      <c r="CZ48" s="63">
        <f t="shared" si="67"/>
        <v>1948134.5162117546</v>
      </c>
      <c r="DA48" s="63">
        <f t="shared" si="101"/>
        <v>506514.97421505622</v>
      </c>
      <c r="DB48" s="63">
        <f t="shared" si="102"/>
        <v>166731.76454785711</v>
      </c>
      <c r="DC48" s="63">
        <f t="shared" si="94"/>
        <v>2205108.5319201346</v>
      </c>
      <c r="DD48" s="63">
        <f t="shared" si="70"/>
        <v>2038376.7673722776</v>
      </c>
    </row>
    <row r="49" spans="2:108" x14ac:dyDescent="0.3">
      <c r="B49">
        <v>50</v>
      </c>
      <c r="C49">
        <v>47</v>
      </c>
      <c r="D49" s="63">
        <f t="shared" si="95"/>
        <v>5231849.1155384928</v>
      </c>
      <c r="E49" s="63">
        <f t="shared" si="24"/>
        <v>1680186.1583344084</v>
      </c>
      <c r="F49" s="63">
        <f>SUM($AX$3:$AX49)</f>
        <v>2183939.8718807297</v>
      </c>
      <c r="G49" s="63">
        <f t="shared" si="72"/>
        <v>19406368.156282149</v>
      </c>
      <c r="H49" s="63">
        <f t="shared" si="73"/>
        <v>10672262.900944738</v>
      </c>
      <c r="I49" s="63">
        <f>( Table28[[#This Row],[Future value (Nominal)]]-Table28[[#This Row],[Tax (Nominal)]] ) -K49</f>
        <v>10672262.900944738</v>
      </c>
      <c r="J49" s="63">
        <f t="shared" si="74"/>
        <v>6232272.8426717762</v>
      </c>
      <c r="K49" s="63">
        <f t="shared" si="2"/>
        <v>5048730.3047440611</v>
      </c>
      <c r="L49" s="63">
        <f t="shared" si="26"/>
        <v>3685374.9505933505</v>
      </c>
      <c r="M49" s="63">
        <f t="shared" si="3"/>
        <v>1183542.5379277156</v>
      </c>
      <c r="N49" s="63">
        <f t="shared" si="27"/>
        <v>14174519.040743655</v>
      </c>
      <c r="O49" s="63">
        <f t="shared" si="75"/>
        <v>3368544.1464096517</v>
      </c>
      <c r="P49" s="147">
        <f t="shared" si="28"/>
        <v>0.54050010828978834</v>
      </c>
      <c r="Q49" s="145">
        <f t="shared" si="29"/>
        <v>1.5424161579628297</v>
      </c>
      <c r="R49" s="145">
        <f>Table28[[#This Row],[Net Capital gain(Real)]]/Table28[[#This Row],[Savings (Real, adj. per year)]]</f>
        <v>1.5424161579635358</v>
      </c>
      <c r="S49" s="63">
        <f t="shared" si="76"/>
        <v>-1000</v>
      </c>
      <c r="T49" s="145">
        <f>IF(Table28[[#This Row],[+10% Net Gain/Savings (real, adj.)'']]&gt;0,Table28[[#This Row],[Real Capital gain/Savings (adj. per year)]],-0.000001)</f>
        <v>-9.9999999999999995E-7</v>
      </c>
      <c r="U49" s="208">
        <f>((Table28[[#This Row],[Net Present value (real)]]-Table28[[#This Row],[Savings* (real, full inflation* max year)]])) /Table28[[#This Row],[Savings* (real, full inflation* max year)]]</f>
        <v>2.0048636454361324</v>
      </c>
      <c r="V49" s="208">
        <f>IF(U48=0,0,IF(Table28[[#This Row],[Real Capital gain/Savings* (all inflation)]]&gt;ROUNDUP(U48,1),Table28[[#This Row],[Real Capital gain/Savings* (all inflation)]],0))</f>
        <v>2.0048636454361324</v>
      </c>
      <c r="W49" s="235">
        <f>IF(Table28[[#This Row],[Column1]]&gt;0,Table28[[#This Row],[Net Capital gain(Real)]],-1000)</f>
        <v>3368544.1464096517</v>
      </c>
      <c r="X49" s="63">
        <f>Table28[[#This Row],[Net Present value (real)]]-Table28[[#This Row],[Net Capital gain(Real)]]-Table28[[#This Row],[Savings* (real, full inflation* max year)]]</f>
        <v>0</v>
      </c>
      <c r="Y49" s="63">
        <f t="shared" si="96"/>
        <v>7394348.6378119616</v>
      </c>
      <c r="Z49" s="63">
        <f t="shared" si="31"/>
        <v>2194099.5466073547</v>
      </c>
      <c r="AA49" s="243">
        <f>((Table28[[#This Row],[Net Present value (real)]]-Table28[[#This Row],[Net deposit (real)]]))</f>
        <v>2854630.7581367064</v>
      </c>
      <c r="AB49" s="241">
        <f>((Table28[[#This Row],[Net gain on deposit]] / Table28[[#This Row],[Net deposit (real)]]))</f>
        <v>1.3010488801890068</v>
      </c>
      <c r="AC49" s="241">
        <f>IF(AB48=0,0,IF(Table28[[#This Row],[Net gain on deposit/Deposit]]&gt;ROUNDUP(AB48,1),Table28[[#This Row],[Net gain on deposit/Deposit]],0))</f>
        <v>1.3010488801890068</v>
      </c>
      <c r="AD49" s="242">
        <f>IF(Table28[[#This Row],[Column13]]&gt;0,Table28[[#This Row],[Net gain on deposit]],-1000)</f>
        <v>2854630.7581367064</v>
      </c>
      <c r="AU49">
        <v>47</v>
      </c>
      <c r="AV49" s="63">
        <f t="shared" si="77"/>
        <v>481077.19232168165</v>
      </c>
      <c r="AW49" s="112">
        <f t="shared" si="32"/>
        <v>481077.19232168165</v>
      </c>
      <c r="AX49" s="63">
        <f t="shared" si="78"/>
        <v>154495.90035550456</v>
      </c>
      <c r="AY49" s="194">
        <f t="shared" si="71"/>
        <v>5231849.1155384928</v>
      </c>
      <c r="AZ49" s="112">
        <f>SUM($AV$3:$AV49)</f>
        <v>5231849.1155384928</v>
      </c>
      <c r="BA49" s="63">
        <f t="shared" si="79"/>
        <v>1680186.1583344084</v>
      </c>
      <c r="BB49" s="63">
        <f>SUM($AX$3:$AX49)</f>
        <v>2183939.8718807297</v>
      </c>
      <c r="BC49" s="63">
        <f t="shared" si="97"/>
        <v>16267258.686959052</v>
      </c>
      <c r="BD49" s="114">
        <f t="shared" si="80"/>
        <v>14174519.040743655</v>
      </c>
      <c r="BE49" s="72">
        <f t="shared" si="36"/>
        <v>2092739.6462153979</v>
      </c>
      <c r="BF49" s="72">
        <f t="shared" si="81"/>
        <v>0</v>
      </c>
      <c r="BG49" s="63">
        <f t="shared" si="98"/>
        <v>0</v>
      </c>
      <c r="BH49" s="114">
        <f t="shared" si="82"/>
        <v>0</v>
      </c>
      <c r="BI49" s="63">
        <f t="shared" si="99"/>
        <v>3139109.4693230977</v>
      </c>
      <c r="BJ49" s="114">
        <f t="shared" si="83"/>
        <v>0</v>
      </c>
      <c r="BK49" s="119">
        <f t="shared" si="11"/>
        <v>19406368.156282149</v>
      </c>
      <c r="BL49" s="126">
        <f t="shared" si="39"/>
        <v>14174519.040743655</v>
      </c>
      <c r="BM49" s="120">
        <f t="shared" si="84"/>
        <v>6232272.8426717762</v>
      </c>
      <c r="BN49" s="113">
        <f t="shared" si="85"/>
        <v>4552086.6843373673</v>
      </c>
      <c r="BO49" s="63">
        <f t="shared" si="86"/>
        <v>3368544.1464096517</v>
      </c>
      <c r="BP49" s="63">
        <f t="shared" si="40"/>
        <v>1183542.537927716</v>
      </c>
      <c r="BQ49" s="63">
        <f t="shared" si="87"/>
        <v>0</v>
      </c>
      <c r="BR49" s="63">
        <f t="shared" si="88"/>
        <v>0</v>
      </c>
      <c r="BS49" s="63">
        <f t="shared" si="41"/>
        <v>0</v>
      </c>
      <c r="BT49" s="63">
        <f t="shared" si="89"/>
        <v>0</v>
      </c>
      <c r="BU49" s="63"/>
      <c r="BV49" s="63">
        <f t="shared" si="42"/>
        <v>3685374.9505933505</v>
      </c>
      <c r="BW49" s="63">
        <f t="shared" si="90"/>
        <v>1183542.5379277156</v>
      </c>
      <c r="BX49" s="113">
        <f t="shared" si="91"/>
        <v>15720993.205688799</v>
      </c>
      <c r="BY49" s="63">
        <f t="shared" si="92"/>
        <v>5048730.3047440611</v>
      </c>
      <c r="BZ49" s="63">
        <f t="shared" si="43"/>
        <v>5048730.3047440611</v>
      </c>
      <c r="CA49" s="63">
        <f t="shared" si="93"/>
        <v>0</v>
      </c>
      <c r="CB49" s="204">
        <f t="shared" si="44"/>
        <v>1.5424161579628297</v>
      </c>
      <c r="CC49" s="63">
        <f t="shared" si="45"/>
        <v>3368544.1464096517</v>
      </c>
      <c r="CD49" s="63">
        <f t="shared" si="46"/>
        <v>3368544.1464096517</v>
      </c>
      <c r="CE49" s="63">
        <f t="shared" si="47"/>
        <v>3368544.1464096517</v>
      </c>
      <c r="CF49" s="63">
        <f t="shared" si="48"/>
        <v>3368544.1464096517</v>
      </c>
      <c r="CG49" s="63">
        <f t="shared" si="49"/>
        <v>3368544.1464096517</v>
      </c>
      <c r="CH49" s="63">
        <f t="shared" si="50"/>
        <v>3368544.1464096517</v>
      </c>
      <c r="CI49" s="63">
        <f t="shared" si="51"/>
        <v>3368544.1464096517</v>
      </c>
      <c r="CJ49" s="63">
        <f t="shared" si="52"/>
        <v>3368544.1464096517</v>
      </c>
      <c r="CK49" s="63">
        <f t="shared" si="53"/>
        <v>3368544.1464096517</v>
      </c>
      <c r="CL49" s="63">
        <f t="shared" si="54"/>
        <v>3368544.1464096517</v>
      </c>
      <c r="CM49" s="63">
        <f t="shared" si="55"/>
        <v>3368544.1464096517</v>
      </c>
      <c r="CN49" s="63">
        <f t="shared" si="56"/>
        <v>3368544.1464096517</v>
      </c>
      <c r="CO49" s="63">
        <f t="shared" si="57"/>
        <v>0</v>
      </c>
      <c r="CP49" s="63">
        <f t="shared" si="58"/>
        <v>0</v>
      </c>
      <c r="CQ49" s="63">
        <f t="shared" si="59"/>
        <v>0</v>
      </c>
      <c r="CR49" s="63">
        <f t="shared" si="60"/>
        <v>0</v>
      </c>
      <c r="CS49" s="63">
        <f t="shared" si="61"/>
        <v>0</v>
      </c>
      <c r="CT49" s="63">
        <f t="shared" si="62"/>
        <v>0</v>
      </c>
      <c r="CU49" s="63">
        <f t="shared" si="63"/>
        <v>0</v>
      </c>
      <c r="CV49" s="63">
        <f t="shared" si="64"/>
        <v>0</v>
      </c>
      <c r="CW49" s="63">
        <f t="shared" si="65"/>
        <v>-1000</v>
      </c>
      <c r="CY49" s="63">
        <f t="shared" si="100"/>
        <v>7394348.6378119616</v>
      </c>
      <c r="CZ49" s="63">
        <f t="shared" si="67"/>
        <v>2162499.5222734688</v>
      </c>
      <c r="DA49" s="63">
        <f t="shared" si="101"/>
        <v>562249.87579110195</v>
      </c>
      <c r="DB49" s="63">
        <f t="shared" si="102"/>
        <v>180564.16344725137</v>
      </c>
      <c r="DC49" s="63">
        <f t="shared" si="94"/>
        <v>2374663.7100546062</v>
      </c>
      <c r="DD49" s="63">
        <f t="shared" si="70"/>
        <v>2194099.5466073547</v>
      </c>
    </row>
    <row r="50" spans="2:108" x14ac:dyDescent="0.3">
      <c r="B50">
        <v>50</v>
      </c>
      <c r="C50">
        <v>48</v>
      </c>
      <c r="D50" s="63">
        <f t="shared" si="95"/>
        <v>5761034.0270923423</v>
      </c>
      <c r="E50" s="63">
        <f t="shared" si="24"/>
        <v>1805006.4865614276</v>
      </c>
      <c r="F50" s="63">
        <f>SUM($AX$3:$AX50)</f>
        <v>2349740.3503110274</v>
      </c>
      <c r="G50" s="63">
        <f t="shared" si="72"/>
        <v>21985227.662392844</v>
      </c>
      <c r="H50" s="63">
        <f t="shared" si="73"/>
        <v>12200326.019123033</v>
      </c>
      <c r="I50" s="63">
        <f>( Table28[[#This Row],[Future value (Nominal)]]-Table28[[#This Row],[Tax (Nominal)]] ) -K50</f>
        <v>12200326.019123033</v>
      </c>
      <c r="J50" s="63">
        <f t="shared" si="74"/>
        <v>6888256.23187258</v>
      </c>
      <c r="K50" s="63">
        <f t="shared" si="2"/>
        <v>5566611.2980916798</v>
      </c>
      <c r="L50" s="63">
        <f t="shared" si="26"/>
        <v>4218290.3451781301</v>
      </c>
      <c r="M50" s="63">
        <f t="shared" si="3"/>
        <v>1321644.9337808995</v>
      </c>
      <c r="N50" s="63">
        <f t="shared" si="27"/>
        <v>16224193.635300498</v>
      </c>
      <c r="O50" s="63">
        <f t="shared" si="75"/>
        <v>3761604.8115302515</v>
      </c>
      <c r="P50" s="147">
        <f t="shared" si="28"/>
        <v>0.54608955951295179</v>
      </c>
      <c r="Q50" s="145">
        <f t="shared" si="29"/>
        <v>1.6008597762858094</v>
      </c>
      <c r="R50" s="145">
        <f>Table28[[#This Row],[Net Capital gain(Real)]]/Table28[[#This Row],[Savings (Real, adj. per year)]]</f>
        <v>1.6008597762864907</v>
      </c>
      <c r="S50" s="63">
        <f t="shared" si="76"/>
        <v>3761604.8115302515</v>
      </c>
      <c r="T50" s="145">
        <f>IF(Table28[[#This Row],[+10% Net Gain/Savings (real, adj.)'']]&gt;0,Table28[[#This Row],[Real Capital gain/Savings (adj. per year)]],-0.000001)</f>
        <v>1.6008597762858094</v>
      </c>
      <c r="U50" s="208">
        <f>((Table28[[#This Row],[Net Present value (real)]]-Table28[[#This Row],[Savings* (real, full inflation* max year)]])) /Table28[[#This Row],[Savings* (real, full inflation* max year)]]</f>
        <v>2.0839840961991123</v>
      </c>
      <c r="V50" s="208">
        <f>IF(U49=0,0,IF(Table28[[#This Row],[Real Capital gain/Savings* (all inflation)]]&gt;ROUNDUP(U49,1),Table28[[#This Row],[Real Capital gain/Savings* (all inflation)]],0))</f>
        <v>0</v>
      </c>
      <c r="W50" s="235">
        <f>IF(Table28[[#This Row],[Column1]]&gt;0,Table28[[#This Row],[Net Capital gain(Real)]],-1000)</f>
        <v>-1000</v>
      </c>
      <c r="X50" s="63">
        <f>Table28[[#This Row],[Net Present value (real)]]-Table28[[#This Row],[Net Capital gain(Real)]]-Table28[[#This Row],[Savings* (real, full inflation* max year)]]</f>
        <v>0</v>
      </c>
      <c r="Y50" s="63">
        <f t="shared" si="96"/>
        <v>8160152.7057757936</v>
      </c>
      <c r="Z50" s="63">
        <f t="shared" si="31"/>
        <v>2361245.9255146366</v>
      </c>
      <c r="AA50" s="243">
        <f>((Table28[[#This Row],[Net Present value (real)]]-Table28[[#This Row],[Net deposit (real)]]))</f>
        <v>3205365.3725770433</v>
      </c>
      <c r="AB50" s="241">
        <f>((Table28[[#This Row],[Net gain on deposit]] / Table28[[#This Row],[Net deposit (real)]]))</f>
        <v>1.3574890010147629</v>
      </c>
      <c r="AC50" s="241">
        <f>IF(AB49=0,0,IF(Table28[[#This Row],[Net gain on deposit/Deposit]]&gt;ROUNDUP(AB49,1),Table28[[#This Row],[Net gain on deposit/Deposit]],0))</f>
        <v>0</v>
      </c>
      <c r="AD50" s="242">
        <f>IF(Table28[[#This Row],[Column13]]&gt;0,Table28[[#This Row],[Net gain on deposit]],-1000)</f>
        <v>-1000</v>
      </c>
      <c r="AU50">
        <v>48</v>
      </c>
      <c r="AV50" s="63">
        <f t="shared" si="77"/>
        <v>529184.91155384982</v>
      </c>
      <c r="AW50" s="112">
        <f t="shared" si="32"/>
        <v>529184.91155384982</v>
      </c>
      <c r="AX50" s="63">
        <f t="shared" si="78"/>
        <v>165800.47843029757</v>
      </c>
      <c r="AY50" s="194">
        <f t="shared" si="71"/>
        <v>5761034.0270923423</v>
      </c>
      <c r="AZ50" s="112">
        <f>SUM($AV$3:$AV50)</f>
        <v>5761034.0270923423</v>
      </c>
      <c r="BA50" s="63">
        <f t="shared" si="79"/>
        <v>1805006.4865614276</v>
      </c>
      <c r="BB50" s="63">
        <f>SUM($AX$3:$AX50)</f>
        <v>2349740.3503110274</v>
      </c>
      <c r="BC50" s="63">
        <f t="shared" si="97"/>
        <v>18528607.246137436</v>
      </c>
      <c r="BD50" s="114">
        <f t="shared" si="80"/>
        <v>16224193.635300498</v>
      </c>
      <c r="BE50" s="72">
        <f t="shared" si="36"/>
        <v>2304413.610836938</v>
      </c>
      <c r="BF50" s="72">
        <f t="shared" si="81"/>
        <v>0</v>
      </c>
      <c r="BG50" s="63">
        <f t="shared" si="98"/>
        <v>0</v>
      </c>
      <c r="BH50" s="114">
        <f t="shared" si="82"/>
        <v>0</v>
      </c>
      <c r="BI50" s="63">
        <f t="shared" si="99"/>
        <v>3456620.4162554075</v>
      </c>
      <c r="BJ50" s="114">
        <f t="shared" si="83"/>
        <v>0</v>
      </c>
      <c r="BK50" s="119">
        <f t="shared" si="11"/>
        <v>21985227.662392844</v>
      </c>
      <c r="BL50" s="126">
        <f t="shared" si="39"/>
        <v>16224193.635300498</v>
      </c>
      <c r="BM50" s="120">
        <f t="shared" si="84"/>
        <v>6888256.23187258</v>
      </c>
      <c r="BN50" s="113">
        <f t="shared" si="85"/>
        <v>5083249.7453111513</v>
      </c>
      <c r="BO50" s="63">
        <f t="shared" si="86"/>
        <v>3761604.8115302515</v>
      </c>
      <c r="BP50" s="63">
        <f t="shared" si="40"/>
        <v>1321644.9337809011</v>
      </c>
      <c r="BQ50" s="63">
        <f t="shared" si="87"/>
        <v>0</v>
      </c>
      <c r="BR50" s="63">
        <f t="shared" si="88"/>
        <v>0</v>
      </c>
      <c r="BS50" s="63">
        <f t="shared" si="41"/>
        <v>0</v>
      </c>
      <c r="BT50" s="63">
        <f t="shared" si="89"/>
        <v>0</v>
      </c>
      <c r="BU50" s="63"/>
      <c r="BV50" s="63">
        <f t="shared" si="42"/>
        <v>4218290.3451781301</v>
      </c>
      <c r="BW50" s="63">
        <f t="shared" si="90"/>
        <v>1321644.9337808995</v>
      </c>
      <c r="BX50" s="113">
        <f t="shared" si="91"/>
        <v>17766937.317214713</v>
      </c>
      <c r="BY50" s="63">
        <f t="shared" si="92"/>
        <v>5566611.2980916798</v>
      </c>
      <c r="BZ50" s="63">
        <f t="shared" si="43"/>
        <v>5566611.2980916807</v>
      </c>
      <c r="CA50" s="63">
        <f t="shared" si="93"/>
        <v>0</v>
      </c>
      <c r="CB50" s="204">
        <f t="shared" si="44"/>
        <v>1.6008597762858094</v>
      </c>
      <c r="CC50" s="63">
        <f t="shared" si="45"/>
        <v>3761604.8115302515</v>
      </c>
      <c r="CD50" s="63">
        <f t="shared" si="46"/>
        <v>3761604.8115302515</v>
      </c>
      <c r="CE50" s="63">
        <f t="shared" si="47"/>
        <v>3761604.8115302515</v>
      </c>
      <c r="CF50" s="63">
        <f t="shared" si="48"/>
        <v>3761604.8115302515</v>
      </c>
      <c r="CG50" s="63">
        <f t="shared" si="49"/>
        <v>3761604.8115302515</v>
      </c>
      <c r="CH50" s="63">
        <f t="shared" si="50"/>
        <v>3761604.8115302515</v>
      </c>
      <c r="CI50" s="63">
        <f t="shared" si="51"/>
        <v>3761604.8115302515</v>
      </c>
      <c r="CJ50" s="63">
        <f t="shared" si="52"/>
        <v>3761604.8115302515</v>
      </c>
      <c r="CK50" s="63">
        <f t="shared" si="53"/>
        <v>3761604.8115302515</v>
      </c>
      <c r="CL50" s="63">
        <f t="shared" si="54"/>
        <v>3761604.8115302515</v>
      </c>
      <c r="CM50" s="63">
        <f t="shared" si="55"/>
        <v>3761604.8115302515</v>
      </c>
      <c r="CN50" s="63">
        <f t="shared" si="56"/>
        <v>3761604.8115302515</v>
      </c>
      <c r="CO50" s="63">
        <f t="shared" si="57"/>
        <v>3761604.8115302515</v>
      </c>
      <c r="CP50" s="63">
        <f t="shared" si="58"/>
        <v>0</v>
      </c>
      <c r="CQ50" s="63">
        <f t="shared" si="59"/>
        <v>0</v>
      </c>
      <c r="CR50" s="63">
        <f t="shared" si="60"/>
        <v>0</v>
      </c>
      <c r="CS50" s="63">
        <f t="shared" si="61"/>
        <v>0</v>
      </c>
      <c r="CT50" s="63">
        <f t="shared" si="62"/>
        <v>0</v>
      </c>
      <c r="CU50" s="63">
        <f t="shared" si="63"/>
        <v>0</v>
      </c>
      <c r="CV50" s="63">
        <f t="shared" si="64"/>
        <v>0</v>
      </c>
      <c r="CW50" s="63">
        <f t="shared" si="65"/>
        <v>3761604.8115302515</v>
      </c>
      <c r="CY50" s="63">
        <f t="shared" si="100"/>
        <v>8160152.7057757936</v>
      </c>
      <c r="CZ50" s="63">
        <f t="shared" si="67"/>
        <v>2399118.6786834514</v>
      </c>
      <c r="DA50" s="63">
        <f t="shared" si="101"/>
        <v>623770.85645769734</v>
      </c>
      <c r="DB50" s="63">
        <f t="shared" si="102"/>
        <v>195435.47855112745</v>
      </c>
      <c r="DC50" s="63">
        <f t="shared" si="94"/>
        <v>2556681.404065764</v>
      </c>
      <c r="DD50" s="63">
        <f t="shared" si="70"/>
        <v>2361245.9255146366</v>
      </c>
    </row>
    <row r="51" spans="2:108" x14ac:dyDescent="0.3">
      <c r="B51">
        <v>50</v>
      </c>
      <c r="C51">
        <v>49</v>
      </c>
      <c r="D51" s="63">
        <f t="shared" si="95"/>
        <v>6343137.4298015768</v>
      </c>
      <c r="E51" s="63">
        <f t="shared" si="24"/>
        <v>1938914.1588631754</v>
      </c>
      <c r="F51" s="63">
        <f>SUM($AX$3:$AX51)</f>
        <v>2527672.5710654929</v>
      </c>
      <c r="G51" s="63">
        <f t="shared" si="72"/>
        <v>24901935.578115396</v>
      </c>
      <c r="H51" s="63">
        <f t="shared" si="73"/>
        <v>13939795.813172715</v>
      </c>
      <c r="I51" s="63">
        <f>( Table28[[#This Row],[Future value (Nominal)]]-Table28[[#This Row],[Tax (Nominal)]] ) -K51</f>
        <v>13939795.813172715</v>
      </c>
      <c r="J51" s="63">
        <f t="shared" si="74"/>
        <v>7611803.4663198134</v>
      </c>
      <c r="K51" s="63">
        <f t="shared" si="2"/>
        <v>6136852.2463810872</v>
      </c>
      <c r="L51" s="63">
        <f t="shared" si="26"/>
        <v>4825287.5185615923</v>
      </c>
      <c r="M51" s="63">
        <f t="shared" si="3"/>
        <v>1474951.2199387257</v>
      </c>
      <c r="N51" s="63">
        <f t="shared" si="27"/>
        <v>18558798.148313817</v>
      </c>
      <c r="O51" s="63">
        <f t="shared" si="75"/>
        <v>4197938.0875179116</v>
      </c>
      <c r="P51" s="147">
        <f t="shared" si="28"/>
        <v>0.55150374100402222</v>
      </c>
      <c r="Q51" s="145">
        <f t="shared" si="29"/>
        <v>1.6607918824496677</v>
      </c>
      <c r="R51" s="145">
        <f>Table28[[#This Row],[Net Capital gain(Real)]]/Table28[[#This Row],[Savings (Real, adj. per year)]]</f>
        <v>1.6607918824503245</v>
      </c>
      <c r="S51" s="63">
        <f t="shared" si="76"/>
        <v>-1000</v>
      </c>
      <c r="T51" s="145">
        <f>IF(Table28[[#This Row],[+10% Net Gain/Savings (real, adj.)'']]&gt;0,Table28[[#This Row],[Real Capital gain/Savings (adj. per year)]],-0.000001)</f>
        <v>-9.9999999999999995E-7</v>
      </c>
      <c r="U51" s="208">
        <f>((Table28[[#This Row],[Net Present value (real)]]-Table28[[#This Row],[Savings* (real, full inflation* max year)]])) /Table28[[#This Row],[Savings* (real, full inflation* max year)]]</f>
        <v>2.1650974429828538</v>
      </c>
      <c r="V51" s="208">
        <f>IF(U50=0,0,IF(Table28[[#This Row],[Real Capital gain/Savings* (all inflation)]]&gt;ROUNDUP(U50,1),Table28[[#This Row],[Real Capital gain/Savings* (all inflation)]],0))</f>
        <v>2.1650974429828538</v>
      </c>
      <c r="W51" s="235">
        <f>IF(Table28[[#This Row],[Column1]]&gt;0,Table28[[#This Row],[Net Capital gain(Real)]],-1000)</f>
        <v>4197938.0875179116</v>
      </c>
      <c r="X51" s="63">
        <f>Table28[[#This Row],[Net Present value (real)]]-Table28[[#This Row],[Net Capital gain(Real)]]-Table28[[#This Row],[Savings* (real, full inflation* max year)]]</f>
        <v>0</v>
      </c>
      <c r="Y51" s="63">
        <f t="shared" si="96"/>
        <v>9003380.995069854</v>
      </c>
      <c r="Z51" s="63">
        <f t="shared" si="31"/>
        <v>2540652.3584743817</v>
      </c>
      <c r="AA51" s="243">
        <f>((Table28[[#This Row],[Net Present value (real)]]-Table28[[#This Row],[Net deposit (real)]]))</f>
        <v>3596199.8879067055</v>
      </c>
      <c r="AB51" s="241">
        <f>((Table28[[#This Row],[Net gain on deposit]] / Table28[[#This Row],[Net deposit (real)]]))</f>
        <v>1.4154631883860576</v>
      </c>
      <c r="AC51" s="241">
        <f>IF(AB50=0,0,IF(Table28[[#This Row],[Net gain on deposit/Deposit]]&gt;ROUNDUP(AB50,1),Table28[[#This Row],[Net gain on deposit/Deposit]],0))</f>
        <v>1.4154631883860576</v>
      </c>
      <c r="AD51" s="242">
        <f>IF(Table28[[#This Row],[Column13]]&gt;0,Table28[[#This Row],[Net gain on deposit]],-1000)</f>
        <v>3596199.8879067055</v>
      </c>
      <c r="AU51">
        <v>49</v>
      </c>
      <c r="AV51" s="63">
        <f t="shared" si="77"/>
        <v>582103.40270923486</v>
      </c>
      <c r="AW51" s="112">
        <f t="shared" si="32"/>
        <v>582103.40270923486</v>
      </c>
      <c r="AX51" s="63">
        <f t="shared" si="78"/>
        <v>177932.2207544657</v>
      </c>
      <c r="AY51" s="194">
        <f t="shared" si="71"/>
        <v>6343137.4298015768</v>
      </c>
      <c r="AZ51" s="112">
        <f>SUM($AV$3:$AV51)</f>
        <v>6343137.4298015768</v>
      </c>
      <c r="BA51" s="63">
        <f t="shared" si="79"/>
        <v>1938914.1588631754</v>
      </c>
      <c r="BB51" s="63">
        <f>SUM($AX$3:$AX51)</f>
        <v>2527672.5710654929</v>
      </c>
      <c r="BC51" s="63">
        <f t="shared" si="97"/>
        <v>21096053.120234448</v>
      </c>
      <c r="BD51" s="114">
        <f t="shared" si="80"/>
        <v>18558798.148313817</v>
      </c>
      <c r="BE51" s="72">
        <f t="shared" si="36"/>
        <v>2537254.9719206318</v>
      </c>
      <c r="BF51" s="72">
        <f t="shared" si="81"/>
        <v>0</v>
      </c>
      <c r="BG51" s="63">
        <f t="shared" si="98"/>
        <v>0</v>
      </c>
      <c r="BH51" s="114">
        <f t="shared" si="82"/>
        <v>0</v>
      </c>
      <c r="BI51" s="63">
        <f t="shared" si="99"/>
        <v>3805882.4578809482</v>
      </c>
      <c r="BJ51" s="114">
        <f t="shared" si="83"/>
        <v>0</v>
      </c>
      <c r="BK51" s="119">
        <f t="shared" si="11"/>
        <v>24901935.578115396</v>
      </c>
      <c r="BL51" s="126">
        <f t="shared" si="39"/>
        <v>18558798.148313817</v>
      </c>
      <c r="BM51" s="120">
        <f t="shared" si="84"/>
        <v>7611803.4663198134</v>
      </c>
      <c r="BN51" s="113">
        <f t="shared" si="85"/>
        <v>5672889.3074566377</v>
      </c>
      <c r="BO51" s="63">
        <f t="shared" si="86"/>
        <v>4197938.0875179116</v>
      </c>
      <c r="BP51" s="63">
        <f t="shared" si="40"/>
        <v>1474951.2199387262</v>
      </c>
      <c r="BQ51" s="63">
        <f t="shared" si="87"/>
        <v>0</v>
      </c>
      <c r="BR51" s="63">
        <f t="shared" si="88"/>
        <v>0</v>
      </c>
      <c r="BS51" s="63">
        <f t="shared" si="41"/>
        <v>0</v>
      </c>
      <c r="BT51" s="63">
        <f t="shared" si="89"/>
        <v>0</v>
      </c>
      <c r="BU51" s="63"/>
      <c r="BV51" s="63">
        <f t="shared" si="42"/>
        <v>4825287.5185615923</v>
      </c>
      <c r="BW51" s="63">
        <f t="shared" si="90"/>
        <v>1474951.2199387257</v>
      </c>
      <c r="BX51" s="113">
        <f t="shared" si="91"/>
        <v>20076648.059553802</v>
      </c>
      <c r="BY51" s="63">
        <f t="shared" si="92"/>
        <v>6136852.2463810872</v>
      </c>
      <c r="BZ51" s="63">
        <f t="shared" si="43"/>
        <v>6136852.2463810872</v>
      </c>
      <c r="CA51" s="63">
        <f t="shared" si="93"/>
        <v>0</v>
      </c>
      <c r="CB51" s="204">
        <f t="shared" si="44"/>
        <v>1.6607918824496677</v>
      </c>
      <c r="CC51" s="63">
        <f t="shared" si="45"/>
        <v>4197938.0875179116</v>
      </c>
      <c r="CD51" s="63">
        <f t="shared" si="46"/>
        <v>4197938.0875179116</v>
      </c>
      <c r="CE51" s="63">
        <f t="shared" si="47"/>
        <v>4197938.0875179116</v>
      </c>
      <c r="CF51" s="63">
        <f t="shared" si="48"/>
        <v>4197938.0875179116</v>
      </c>
      <c r="CG51" s="63">
        <f t="shared" si="49"/>
        <v>4197938.0875179116</v>
      </c>
      <c r="CH51" s="63">
        <f t="shared" si="50"/>
        <v>4197938.0875179116</v>
      </c>
      <c r="CI51" s="63">
        <f t="shared" si="51"/>
        <v>4197938.0875179116</v>
      </c>
      <c r="CJ51" s="63">
        <f t="shared" si="52"/>
        <v>4197938.0875179116</v>
      </c>
      <c r="CK51" s="63">
        <f t="shared" si="53"/>
        <v>4197938.0875179116</v>
      </c>
      <c r="CL51" s="63">
        <f t="shared" si="54"/>
        <v>4197938.0875179116</v>
      </c>
      <c r="CM51" s="63">
        <f t="shared" si="55"/>
        <v>4197938.0875179116</v>
      </c>
      <c r="CN51" s="63">
        <f t="shared" si="56"/>
        <v>4197938.0875179116</v>
      </c>
      <c r="CO51" s="63">
        <f t="shared" si="57"/>
        <v>4197938.0875179116</v>
      </c>
      <c r="CP51" s="63">
        <f t="shared" si="58"/>
        <v>0</v>
      </c>
      <c r="CQ51" s="63">
        <f t="shared" si="59"/>
        <v>0</v>
      </c>
      <c r="CR51" s="63">
        <f t="shared" si="60"/>
        <v>0</v>
      </c>
      <c r="CS51" s="63">
        <f t="shared" si="61"/>
        <v>0</v>
      </c>
      <c r="CT51" s="63">
        <f t="shared" si="62"/>
        <v>0</v>
      </c>
      <c r="CU51" s="63">
        <f t="shared" si="63"/>
        <v>0</v>
      </c>
      <c r="CV51" s="63">
        <f t="shared" si="64"/>
        <v>0</v>
      </c>
      <c r="CW51" s="63">
        <f t="shared" si="65"/>
        <v>-1000</v>
      </c>
      <c r="CY51" s="63">
        <f t="shared" si="100"/>
        <v>9003380.995069854</v>
      </c>
      <c r="CZ51" s="63">
        <f t="shared" si="67"/>
        <v>2660243.5652682772</v>
      </c>
      <c r="DA51" s="63">
        <f t="shared" si="101"/>
        <v>691663.32696975209</v>
      </c>
      <c r="DB51" s="63">
        <f t="shared" si="102"/>
        <v>211421.5295931265</v>
      </c>
      <c r="DC51" s="63">
        <f t="shared" si="94"/>
        <v>2752073.8880675081</v>
      </c>
      <c r="DD51" s="63">
        <f t="shared" si="70"/>
        <v>2540652.3584743817</v>
      </c>
    </row>
    <row r="52" spans="2:108" x14ac:dyDescent="0.3">
      <c r="B52">
        <v>50</v>
      </c>
      <c r="C52">
        <v>50</v>
      </c>
      <c r="D52" s="63">
        <f t="shared" si="95"/>
        <v>6983451.1727817357</v>
      </c>
      <c r="E52" s="63">
        <f t="shared" si="24"/>
        <v>2082575.2211639886</v>
      </c>
      <c r="F52" s="63">
        <f>SUM($AX$3:$AX52)</f>
        <v>2718624.2226068708</v>
      </c>
      <c r="G52" s="63">
        <f t="shared" si="72"/>
        <v>28200352.0142451</v>
      </c>
      <c r="H52" s="63">
        <f t="shared" si="73"/>
        <v>15919244.009408802</v>
      </c>
      <c r="I52" s="63">
        <f>( Table28[[#This Row],[Future value (Nominal)]]-Table28[[#This Row],[Tax (Nominal)]] ) -K52</f>
        <v>15919244.009408802</v>
      </c>
      <c r="J52" s="63">
        <f t="shared" si="74"/>
        <v>8409789.4980448484</v>
      </c>
      <c r="K52" s="63">
        <f t="shared" si="2"/>
        <v>6764713.7860558257</v>
      </c>
      <c r="L52" s="63">
        <f t="shared" si="26"/>
        <v>5516394.2187804738</v>
      </c>
      <c r="M52" s="63">
        <f t="shared" si="3"/>
        <v>1645075.7119890233</v>
      </c>
      <c r="N52" s="63">
        <f t="shared" si="27"/>
        <v>21216900.841463361</v>
      </c>
      <c r="O52" s="63">
        <f t="shared" si="75"/>
        <v>4682138.5648918357</v>
      </c>
      <c r="P52" s="147">
        <f t="shared" si="28"/>
        <v>0.55674860422186412</v>
      </c>
      <c r="Q52" s="145">
        <f t="shared" si="29"/>
        <v>1.7222455850851068</v>
      </c>
      <c r="R52" s="145">
        <f>Table28[[#This Row],[Net Capital gain(Real)]]/Table28[[#This Row],[Savings (Real, adj. per year)]]</f>
        <v>1.7222455850857401</v>
      </c>
      <c r="S52" s="63">
        <f t="shared" si="76"/>
        <v>-1000</v>
      </c>
      <c r="T52" s="145">
        <f>IF(Table28[[#This Row],[+10% Net Gain/Savings (real, adj.)'']]&gt;0,Table28[[#This Row],[Real Capital gain/Savings (adj. per year)]],-0.000001)</f>
        <v>-9.9999999999999995E-7</v>
      </c>
      <c r="U52" s="208">
        <f>((Table28[[#This Row],[Net Present value (real)]]-Table28[[#This Row],[Savings* (real, full inflation* max year)]])) /Table28[[#This Row],[Savings* (real, full inflation* max year)]]</f>
        <v>2.2482446335239246</v>
      </c>
      <c r="V52" s="208">
        <f>IF(U51=0,0,IF(Table28[[#This Row],[Real Capital gain/Savings* (all inflation)]]&gt;ROUNDUP(U51,1),Table28[[#This Row],[Real Capital gain/Savings* (all inflation)]],0))</f>
        <v>2.2482446335239246</v>
      </c>
      <c r="W52" s="235">
        <f>IF(Table28[[#This Row],[Column1]]&gt;0,Table28[[#This Row],[Net Capital gain(Real)]],-1000)</f>
        <v>4682138.5648918357</v>
      </c>
      <c r="X52" s="63">
        <f>Table28[[#This Row],[Net Present value (real)]]-Table28[[#This Row],[Net Capital gain(Real)]]-Table28[[#This Row],[Savings* (real, full inflation* max year)]]</f>
        <v>0</v>
      </c>
      <c r="Y52" s="63">
        <f t="shared" si="96"/>
        <v>9931802.9298922475</v>
      </c>
      <c r="Z52" s="63">
        <f t="shared" si="31"/>
        <v>2733216.4985109591</v>
      </c>
      <c r="AA52" s="243">
        <f>((Table28[[#This Row],[Net Present value (real)]]-Table28[[#This Row],[Net deposit (real)]]))</f>
        <v>4031497.2875448666</v>
      </c>
      <c r="AB52" s="241">
        <f>((Table28[[#This Row],[Net gain on deposit]] / Table28[[#This Row],[Net deposit (real)]]))</f>
        <v>1.4750010801344144</v>
      </c>
      <c r="AC52" s="241">
        <f>IF(AB51=0,0,IF(Table28[[#This Row],[Net gain on deposit/Deposit]]&gt;ROUNDUP(AB51,1),Table28[[#This Row],[Net gain on deposit/Deposit]],0))</f>
        <v>0</v>
      </c>
      <c r="AD52" s="242">
        <f>IF(Table28[[#This Row],[Column13]]&gt;0,Table28[[#This Row],[Net gain on deposit]],-1000)</f>
        <v>-1000</v>
      </c>
      <c r="AU52">
        <v>50</v>
      </c>
      <c r="AV52" s="63">
        <f t="shared" si="77"/>
        <v>640313.74298015842</v>
      </c>
      <c r="AW52" s="112">
        <f t="shared" si="32"/>
        <v>640313.74298015842</v>
      </c>
      <c r="AX52" s="63">
        <f t="shared" si="78"/>
        <v>190951.65154137788</v>
      </c>
      <c r="AY52" s="194">
        <f t="shared" si="71"/>
        <v>6983451.1727817357</v>
      </c>
      <c r="AZ52" s="112">
        <f>SUM($AV$3:$AV52)</f>
        <v>6983451.1727817357</v>
      </c>
      <c r="BA52" s="63">
        <f t="shared" si="79"/>
        <v>2082575.2211639886</v>
      </c>
      <c r="BB52" s="63">
        <f>SUM($AX$3:$AX52)</f>
        <v>2718624.2226068708</v>
      </c>
      <c r="BC52" s="63">
        <f t="shared" si="97"/>
        <v>24010281.310576055</v>
      </c>
      <c r="BD52" s="114">
        <f t="shared" si="80"/>
        <v>21216900.841463361</v>
      </c>
      <c r="BE52" s="72">
        <f t="shared" si="36"/>
        <v>2793380.4691126943</v>
      </c>
      <c r="BF52" s="72">
        <f t="shared" si="81"/>
        <v>0</v>
      </c>
      <c r="BG52" s="63">
        <f t="shared" si="98"/>
        <v>0</v>
      </c>
      <c r="BH52" s="114">
        <f t="shared" si="82"/>
        <v>0</v>
      </c>
      <c r="BI52" s="63">
        <f t="shared" si="99"/>
        <v>4190070.7036690433</v>
      </c>
      <c r="BJ52" s="114">
        <f t="shared" si="83"/>
        <v>0</v>
      </c>
      <c r="BK52" s="119">
        <f t="shared" si="11"/>
        <v>28200352.0142451</v>
      </c>
      <c r="BL52" s="126">
        <f t="shared" si="39"/>
        <v>21216900.841463361</v>
      </c>
      <c r="BM52" s="120">
        <f t="shared" si="84"/>
        <v>8409789.4980448484</v>
      </c>
      <c r="BN52" s="113">
        <f t="shared" si="85"/>
        <v>6327214.2768808585</v>
      </c>
      <c r="BO52" s="63">
        <f t="shared" si="86"/>
        <v>4682138.5648918357</v>
      </c>
      <c r="BP52" s="63">
        <f t="shared" si="40"/>
        <v>1645075.7119890247</v>
      </c>
      <c r="BQ52" s="63">
        <f t="shared" si="87"/>
        <v>0</v>
      </c>
      <c r="BR52" s="63">
        <f t="shared" si="88"/>
        <v>0</v>
      </c>
      <c r="BS52" s="63">
        <f t="shared" si="41"/>
        <v>0</v>
      </c>
      <c r="BT52" s="63">
        <f t="shared" si="89"/>
        <v>0</v>
      </c>
      <c r="BU52" s="63"/>
      <c r="BV52" s="63">
        <f t="shared" si="42"/>
        <v>5516394.2187804738</v>
      </c>
      <c r="BW52" s="63">
        <f t="shared" si="90"/>
        <v>1645075.7119890233</v>
      </c>
      <c r="BX52" s="113">
        <f t="shared" si="91"/>
        <v>22683957.795464627</v>
      </c>
      <c r="BY52" s="63">
        <f t="shared" si="92"/>
        <v>6764713.7860558257</v>
      </c>
      <c r="BZ52" s="63">
        <f t="shared" si="43"/>
        <v>6764713.7860558257</v>
      </c>
      <c r="CA52" s="63">
        <f t="shared" si="93"/>
        <v>0</v>
      </c>
      <c r="CB52" s="204">
        <f t="shared" si="44"/>
        <v>1.7222455850851068</v>
      </c>
      <c r="CC52" s="63">
        <f t="shared" si="45"/>
        <v>4682138.5648918357</v>
      </c>
      <c r="CD52" s="63">
        <f t="shared" si="46"/>
        <v>4682138.5648918357</v>
      </c>
      <c r="CE52" s="63">
        <f t="shared" si="47"/>
        <v>4682138.5648918357</v>
      </c>
      <c r="CF52" s="63">
        <f t="shared" si="48"/>
        <v>4682138.5648918357</v>
      </c>
      <c r="CG52" s="63">
        <f t="shared" si="49"/>
        <v>4682138.5648918357</v>
      </c>
      <c r="CH52" s="63">
        <f t="shared" si="50"/>
        <v>4682138.5648918357</v>
      </c>
      <c r="CI52" s="63">
        <f t="shared" si="51"/>
        <v>4682138.5648918357</v>
      </c>
      <c r="CJ52" s="63">
        <f t="shared" si="52"/>
        <v>4682138.5648918357</v>
      </c>
      <c r="CK52" s="63">
        <f t="shared" si="53"/>
        <v>4682138.5648918357</v>
      </c>
      <c r="CL52" s="63">
        <f t="shared" si="54"/>
        <v>4682138.5648918357</v>
      </c>
      <c r="CM52" s="63">
        <f t="shared" si="55"/>
        <v>4682138.5648918357</v>
      </c>
      <c r="CN52" s="63">
        <f t="shared" si="56"/>
        <v>4682138.5648918357</v>
      </c>
      <c r="CO52" s="63">
        <f t="shared" si="57"/>
        <v>4682138.5648918357</v>
      </c>
      <c r="CP52" s="63">
        <f t="shared" si="58"/>
        <v>0</v>
      </c>
      <c r="CQ52" s="63">
        <f t="shared" si="59"/>
        <v>0</v>
      </c>
      <c r="CR52" s="63">
        <f t="shared" si="60"/>
        <v>0</v>
      </c>
      <c r="CS52" s="63">
        <f t="shared" si="61"/>
        <v>0</v>
      </c>
      <c r="CT52" s="63">
        <f t="shared" si="62"/>
        <v>0</v>
      </c>
      <c r="CU52" s="63">
        <f t="shared" si="63"/>
        <v>0</v>
      </c>
      <c r="CV52" s="63">
        <f t="shared" si="64"/>
        <v>0</v>
      </c>
      <c r="CW52" s="63">
        <f t="shared" si="65"/>
        <v>-1000</v>
      </c>
      <c r="CY52" s="63">
        <f t="shared" si="100"/>
        <v>9931802.9298922475</v>
      </c>
      <c r="CZ52" s="63">
        <f t="shared" si="67"/>
        <v>2948351.7571105119</v>
      </c>
      <c r="DA52" s="63">
        <f t="shared" si="101"/>
        <v>766571.45684873313</v>
      </c>
      <c r="DB52" s="63">
        <f t="shared" si="102"/>
        <v>228603.69204082747</v>
      </c>
      <c r="DC52" s="63">
        <f t="shared" si="94"/>
        <v>2961820.1905517867</v>
      </c>
      <c r="DD52" s="63">
        <f t="shared" si="70"/>
        <v>2733216.4985109591</v>
      </c>
    </row>
    <row r="53" spans="2:108" x14ac:dyDescent="0.3">
      <c r="D53" s="63"/>
      <c r="E53" s="63"/>
      <c r="F53" s="63"/>
      <c r="G53" s="63"/>
      <c r="H53" s="63"/>
      <c r="I53" s="63"/>
      <c r="J53" s="63"/>
      <c r="K53" s="63"/>
      <c r="L53" s="63"/>
      <c r="M53" s="63"/>
      <c r="N53" s="63"/>
    </row>
    <row r="54" spans="2:108" x14ac:dyDescent="0.3">
      <c r="D54" s="63"/>
      <c r="E54" s="63"/>
      <c r="F54" s="63"/>
      <c r="G54" s="63"/>
      <c r="H54" s="63"/>
      <c r="I54" s="63"/>
      <c r="J54" s="63"/>
      <c r="K54" s="63"/>
      <c r="L54" s="63"/>
      <c r="M54" s="63"/>
      <c r="N54" s="63"/>
    </row>
    <row r="55" spans="2:108" x14ac:dyDescent="0.3">
      <c r="D55" s="63"/>
      <c r="E55" s="63"/>
      <c r="F55" s="63"/>
      <c r="G55" s="63"/>
      <c r="H55" s="63"/>
      <c r="I55" s="63"/>
      <c r="J55" s="63"/>
      <c r="K55" s="63"/>
      <c r="L55" s="63"/>
      <c r="M55" s="63"/>
      <c r="N55" s="63"/>
    </row>
    <row r="56" spans="2:108" x14ac:dyDescent="0.3">
      <c r="D56" s="63"/>
      <c r="E56" s="63"/>
      <c r="F56" s="63"/>
      <c r="G56" s="63"/>
      <c r="H56" s="63"/>
      <c r="I56" s="63"/>
      <c r="J56" s="63"/>
      <c r="K56" s="63"/>
      <c r="L56" s="63"/>
      <c r="M56" s="63"/>
      <c r="N56" s="63"/>
    </row>
    <row r="57" spans="2:108" x14ac:dyDescent="0.3">
      <c r="D57" s="63"/>
      <c r="E57" s="63"/>
      <c r="F57" s="63"/>
      <c r="G57" s="63"/>
      <c r="H57" s="63"/>
      <c r="I57" s="63"/>
      <c r="J57" s="63"/>
      <c r="K57" s="63"/>
      <c r="L57" s="63"/>
      <c r="M57" s="63"/>
      <c r="N57" s="63"/>
    </row>
    <row r="58" spans="2:108" x14ac:dyDescent="0.3">
      <c r="D58" s="63"/>
      <c r="E58" s="63"/>
      <c r="F58" s="63"/>
      <c r="G58" s="63"/>
      <c r="H58" s="63"/>
      <c r="I58" s="63"/>
      <c r="J58" s="63"/>
      <c r="K58" s="63"/>
      <c r="L58" s="63"/>
      <c r="M58" s="63"/>
      <c r="N58" s="63"/>
    </row>
    <row r="59" spans="2:108" x14ac:dyDescent="0.3">
      <c r="D59" s="63"/>
      <c r="E59" s="63"/>
      <c r="F59" s="63"/>
      <c r="G59" s="63"/>
      <c r="H59" s="63"/>
      <c r="I59" s="63"/>
      <c r="J59" s="63"/>
      <c r="K59" s="63"/>
      <c r="L59" s="63"/>
      <c r="M59" s="63"/>
      <c r="N59" s="63"/>
    </row>
    <row r="60" spans="2:108" x14ac:dyDescent="0.3">
      <c r="D60" s="63"/>
      <c r="E60" s="63"/>
      <c r="F60" s="63"/>
      <c r="G60" s="63"/>
      <c r="H60" s="63"/>
      <c r="I60" s="63"/>
      <c r="J60" s="63"/>
      <c r="K60" s="63"/>
      <c r="L60" s="63"/>
      <c r="M60" s="63"/>
      <c r="N60" s="63"/>
    </row>
    <row r="61" spans="2:108" x14ac:dyDescent="0.3">
      <c r="D61" s="63"/>
      <c r="E61" s="63"/>
      <c r="F61" s="63"/>
      <c r="G61" s="63"/>
      <c r="H61" s="63"/>
      <c r="I61" s="63"/>
      <c r="J61" s="63"/>
      <c r="K61" s="63"/>
      <c r="L61" s="63"/>
      <c r="M61" s="63"/>
      <c r="N61" s="63"/>
    </row>
    <row r="62" spans="2:108" x14ac:dyDescent="0.3">
      <c r="D62" s="63"/>
      <c r="E62" s="63"/>
      <c r="F62" s="63"/>
      <c r="G62" s="63"/>
      <c r="H62" s="63"/>
      <c r="I62" s="63"/>
      <c r="J62" s="63"/>
      <c r="K62" s="63"/>
      <c r="L62" s="63"/>
      <c r="M62" s="63"/>
      <c r="N62" s="63"/>
    </row>
    <row r="63" spans="2:108" x14ac:dyDescent="0.3">
      <c r="J63" s="63"/>
      <c r="K63" s="63"/>
    </row>
    <row r="64" spans="2:108" x14ac:dyDescent="0.3">
      <c r="J64" s="63"/>
      <c r="K64" s="63"/>
    </row>
    <row r="65" spans="10:11" x14ac:dyDescent="0.3">
      <c r="J65" s="63"/>
      <c r="K65" s="63"/>
    </row>
    <row r="66" spans="10:11" x14ac:dyDescent="0.3">
      <c r="J66" s="63"/>
      <c r="K66" s="63"/>
    </row>
    <row r="67" spans="10:11" x14ac:dyDescent="0.3">
      <c r="J67" s="63"/>
      <c r="K67" s="63"/>
    </row>
    <row r="68" spans="10:11" x14ac:dyDescent="0.3">
      <c r="J68" s="63"/>
      <c r="K68" s="63"/>
    </row>
    <row r="69" spans="10:11" x14ac:dyDescent="0.3">
      <c r="J69" s="63"/>
      <c r="K69" s="63"/>
    </row>
    <row r="70" spans="10:11" x14ac:dyDescent="0.3">
      <c r="J70" s="63"/>
      <c r="K70" s="63"/>
    </row>
    <row r="71" spans="10:11" x14ac:dyDescent="0.3">
      <c r="J71" s="63"/>
      <c r="K71" s="63"/>
    </row>
    <row r="72" spans="10:11" x14ac:dyDescent="0.3">
      <c r="J72" s="63"/>
      <c r="K72" s="63"/>
    </row>
    <row r="73" spans="10:11" x14ac:dyDescent="0.3">
      <c r="J73" s="63"/>
      <c r="K73" s="63"/>
    </row>
    <row r="74" spans="10:11" x14ac:dyDescent="0.3">
      <c r="J74" s="63"/>
      <c r="K74" s="63"/>
    </row>
    <row r="75" spans="10:11" x14ac:dyDescent="0.3">
      <c r="J75" s="63"/>
      <c r="K75" s="63"/>
    </row>
    <row r="76" spans="10:11" x14ac:dyDescent="0.3">
      <c r="J76" s="63"/>
      <c r="K76" s="63"/>
    </row>
    <row r="77" spans="10:11" x14ac:dyDescent="0.3">
      <c r="J77" s="63"/>
      <c r="K77" s="63"/>
    </row>
    <row r="78" spans="10:11" x14ac:dyDescent="0.3">
      <c r="J78" s="63"/>
      <c r="K78" s="63"/>
    </row>
    <row r="79" spans="10:11" x14ac:dyDescent="0.3">
      <c r="J79" s="63"/>
      <c r="K79" s="63"/>
    </row>
    <row r="80" spans="10:11" x14ac:dyDescent="0.3">
      <c r="J80" s="63"/>
      <c r="K80" s="63"/>
    </row>
    <row r="81" spans="10:11" x14ac:dyDescent="0.3">
      <c r="J81" s="63"/>
      <c r="K81" s="63"/>
    </row>
    <row r="82" spans="10:11" x14ac:dyDescent="0.3">
      <c r="J82" s="63"/>
      <c r="K82" s="63"/>
    </row>
    <row r="83" spans="10:11" x14ac:dyDescent="0.3">
      <c r="J83" s="63"/>
      <c r="K83" s="63"/>
    </row>
    <row r="84" spans="10:11" x14ac:dyDescent="0.3">
      <c r="J84" s="63"/>
      <c r="K84" s="63"/>
    </row>
    <row r="85" spans="10:11" x14ac:dyDescent="0.3">
      <c r="J85" s="63"/>
      <c r="K85" s="63"/>
    </row>
    <row r="86" spans="10:11" x14ac:dyDescent="0.3">
      <c r="J86" s="63"/>
      <c r="K86" s="63"/>
    </row>
    <row r="87" spans="10:11" x14ac:dyDescent="0.3">
      <c r="J87" s="63"/>
      <c r="K87" s="63"/>
    </row>
    <row r="88" spans="10:11" x14ac:dyDescent="0.3">
      <c r="J88" s="63"/>
      <c r="K88" s="63"/>
    </row>
    <row r="89" spans="10:11" x14ac:dyDescent="0.3">
      <c r="J89" s="63"/>
      <c r="K89" s="63"/>
    </row>
    <row r="90" spans="10:11" x14ac:dyDescent="0.3">
      <c r="J90" s="63"/>
      <c r="K90" s="63"/>
    </row>
    <row r="91" spans="10:11" x14ac:dyDescent="0.3">
      <c r="J91" s="63"/>
      <c r="K91" s="63"/>
    </row>
    <row r="92" spans="10:11" x14ac:dyDescent="0.3">
      <c r="J92" s="63"/>
      <c r="K92" s="63"/>
    </row>
    <row r="93" spans="10:11" x14ac:dyDescent="0.3">
      <c r="J93" s="63"/>
      <c r="K93" s="63"/>
    </row>
    <row r="94" spans="10:11" x14ac:dyDescent="0.3">
      <c r="J94" s="63"/>
      <c r="K94" s="63"/>
    </row>
    <row r="95" spans="10:11" x14ac:dyDescent="0.3">
      <c r="J95" s="63"/>
      <c r="K95" s="63"/>
    </row>
    <row r="96" spans="10:11" x14ac:dyDescent="0.3">
      <c r="J96" s="63"/>
      <c r="K96" s="63"/>
    </row>
    <row r="97" spans="10:11" x14ac:dyDescent="0.3">
      <c r="J97" s="63"/>
      <c r="K97" s="63"/>
    </row>
    <row r="98" spans="10:11" x14ac:dyDescent="0.3">
      <c r="J98" s="63"/>
      <c r="K98" s="63"/>
    </row>
    <row r="99" spans="10:11" x14ac:dyDescent="0.3">
      <c r="J99" s="63"/>
      <c r="K99" s="63"/>
    </row>
    <row r="100" spans="10:11" x14ac:dyDescent="0.3">
      <c r="J100" s="63"/>
      <c r="K100" s="63"/>
    </row>
    <row r="101" spans="10:11" x14ac:dyDescent="0.3">
      <c r="J101" s="63"/>
      <c r="K101" s="63"/>
    </row>
    <row r="102" spans="10:11" x14ac:dyDescent="0.3">
      <c r="J102" s="63"/>
      <c r="K102" s="63"/>
    </row>
    <row r="103" spans="10:11" x14ac:dyDescent="0.3">
      <c r="J103" s="63"/>
      <c r="K103" s="63"/>
    </row>
    <row r="104" spans="10:11" x14ac:dyDescent="0.3">
      <c r="J104" s="63"/>
      <c r="K104" s="63"/>
    </row>
    <row r="105" spans="10:11" x14ac:dyDescent="0.3">
      <c r="J105" s="63"/>
      <c r="K105" s="63"/>
    </row>
    <row r="106" spans="10:11" x14ac:dyDescent="0.3">
      <c r="J106" s="63"/>
      <c r="K106" s="63"/>
    </row>
    <row r="107" spans="10:11" x14ac:dyDescent="0.3">
      <c r="J107" s="63"/>
      <c r="K107" s="63"/>
    </row>
    <row r="108" spans="10:11" x14ac:dyDescent="0.3">
      <c r="J108" s="63"/>
      <c r="K108" s="63"/>
    </row>
  </sheetData>
  <mergeCells count="5">
    <mergeCell ref="CB1:CG1"/>
    <mergeCell ref="AY1:BB1"/>
    <mergeCell ref="BX1:BY1"/>
    <mergeCell ref="BC1:BK1"/>
    <mergeCell ref="BV1:BW1"/>
  </mergeCells>
  <phoneticPr fontId="5" type="noConversion"/>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A5DFB-4C80-4F34-B290-0EE99220A0C9}">
  <dimension ref="A3:M21"/>
  <sheetViews>
    <sheetView topLeftCell="A6" zoomScaleNormal="100" workbookViewId="0">
      <selection activeCell="G9" sqref="G9"/>
    </sheetView>
  </sheetViews>
  <sheetFormatPr defaultRowHeight="14.4" x14ac:dyDescent="0.3"/>
  <cols>
    <col min="1" max="1" width="12.109375" bestFit="1" customWidth="1"/>
    <col min="2" max="2" width="38.77734375" bestFit="1" customWidth="1"/>
    <col min="3" max="3" width="29.5546875" bestFit="1" customWidth="1"/>
    <col min="4" max="4" width="26.44140625" bestFit="1" customWidth="1"/>
    <col min="5" max="5" width="21.5546875" bestFit="1" customWidth="1"/>
    <col min="6" max="6" width="16.77734375" bestFit="1" customWidth="1"/>
    <col min="7" max="19" width="14.21875" bestFit="1" customWidth="1"/>
    <col min="20" max="20" width="21.5546875" bestFit="1" customWidth="1"/>
  </cols>
  <sheetData>
    <row r="3" spans="1:13" x14ac:dyDescent="0.3">
      <c r="A3" s="348" t="s">
        <v>175</v>
      </c>
      <c r="B3" s="348"/>
      <c r="C3" s="348"/>
      <c r="D3" t="s">
        <v>176</v>
      </c>
      <c r="I3" s="231" t="s">
        <v>173</v>
      </c>
      <c r="J3" t="s">
        <v>172</v>
      </c>
      <c r="K3" t="s">
        <v>174</v>
      </c>
    </row>
    <row r="5" spans="1:13" x14ac:dyDescent="0.3">
      <c r="I5" s="231" t="s">
        <v>166</v>
      </c>
      <c r="J5" t="s">
        <v>168</v>
      </c>
      <c r="K5" t="s">
        <v>169</v>
      </c>
      <c r="L5" t="s">
        <v>170</v>
      </c>
      <c r="M5" t="s">
        <v>171</v>
      </c>
    </row>
    <row r="6" spans="1:13" x14ac:dyDescent="0.3">
      <c r="I6" s="232">
        <v>1</v>
      </c>
      <c r="J6" s="63">
        <v>6000</v>
      </c>
      <c r="K6" s="63">
        <v>6000</v>
      </c>
      <c r="L6" s="63">
        <v>6000</v>
      </c>
      <c r="M6" s="63">
        <v>6000</v>
      </c>
    </row>
    <row r="7" spans="1:13" x14ac:dyDescent="0.3">
      <c r="I7" s="232">
        <v>2</v>
      </c>
      <c r="J7" s="63">
        <v>11941.747572815535</v>
      </c>
      <c r="K7" s="63">
        <v>12116.504854368932</v>
      </c>
      <c r="L7" s="63">
        <v>12218.907961165049</v>
      </c>
      <c r="M7" s="63">
        <v>12079.68932038835</v>
      </c>
    </row>
    <row r="8" spans="1:13" x14ac:dyDescent="0.3">
      <c r="I8" s="232">
        <v>3</v>
      </c>
      <c r="J8" s="63">
        <v>17829.201621264965</v>
      </c>
      <c r="K8" s="63">
        <v>18351.776793288715</v>
      </c>
      <c r="L8" s="63">
        <v>18667.863521161278</v>
      </c>
      <c r="M8" s="63">
        <v>18241.955471769252</v>
      </c>
    </row>
    <row r="9" spans="1:13" x14ac:dyDescent="0.3">
      <c r="I9" s="232">
        <v>4</v>
      </c>
      <c r="J9" s="63">
        <v>23666.249667117223</v>
      </c>
      <c r="K9" s="63">
        <v>24708.121973740923</v>
      </c>
      <c r="L9" s="63">
        <v>25358.431538282479</v>
      </c>
      <c r="M9" s="63">
        <v>24489.703519653125</v>
      </c>
    </row>
    <row r="10" spans="1:13" x14ac:dyDescent="0.3">
      <c r="I10" s="232">
        <v>5</v>
      </c>
      <c r="J10" s="63">
        <v>29456.710783099068</v>
      </c>
      <c r="K10" s="63">
        <v>31187.891332454339</v>
      </c>
      <c r="L10" s="63">
        <v>32302.621683427999</v>
      </c>
      <c r="M10" s="63">
        <v>30825.857548083914</v>
      </c>
    </row>
    <row r="11" spans="1:13" x14ac:dyDescent="0.3">
      <c r="I11" s="232">
        <v>6</v>
      </c>
      <c r="J11" s="63">
        <v>35204.338456066173</v>
      </c>
      <c r="K11" s="63">
        <v>37793.481455414621</v>
      </c>
      <c r="L11" s="63">
        <v>39512.908826036895</v>
      </c>
      <c r="M11" s="63">
        <v>37253.362118986704</v>
      </c>
    </row>
    <row r="12" spans="1:13" x14ac:dyDescent="0.3">
      <c r="I12" s="232">
        <v>7</v>
      </c>
      <c r="J12" s="63">
        <v>40912.82338366453</v>
      </c>
      <c r="K12" s="63">
        <v>44527.335464257623</v>
      </c>
      <c r="L12" s="63">
        <v>47002.254249116369</v>
      </c>
      <c r="M12" s="63">
        <v>43775.183728104952</v>
      </c>
    </row>
    <row r="13" spans="1:13" x14ac:dyDescent="0.3">
      <c r="I13" s="232">
        <v>8</v>
      </c>
      <c r="J13" s="63">
        <v>46585.796206747262</v>
      </c>
      <c r="K13" s="63">
        <v>51391.943919874277</v>
      </c>
      <c r="L13" s="63">
        <v>54784.127729967171</v>
      </c>
      <c r="M13" s="63">
        <v>50394.312258385798</v>
      </c>
    </row>
    <row r="14" spans="1:13" x14ac:dyDescent="0.3">
      <c r="I14" s="232">
        <v>9</v>
      </c>
      <c r="J14" s="63">
        <v>52226.830179752178</v>
      </c>
      <c r="K14" s="63">
        <v>58389.845743561156</v>
      </c>
      <c r="L14" s="63">
        <v>62872.530524737347</v>
      </c>
      <c r="M14" s="63">
        <v>57113.762431661642</v>
      </c>
    </row>
    <row r="15" spans="1:13" x14ac:dyDescent="0.3">
      <c r="I15" s="232">
        <v>10</v>
      </c>
      <c r="J15" s="63">
        <v>57839.443781187772</v>
      </c>
      <c r="K15" s="63">
        <v>65523.62915605749</v>
      </c>
      <c r="L15" s="63">
        <v>71282.019296530154</v>
      </c>
      <c r="M15" s="63">
        <v>63936.57525946651</v>
      </c>
    </row>
    <row r="16" spans="1:13" x14ac:dyDescent="0.3">
      <c r="I16" s="232">
        <v>11</v>
      </c>
      <c r="J16" s="63">
        <v>63427.10326631934</v>
      </c>
      <c r="K16" s="63">
        <v>72795.932634815894</v>
      </c>
      <c r="L16" s="63">
        <v>80027.731028456299</v>
      </c>
      <c r="M16" s="63">
        <v>70865.819493816613</v>
      </c>
    </row>
    <row r="17" spans="9:13" x14ac:dyDescent="0.3">
      <c r="I17" s="232">
        <v>12</v>
      </c>
      <c r="J17" s="63">
        <v>68993.225164092873</v>
      </c>
      <c r="K17" s="63">
        <v>80209.445889860857</v>
      </c>
      <c r="L17" s="63">
        <v>89125.408964756207</v>
      </c>
      <c r="M17" s="63">
        <v>77904.593078776015</v>
      </c>
    </row>
    <row r="18" spans="9:13" x14ac:dyDescent="0.3">
      <c r="I18" s="232">
        <v>13</v>
      </c>
      <c r="J18" s="63">
        <v>74541.178720281663</v>
      </c>
      <c r="K18" s="63">
        <v>87766.91085859602</v>
      </c>
      <c r="L18" s="63">
        <v>98591.429624929035</v>
      </c>
      <c r="M18" s="63">
        <v>85056.024603620215</v>
      </c>
    </row>
    <row r="19" spans="9:13" x14ac:dyDescent="0.3">
      <c r="I19" s="232">
        <v>14</v>
      </c>
      <c r="J19" s="63">
        <v>80074.288288789889</v>
      </c>
      <c r="K19" s="63">
        <v>95471.122719927982</v>
      </c>
      <c r="L19" s="63">
        <v>108442.83093769479</v>
      </c>
      <c r="M19" s="63">
        <v>92323.27475840316</v>
      </c>
    </row>
    <row r="20" spans="9:13" x14ac:dyDescent="0.3">
      <c r="I20" s="232">
        <v>15</v>
      </c>
      <c r="J20" s="63">
        <v>85595.835672998481</v>
      </c>
      <c r="K20" s="63">
        <v>103324.93092808193</v>
      </c>
      <c r="L20" s="63">
        <v>118697.34154358596</v>
      </c>
      <c r="M20" s="63">
        <v>99709.5377927261</v>
      </c>
    </row>
    <row r="21" spans="9:13" x14ac:dyDescent="0.3">
      <c r="I21" s="232" t="s">
        <v>167</v>
      </c>
      <c r="J21" s="63">
        <v>694294.77276419697</v>
      </c>
      <c r="K21" s="63">
        <v>789558.87372430088</v>
      </c>
      <c r="L21" s="63">
        <v>864886.40742984717</v>
      </c>
      <c r="M21" s="63">
        <v>769969.65138384223</v>
      </c>
    </row>
  </sheetData>
  <mergeCells count="1">
    <mergeCell ref="A3:C3"/>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B4104B-AFA0-48DC-8BBF-BF00AEDBA2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Worksheets</vt:lpstr>
      </vt:variant>
      <vt:variant>
        <vt:i4>6</vt:i4>
      </vt:variant>
      <vt:variant>
        <vt:lpstr>Charts</vt:lpstr>
      </vt:variant>
      <vt:variant>
        <vt:i4>3</vt:i4>
      </vt:variant>
      <vt:variant>
        <vt:lpstr>Named Ranges</vt:lpstr>
      </vt:variant>
      <vt:variant>
        <vt:i4>14</vt:i4>
      </vt:variant>
    </vt:vector>
  </HeadingPairs>
  <TitlesOfParts>
    <vt:vector size="23" baseType="lpstr">
      <vt:lpstr>Savings(Yearly)</vt:lpstr>
      <vt:lpstr>Real</vt:lpstr>
      <vt:lpstr>Comparison</vt:lpstr>
      <vt:lpstr>Nominal</vt:lpstr>
      <vt:lpstr>Graph, Data</vt:lpstr>
      <vt:lpstr>Pivot</vt:lpstr>
      <vt:lpstr>Normal Graph</vt:lpstr>
      <vt:lpstr>Real Graph</vt:lpstr>
      <vt:lpstr>Nominal2</vt:lpstr>
      <vt:lpstr>Capital</vt:lpstr>
      <vt:lpstr>q_b</vt:lpstr>
      <vt:lpstr>q_b_BTP</vt:lpstr>
      <vt:lpstr>q_s</vt:lpstr>
      <vt:lpstr>r_a</vt:lpstr>
      <vt:lpstr>r_b</vt:lpstr>
      <vt:lpstr>r_b_btp</vt:lpstr>
      <vt:lpstr>r_c</vt:lpstr>
      <vt:lpstr>r_d</vt:lpstr>
      <vt:lpstr>r_i</vt:lpstr>
      <vt:lpstr>r_s</vt:lpstr>
      <vt:lpstr>r_tax</vt:lpstr>
      <vt:lpstr>r_tax_btp</vt:lpstr>
      <vt:lpstr>T_t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PAOLO REFUTO</dc:creator>
  <cp:keywords/>
  <dc:description/>
  <cp:lastModifiedBy>PAOLO REFUTO</cp:lastModifiedBy>
  <cp:revision/>
  <dcterms:created xsi:type="dcterms:W3CDTF">2015-06-05T18:17:20Z</dcterms:created>
  <dcterms:modified xsi:type="dcterms:W3CDTF">2024-12-05T09:59:08Z</dcterms:modified>
  <cp:category/>
  <cp:contentStatus/>
</cp:coreProperties>
</file>