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S:\PHARMACY\Antimicrobial Formulary\"/>
    </mc:Choice>
  </mc:AlternateContent>
  <xr:revisionPtr revIDLastSave="0" documentId="13_ncr:1_{D3687307-B025-4096-9E7D-2F7763850C6F}" xr6:coauthVersionLast="45" xr6:coauthVersionMax="45" xr10:uidLastSave="{00000000-0000-0000-0000-000000000000}"/>
  <workbookProtection workbookAlgorithmName="SHA-512" workbookHashValue="ALVOZNxeL5y8LmpPat5KWZy3PfXvLNFOdFFc1zfkQ5WZYZEM0ilWdXMhpHHWKTpSAMbY47umhP5le/9Z29FsMA==" workbookSaltValue="fTcSP0ehWjw4+Y2QVBJNGA==" workbookSpinCount="100000" lockStructure="1"/>
  <bookViews>
    <workbookView xWindow="-120" yWindow="-120" windowWidth="21840" windowHeight="13140" xr2:uid="{00000000-000D-0000-FFFF-FFFF00000000}"/>
  </bookViews>
  <sheets>
    <sheet name="Orderable in CPRS" sheetId="2" r:id="rId1"/>
    <sheet name="Not Available in CPRS"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6" i="2" l="1"/>
  <c r="C22" i="2"/>
  <c r="B32" i="2" l="1"/>
  <c r="C32" i="2" s="1"/>
  <c r="B37" i="2" l="1"/>
  <c r="C37" i="2" s="1"/>
  <c r="C18" i="2" l="1"/>
  <c r="B102" i="2" l="1"/>
  <c r="C102" i="2" s="1"/>
  <c r="B98" i="2"/>
  <c r="B51" i="2"/>
  <c r="B42" i="2"/>
  <c r="B131" i="2"/>
  <c r="B132" i="2"/>
  <c r="B125" i="2"/>
  <c r="B124" i="2"/>
  <c r="B123" i="2"/>
  <c r="B122" i="2"/>
  <c r="B121" i="2"/>
  <c r="B120" i="2"/>
  <c r="B118" i="2"/>
  <c r="B117" i="2"/>
  <c r="B114" i="2"/>
  <c r="B112" i="2"/>
  <c r="B29" i="2"/>
  <c r="B107" i="2"/>
  <c r="B105" i="2"/>
  <c r="B103" i="2"/>
  <c r="B99" i="2"/>
  <c r="B97" i="2" l="1"/>
  <c r="B93" i="2"/>
  <c r="B92" i="2"/>
  <c r="B90" i="2"/>
  <c r="B87" i="2"/>
  <c r="B86" i="2"/>
  <c r="B84" i="2"/>
  <c r="B83" i="2"/>
  <c r="B81" i="2"/>
  <c r="B79" i="2"/>
  <c r="B80" i="2"/>
  <c r="B78" i="2"/>
  <c r="B75" i="2"/>
  <c r="B74" i="2"/>
  <c r="B72" i="2"/>
  <c r="B71" i="2"/>
  <c r="B69" i="2"/>
  <c r="B68" i="2"/>
  <c r="B67" i="2"/>
  <c r="B65" i="2"/>
  <c r="B64" i="2"/>
  <c r="B63" i="2"/>
  <c r="B60" i="2"/>
  <c r="B61" i="2"/>
  <c r="B62" i="2"/>
  <c r="B59" i="2"/>
  <c r="B57" i="2" l="1"/>
  <c r="B56" i="2"/>
  <c r="B55" i="2"/>
  <c r="B50" i="2"/>
  <c r="B49" i="2"/>
  <c r="B48" i="2"/>
  <c r="B47" i="2"/>
  <c r="B46" i="2"/>
  <c r="B45" i="2" l="1"/>
  <c r="C45" i="2" s="1"/>
  <c r="B44" i="2"/>
  <c r="C44" i="2" s="1"/>
  <c r="B41" i="2"/>
  <c r="B40" i="2"/>
  <c r="C40" i="2" s="1"/>
  <c r="B39" i="2"/>
  <c r="C39" i="2" s="1"/>
  <c r="B35" i="2"/>
  <c r="C35" i="2" s="1"/>
  <c r="C34" i="2"/>
  <c r="B33" i="2"/>
  <c r="C33" i="2" s="1"/>
  <c r="B31" i="2"/>
  <c r="B24" i="2"/>
  <c r="C24" i="2" s="1"/>
  <c r="C29" i="2"/>
  <c r="B25" i="2"/>
  <c r="C25" i="2" s="1"/>
  <c r="B21" i="2"/>
  <c r="C21" i="2" s="1"/>
  <c r="C4" i="2"/>
  <c r="C5" i="2"/>
  <c r="C6" i="2"/>
  <c r="C7" i="2"/>
  <c r="C8" i="2"/>
  <c r="C9" i="2"/>
  <c r="C10" i="2"/>
  <c r="C11" i="2"/>
  <c r="C12" i="2"/>
  <c r="C13" i="2"/>
  <c r="C14" i="2"/>
  <c r="C16" i="2"/>
  <c r="C17" i="2"/>
  <c r="C19" i="2"/>
  <c r="C20" i="2"/>
  <c r="C23" i="2"/>
  <c r="C26" i="2"/>
  <c r="C27" i="2"/>
  <c r="C30" i="2"/>
  <c r="C31" i="2"/>
  <c r="C38" i="2"/>
  <c r="C41" i="2"/>
  <c r="C42" i="2"/>
  <c r="C46" i="2"/>
  <c r="C47" i="2"/>
  <c r="C48" i="2"/>
  <c r="C49" i="2"/>
  <c r="C50" i="2"/>
  <c r="C51" i="2"/>
  <c r="C53" i="2"/>
  <c r="C54" i="2"/>
  <c r="C55" i="2"/>
  <c r="C56" i="2"/>
  <c r="C57" i="2"/>
  <c r="C58" i="2"/>
  <c r="C59" i="2"/>
  <c r="C60" i="2"/>
  <c r="C61" i="2"/>
  <c r="C62" i="2"/>
  <c r="C63" i="2"/>
  <c r="C64" i="2"/>
  <c r="C65" i="2"/>
  <c r="C67" i="2"/>
  <c r="C68" i="2"/>
  <c r="C69" i="2"/>
  <c r="C71" i="2"/>
  <c r="C72" i="2"/>
  <c r="C73" i="2"/>
  <c r="C74" i="2"/>
  <c r="C75" i="2"/>
  <c r="C78" i="2"/>
  <c r="C79" i="2"/>
  <c r="C80" i="2"/>
  <c r="C81" i="2"/>
  <c r="C83" i="2"/>
  <c r="C84" i="2"/>
  <c r="C86" i="2"/>
  <c r="C87" i="2"/>
  <c r="C90" i="2"/>
  <c r="C91" i="2"/>
  <c r="C92" i="2"/>
  <c r="C93" i="2"/>
  <c r="C95" i="2"/>
  <c r="C96" i="2"/>
  <c r="C97" i="2"/>
  <c r="C98" i="2"/>
  <c r="C99" i="2"/>
  <c r="C101" i="2"/>
  <c r="C103" i="2"/>
  <c r="C105" i="2"/>
  <c r="C106" i="2"/>
  <c r="C107" i="2"/>
  <c r="C108" i="2"/>
  <c r="C110" i="2"/>
  <c r="C111" i="2"/>
  <c r="C112" i="2"/>
  <c r="C113" i="2"/>
  <c r="C114" i="2"/>
  <c r="C116" i="2"/>
  <c r="C117" i="2"/>
  <c r="C118" i="2"/>
  <c r="C119" i="2"/>
  <c r="C120" i="2"/>
  <c r="C121" i="2"/>
  <c r="C122" i="2"/>
  <c r="C123" i="2"/>
  <c r="C124" i="2"/>
  <c r="C125" i="2"/>
  <c r="C126" i="2"/>
  <c r="C127" i="2"/>
  <c r="C128" i="2"/>
  <c r="C129" i="2"/>
  <c r="C130" i="2"/>
  <c r="C131" i="2"/>
  <c r="C132" i="2"/>
  <c r="C133" i="2"/>
  <c r="C3" i="2" l="1"/>
</calcChain>
</file>

<file path=xl/sharedStrings.xml><?xml version="1.0" encoding="utf-8"?>
<sst xmlns="http://schemas.openxmlformats.org/spreadsheetml/2006/main" count="396" uniqueCount="259">
  <si>
    <t>AVAILABLE VIA CPRS</t>
  </si>
  <si>
    <t>Name and Route</t>
  </si>
  <si>
    <t>No</t>
  </si>
  <si>
    <t>Amantadine PO</t>
  </si>
  <si>
    <t>Amoxicillin PO</t>
  </si>
  <si>
    <t>Ampicillin PO</t>
  </si>
  <si>
    <t>Carbenicillin PO</t>
  </si>
  <si>
    <t>Cefaclor PO</t>
  </si>
  <si>
    <t>Cefazolin Irrigation</t>
  </si>
  <si>
    <t>Cefoperazone Inj</t>
  </si>
  <si>
    <t>Cefpodoxime PO</t>
  </si>
  <si>
    <t>Ceftizoxime Inj</t>
  </si>
  <si>
    <t>Cefuroxime PO</t>
  </si>
  <si>
    <t>Cefuroxime IV</t>
  </si>
  <si>
    <t>Cephalexin PO</t>
  </si>
  <si>
    <t>Cephradine PO</t>
  </si>
  <si>
    <t>Chloramphenicol PO</t>
  </si>
  <si>
    <t>Dicloxacillin PO</t>
  </si>
  <si>
    <t>Doxycycline PO</t>
  </si>
  <si>
    <t>Famciclovir PO</t>
  </si>
  <si>
    <t>Flucytosine PO</t>
  </si>
  <si>
    <t>Ganciclovir PO</t>
  </si>
  <si>
    <t>Griseofulvin PO</t>
  </si>
  <si>
    <t>Isoniazid PO</t>
  </si>
  <si>
    <t>Itraconazole Inj</t>
  </si>
  <si>
    <t>Itraconazole PO</t>
  </si>
  <si>
    <t>Levofloxacin PO</t>
  </si>
  <si>
    <t>Minocycline PO</t>
  </si>
  <si>
    <t>Neomycin PO</t>
  </si>
  <si>
    <t>Norfloxacin PO</t>
  </si>
  <si>
    <t>Ofloxacin PO</t>
  </si>
  <si>
    <t>Oseltamivir PO</t>
  </si>
  <si>
    <t>Oxytetracycline PO</t>
  </si>
  <si>
    <t>Penicillin VK PO</t>
  </si>
  <si>
    <t>Pentamidine Inhalation Soln</t>
  </si>
  <si>
    <t>Piperacillin Inj</t>
  </si>
  <si>
    <t>Rifampin PO</t>
  </si>
  <si>
    <t>Rifaximin PO</t>
  </si>
  <si>
    <t>Sulfadiazine PO</t>
  </si>
  <si>
    <t>Terbinafine PO</t>
  </si>
  <si>
    <t>Tetracycline PO</t>
  </si>
  <si>
    <t>Trimethoprim PO</t>
  </si>
  <si>
    <t>Valacyclovir PO</t>
  </si>
  <si>
    <t>Valganciclovir PO</t>
  </si>
  <si>
    <t>Antimicrobial and Route</t>
  </si>
  <si>
    <t>Open</t>
  </si>
  <si>
    <t>Amoxicillin/Clavulanate PO</t>
  </si>
  <si>
    <t>Azithromycin PO</t>
  </si>
  <si>
    <t>Cefadroxil PO</t>
  </si>
  <si>
    <t>Cefazolin Lock Solution</t>
  </si>
  <si>
    <t xml:space="preserve">Open  </t>
  </si>
  <si>
    <t>Autoconverted to Cephalexin</t>
  </si>
  <si>
    <t>Not Available?</t>
  </si>
  <si>
    <t>Ciprofloxacin PO</t>
  </si>
  <si>
    <t>Cycloserine PO</t>
  </si>
  <si>
    <t>Dapsone PO</t>
  </si>
  <si>
    <t>Ethambutal PO</t>
  </si>
  <si>
    <t>Ethionamide PO</t>
  </si>
  <si>
    <r>
      <t>Nitrofurantoin PO (</t>
    </r>
    <r>
      <rPr>
        <b/>
        <sz val="11"/>
        <rFont val="Arial"/>
        <family val="2"/>
      </rPr>
      <t>Macrobid</t>
    </r>
    <r>
      <rPr>
        <sz val="11"/>
        <rFont val="Arial"/>
        <family val="2"/>
      </rPr>
      <t>)</t>
    </r>
  </si>
  <si>
    <t>Autoconverted to Nafcillin</t>
  </si>
  <si>
    <t xml:space="preserve">Penicillin G benzathine IM </t>
  </si>
  <si>
    <t xml:space="preserve">Penicillin G Procaine IM </t>
  </si>
  <si>
    <t>Pyrazinamide PO</t>
  </si>
  <si>
    <t>Vancomycin Enema</t>
  </si>
  <si>
    <t>Vancomycin Lock Solution</t>
  </si>
  <si>
    <t>NOT AVAILABLE IN CPRS</t>
  </si>
  <si>
    <t xml:space="preserve">These antibiotcs are either no longer available or are Mpls VA Non-Formulary.  If requested, ID STAFF APPROVAL is required.  Formulary agents are preffered. </t>
  </si>
  <si>
    <t>Orderable in CPRS?</t>
  </si>
  <si>
    <t>Comments</t>
  </si>
  <si>
    <t>Alatrofloxacin Inj</t>
  </si>
  <si>
    <t>Capromycin inj</t>
  </si>
  <si>
    <t>Carbenicillin Inj</t>
  </si>
  <si>
    <t>Cefamandole Inj</t>
  </si>
  <si>
    <t>Cefdinir PO</t>
  </si>
  <si>
    <t>Cefmetazole Inj</t>
  </si>
  <si>
    <t>Cefonicid Inj</t>
  </si>
  <si>
    <t>Cefotaxime Inj</t>
  </si>
  <si>
    <t>Cefprozil PO</t>
  </si>
  <si>
    <t>No Longer Manufactured</t>
  </si>
  <si>
    <t>Cephapirin Inj</t>
  </si>
  <si>
    <t>Cloxacillin PO</t>
  </si>
  <si>
    <t>Enoxacin</t>
  </si>
  <si>
    <t>Kanamycin Inj</t>
  </si>
  <si>
    <t>Kanamycin PO</t>
  </si>
  <si>
    <t>Lincomycin Inj</t>
  </si>
  <si>
    <t>Lincomycin PO</t>
  </si>
  <si>
    <t>Lomefloxacin</t>
  </si>
  <si>
    <t>Loracarbef PO</t>
  </si>
  <si>
    <t>Miconazole Inj</t>
  </si>
  <si>
    <t>Netilmicin</t>
  </si>
  <si>
    <r>
      <t>Nitrofurantoin PO (</t>
    </r>
    <r>
      <rPr>
        <b/>
        <sz val="11"/>
        <rFont val="Arial"/>
        <family val="2"/>
      </rPr>
      <t>Macrodantin</t>
    </r>
    <r>
      <rPr>
        <sz val="11"/>
        <rFont val="Arial"/>
        <family val="2"/>
      </rPr>
      <t>); Macrobid is available</t>
    </r>
  </si>
  <si>
    <r>
      <t>Macrobid</t>
    </r>
    <r>
      <rPr>
        <sz val="11"/>
        <rFont val="Arial"/>
        <family val="2"/>
      </rPr>
      <t xml:space="preserve"> is the only Nitrofurantoin product that can be ordered</t>
    </r>
  </si>
  <si>
    <t>Ofloxacin Inj</t>
  </si>
  <si>
    <t>Oxacillin PO</t>
  </si>
  <si>
    <t>Penicillin G PO</t>
  </si>
  <si>
    <t>Spectinomycin</t>
  </si>
  <si>
    <t>Telavancin</t>
  </si>
  <si>
    <t>Restricted to ID staff (12/9/2010)</t>
  </si>
  <si>
    <t>Tetracycline IV</t>
  </si>
  <si>
    <t>Ticarcillin Inj</t>
  </si>
  <si>
    <t>Troleandomycin PO</t>
  </si>
  <si>
    <t xml:space="preserve">Ketoconazole PO </t>
  </si>
  <si>
    <t>Ampicillin IV</t>
  </si>
  <si>
    <t>Amoxicillin/Clavulanate SA PO</t>
  </si>
  <si>
    <t>Amikacin IV</t>
  </si>
  <si>
    <t>Amphotericin B Cholesteryl Sulf IV (Amphotec)</t>
  </si>
  <si>
    <t>Amphotericin B Lipid Complex IV (Abelcet)</t>
  </si>
  <si>
    <t>Amphotericin-B Liposomal IV (Ambisome)</t>
  </si>
  <si>
    <t>Ampicillin/Sulbactam IV</t>
  </si>
  <si>
    <t>Azithromycin IV</t>
  </si>
  <si>
    <t>Aztreonam IV</t>
  </si>
  <si>
    <t>Caspofungin IV</t>
  </si>
  <si>
    <t>Cefazolin IV</t>
  </si>
  <si>
    <t>Cefepime IV</t>
  </si>
  <si>
    <t>Cefotetan IV</t>
  </si>
  <si>
    <t>Ceftaroline IV</t>
  </si>
  <si>
    <t>Ceftazidime IV</t>
  </si>
  <si>
    <t>Ceftriaxone IV</t>
  </si>
  <si>
    <t>Chloramphenicol IV</t>
  </si>
  <si>
    <t>Cidofovir IV</t>
  </si>
  <si>
    <t>Ciprofloxacin IV</t>
  </si>
  <si>
    <t>Colistimethate IV</t>
  </si>
  <si>
    <t>Daptomycin IV</t>
  </si>
  <si>
    <t>Doxycycline IV</t>
  </si>
  <si>
    <t>Ertapenem IV</t>
  </si>
  <si>
    <t>Fosfomycin granules PO</t>
  </si>
  <si>
    <t>Foscarnet IV</t>
  </si>
  <si>
    <t>Ganciclovir IV</t>
  </si>
  <si>
    <t>Gentamicin IV</t>
  </si>
  <si>
    <t>Imipenem/Cilastatin IV</t>
  </si>
  <si>
    <t>Isoniazid IV</t>
  </si>
  <si>
    <t>Levofloxacin IV</t>
  </si>
  <si>
    <t>Meropenem IV</t>
  </si>
  <si>
    <t>Micafungin IV</t>
  </si>
  <si>
    <t>Nafcillin IV</t>
  </si>
  <si>
    <t>Oxacillin IV</t>
  </si>
  <si>
    <t>Penicillin G Potassium IV</t>
  </si>
  <si>
    <t>Penicillin G Sodium IV</t>
  </si>
  <si>
    <t>Pentamidine IV</t>
  </si>
  <si>
    <t>Piperacillin/Tazobactam IV</t>
  </si>
  <si>
    <t>Posaconazole PO susp</t>
  </si>
  <si>
    <t>Posaconazole PO Tablet</t>
  </si>
  <si>
    <t>Quinupristin-dalfopristin IV</t>
  </si>
  <si>
    <t>Rifampin IV</t>
  </si>
  <si>
    <t>Streptomycin IV</t>
  </si>
  <si>
    <t>Ticarcillin/Clavulanate IV</t>
  </si>
  <si>
    <t>No Longer Manufactured in US</t>
  </si>
  <si>
    <t>Tigecycline IV</t>
  </si>
  <si>
    <t>Tobramycin Inhalation Soln</t>
  </si>
  <si>
    <t>Vancomycin PO Sol'n</t>
  </si>
  <si>
    <t>Vancomycin PO Capsules</t>
  </si>
  <si>
    <t>Vancomycin IV</t>
  </si>
  <si>
    <t>Open (suspension available for patients with FT)</t>
  </si>
  <si>
    <t>Zanamivir inhalation</t>
  </si>
  <si>
    <t>Restriction Status</t>
  </si>
  <si>
    <t xml:space="preserve">Atovaquone PO Susp </t>
  </si>
  <si>
    <t>Clindamycin IV</t>
  </si>
  <si>
    <t>Clindamycin PO</t>
  </si>
  <si>
    <t>KEY</t>
  </si>
  <si>
    <t>Acyclovir IV</t>
  </si>
  <si>
    <t>Acyclovir PO</t>
  </si>
  <si>
    <t>Clotrimazole PO troche</t>
  </si>
  <si>
    <t xml:space="preserve">Agents designated as N/F on this list, may still be used as long as the designated restrictions are followed (no prior authorization consult needed). </t>
  </si>
  <si>
    <t>Tier</t>
  </si>
  <si>
    <t>$10-50</t>
  </si>
  <si>
    <t>&lt;$10</t>
  </si>
  <si>
    <t>$51-100</t>
  </si>
  <si>
    <t>Cost $/day of therapy</t>
  </si>
  <si>
    <t>Linezolid IV</t>
  </si>
  <si>
    <t>Linezolid PO</t>
  </si>
  <si>
    <t>Moxifloxacin PO</t>
  </si>
  <si>
    <t>Moxifloxacin IV</t>
  </si>
  <si>
    <t>TMP/SMX IV</t>
  </si>
  <si>
    <t>TMP/SMX PO</t>
  </si>
  <si>
    <t>Voriconazole IV</t>
  </si>
  <si>
    <t>Voriconazole PO</t>
  </si>
  <si>
    <t>VA Cost Tier</t>
  </si>
  <si>
    <t>$101-400</t>
  </si>
  <si>
    <t>&gt;$400</t>
  </si>
  <si>
    <t>Erythromycin ethylsuccinate PO</t>
  </si>
  <si>
    <t>Erythromycin stearate PO</t>
  </si>
  <si>
    <t>Erythromycin base EC Tablet</t>
  </si>
  <si>
    <t>Erythromycin lactobionate IV</t>
  </si>
  <si>
    <t>n/a</t>
  </si>
  <si>
    <t>Peramivir IV</t>
  </si>
  <si>
    <r>
      <rPr>
        <sz val="9"/>
        <rFont val="Arial"/>
        <family val="2"/>
      </rPr>
      <t>Cap</t>
    </r>
    <r>
      <rPr>
        <sz val="11"/>
        <rFont val="Arial"/>
        <family val="2"/>
      </rPr>
      <t xml:space="preserve"> 1  </t>
    </r>
    <r>
      <rPr>
        <sz val="9"/>
        <rFont val="Arial"/>
        <family val="2"/>
      </rPr>
      <t>Soln</t>
    </r>
    <r>
      <rPr>
        <sz val="11"/>
        <rFont val="Arial"/>
        <family val="2"/>
      </rPr>
      <t xml:space="preserve"> 2</t>
    </r>
  </si>
  <si>
    <t>cap 5.68, soln 41.7</t>
  </si>
  <si>
    <t>tab 8.04, susp 140.41</t>
  </si>
  <si>
    <r>
      <rPr>
        <sz val="9"/>
        <rFont val="Arial"/>
        <family val="2"/>
      </rPr>
      <t xml:space="preserve">Tab </t>
    </r>
    <r>
      <rPr>
        <sz val="11"/>
        <rFont val="Arial"/>
        <family val="2"/>
      </rPr>
      <t xml:space="preserve">1  </t>
    </r>
    <r>
      <rPr>
        <sz val="9"/>
        <rFont val="Arial"/>
        <family val="2"/>
      </rPr>
      <t>Susp</t>
    </r>
    <r>
      <rPr>
        <sz val="11"/>
        <rFont val="Arial"/>
        <family val="2"/>
      </rPr>
      <t xml:space="preserve"> 4</t>
    </r>
  </si>
  <si>
    <r>
      <t>3 (</t>
    </r>
    <r>
      <rPr>
        <sz val="9"/>
        <rFont val="Arial"/>
        <family val="2"/>
      </rPr>
      <t>per dose)</t>
    </r>
  </si>
  <si>
    <r>
      <t>4</t>
    </r>
    <r>
      <rPr>
        <sz val="9"/>
        <rFont val="Arial"/>
        <family val="2"/>
      </rPr>
      <t xml:space="preserve"> (per day)</t>
    </r>
  </si>
  <si>
    <t>Fluconazole IV/PO</t>
  </si>
  <si>
    <t>4.02 IV, 4.36 PO</t>
  </si>
  <si>
    <t>IV 4.2, PO 0.12</t>
  </si>
  <si>
    <t>Metronidazole IV/PO</t>
  </si>
  <si>
    <t xml:space="preserve">Open </t>
  </si>
  <si>
    <t>Clarithromycin PO</t>
  </si>
  <si>
    <t>Atovaquone/Proguanil PO</t>
  </si>
  <si>
    <t>Restricted to CDSS or ID approval</t>
  </si>
  <si>
    <t xml:space="preserve">N/F (not stocked): Restricted to STAFF ID approval; Ampho-B Liposomal (Ambisome) is 1st line  </t>
  </si>
  <si>
    <t>N/F (not stocked): Restricted to STAFF ID approval; Ampho-B Liposomal (Ambisome) is 1st line</t>
  </si>
  <si>
    <t>N/F (not stocked): Autoconverted to amoxicillin</t>
  </si>
  <si>
    <t>Restricted to CDSS or STAFF ID approval</t>
  </si>
  <si>
    <t>N/F: Restricted to CDSS or STAFF ID approval</t>
  </si>
  <si>
    <t xml:space="preserve">N/F: Restricted to STAFF ID approval </t>
  </si>
  <si>
    <t>Restricted to CDSS or ID approval (not stocked)</t>
  </si>
  <si>
    <t>Restricted to STAFF ID approval (not stocked)</t>
  </si>
  <si>
    <t>Restricted to ID approval (not stocked)</t>
  </si>
  <si>
    <t xml:space="preserve">Restricted to CDSS or ID approval </t>
  </si>
  <si>
    <t>Restricted to STAFF ID approval</t>
  </si>
  <si>
    <t>N/F: Restricted to ID approval (not stocked)</t>
  </si>
  <si>
    <t>N/F: Restricted to STAFF ID approval</t>
  </si>
  <si>
    <t>Restricted to STAFF ID approval for use LONGER than 72 hrs</t>
  </si>
  <si>
    <t>Ceftolozane/tazobactam IV</t>
  </si>
  <si>
    <t>Amphotericin B Deoxycholate IV (Fungizone)</t>
  </si>
  <si>
    <t>Methenamine Hippurate 1gm dosed BID</t>
  </si>
  <si>
    <t>Nystatin susp</t>
  </si>
  <si>
    <t>Open; 5mL standing dose</t>
  </si>
  <si>
    <t>Open; doses rounded in 5mL increments</t>
  </si>
  <si>
    <t>Rimantidine PO</t>
  </si>
  <si>
    <t>Not recommended for anything</t>
  </si>
  <si>
    <t>Cost data are estimates, based on usual daily doses (80kg patient), and can change frequently. Oral agents are generally significantly lower cost than their IV equivalent.</t>
  </si>
  <si>
    <t>Must order through CDSS (has special order set)</t>
  </si>
  <si>
    <t>PolymyxinB IV</t>
  </si>
  <si>
    <t>Restricted to ID approval</t>
  </si>
  <si>
    <t>Ceftazidime/avibactam IV</t>
  </si>
  <si>
    <t>Tedizolid PO</t>
  </si>
  <si>
    <t>Cefoxitin IV</t>
  </si>
  <si>
    <t xml:space="preserve">Antimicrobials listed on this formulary are generally stocked/available in inpatient pharmacy, unless otherwise noted or during drug shortages. If an antimicrobial is not included on this list, it may not be available for use in the MVAHCS drug file. In this case, it will need to be approved by ID STAFF prior to ordering from the manufacturer and entering into the drug file. </t>
  </si>
  <si>
    <t>Actual Cost 6/2017</t>
  </si>
  <si>
    <t>Tobramycin IV</t>
  </si>
  <si>
    <t>N/F: Restricted to STAFF ID approval. Micafungin preferred.</t>
  </si>
  <si>
    <t xml:space="preserve">Restricted to STAFF ID approval </t>
  </si>
  <si>
    <t>N/F: Restricted to CDSS or ID approval</t>
  </si>
  <si>
    <t>N/F: Restricted to STAFF ID approval (Pen G Potassium preferred)</t>
  </si>
  <si>
    <t>Inpt &amp; discharge use is Open. Outpatient use restricted to CDSS or ID approval</t>
  </si>
  <si>
    <t>Inpt &amp; discharge use is Open. Outpatient use restricted to CDSS (CDSS requires pulm consult for long-term COPD use) or ID approval</t>
  </si>
  <si>
    <t>Restricted to CDSS or ID approval (Meropenem preferred)</t>
  </si>
  <si>
    <t>Restricted to CDSS or ID approval except post-transplant use is open</t>
  </si>
  <si>
    <t>Restricted to CDSS or ID approval (capsules preferred; use sol'n only for feeding tube admin)</t>
  </si>
  <si>
    <t>Ganciclovir eye drops</t>
  </si>
  <si>
    <t>Baloxavir PO</t>
  </si>
  <si>
    <t>Cefixime PO</t>
  </si>
  <si>
    <t>N/F: Restricted to STAFF ID approval if used for infection. Requires prior auth for hepatic encephalopathy use.</t>
  </si>
  <si>
    <t xml:space="preserve">Restricted to CDSS or STAFF ID approval. ENT may use low doses intra-operatively per Pat Kangas email 4/26/2011, email Eric Geurkink with patient names if/when this occurs </t>
  </si>
  <si>
    <t>Autoconvert to erythromycin stearate</t>
  </si>
  <si>
    <t>Isavuconazonium sulfate PO</t>
  </si>
  <si>
    <t>Antimicrobials restricted to "ID" may be approved by an ID resident, fellow, or staff. Antimicrobials restricted to "STAFF ID" must be approved by an ID Staff/Attending (Dr. DeVries, Dr. Drekonja, Dr. Johnson, Dr. Kaka, Dr. Narayan, Dr. Pragman, Dr. Rothenberger).</t>
  </si>
  <si>
    <t>Restricted to Endocrine, Oncology (for prostate cancer tx) OR STAFF ID approval</t>
  </si>
  <si>
    <t>Remdesivir IV</t>
  </si>
  <si>
    <t>Dalbavancin IV</t>
  </si>
  <si>
    <t xml:space="preserve">Open, but not recommended for systemic use due to toxicity.  Ambisome preferred. </t>
  </si>
  <si>
    <t>Restricted CDSS, ID, ortho antibiotic cement</t>
  </si>
  <si>
    <t>Restricted to ophtho or ID approval (not in CDSS)</t>
  </si>
  <si>
    <t>N/F: Restricted to STAFF ID</t>
  </si>
  <si>
    <t>Moxifloxacin Intracameral (Eye Injection)</t>
  </si>
  <si>
    <t>Restricted to ophthalmology</t>
  </si>
  <si>
    <t>Restricted to STAFF ID approval OR oncology for AML/MDS ppx **Tablet and suspension dose NOT equivalent</t>
  </si>
  <si>
    <t>Restricted to STAFF ID approval OR oncology for AML/MDS ppx **Tablet and suspension dose NOT equivalent (not stocked)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</si>
</sst>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b/>
      <sz val="12"/>
      <name val="Arial"/>
      <family val="2"/>
    </font>
    <font>
      <sz val="11"/>
      <name val="Arial"/>
      <family val="2"/>
    </font>
    <font>
      <b/>
      <sz val="11"/>
      <name val="Arial"/>
      <family val="2"/>
    </font>
    <font>
      <sz val="11"/>
      <color rgb="FFC00000"/>
      <name val="Calibri"/>
      <family val="2"/>
      <scheme val="minor"/>
    </font>
    <font>
      <sz val="11"/>
      <name val="Calibri"/>
      <family val="2"/>
      <scheme val="minor"/>
    </font>
    <font>
      <sz val="11"/>
      <color theme="1"/>
      <name val="Arial"/>
      <family val="2"/>
    </font>
    <font>
      <b/>
      <sz val="14"/>
      <color theme="1"/>
      <name val="Arial"/>
      <family val="2"/>
    </font>
    <font>
      <sz val="9"/>
      <name val="Arial"/>
      <family val="2"/>
    </font>
    <font>
      <sz val="11"/>
      <color rgb="FFFF0000"/>
      <name val="Arial"/>
      <family val="2"/>
    </font>
  </fonts>
  <fills count="11">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rgb="FFFFFF99"/>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3"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53">
    <xf numFmtId="0" fontId="0" fillId="0" borderId="0" xfId="0"/>
    <xf numFmtId="0" fontId="3"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vertical="center"/>
    </xf>
    <xf numFmtId="0" fontId="0" fillId="0" borderId="0" xfId="0" applyFill="1"/>
    <xf numFmtId="0" fontId="5" fillId="0" borderId="0" xfId="0" applyFont="1" applyFill="1"/>
    <xf numFmtId="0" fontId="6" fillId="0" borderId="0" xfId="0" applyFont="1"/>
    <xf numFmtId="0" fontId="6" fillId="0" borderId="0" xfId="0" applyFont="1" applyFill="1"/>
    <xf numFmtId="0" fontId="0" fillId="0" borderId="0" xfId="0" applyFill="1" applyBorder="1"/>
    <xf numFmtId="0" fontId="2" fillId="3"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vertical="top" wrapText="1"/>
    </xf>
    <xf numFmtId="0" fontId="4" fillId="3" borderId="1" xfId="0" applyFont="1" applyFill="1" applyBorder="1" applyAlignment="1">
      <alignment wrapText="1"/>
    </xf>
    <xf numFmtId="0" fontId="4" fillId="0" borderId="1" xfId="0" applyFont="1" applyBorder="1" applyAlignment="1">
      <alignment vertical="center" wrapText="1"/>
    </xf>
    <xf numFmtId="0" fontId="3" fillId="0" borderId="1" xfId="0" applyFont="1" applyFill="1" applyBorder="1"/>
    <xf numFmtId="0" fontId="3" fillId="0" borderId="0" xfId="0" applyFont="1" applyFill="1" applyBorder="1"/>
    <xf numFmtId="0" fontId="7" fillId="0" borderId="0" xfId="0" applyFont="1" applyFill="1"/>
    <xf numFmtId="0" fontId="3" fillId="0" borderId="0" xfId="0" applyFont="1" applyFill="1"/>
    <xf numFmtId="0" fontId="7" fillId="0" borderId="0" xfId="0" applyFont="1"/>
    <xf numFmtId="0" fontId="3" fillId="0" borderId="1" xfId="0" applyFont="1" applyFill="1" applyBorder="1" applyAlignment="1">
      <alignment horizontal="center" vertical="center" wrapText="1"/>
    </xf>
    <xf numFmtId="0" fontId="3" fillId="0" borderId="0" xfId="0" applyFont="1" applyFill="1" applyBorder="1" applyAlignment="1">
      <alignment vertical="center" wrapText="1"/>
    </xf>
    <xf numFmtId="0" fontId="4" fillId="7" borderId="9" xfId="0" applyFont="1" applyFill="1" applyBorder="1" applyAlignment="1">
      <alignment horizontal="center" vertical="center"/>
    </xf>
    <xf numFmtId="0" fontId="4" fillId="7" borderId="8" xfId="0" applyFont="1" applyFill="1" applyBorder="1" applyAlignment="1">
      <alignment horizontal="center" vertical="center"/>
    </xf>
    <xf numFmtId="0" fontId="7" fillId="7" borderId="5" xfId="0" applyFont="1" applyFill="1" applyBorder="1" applyAlignment="1">
      <alignment horizontal="center" vertical="center"/>
    </xf>
    <xf numFmtId="0" fontId="7" fillId="7" borderId="4"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6"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0" xfId="0" applyFont="1" applyFill="1" applyBorder="1" applyAlignment="1">
      <alignment vertical="center"/>
    </xf>
    <xf numFmtId="0" fontId="7" fillId="0" borderId="0" xfId="0" applyFont="1" applyBorder="1"/>
    <xf numFmtId="0" fontId="0" fillId="0" borderId="0" xfId="0" applyAlignment="1">
      <alignment horizontal="center" vertical="center"/>
    </xf>
    <xf numFmtId="0" fontId="3" fillId="0" borderId="1" xfId="0" applyFont="1" applyFill="1" applyBorder="1" applyAlignment="1">
      <alignment horizontal="left" vertical="center"/>
    </xf>
    <xf numFmtId="0" fontId="0" fillId="0" borderId="0" xfId="0" applyAlignment="1">
      <alignment horizontal="left" vertical="center"/>
    </xf>
    <xf numFmtId="0" fontId="0" fillId="0" borderId="0" xfId="0" applyBorder="1"/>
    <xf numFmtId="0" fontId="10" fillId="0" borderId="0" xfId="0" applyFont="1" applyFill="1" applyBorder="1"/>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7" fillId="6" borderId="1" xfId="0" applyFont="1" applyFill="1" applyBorder="1" applyAlignment="1">
      <alignment vertical="center" wrapText="1"/>
    </xf>
    <xf numFmtId="0" fontId="7" fillId="9" borderId="1" xfId="0" applyFont="1" applyFill="1" applyBorder="1" applyAlignment="1">
      <alignment horizontal="left" wrapText="1"/>
    </xf>
    <xf numFmtId="0" fontId="7" fillId="7" borderId="1" xfId="0" applyFont="1" applyFill="1" applyBorder="1" applyAlignment="1">
      <alignment vertical="center" wrapText="1"/>
    </xf>
    <xf numFmtId="0" fontId="1" fillId="2" borderId="1" xfId="0" applyFont="1" applyFill="1" applyBorder="1" applyAlignment="1">
      <alignment horizontal="left" vertical="center"/>
    </xf>
    <xf numFmtId="0" fontId="8" fillId="4" borderId="1" xfId="0" applyFont="1" applyFill="1" applyBorder="1" applyAlignment="1">
      <alignment horizontal="center"/>
    </xf>
    <xf numFmtId="0" fontId="7" fillId="0" borderId="0" xfId="0" applyFont="1" applyFill="1" applyBorder="1" applyAlignment="1">
      <alignment horizontal="left" wrapText="1"/>
    </xf>
    <xf numFmtId="0" fontId="3" fillId="5" borderId="1" xfId="0" applyFont="1" applyFill="1" applyBorder="1" applyAlignment="1">
      <alignment horizontal="left" vertical="center" wrapText="1"/>
    </xf>
    <xf numFmtId="0" fontId="4" fillId="2" borderId="1" xfId="0" applyFont="1" applyFill="1" applyBorder="1" applyAlignment="1">
      <alignment horizontal="center"/>
    </xf>
    <xf numFmtId="0" fontId="4" fillId="2" borderId="1" xfId="0" applyFont="1" applyFill="1" applyBorder="1" applyAlignment="1">
      <alignment horizontal="left" wrapText="1"/>
    </xf>
  </cellXfs>
  <cellStyles count="1">
    <cellStyle name="Normal" xfId="0" builtinId="0"/>
  </cellStyles>
  <dxfs count="7">
    <dxf>
      <font>
        <b val="0"/>
        <i val="0"/>
        <strike val="0"/>
        <condense val="0"/>
        <extend val="0"/>
        <outline val="0"/>
        <shadow val="0"/>
        <u val="none"/>
        <vertAlign val="baseline"/>
        <sz val="11"/>
        <color theme="1"/>
        <name val="Arial"/>
        <scheme val="none"/>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solid">
          <fgColor indexed="64"/>
          <bgColor theme="8" tint="0.5999938962981048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auto="1"/>
        <name val="Arial"/>
        <scheme val="none"/>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12:G17" totalsRowShown="0" headerRowDxfId="6" dataDxfId="4" headerRowBorderDxfId="5" tableBorderDxfId="3" totalsRowBorderDxfId="2">
  <tableColumns count="2">
    <tableColumn id="1" xr3:uid="{00000000-0010-0000-0000-000001000000}" name="Tier" dataDxfId="1"/>
    <tableColumn id="2" xr3:uid="{00000000-0010-0000-0000-000002000000}" name="Cost $/day of therap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33"/>
  <sheetViews>
    <sheetView tabSelected="1" workbookViewId="0">
      <selection activeCell="D133" sqref="D133"/>
    </sheetView>
  </sheetViews>
  <sheetFormatPr defaultRowHeight="15" x14ac:dyDescent="0.25"/>
  <cols>
    <col min="1" max="1" width="40.7109375" style="38" customWidth="1"/>
    <col min="2" max="2" width="14.28515625" style="36" hidden="1" customWidth="1"/>
    <col min="3" max="3" width="8.28515625" style="36" customWidth="1"/>
    <col min="4" max="4" width="48.7109375" style="38" customWidth="1"/>
    <col min="5" max="5" width="4.28515625" style="10" customWidth="1"/>
    <col min="6" max="6" width="27.85546875" style="6" customWidth="1"/>
    <col min="7" max="7" width="35.28515625" style="6" customWidth="1"/>
    <col min="8" max="8" width="9.140625" style="6"/>
    <col min="9" max="9" width="24.28515625" style="6" customWidth="1"/>
    <col min="10" max="11" width="9.140625" style="6"/>
  </cols>
  <sheetData>
    <row r="1" spans="1:12" ht="18" x14ac:dyDescent="0.25">
      <c r="A1" s="47" t="s">
        <v>0</v>
      </c>
      <c r="B1" s="47"/>
      <c r="C1" s="47"/>
      <c r="D1" s="47"/>
      <c r="E1" s="19"/>
      <c r="F1" s="48" t="s">
        <v>158</v>
      </c>
      <c r="G1" s="48"/>
      <c r="K1" s="10"/>
      <c r="L1" s="39"/>
    </row>
    <row r="2" spans="1:12" ht="71.25" customHeight="1" x14ac:dyDescent="0.25">
      <c r="A2" s="11" t="s">
        <v>44</v>
      </c>
      <c r="B2" s="11" t="s">
        <v>229</v>
      </c>
      <c r="C2" s="11" t="s">
        <v>176</v>
      </c>
      <c r="D2" s="11" t="s">
        <v>154</v>
      </c>
      <c r="E2" s="19"/>
      <c r="F2" s="50" t="s">
        <v>228</v>
      </c>
      <c r="G2" s="50"/>
      <c r="K2" s="49"/>
      <c r="L2" s="49"/>
    </row>
    <row r="3" spans="1:12" ht="15" customHeight="1" x14ac:dyDescent="0.25">
      <c r="A3" s="12" t="s">
        <v>159</v>
      </c>
      <c r="B3" s="23">
        <v>32</v>
      </c>
      <c r="C3" s="23">
        <f t="shared" ref="C3:C14" si="0">IF(B3&lt;10,1,IF(B3&lt;51,2,IF(B3&lt;101,3,IF(B3&lt;401,4,IF(B3&gt;400,5)))))</f>
        <v>2</v>
      </c>
      <c r="D3" s="2" t="s">
        <v>45</v>
      </c>
      <c r="E3" s="19"/>
      <c r="F3" s="50"/>
      <c r="G3" s="50"/>
      <c r="K3" s="49"/>
      <c r="L3" s="49"/>
    </row>
    <row r="4" spans="1:12" ht="15" customHeight="1" x14ac:dyDescent="0.25">
      <c r="A4" s="12" t="s">
        <v>160</v>
      </c>
      <c r="B4" s="23">
        <v>1</v>
      </c>
      <c r="C4" s="23">
        <f t="shared" si="0"/>
        <v>1</v>
      </c>
      <c r="D4" s="2" t="s">
        <v>45</v>
      </c>
      <c r="E4" s="19"/>
      <c r="F4" s="44" t="s">
        <v>162</v>
      </c>
      <c r="G4" s="44"/>
      <c r="K4" s="49"/>
      <c r="L4" s="49"/>
    </row>
    <row r="5" spans="1:12" x14ac:dyDescent="0.25">
      <c r="A5" s="12" t="s">
        <v>3</v>
      </c>
      <c r="B5" s="23">
        <v>2</v>
      </c>
      <c r="C5" s="23">
        <f t="shared" si="0"/>
        <v>1</v>
      </c>
      <c r="D5" s="2" t="s">
        <v>45</v>
      </c>
      <c r="E5" s="19"/>
      <c r="F5" s="44"/>
      <c r="G5" s="44"/>
    </row>
    <row r="6" spans="1:12" x14ac:dyDescent="0.25">
      <c r="A6" s="12" t="s">
        <v>104</v>
      </c>
      <c r="B6" s="23">
        <v>15</v>
      </c>
      <c r="C6" s="23">
        <f t="shared" si="0"/>
        <v>2</v>
      </c>
      <c r="D6" s="12" t="s">
        <v>198</v>
      </c>
      <c r="E6" s="19"/>
      <c r="F6" s="44"/>
      <c r="G6" s="44"/>
    </row>
    <row r="7" spans="1:12" ht="15" customHeight="1" x14ac:dyDescent="0.25">
      <c r="A7" s="12" t="s">
        <v>4</v>
      </c>
      <c r="B7" s="23">
        <v>0.09</v>
      </c>
      <c r="C7" s="23">
        <f t="shared" si="0"/>
        <v>1</v>
      </c>
      <c r="D7" s="2" t="s">
        <v>45</v>
      </c>
      <c r="E7" s="19"/>
      <c r="F7" s="45" t="s">
        <v>247</v>
      </c>
      <c r="G7" s="45"/>
    </row>
    <row r="8" spans="1:12" x14ac:dyDescent="0.25">
      <c r="A8" s="12" t="s">
        <v>46</v>
      </c>
      <c r="B8" s="23">
        <v>0.27</v>
      </c>
      <c r="C8" s="23">
        <f t="shared" si="0"/>
        <v>1</v>
      </c>
      <c r="D8" s="12" t="s">
        <v>45</v>
      </c>
      <c r="E8" s="19"/>
      <c r="F8" s="45"/>
      <c r="G8" s="45"/>
    </row>
    <row r="9" spans="1:12" ht="26.25" customHeight="1" x14ac:dyDescent="0.25">
      <c r="A9" s="12" t="s">
        <v>103</v>
      </c>
      <c r="B9" s="23">
        <v>17</v>
      </c>
      <c r="C9" s="23">
        <f t="shared" si="0"/>
        <v>2</v>
      </c>
      <c r="D9" s="12" t="s">
        <v>233</v>
      </c>
      <c r="E9" s="19"/>
      <c r="F9" s="45"/>
      <c r="G9" s="45"/>
    </row>
    <row r="10" spans="1:12" ht="30" customHeight="1" x14ac:dyDescent="0.25">
      <c r="A10" s="12" t="s">
        <v>105</v>
      </c>
      <c r="B10" s="23">
        <v>512</v>
      </c>
      <c r="C10" s="23">
        <f t="shared" si="0"/>
        <v>5</v>
      </c>
      <c r="D10" s="12" t="s">
        <v>199</v>
      </c>
      <c r="E10" s="19"/>
      <c r="F10" s="46" t="s">
        <v>221</v>
      </c>
      <c r="G10" s="46"/>
    </row>
    <row r="11" spans="1:12" ht="34.5" customHeight="1" x14ac:dyDescent="0.25">
      <c r="A11" s="12" t="s">
        <v>214</v>
      </c>
      <c r="B11" s="23">
        <v>18</v>
      </c>
      <c r="C11" s="23">
        <f t="shared" si="0"/>
        <v>2</v>
      </c>
      <c r="D11" s="13" t="s">
        <v>251</v>
      </c>
      <c r="E11" s="19"/>
      <c r="F11" s="46"/>
      <c r="G11" s="46"/>
    </row>
    <row r="12" spans="1:12" ht="28.5" customHeight="1" x14ac:dyDescent="0.25">
      <c r="A12" s="12" t="s">
        <v>106</v>
      </c>
      <c r="B12" s="23">
        <v>202</v>
      </c>
      <c r="C12" s="23">
        <f t="shared" si="0"/>
        <v>4</v>
      </c>
      <c r="D12" s="12" t="s">
        <v>200</v>
      </c>
      <c r="E12" s="19"/>
      <c r="F12" s="25" t="s">
        <v>163</v>
      </c>
      <c r="G12" s="26" t="s">
        <v>167</v>
      </c>
    </row>
    <row r="13" spans="1:12" x14ac:dyDescent="0.25">
      <c r="A13" s="12" t="s">
        <v>107</v>
      </c>
      <c r="B13" s="23">
        <v>336</v>
      </c>
      <c r="C13" s="23">
        <f t="shared" si="0"/>
        <v>4</v>
      </c>
      <c r="D13" s="12" t="s">
        <v>202</v>
      </c>
      <c r="E13" s="19"/>
      <c r="F13" s="27">
        <v>1</v>
      </c>
      <c r="G13" s="28" t="s">
        <v>165</v>
      </c>
    </row>
    <row r="14" spans="1:12" x14ac:dyDescent="0.25">
      <c r="A14" s="12" t="s">
        <v>102</v>
      </c>
      <c r="B14" s="23">
        <v>18</v>
      </c>
      <c r="C14" s="23">
        <f t="shared" si="0"/>
        <v>2</v>
      </c>
      <c r="D14" s="12" t="s">
        <v>45</v>
      </c>
      <c r="E14" s="19"/>
      <c r="F14" s="27">
        <v>2</v>
      </c>
      <c r="G14" s="28" t="s">
        <v>164</v>
      </c>
    </row>
    <row r="15" spans="1:12" x14ac:dyDescent="0.25">
      <c r="A15" s="12" t="s">
        <v>5</v>
      </c>
      <c r="B15" s="23" t="s">
        <v>183</v>
      </c>
      <c r="C15" s="23" t="s">
        <v>183</v>
      </c>
      <c r="D15" s="2" t="s">
        <v>201</v>
      </c>
      <c r="E15" s="19"/>
      <c r="F15" s="27">
        <v>3</v>
      </c>
      <c r="G15" s="28" t="s">
        <v>166</v>
      </c>
    </row>
    <row r="16" spans="1:12" ht="15" customHeight="1" x14ac:dyDescent="0.25">
      <c r="A16" s="12" t="s">
        <v>108</v>
      </c>
      <c r="B16" s="23">
        <v>16.760000000000002</v>
      </c>
      <c r="C16" s="23">
        <f t="shared" ref="C16:C42" si="1">IF(B16&lt;10,1,IF(B16&lt;51,2,IF(B16&lt;101,3,IF(B16&lt;401,4,IF(B16&gt;400,5)))))</f>
        <v>2</v>
      </c>
      <c r="D16" s="2" t="s">
        <v>45</v>
      </c>
      <c r="E16" s="19"/>
      <c r="F16" s="27">
        <v>4</v>
      </c>
      <c r="G16" s="28" t="s">
        <v>177</v>
      </c>
    </row>
    <row r="17" spans="1:7" x14ac:dyDescent="0.25">
      <c r="A17" s="12" t="s">
        <v>155</v>
      </c>
      <c r="B17" s="23">
        <v>39</v>
      </c>
      <c r="C17" s="23">
        <f t="shared" si="1"/>
        <v>2</v>
      </c>
      <c r="D17" s="12" t="s">
        <v>202</v>
      </c>
      <c r="E17" s="19"/>
      <c r="F17" s="29">
        <v>5</v>
      </c>
      <c r="G17" s="30" t="s">
        <v>178</v>
      </c>
    </row>
    <row r="18" spans="1:7" x14ac:dyDescent="0.25">
      <c r="A18" s="12" t="s">
        <v>197</v>
      </c>
      <c r="B18" s="23">
        <v>1.62</v>
      </c>
      <c r="C18" s="23">
        <f t="shared" si="1"/>
        <v>1</v>
      </c>
      <c r="D18" s="12" t="s">
        <v>209</v>
      </c>
      <c r="E18" s="19"/>
    </row>
    <row r="19" spans="1:7" x14ac:dyDescent="0.25">
      <c r="A19" s="12" t="s">
        <v>109</v>
      </c>
      <c r="B19" s="23">
        <v>2</v>
      </c>
      <c r="C19" s="23">
        <f t="shared" si="1"/>
        <v>1</v>
      </c>
      <c r="D19" s="12" t="s">
        <v>198</v>
      </c>
      <c r="E19" s="19"/>
    </row>
    <row r="20" spans="1:7" ht="42.75" x14ac:dyDescent="0.25">
      <c r="A20" s="12" t="s">
        <v>47</v>
      </c>
      <c r="B20" s="23">
        <v>0.56999999999999995</v>
      </c>
      <c r="C20" s="23">
        <f t="shared" si="1"/>
        <v>1</v>
      </c>
      <c r="D20" s="12" t="s">
        <v>236</v>
      </c>
      <c r="E20" s="19"/>
    </row>
    <row r="21" spans="1:7" x14ac:dyDescent="0.25">
      <c r="A21" s="12" t="s">
        <v>110</v>
      </c>
      <c r="B21" s="23">
        <f>34.8*3</f>
        <v>104.39999999999999</v>
      </c>
      <c r="C21" s="23">
        <f t="shared" si="1"/>
        <v>4</v>
      </c>
      <c r="D21" s="12" t="s">
        <v>198</v>
      </c>
      <c r="E21" s="19"/>
    </row>
    <row r="22" spans="1:7" x14ac:dyDescent="0.25">
      <c r="A22" s="12" t="s">
        <v>241</v>
      </c>
      <c r="B22" s="23">
        <v>50.2</v>
      </c>
      <c r="C22" s="23">
        <f t="shared" si="1"/>
        <v>2</v>
      </c>
      <c r="D22" s="12" t="s">
        <v>211</v>
      </c>
      <c r="E22" s="19"/>
    </row>
    <row r="23" spans="1:7" ht="28.5" x14ac:dyDescent="0.25">
      <c r="A23" s="12" t="s">
        <v>111</v>
      </c>
      <c r="B23" s="23">
        <v>89</v>
      </c>
      <c r="C23" s="23">
        <f t="shared" si="1"/>
        <v>3</v>
      </c>
      <c r="D23" s="12" t="s">
        <v>231</v>
      </c>
      <c r="E23" s="19"/>
    </row>
    <row r="24" spans="1:7" x14ac:dyDescent="0.25">
      <c r="A24" s="12" t="s">
        <v>48</v>
      </c>
      <c r="B24" s="23">
        <f>0.53*2</f>
        <v>1.06</v>
      </c>
      <c r="C24" s="23">
        <f t="shared" si="1"/>
        <v>1</v>
      </c>
      <c r="D24" s="12" t="s">
        <v>45</v>
      </c>
      <c r="E24" s="19"/>
    </row>
    <row r="25" spans="1:7" x14ac:dyDescent="0.25">
      <c r="A25" s="12" t="s">
        <v>112</v>
      </c>
      <c r="B25" s="23">
        <f>0.57*6</f>
        <v>3.42</v>
      </c>
      <c r="C25" s="23">
        <f t="shared" si="1"/>
        <v>1</v>
      </c>
      <c r="D25" s="2" t="s">
        <v>45</v>
      </c>
      <c r="E25" s="19"/>
      <c r="F25" s="20"/>
    </row>
    <row r="26" spans="1:7" x14ac:dyDescent="0.25">
      <c r="A26" s="12" t="s">
        <v>8</v>
      </c>
      <c r="B26" s="31"/>
      <c r="C26" s="23">
        <f t="shared" si="1"/>
        <v>1</v>
      </c>
      <c r="D26" s="2" t="s">
        <v>45</v>
      </c>
      <c r="E26" s="19"/>
      <c r="F26" s="20"/>
    </row>
    <row r="27" spans="1:7" x14ac:dyDescent="0.25">
      <c r="A27" s="12" t="s">
        <v>49</v>
      </c>
      <c r="B27" s="31"/>
      <c r="C27" s="23">
        <f t="shared" si="1"/>
        <v>1</v>
      </c>
      <c r="D27" s="2" t="s">
        <v>45</v>
      </c>
      <c r="E27" s="19"/>
      <c r="F27" s="20"/>
    </row>
    <row r="28" spans="1:7" x14ac:dyDescent="0.25">
      <c r="A28" s="12" t="s">
        <v>73</v>
      </c>
      <c r="B28" s="23">
        <v>0.46</v>
      </c>
      <c r="C28" s="23">
        <v>1</v>
      </c>
      <c r="D28" s="2" t="s">
        <v>198</v>
      </c>
      <c r="E28" s="19"/>
      <c r="F28" s="20"/>
    </row>
    <row r="29" spans="1:7" x14ac:dyDescent="0.25">
      <c r="A29" s="12" t="s">
        <v>113</v>
      </c>
      <c r="B29" s="23">
        <f>10*3</f>
        <v>30</v>
      </c>
      <c r="C29" s="23">
        <f t="shared" si="1"/>
        <v>2</v>
      </c>
      <c r="D29" s="12" t="s">
        <v>198</v>
      </c>
      <c r="E29" s="19"/>
      <c r="F29" s="20"/>
    </row>
    <row r="30" spans="1:7" x14ac:dyDescent="0.25">
      <c r="A30" s="12" t="s">
        <v>242</v>
      </c>
      <c r="B30" s="23">
        <v>23.06</v>
      </c>
      <c r="C30" s="23">
        <f t="shared" si="1"/>
        <v>2</v>
      </c>
      <c r="D30" s="13" t="s">
        <v>198</v>
      </c>
      <c r="E30" s="19"/>
      <c r="F30" s="20"/>
    </row>
    <row r="31" spans="1:7" x14ac:dyDescent="0.25">
      <c r="A31" s="12" t="s">
        <v>114</v>
      </c>
      <c r="B31" s="23">
        <f>17.24*2</f>
        <v>34.479999999999997</v>
      </c>
      <c r="C31" s="23">
        <f t="shared" si="1"/>
        <v>2</v>
      </c>
      <c r="D31" s="2" t="s">
        <v>45</v>
      </c>
      <c r="E31" s="19"/>
      <c r="F31" s="20"/>
    </row>
    <row r="32" spans="1:7" x14ac:dyDescent="0.25">
      <c r="A32" s="12" t="s">
        <v>227</v>
      </c>
      <c r="B32" s="23">
        <f>2.91*8</f>
        <v>23.28</v>
      </c>
      <c r="C32" s="23">
        <f t="shared" si="1"/>
        <v>2</v>
      </c>
      <c r="D32" s="2" t="s">
        <v>45</v>
      </c>
      <c r="E32" s="19"/>
      <c r="F32" s="20"/>
    </row>
    <row r="33" spans="1:11" x14ac:dyDescent="0.25">
      <c r="A33" s="12" t="s">
        <v>10</v>
      </c>
      <c r="B33" s="23">
        <f>3.23*4</f>
        <v>12.92</v>
      </c>
      <c r="C33" s="23">
        <f t="shared" si="1"/>
        <v>2</v>
      </c>
      <c r="D33" s="13" t="s">
        <v>198</v>
      </c>
      <c r="E33" s="19"/>
      <c r="F33" s="20"/>
    </row>
    <row r="34" spans="1:11" x14ac:dyDescent="0.25">
      <c r="A34" s="12" t="s">
        <v>115</v>
      </c>
      <c r="B34" s="23">
        <v>106.04</v>
      </c>
      <c r="C34" s="23">
        <f t="shared" si="1"/>
        <v>4</v>
      </c>
      <c r="D34" s="13" t="s">
        <v>232</v>
      </c>
      <c r="E34" s="19"/>
      <c r="F34" s="20"/>
    </row>
    <row r="35" spans="1:11" x14ac:dyDescent="0.25">
      <c r="A35" s="12" t="s">
        <v>116</v>
      </c>
      <c r="B35" s="23">
        <f>3.82*6</f>
        <v>22.919999999999998</v>
      </c>
      <c r="C35" s="23">
        <f t="shared" si="1"/>
        <v>2</v>
      </c>
      <c r="D35" s="12" t="s">
        <v>198</v>
      </c>
      <c r="E35" s="19"/>
      <c r="F35" s="20"/>
    </row>
    <row r="36" spans="1:11" x14ac:dyDescent="0.25">
      <c r="A36" s="12" t="s">
        <v>225</v>
      </c>
      <c r="B36" s="23"/>
      <c r="C36" s="23">
        <v>5</v>
      </c>
      <c r="D36" s="12" t="s">
        <v>232</v>
      </c>
      <c r="E36" s="19"/>
      <c r="F36" s="20"/>
    </row>
    <row r="37" spans="1:11" ht="15.75" customHeight="1" x14ac:dyDescent="0.25">
      <c r="A37" s="12" t="s">
        <v>213</v>
      </c>
      <c r="B37" s="23">
        <f>56*3</f>
        <v>168</v>
      </c>
      <c r="C37" s="23">
        <f t="shared" si="1"/>
        <v>4</v>
      </c>
      <c r="D37" s="12" t="s">
        <v>232</v>
      </c>
      <c r="E37" s="19"/>
      <c r="F37" s="20"/>
    </row>
    <row r="38" spans="1:11" x14ac:dyDescent="0.25">
      <c r="A38" s="12" t="s">
        <v>117</v>
      </c>
      <c r="B38" s="23">
        <v>1.19</v>
      </c>
      <c r="C38" s="23">
        <f t="shared" si="1"/>
        <v>1</v>
      </c>
      <c r="D38" s="2" t="s">
        <v>45</v>
      </c>
      <c r="E38" s="19"/>
      <c r="F38" s="20"/>
    </row>
    <row r="39" spans="1:11" x14ac:dyDescent="0.25">
      <c r="A39" s="12" t="s">
        <v>13</v>
      </c>
      <c r="B39" s="23">
        <f>4.24*3</f>
        <v>12.72</v>
      </c>
      <c r="C39" s="23">
        <f t="shared" si="1"/>
        <v>2</v>
      </c>
      <c r="D39" s="13" t="s">
        <v>252</v>
      </c>
      <c r="E39" s="19"/>
      <c r="F39" s="20"/>
      <c r="G39" s="20"/>
    </row>
    <row r="40" spans="1:11" x14ac:dyDescent="0.25">
      <c r="A40" s="12" t="s">
        <v>12</v>
      </c>
      <c r="B40" s="23">
        <f>0.65*2</f>
        <v>1.3</v>
      </c>
      <c r="C40" s="23">
        <f t="shared" si="1"/>
        <v>1</v>
      </c>
      <c r="D40" s="12" t="s">
        <v>198</v>
      </c>
      <c r="E40" s="19"/>
      <c r="F40" s="20"/>
      <c r="G40" s="20"/>
    </row>
    <row r="41" spans="1:11" x14ac:dyDescent="0.25">
      <c r="A41" s="12" t="s">
        <v>14</v>
      </c>
      <c r="B41" s="23">
        <f>0.09*4</f>
        <v>0.36</v>
      </c>
      <c r="C41" s="23">
        <f t="shared" si="1"/>
        <v>1</v>
      </c>
      <c r="D41" s="2" t="s">
        <v>45</v>
      </c>
      <c r="E41" s="19"/>
      <c r="F41" s="20"/>
      <c r="G41" s="20"/>
    </row>
    <row r="42" spans="1:11" x14ac:dyDescent="0.25">
      <c r="A42" s="12" t="s">
        <v>118</v>
      </c>
      <c r="B42" s="23">
        <f>42.91*4</f>
        <v>171.64</v>
      </c>
      <c r="C42" s="23">
        <f t="shared" si="1"/>
        <v>4</v>
      </c>
      <c r="D42" s="12" t="s">
        <v>205</v>
      </c>
      <c r="E42" s="19"/>
      <c r="F42" s="20"/>
      <c r="G42" s="20"/>
    </row>
    <row r="43" spans="1:11" s="8" customFormat="1" ht="57" x14ac:dyDescent="0.25">
      <c r="A43" s="13" t="s">
        <v>119</v>
      </c>
      <c r="B43" s="32">
        <v>112.76</v>
      </c>
      <c r="C43" s="23" t="s">
        <v>190</v>
      </c>
      <c r="D43" s="12" t="s">
        <v>244</v>
      </c>
      <c r="E43" s="19"/>
      <c r="F43" s="21"/>
      <c r="G43" s="21"/>
      <c r="H43" s="9"/>
      <c r="I43" s="9"/>
      <c r="J43" s="9"/>
      <c r="K43" s="9"/>
    </row>
    <row r="44" spans="1:11" x14ac:dyDescent="0.25">
      <c r="A44" s="12" t="s">
        <v>120</v>
      </c>
      <c r="B44" s="23">
        <f>2.68*3</f>
        <v>8.0400000000000009</v>
      </c>
      <c r="C44" s="23">
        <f t="shared" ref="C44:C65" si="2">IF(B44&lt;10,1,IF(B44&lt;51,2,IF(B44&lt;101,3,IF(B44&lt;401,4,IF(B44&gt;400,5)))))</f>
        <v>1</v>
      </c>
      <c r="D44" s="12" t="s">
        <v>198</v>
      </c>
      <c r="E44" s="19"/>
      <c r="F44" s="20"/>
      <c r="G44" s="20"/>
    </row>
    <row r="45" spans="1:11" ht="28.5" x14ac:dyDescent="0.25">
      <c r="A45" s="12" t="s">
        <v>53</v>
      </c>
      <c r="B45" s="23">
        <f>0.13*3</f>
        <v>0.39</v>
      </c>
      <c r="C45" s="23">
        <f t="shared" si="2"/>
        <v>1</v>
      </c>
      <c r="D45" s="12" t="s">
        <v>235</v>
      </c>
      <c r="E45" s="19"/>
      <c r="F45" s="20"/>
      <c r="G45" s="20"/>
    </row>
    <row r="46" spans="1:11" x14ac:dyDescent="0.25">
      <c r="A46" s="12" t="s">
        <v>196</v>
      </c>
      <c r="B46" s="23">
        <f>0.17*2</f>
        <v>0.34</v>
      </c>
      <c r="C46" s="23">
        <f t="shared" si="2"/>
        <v>1</v>
      </c>
      <c r="D46" s="12" t="s">
        <v>198</v>
      </c>
      <c r="E46" s="19"/>
      <c r="F46" s="20"/>
      <c r="G46" s="20"/>
    </row>
    <row r="47" spans="1:11" x14ac:dyDescent="0.25">
      <c r="A47" s="12" t="s">
        <v>161</v>
      </c>
      <c r="B47" s="23">
        <f>0.19*5</f>
        <v>0.95</v>
      </c>
      <c r="C47" s="23">
        <f t="shared" si="2"/>
        <v>1</v>
      </c>
      <c r="D47" s="13" t="s">
        <v>45</v>
      </c>
      <c r="E47" s="19"/>
      <c r="F47" s="20"/>
      <c r="G47" s="20"/>
    </row>
    <row r="48" spans="1:11" x14ac:dyDescent="0.25">
      <c r="A48" s="12" t="s">
        <v>156</v>
      </c>
      <c r="B48" s="23">
        <f>7.87*3</f>
        <v>23.61</v>
      </c>
      <c r="C48" s="23">
        <f t="shared" si="2"/>
        <v>2</v>
      </c>
      <c r="D48" s="42" t="s">
        <v>45</v>
      </c>
      <c r="E48" s="19"/>
      <c r="F48" s="20"/>
      <c r="G48" s="20"/>
    </row>
    <row r="49" spans="1:7" x14ac:dyDescent="0.25">
      <c r="A49" s="12" t="s">
        <v>157</v>
      </c>
      <c r="B49" s="23">
        <f>0.39*3</f>
        <v>1.17</v>
      </c>
      <c r="C49" s="23">
        <f t="shared" si="2"/>
        <v>1</v>
      </c>
      <c r="D49" s="43"/>
      <c r="E49" s="19"/>
      <c r="F49" s="20"/>
      <c r="G49" s="20"/>
    </row>
    <row r="50" spans="1:7" x14ac:dyDescent="0.25">
      <c r="A50" s="12" t="s">
        <v>121</v>
      </c>
      <c r="B50" s="23">
        <f>9.06*2.67</f>
        <v>24.190200000000001</v>
      </c>
      <c r="C50" s="23">
        <f t="shared" si="2"/>
        <v>2</v>
      </c>
      <c r="D50" s="13" t="s">
        <v>204</v>
      </c>
      <c r="E50" s="19"/>
      <c r="F50" s="20"/>
      <c r="G50" s="20"/>
    </row>
    <row r="51" spans="1:7" x14ac:dyDescent="0.25">
      <c r="A51" s="12" t="s">
        <v>54</v>
      </c>
      <c r="B51" s="23">
        <f>35*4</f>
        <v>140</v>
      </c>
      <c r="C51" s="23">
        <f t="shared" si="2"/>
        <v>4</v>
      </c>
      <c r="D51" s="13" t="s">
        <v>206</v>
      </c>
      <c r="E51" s="19"/>
      <c r="F51" s="20"/>
      <c r="G51" s="20"/>
    </row>
    <row r="52" spans="1:7" x14ac:dyDescent="0.25">
      <c r="A52" s="12" t="s">
        <v>250</v>
      </c>
      <c r="B52" s="23"/>
      <c r="C52" s="23"/>
      <c r="D52" s="13" t="s">
        <v>254</v>
      </c>
      <c r="E52" s="19"/>
      <c r="F52" s="20"/>
      <c r="G52" s="20"/>
    </row>
    <row r="53" spans="1:7" x14ac:dyDescent="0.25">
      <c r="A53" s="12" t="s">
        <v>55</v>
      </c>
      <c r="B53" s="23">
        <v>2.8</v>
      </c>
      <c r="C53" s="23">
        <f t="shared" si="2"/>
        <v>1</v>
      </c>
      <c r="D53" s="2" t="s">
        <v>45</v>
      </c>
      <c r="E53" s="19"/>
      <c r="F53" s="20"/>
      <c r="G53" s="20"/>
    </row>
    <row r="54" spans="1:7" x14ac:dyDescent="0.25">
      <c r="A54" s="12" t="s">
        <v>122</v>
      </c>
      <c r="B54" s="23">
        <v>276</v>
      </c>
      <c r="C54" s="23">
        <f t="shared" si="2"/>
        <v>4</v>
      </c>
      <c r="D54" s="13" t="s">
        <v>202</v>
      </c>
      <c r="E54" s="19"/>
      <c r="F54" s="20"/>
      <c r="G54" s="20"/>
    </row>
    <row r="55" spans="1:7" x14ac:dyDescent="0.25">
      <c r="A55" s="12" t="s">
        <v>17</v>
      </c>
      <c r="B55" s="23">
        <f>0.17*8</f>
        <v>1.36</v>
      </c>
      <c r="C55" s="23">
        <f t="shared" si="2"/>
        <v>1</v>
      </c>
      <c r="D55" s="2" t="s">
        <v>45</v>
      </c>
      <c r="E55" s="19"/>
      <c r="F55" s="20"/>
      <c r="G55" s="20"/>
    </row>
    <row r="56" spans="1:7" x14ac:dyDescent="0.25">
      <c r="A56" s="12" t="s">
        <v>123</v>
      </c>
      <c r="B56" s="23">
        <f>15.15*2</f>
        <v>30.3</v>
      </c>
      <c r="C56" s="23">
        <f t="shared" si="2"/>
        <v>2</v>
      </c>
      <c r="D56" s="2" t="s">
        <v>45</v>
      </c>
      <c r="E56" s="19"/>
      <c r="F56" s="20"/>
      <c r="G56" s="20"/>
    </row>
    <row r="57" spans="1:7" x14ac:dyDescent="0.25">
      <c r="A57" s="12" t="s">
        <v>18</v>
      </c>
      <c r="B57" s="23">
        <f>0.35*2</f>
        <v>0.7</v>
      </c>
      <c r="C57" s="23">
        <f t="shared" si="2"/>
        <v>1</v>
      </c>
      <c r="D57" s="2" t="s">
        <v>50</v>
      </c>
      <c r="E57" s="19"/>
      <c r="F57" s="20"/>
      <c r="G57" s="20"/>
    </row>
    <row r="58" spans="1:7" x14ac:dyDescent="0.25">
      <c r="A58" s="12" t="s">
        <v>124</v>
      </c>
      <c r="B58" s="23">
        <v>42.99</v>
      </c>
      <c r="C58" s="23">
        <f t="shared" si="2"/>
        <v>2</v>
      </c>
      <c r="D58" s="12" t="s">
        <v>198</v>
      </c>
      <c r="E58" s="19"/>
      <c r="F58" s="20"/>
      <c r="G58" s="20"/>
    </row>
    <row r="59" spans="1:7" x14ac:dyDescent="0.25">
      <c r="A59" s="12" t="s">
        <v>182</v>
      </c>
      <c r="B59" s="23">
        <f>12*3</f>
        <v>36</v>
      </c>
      <c r="C59" s="23">
        <f t="shared" si="2"/>
        <v>2</v>
      </c>
      <c r="D59" s="2" t="s">
        <v>45</v>
      </c>
      <c r="E59" s="19"/>
      <c r="F59" s="20"/>
      <c r="G59" s="20"/>
    </row>
    <row r="60" spans="1:7" x14ac:dyDescent="0.25">
      <c r="A60" s="12" t="s">
        <v>181</v>
      </c>
      <c r="B60" s="23">
        <f>2.46*6</f>
        <v>14.76</v>
      </c>
      <c r="C60" s="23">
        <f t="shared" si="2"/>
        <v>2</v>
      </c>
      <c r="D60" s="2" t="s">
        <v>45</v>
      </c>
      <c r="E60" s="19"/>
      <c r="F60" s="20"/>
      <c r="G60" s="20"/>
    </row>
    <row r="61" spans="1:7" x14ac:dyDescent="0.25">
      <c r="A61" s="12" t="s">
        <v>179</v>
      </c>
      <c r="B61" s="23">
        <f>2.36*6</f>
        <v>14.16</v>
      </c>
      <c r="C61" s="23">
        <f t="shared" si="2"/>
        <v>2</v>
      </c>
      <c r="D61" s="2" t="s">
        <v>245</v>
      </c>
      <c r="E61" s="19"/>
      <c r="F61" s="20"/>
      <c r="G61" s="20"/>
    </row>
    <row r="62" spans="1:7" x14ac:dyDescent="0.25">
      <c r="A62" s="12" t="s">
        <v>180</v>
      </c>
      <c r="B62" s="23">
        <f>2.06*6</f>
        <v>12.36</v>
      </c>
      <c r="C62" s="23">
        <f t="shared" si="2"/>
        <v>2</v>
      </c>
      <c r="D62" s="2" t="s">
        <v>45</v>
      </c>
      <c r="E62" s="19"/>
      <c r="F62" s="20"/>
      <c r="G62" s="20"/>
    </row>
    <row r="63" spans="1:7" x14ac:dyDescent="0.25">
      <c r="A63" s="12" t="s">
        <v>56</v>
      </c>
      <c r="B63" s="23">
        <f>0.3*4</f>
        <v>1.2</v>
      </c>
      <c r="C63" s="23">
        <f t="shared" si="2"/>
        <v>1</v>
      </c>
      <c r="D63" s="12" t="s">
        <v>45</v>
      </c>
      <c r="E63" s="19"/>
      <c r="F63" s="20"/>
      <c r="G63" s="20"/>
    </row>
    <row r="64" spans="1:7" x14ac:dyDescent="0.25">
      <c r="A64" s="12" t="s">
        <v>57</v>
      </c>
      <c r="B64" s="23">
        <f>2.39*4</f>
        <v>9.56</v>
      </c>
      <c r="C64" s="23">
        <f t="shared" si="2"/>
        <v>1</v>
      </c>
      <c r="D64" s="13" t="s">
        <v>207</v>
      </c>
      <c r="E64" s="19"/>
      <c r="F64" s="20"/>
      <c r="G64" s="20"/>
    </row>
    <row r="65" spans="1:7" x14ac:dyDescent="0.25">
      <c r="A65" s="12" t="s">
        <v>19</v>
      </c>
      <c r="B65" s="23">
        <f>4.22*2</f>
        <v>8.44</v>
      </c>
      <c r="C65" s="23">
        <f t="shared" si="2"/>
        <v>1</v>
      </c>
      <c r="D65" s="12" t="s">
        <v>224</v>
      </c>
      <c r="E65" s="19"/>
      <c r="F65" s="20"/>
      <c r="G65" s="20"/>
    </row>
    <row r="66" spans="1:7" ht="15.75" customHeight="1" x14ac:dyDescent="0.25">
      <c r="A66" s="12" t="s">
        <v>191</v>
      </c>
      <c r="B66" s="32" t="s">
        <v>192</v>
      </c>
      <c r="C66" s="23">
        <v>1</v>
      </c>
      <c r="D66" s="12" t="s">
        <v>198</v>
      </c>
      <c r="E66" s="19"/>
      <c r="F66" s="20"/>
      <c r="G66" s="20"/>
    </row>
    <row r="67" spans="1:7" x14ac:dyDescent="0.25">
      <c r="A67" s="12" t="s">
        <v>20</v>
      </c>
      <c r="B67" s="23">
        <f>31*16</f>
        <v>496</v>
      </c>
      <c r="C67" s="23">
        <f t="shared" ref="C67:C76" si="3">IF(B67&lt;10,1,IF(B67&lt;51,2,IF(B67&lt;101,3,IF(B67&lt;401,4,IF(B67&gt;400,5)))))</f>
        <v>5</v>
      </c>
      <c r="D67" s="37" t="s">
        <v>207</v>
      </c>
      <c r="E67" s="40"/>
      <c r="F67" s="20"/>
      <c r="G67" s="20"/>
    </row>
    <row r="68" spans="1:7" x14ac:dyDescent="0.25">
      <c r="A68" s="12" t="s">
        <v>125</v>
      </c>
      <c r="B68" s="23">
        <f>41.16*1</f>
        <v>41.16</v>
      </c>
      <c r="C68" s="23">
        <f t="shared" si="3"/>
        <v>2</v>
      </c>
      <c r="D68" s="13" t="s">
        <v>233</v>
      </c>
      <c r="E68" s="19"/>
      <c r="F68" s="20"/>
      <c r="G68" s="20"/>
    </row>
    <row r="69" spans="1:7" x14ac:dyDescent="0.25">
      <c r="A69" s="12" t="s">
        <v>126</v>
      </c>
      <c r="B69" s="23">
        <f>135.44*2.4</f>
        <v>325.05599999999998</v>
      </c>
      <c r="C69" s="23">
        <f t="shared" si="3"/>
        <v>4</v>
      </c>
      <c r="D69" s="2" t="s">
        <v>195</v>
      </c>
      <c r="E69" s="19"/>
      <c r="F69" s="20"/>
      <c r="G69" s="20"/>
    </row>
    <row r="70" spans="1:7" x14ac:dyDescent="0.25">
      <c r="A70" s="12" t="s">
        <v>240</v>
      </c>
      <c r="B70" s="23"/>
      <c r="C70" s="23">
        <v>4</v>
      </c>
      <c r="D70" s="2" t="s">
        <v>253</v>
      </c>
      <c r="E70" s="19"/>
      <c r="F70" s="20"/>
      <c r="G70" s="20"/>
    </row>
    <row r="71" spans="1:7" x14ac:dyDescent="0.25">
      <c r="A71" s="12" t="s">
        <v>127</v>
      </c>
      <c r="B71" s="23">
        <f>70.19*1.6</f>
        <v>112.304</v>
      </c>
      <c r="C71" s="23">
        <f t="shared" si="3"/>
        <v>4</v>
      </c>
      <c r="D71" s="12" t="s">
        <v>208</v>
      </c>
      <c r="E71" s="19"/>
      <c r="F71" s="20"/>
      <c r="G71" s="20"/>
    </row>
    <row r="72" spans="1:7" x14ac:dyDescent="0.25">
      <c r="A72" s="12" t="s">
        <v>128</v>
      </c>
      <c r="B72" s="23">
        <f>5*0.48</f>
        <v>2.4</v>
      </c>
      <c r="C72" s="23">
        <f t="shared" si="3"/>
        <v>1</v>
      </c>
      <c r="D72" s="2" t="s">
        <v>45</v>
      </c>
      <c r="E72" s="40"/>
      <c r="F72" s="20"/>
      <c r="G72" s="20"/>
    </row>
    <row r="73" spans="1:7" s="6" customFormat="1" x14ac:dyDescent="0.25">
      <c r="A73" s="12" t="s">
        <v>22</v>
      </c>
      <c r="B73" s="23">
        <v>10.8</v>
      </c>
      <c r="C73" s="23">
        <f t="shared" si="3"/>
        <v>2</v>
      </c>
      <c r="D73" s="37" t="s">
        <v>203</v>
      </c>
      <c r="E73" s="19"/>
      <c r="F73" s="20"/>
      <c r="G73" s="20"/>
    </row>
    <row r="74" spans="1:7" ht="28.5" x14ac:dyDescent="0.25">
      <c r="A74" s="12" t="s">
        <v>129</v>
      </c>
      <c r="B74" s="23">
        <f>9.53*4</f>
        <v>38.119999999999997</v>
      </c>
      <c r="C74" s="23">
        <f t="shared" si="3"/>
        <v>2</v>
      </c>
      <c r="D74" s="12" t="s">
        <v>237</v>
      </c>
      <c r="E74" s="19"/>
      <c r="F74" s="20"/>
      <c r="G74" s="20"/>
    </row>
    <row r="75" spans="1:7" x14ac:dyDescent="0.25">
      <c r="A75" s="12" t="s">
        <v>23</v>
      </c>
      <c r="B75" s="23">
        <f>0.11*1</f>
        <v>0.11</v>
      </c>
      <c r="C75" s="23">
        <f t="shared" si="3"/>
        <v>1</v>
      </c>
      <c r="D75" s="2" t="s">
        <v>45</v>
      </c>
      <c r="E75" s="19"/>
      <c r="F75" s="20"/>
      <c r="G75" s="20"/>
    </row>
    <row r="76" spans="1:7" x14ac:dyDescent="0.25">
      <c r="A76" s="12" t="s">
        <v>246</v>
      </c>
      <c r="B76" s="23">
        <v>102.6</v>
      </c>
      <c r="C76" s="23">
        <f t="shared" si="3"/>
        <v>4</v>
      </c>
      <c r="D76" s="2" t="s">
        <v>211</v>
      </c>
      <c r="E76" s="19"/>
      <c r="F76" s="20"/>
      <c r="G76" s="20"/>
    </row>
    <row r="77" spans="1:7" ht="25.5" customHeight="1" x14ac:dyDescent="0.25">
      <c r="A77" s="12" t="s">
        <v>25</v>
      </c>
      <c r="B77" s="32" t="s">
        <v>186</v>
      </c>
      <c r="C77" s="23" t="s">
        <v>185</v>
      </c>
      <c r="D77" s="12" t="s">
        <v>198</v>
      </c>
      <c r="E77" s="19"/>
      <c r="F77" s="20"/>
      <c r="G77" s="20"/>
    </row>
    <row r="78" spans="1:7" ht="28.5" x14ac:dyDescent="0.25">
      <c r="A78" s="12" t="s">
        <v>101</v>
      </c>
      <c r="B78" s="23">
        <f>1.96*1</f>
        <v>1.96</v>
      </c>
      <c r="C78" s="23">
        <f>IF(B78&lt;10,1,IF(B78&lt;51,2,IF(B78&lt;101,3,IF(B78&lt;401,4,IF(B78&gt;400,5)))))</f>
        <v>1</v>
      </c>
      <c r="D78" s="12" t="s">
        <v>248</v>
      </c>
      <c r="E78" s="19"/>
      <c r="F78" s="20"/>
      <c r="G78" s="20"/>
    </row>
    <row r="79" spans="1:7" x14ac:dyDescent="0.25">
      <c r="A79" s="12" t="s">
        <v>131</v>
      </c>
      <c r="B79" s="23">
        <f>3.31*1</f>
        <v>3.31</v>
      </c>
      <c r="C79" s="23">
        <f>IF(B79&lt;10,1,IF(B79&lt;51,2,IF(B79&lt;101,3,IF(B79&lt;401,4,IF(B79&gt;400,5)))))</f>
        <v>1</v>
      </c>
      <c r="D79" s="12" t="s">
        <v>198</v>
      </c>
      <c r="E79" s="19"/>
      <c r="F79" s="20"/>
      <c r="G79" s="20"/>
    </row>
    <row r="80" spans="1:7" ht="28.5" x14ac:dyDescent="0.25">
      <c r="A80" s="12" t="s">
        <v>26</v>
      </c>
      <c r="B80" s="23">
        <f>0.09*1</f>
        <v>0.09</v>
      </c>
      <c r="C80" s="23">
        <f>IF(B80&lt;10,1,IF(B80&lt;51,2,IF(B80&lt;101,3,IF(B80&lt;401,4,IF(B80&gt;400,5)))))</f>
        <v>1</v>
      </c>
      <c r="D80" s="12" t="s">
        <v>235</v>
      </c>
      <c r="E80" s="19"/>
      <c r="F80" s="20"/>
      <c r="G80" s="20"/>
    </row>
    <row r="81" spans="1:7" x14ac:dyDescent="0.25">
      <c r="A81" s="12" t="s">
        <v>168</v>
      </c>
      <c r="B81" s="23">
        <f>60.22*2</f>
        <v>120.44</v>
      </c>
      <c r="C81" s="23">
        <f>IF(B81&lt;10,1,IF(B81&lt;51,2,IF(B81&lt;101,3,IF(B81&lt;401,4,IF(B81&gt;400,5)))))</f>
        <v>4</v>
      </c>
      <c r="D81" s="12" t="s">
        <v>202</v>
      </c>
      <c r="E81" s="19"/>
      <c r="F81" s="20"/>
      <c r="G81" s="20"/>
    </row>
    <row r="82" spans="1:7" ht="26.25" customHeight="1" x14ac:dyDescent="0.25">
      <c r="A82" s="12" t="s">
        <v>169</v>
      </c>
      <c r="B82" s="32" t="s">
        <v>187</v>
      </c>
      <c r="C82" s="23" t="s">
        <v>188</v>
      </c>
      <c r="D82" s="12" t="s">
        <v>202</v>
      </c>
      <c r="E82" s="19"/>
      <c r="F82" s="20"/>
      <c r="G82" s="20"/>
    </row>
    <row r="83" spans="1:7" x14ac:dyDescent="0.25">
      <c r="A83" s="12" t="s">
        <v>132</v>
      </c>
      <c r="B83" s="23">
        <f>10.67*2</f>
        <v>21.34</v>
      </c>
      <c r="C83" s="23">
        <f>IF(B83&lt;10,1,IF(B83&lt;51,2,IF(B83&lt;101,3,IF(B83&lt;401,4,IF(B83&gt;400,5)))))</f>
        <v>2</v>
      </c>
      <c r="D83" s="13" t="s">
        <v>198</v>
      </c>
      <c r="E83" s="19"/>
      <c r="F83" s="20"/>
      <c r="G83" s="20"/>
    </row>
    <row r="84" spans="1:7" x14ac:dyDescent="0.25">
      <c r="A84" s="12" t="s">
        <v>215</v>
      </c>
      <c r="B84" s="23">
        <f>0.62*2</f>
        <v>1.24</v>
      </c>
      <c r="C84" s="23">
        <f>IF(B84&lt;10,1,IF(B84&lt;51,2,IF(B84&lt;101,3,IF(B84&lt;401,4,IF(B84&gt;400,5)))))</f>
        <v>1</v>
      </c>
      <c r="D84" s="2" t="s">
        <v>45</v>
      </c>
      <c r="E84" s="19"/>
      <c r="F84" s="20"/>
      <c r="G84" s="20"/>
    </row>
    <row r="85" spans="1:7" ht="14.25" customHeight="1" x14ac:dyDescent="0.25">
      <c r="A85" s="12" t="s">
        <v>194</v>
      </c>
      <c r="B85" s="32" t="s">
        <v>193</v>
      </c>
      <c r="C85" s="23">
        <v>1</v>
      </c>
      <c r="D85" s="2" t="s">
        <v>45</v>
      </c>
      <c r="E85" s="19"/>
      <c r="F85" s="20"/>
      <c r="G85" s="20"/>
    </row>
    <row r="86" spans="1:7" x14ac:dyDescent="0.25">
      <c r="A86" s="12" t="s">
        <v>133</v>
      </c>
      <c r="B86" s="23">
        <f>56.05*1</f>
        <v>56.05</v>
      </c>
      <c r="C86" s="23">
        <f t="shared" ref="C86:C99" si="4">IF(B86&lt;10,1,IF(B86&lt;51,2,IF(B86&lt;101,3,IF(B86&lt;401,4,IF(B86&gt;400,5)))))</f>
        <v>3</v>
      </c>
      <c r="D86" s="12" t="s">
        <v>198</v>
      </c>
      <c r="E86" s="19"/>
      <c r="F86" s="20"/>
      <c r="G86" s="20"/>
    </row>
    <row r="87" spans="1:7" x14ac:dyDescent="0.25">
      <c r="A87" s="12" t="s">
        <v>27</v>
      </c>
      <c r="B87" s="23">
        <f>0.51*2</f>
        <v>1.02</v>
      </c>
      <c r="C87" s="23">
        <f t="shared" si="4"/>
        <v>1</v>
      </c>
      <c r="D87" s="2" t="s">
        <v>45</v>
      </c>
      <c r="E87" s="19"/>
      <c r="F87" s="20"/>
      <c r="G87" s="20"/>
    </row>
    <row r="88" spans="1:7" x14ac:dyDescent="0.25">
      <c r="A88" s="12" t="s">
        <v>255</v>
      </c>
      <c r="B88" s="23"/>
      <c r="C88" s="23"/>
      <c r="D88" s="2" t="s">
        <v>256</v>
      </c>
      <c r="E88" s="19"/>
      <c r="F88" s="20"/>
      <c r="G88" s="20"/>
    </row>
    <row r="89" spans="1:7" x14ac:dyDescent="0.25">
      <c r="A89" s="12" t="s">
        <v>171</v>
      </c>
      <c r="B89" s="23"/>
      <c r="C89" s="23">
        <v>2</v>
      </c>
      <c r="D89" s="2" t="s">
        <v>202</v>
      </c>
      <c r="E89" s="19"/>
      <c r="F89" s="20"/>
      <c r="G89" s="20"/>
    </row>
    <row r="90" spans="1:7" x14ac:dyDescent="0.25">
      <c r="A90" s="12" t="s">
        <v>170</v>
      </c>
      <c r="B90" s="23">
        <f>2.17*1</f>
        <v>2.17</v>
      </c>
      <c r="C90" s="23">
        <f t="shared" si="4"/>
        <v>1</v>
      </c>
      <c r="D90" s="2" t="s">
        <v>202</v>
      </c>
      <c r="E90" s="19"/>
      <c r="F90" s="20"/>
      <c r="G90" s="20"/>
    </row>
    <row r="91" spans="1:7" x14ac:dyDescent="0.25">
      <c r="A91" s="12" t="s">
        <v>134</v>
      </c>
      <c r="B91" s="23">
        <v>40.47</v>
      </c>
      <c r="C91" s="23">
        <f t="shared" si="4"/>
        <v>2</v>
      </c>
      <c r="D91" s="2" t="s">
        <v>45</v>
      </c>
      <c r="E91" s="19"/>
      <c r="F91" s="20"/>
      <c r="G91" s="20"/>
    </row>
    <row r="92" spans="1:7" x14ac:dyDescent="0.25">
      <c r="A92" s="12" t="s">
        <v>28</v>
      </c>
      <c r="B92" s="23">
        <f>0.69*6</f>
        <v>4.1399999999999997</v>
      </c>
      <c r="C92" s="23">
        <f t="shared" si="4"/>
        <v>1</v>
      </c>
      <c r="D92" s="2" t="s">
        <v>45</v>
      </c>
      <c r="E92" s="19"/>
      <c r="F92" s="20"/>
      <c r="G92" s="20"/>
    </row>
    <row r="93" spans="1:7" x14ac:dyDescent="0.25">
      <c r="A93" s="12" t="s">
        <v>58</v>
      </c>
      <c r="B93" s="23">
        <f>0.52*2</f>
        <v>1.04</v>
      </c>
      <c r="C93" s="23">
        <f t="shared" si="4"/>
        <v>1</v>
      </c>
      <c r="D93" s="2" t="s">
        <v>152</v>
      </c>
      <c r="E93" s="19"/>
      <c r="F93" s="20"/>
      <c r="G93" s="20"/>
    </row>
    <row r="94" spans="1:7" x14ac:dyDescent="0.25">
      <c r="A94" s="12" t="s">
        <v>216</v>
      </c>
      <c r="B94" s="23"/>
      <c r="C94" s="23">
        <v>1</v>
      </c>
      <c r="D94" s="2" t="s">
        <v>217</v>
      </c>
      <c r="E94" s="19"/>
      <c r="F94" s="20"/>
      <c r="G94" s="20"/>
    </row>
    <row r="95" spans="1:7" x14ac:dyDescent="0.25">
      <c r="A95" s="12" t="s">
        <v>31</v>
      </c>
      <c r="B95" s="23">
        <v>16</v>
      </c>
      <c r="C95" s="23">
        <f t="shared" si="4"/>
        <v>2</v>
      </c>
      <c r="D95" s="12" t="s">
        <v>198</v>
      </c>
      <c r="E95" s="19"/>
      <c r="F95" s="20"/>
      <c r="G95" s="20"/>
    </row>
    <row r="96" spans="1:7" x14ac:dyDescent="0.25">
      <c r="A96" s="12" t="s">
        <v>60</v>
      </c>
      <c r="B96" s="23">
        <v>84.83</v>
      </c>
      <c r="C96" s="23">
        <f t="shared" si="4"/>
        <v>3</v>
      </c>
      <c r="D96" s="2" t="s">
        <v>45</v>
      </c>
      <c r="E96" s="19"/>
      <c r="F96" s="20"/>
      <c r="G96" s="20"/>
    </row>
    <row r="97" spans="1:7" x14ac:dyDescent="0.25">
      <c r="A97" s="12" t="s">
        <v>136</v>
      </c>
      <c r="B97" s="23">
        <f>4.81*4</f>
        <v>19.239999999999998</v>
      </c>
      <c r="C97" s="23">
        <f t="shared" si="4"/>
        <v>2</v>
      </c>
      <c r="D97" s="2" t="s">
        <v>45</v>
      </c>
      <c r="E97" s="19"/>
      <c r="F97" s="24"/>
      <c r="G97" s="20"/>
    </row>
    <row r="98" spans="1:7" ht="28.5" x14ac:dyDescent="0.25">
      <c r="A98" s="12" t="s">
        <v>137</v>
      </c>
      <c r="B98" s="23">
        <f>51.03*4</f>
        <v>204.12</v>
      </c>
      <c r="C98" s="23">
        <f t="shared" si="4"/>
        <v>4</v>
      </c>
      <c r="D98" s="13" t="s">
        <v>234</v>
      </c>
      <c r="E98" s="19"/>
      <c r="F98" s="20"/>
      <c r="G98" s="20"/>
    </row>
    <row r="99" spans="1:7" x14ac:dyDescent="0.25">
      <c r="A99" s="12" t="s">
        <v>33</v>
      </c>
      <c r="B99" s="23">
        <f>0.16*8</f>
        <v>1.28</v>
      </c>
      <c r="C99" s="23">
        <f t="shared" si="4"/>
        <v>1</v>
      </c>
      <c r="D99" s="2" t="s">
        <v>45</v>
      </c>
      <c r="E99" s="19"/>
      <c r="F99" s="20"/>
      <c r="G99" s="20"/>
    </row>
    <row r="100" spans="1:7" ht="26.25" customHeight="1" x14ac:dyDescent="0.25">
      <c r="A100" s="12" t="s">
        <v>34</v>
      </c>
      <c r="B100" s="32">
        <v>65.88</v>
      </c>
      <c r="C100" s="23" t="s">
        <v>189</v>
      </c>
      <c r="D100" s="2" t="s">
        <v>222</v>
      </c>
      <c r="E100" s="40"/>
      <c r="F100" s="20"/>
      <c r="G100" s="20"/>
    </row>
    <row r="101" spans="1:7" x14ac:dyDescent="0.25">
      <c r="A101" s="12" t="s">
        <v>138</v>
      </c>
      <c r="B101" s="23">
        <v>59.62</v>
      </c>
      <c r="C101" s="23">
        <f t="shared" ref="C101:C133" si="5">IF(B101&lt;10,1,IF(B101&lt;51,2,IF(B101&lt;101,3,IF(B101&lt;401,4,IF(B101&gt;400,5)))))</f>
        <v>3</v>
      </c>
      <c r="D101" s="2" t="s">
        <v>206</v>
      </c>
      <c r="E101" s="40"/>
      <c r="F101" s="20"/>
      <c r="G101" s="20"/>
    </row>
    <row r="102" spans="1:7" x14ac:dyDescent="0.25">
      <c r="A102" s="12" t="s">
        <v>184</v>
      </c>
      <c r="B102" s="23">
        <f>3*380</f>
        <v>1140</v>
      </c>
      <c r="C102" s="23">
        <f t="shared" si="5"/>
        <v>5</v>
      </c>
      <c r="D102" s="13" t="s">
        <v>210</v>
      </c>
      <c r="E102" s="19"/>
      <c r="F102" s="20"/>
      <c r="G102" s="20"/>
    </row>
    <row r="103" spans="1:7" x14ac:dyDescent="0.25">
      <c r="A103" s="12" t="s">
        <v>139</v>
      </c>
      <c r="B103" s="23">
        <f>5.36*4</f>
        <v>21.44</v>
      </c>
      <c r="C103" s="23">
        <f t="shared" si="5"/>
        <v>2</v>
      </c>
      <c r="D103" s="12" t="s">
        <v>198</v>
      </c>
      <c r="E103" s="19"/>
      <c r="F103" s="20"/>
      <c r="G103" s="20"/>
    </row>
    <row r="104" spans="1:7" x14ac:dyDescent="0.25">
      <c r="A104" s="12" t="s">
        <v>223</v>
      </c>
      <c r="B104" s="23"/>
      <c r="C104" s="23">
        <v>2</v>
      </c>
      <c r="D104" s="12" t="s">
        <v>224</v>
      </c>
      <c r="E104" s="19"/>
      <c r="F104" s="20"/>
      <c r="G104" s="20"/>
    </row>
    <row r="105" spans="1:7" ht="42.75" x14ac:dyDescent="0.25">
      <c r="A105" s="12" t="s">
        <v>141</v>
      </c>
      <c r="B105" s="23">
        <f>34.84*3</f>
        <v>104.52000000000001</v>
      </c>
      <c r="C105" s="23">
        <f t="shared" si="5"/>
        <v>4</v>
      </c>
      <c r="D105" s="13" t="s">
        <v>257</v>
      </c>
      <c r="E105" s="19"/>
      <c r="F105" s="20"/>
      <c r="G105" s="20"/>
    </row>
    <row r="106" spans="1:7" ht="42.75" x14ac:dyDescent="0.25">
      <c r="A106" s="12" t="s">
        <v>140</v>
      </c>
      <c r="B106" s="23">
        <v>106.24</v>
      </c>
      <c r="C106" s="23">
        <f t="shared" si="5"/>
        <v>4</v>
      </c>
      <c r="D106" s="13" t="s">
        <v>258</v>
      </c>
      <c r="E106" s="19"/>
      <c r="F106" s="20"/>
      <c r="G106" s="20"/>
    </row>
    <row r="107" spans="1:7" x14ac:dyDescent="0.25">
      <c r="A107" s="12" t="s">
        <v>62</v>
      </c>
      <c r="B107" s="23">
        <f>4.07*4</f>
        <v>16.28</v>
      </c>
      <c r="C107" s="23">
        <f t="shared" si="5"/>
        <v>2</v>
      </c>
      <c r="D107" s="37" t="s">
        <v>45</v>
      </c>
      <c r="E107" s="19"/>
      <c r="F107" s="20"/>
      <c r="G107" s="20"/>
    </row>
    <row r="108" spans="1:7" x14ac:dyDescent="0.25">
      <c r="A108" s="12" t="s">
        <v>142</v>
      </c>
      <c r="B108" s="23">
        <v>489.13</v>
      </c>
      <c r="C108" s="23">
        <f t="shared" si="5"/>
        <v>5</v>
      </c>
      <c r="D108" s="13" t="s">
        <v>209</v>
      </c>
      <c r="E108" s="19"/>
      <c r="F108" s="20"/>
      <c r="G108" s="20"/>
    </row>
    <row r="109" spans="1:7" x14ac:dyDescent="0.25">
      <c r="A109" s="12" t="s">
        <v>249</v>
      </c>
      <c r="B109" s="23"/>
      <c r="C109" s="23"/>
      <c r="D109" s="41" t="s">
        <v>202</v>
      </c>
      <c r="E109" s="19"/>
      <c r="F109" s="20"/>
      <c r="G109" s="20"/>
    </row>
    <row r="110" spans="1:7" x14ac:dyDescent="0.25">
      <c r="A110" s="12" t="s">
        <v>143</v>
      </c>
      <c r="B110" s="23">
        <v>65</v>
      </c>
      <c r="C110" s="23">
        <f t="shared" si="5"/>
        <v>3</v>
      </c>
      <c r="D110" s="42" t="s">
        <v>45</v>
      </c>
      <c r="E110" s="19"/>
      <c r="F110" s="20"/>
      <c r="G110" s="20"/>
    </row>
    <row r="111" spans="1:7" x14ac:dyDescent="0.25">
      <c r="A111" s="12" t="s">
        <v>36</v>
      </c>
      <c r="B111" s="23">
        <v>0.42</v>
      </c>
      <c r="C111" s="23">
        <f t="shared" si="5"/>
        <v>1</v>
      </c>
      <c r="D111" s="43"/>
      <c r="E111" s="19"/>
      <c r="F111" s="20"/>
      <c r="G111" s="20"/>
    </row>
    <row r="112" spans="1:7" ht="42.75" x14ac:dyDescent="0.25">
      <c r="A112" s="12" t="s">
        <v>37</v>
      </c>
      <c r="B112" s="23">
        <f>9.96*2</f>
        <v>19.920000000000002</v>
      </c>
      <c r="C112" s="23">
        <f t="shared" si="5"/>
        <v>2</v>
      </c>
      <c r="D112" s="13" t="s">
        <v>243</v>
      </c>
      <c r="E112" s="19"/>
      <c r="F112" s="20"/>
      <c r="G112" s="20"/>
    </row>
    <row r="113" spans="1:7" x14ac:dyDescent="0.25">
      <c r="A113" s="12" t="s">
        <v>144</v>
      </c>
      <c r="B113" s="23">
        <v>10.87</v>
      </c>
      <c r="C113" s="23">
        <f t="shared" si="5"/>
        <v>2</v>
      </c>
      <c r="D113" s="2" t="s">
        <v>209</v>
      </c>
      <c r="E113" s="40"/>
      <c r="F113" s="20"/>
      <c r="G113" s="20"/>
    </row>
    <row r="114" spans="1:7" x14ac:dyDescent="0.25">
      <c r="A114" s="12" t="s">
        <v>38</v>
      </c>
      <c r="B114" s="23">
        <f>4.07*12</f>
        <v>48.84</v>
      </c>
      <c r="C114" s="23">
        <f t="shared" si="5"/>
        <v>2</v>
      </c>
      <c r="D114" s="2" t="s">
        <v>198</v>
      </c>
      <c r="E114" s="19"/>
      <c r="F114" s="20"/>
      <c r="G114" s="20"/>
    </row>
    <row r="115" spans="1:7" x14ac:dyDescent="0.25">
      <c r="A115" s="12" t="s">
        <v>226</v>
      </c>
      <c r="B115" s="23"/>
      <c r="C115" s="23">
        <v>4</v>
      </c>
      <c r="D115" s="2" t="s">
        <v>211</v>
      </c>
      <c r="E115" s="19"/>
      <c r="F115" s="20"/>
      <c r="G115" s="20"/>
    </row>
    <row r="116" spans="1:7" x14ac:dyDescent="0.25">
      <c r="A116" s="12" t="s">
        <v>39</v>
      </c>
      <c r="B116" s="23">
        <v>0.1</v>
      </c>
      <c r="C116" s="23">
        <f t="shared" si="5"/>
        <v>1</v>
      </c>
      <c r="D116" s="12" t="s">
        <v>198</v>
      </c>
      <c r="E116" s="40"/>
      <c r="F116" s="20"/>
      <c r="G116" s="20"/>
    </row>
    <row r="117" spans="1:7" x14ac:dyDescent="0.25">
      <c r="A117" s="12" t="s">
        <v>40</v>
      </c>
      <c r="B117" s="23">
        <f>5.72*8</f>
        <v>45.76</v>
      </c>
      <c r="C117" s="23">
        <f t="shared" si="5"/>
        <v>2</v>
      </c>
      <c r="D117" s="2" t="s">
        <v>45</v>
      </c>
      <c r="E117" s="19"/>
      <c r="F117" s="20"/>
      <c r="G117" s="20"/>
    </row>
    <row r="118" spans="1:7" x14ac:dyDescent="0.25">
      <c r="A118" s="12" t="s">
        <v>147</v>
      </c>
      <c r="B118" s="23">
        <f>59.18*2</f>
        <v>118.36</v>
      </c>
      <c r="C118" s="23">
        <f t="shared" si="5"/>
        <v>4</v>
      </c>
      <c r="D118" s="13" t="s">
        <v>209</v>
      </c>
      <c r="E118" s="19"/>
      <c r="F118" s="20"/>
      <c r="G118" s="20"/>
    </row>
    <row r="119" spans="1:7" x14ac:dyDescent="0.25">
      <c r="A119" s="12" t="s">
        <v>172</v>
      </c>
      <c r="B119" s="23">
        <v>83.09</v>
      </c>
      <c r="C119" s="23">
        <f t="shared" si="5"/>
        <v>3</v>
      </c>
      <c r="D119" s="13" t="s">
        <v>218</v>
      </c>
      <c r="E119" s="19"/>
      <c r="F119" s="20"/>
      <c r="G119" s="20"/>
    </row>
    <row r="120" spans="1:7" x14ac:dyDescent="0.25">
      <c r="A120" s="12" t="s">
        <v>173</v>
      </c>
      <c r="B120" s="23">
        <f>0.18*2</f>
        <v>0.36</v>
      </c>
      <c r="C120" s="23">
        <f t="shared" si="5"/>
        <v>1</v>
      </c>
      <c r="D120" s="2" t="s">
        <v>45</v>
      </c>
      <c r="E120" s="19"/>
      <c r="F120" s="20"/>
      <c r="G120" s="20"/>
    </row>
    <row r="121" spans="1:7" x14ac:dyDescent="0.25">
      <c r="A121" s="12" t="s">
        <v>230</v>
      </c>
      <c r="B121" s="23">
        <f>2.19*5</f>
        <v>10.95</v>
      </c>
      <c r="C121" s="23">
        <f t="shared" si="5"/>
        <v>2</v>
      </c>
      <c r="D121" s="12" t="s">
        <v>198</v>
      </c>
      <c r="E121" s="19"/>
      <c r="F121" s="20"/>
      <c r="G121" s="20"/>
    </row>
    <row r="122" spans="1:7" ht="15" customHeight="1" x14ac:dyDescent="0.25">
      <c r="A122" s="12" t="s">
        <v>148</v>
      </c>
      <c r="B122" s="23">
        <f>15.63*2</f>
        <v>31.26</v>
      </c>
      <c r="C122" s="23">
        <f t="shared" si="5"/>
        <v>2</v>
      </c>
      <c r="D122" s="13" t="s">
        <v>211</v>
      </c>
      <c r="E122" s="19"/>
      <c r="F122" s="20"/>
      <c r="G122" s="20"/>
    </row>
    <row r="123" spans="1:7" x14ac:dyDescent="0.25">
      <c r="A123" s="12" t="s">
        <v>41</v>
      </c>
      <c r="B123" s="23">
        <f>0.28*2</f>
        <v>0.56000000000000005</v>
      </c>
      <c r="C123" s="23">
        <f t="shared" si="5"/>
        <v>1</v>
      </c>
      <c r="D123" s="2" t="s">
        <v>45</v>
      </c>
      <c r="E123" s="19"/>
      <c r="F123" s="20"/>
      <c r="G123" s="20"/>
    </row>
    <row r="124" spans="1:7" x14ac:dyDescent="0.25">
      <c r="A124" s="12" t="s">
        <v>42</v>
      </c>
      <c r="B124" s="23">
        <f>0.17*4</f>
        <v>0.68</v>
      </c>
      <c r="C124" s="23">
        <f t="shared" si="5"/>
        <v>1</v>
      </c>
      <c r="D124" s="12" t="s">
        <v>198</v>
      </c>
      <c r="E124" s="19"/>
      <c r="F124" s="20"/>
      <c r="G124" s="20"/>
    </row>
    <row r="125" spans="1:7" ht="28.5" x14ac:dyDescent="0.25">
      <c r="A125" s="12" t="s">
        <v>43</v>
      </c>
      <c r="B125" s="23">
        <f>41.27*2</f>
        <v>82.54</v>
      </c>
      <c r="C125" s="23">
        <f t="shared" si="5"/>
        <v>3</v>
      </c>
      <c r="D125" s="12" t="s">
        <v>238</v>
      </c>
      <c r="E125" s="19"/>
      <c r="F125" s="20"/>
      <c r="G125" s="20"/>
    </row>
    <row r="126" spans="1:7" ht="28.5" x14ac:dyDescent="0.25">
      <c r="A126" s="12" t="s">
        <v>149</v>
      </c>
      <c r="B126" s="31"/>
      <c r="C126" s="23">
        <f t="shared" si="5"/>
        <v>1</v>
      </c>
      <c r="D126" s="12" t="s">
        <v>239</v>
      </c>
      <c r="E126" s="19"/>
      <c r="F126" s="20"/>
      <c r="G126" s="20"/>
    </row>
    <row r="127" spans="1:7" x14ac:dyDescent="0.25">
      <c r="A127" s="12" t="s">
        <v>150</v>
      </c>
      <c r="B127" s="23">
        <v>3.12</v>
      </c>
      <c r="C127" s="23">
        <f t="shared" si="5"/>
        <v>1</v>
      </c>
      <c r="D127" s="12" t="s">
        <v>208</v>
      </c>
      <c r="E127" s="19"/>
      <c r="F127" s="20"/>
      <c r="G127" s="20"/>
    </row>
    <row r="128" spans="1:7" x14ac:dyDescent="0.25">
      <c r="A128" s="12" t="s">
        <v>63</v>
      </c>
      <c r="B128" s="31"/>
      <c r="C128" s="23">
        <f t="shared" si="5"/>
        <v>1</v>
      </c>
      <c r="D128" s="12" t="s">
        <v>198</v>
      </c>
      <c r="E128" s="19"/>
      <c r="F128" s="20"/>
      <c r="G128" s="20"/>
    </row>
    <row r="129" spans="1:7" ht="28.5" x14ac:dyDescent="0.25">
      <c r="A129" s="12" t="s">
        <v>151</v>
      </c>
      <c r="B129" s="23">
        <v>8.69</v>
      </c>
      <c r="C129" s="23">
        <f t="shared" si="5"/>
        <v>1</v>
      </c>
      <c r="D129" s="13" t="s">
        <v>212</v>
      </c>
      <c r="E129" s="19"/>
      <c r="F129" s="20"/>
      <c r="G129" s="20"/>
    </row>
    <row r="130" spans="1:7" x14ac:dyDescent="0.25">
      <c r="A130" s="12" t="s">
        <v>64</v>
      </c>
      <c r="B130" s="31"/>
      <c r="C130" s="23">
        <f t="shared" si="5"/>
        <v>1</v>
      </c>
      <c r="D130" s="13" t="s">
        <v>45</v>
      </c>
      <c r="E130" s="19"/>
      <c r="F130" s="20"/>
      <c r="G130" s="20"/>
    </row>
    <row r="131" spans="1:7" ht="15.75" customHeight="1" x14ac:dyDescent="0.25">
      <c r="A131" s="12" t="s">
        <v>174</v>
      </c>
      <c r="B131" s="23">
        <f>58.26*3.2</f>
        <v>186.43200000000002</v>
      </c>
      <c r="C131" s="23">
        <f t="shared" si="5"/>
        <v>4</v>
      </c>
      <c r="D131" s="12" t="s">
        <v>202</v>
      </c>
      <c r="E131" s="19"/>
      <c r="F131" s="20"/>
      <c r="G131" s="20"/>
    </row>
    <row r="132" spans="1:7" ht="15.75" customHeight="1" x14ac:dyDescent="0.25">
      <c r="A132" s="12" t="s">
        <v>175</v>
      </c>
      <c r="B132" s="23">
        <f>10.25*3</f>
        <v>30.75</v>
      </c>
      <c r="C132" s="23">
        <f t="shared" si="5"/>
        <v>2</v>
      </c>
      <c r="D132" s="12" t="s">
        <v>202</v>
      </c>
      <c r="E132" s="19"/>
      <c r="F132" s="20"/>
      <c r="G132" s="20"/>
    </row>
    <row r="133" spans="1:7" x14ac:dyDescent="0.25">
      <c r="A133" s="37" t="s">
        <v>153</v>
      </c>
      <c r="B133" s="33">
        <v>7.87</v>
      </c>
      <c r="C133" s="23">
        <f t="shared" si="5"/>
        <v>1</v>
      </c>
      <c r="D133" s="13" t="s">
        <v>207</v>
      </c>
      <c r="E133" s="19"/>
      <c r="F133" s="20"/>
      <c r="G133" s="20"/>
    </row>
  </sheetData>
  <mergeCells count="9">
    <mergeCell ref="K2:L4"/>
    <mergeCell ref="F2:G3"/>
    <mergeCell ref="D110:D111"/>
    <mergeCell ref="F4:G6"/>
    <mergeCell ref="F7:G9"/>
    <mergeCell ref="F10:G11"/>
    <mergeCell ref="A1:D1"/>
    <mergeCell ref="D48:D49"/>
    <mergeCell ref="F1:G1"/>
  </mergeCells>
  <pageMargins left="0.25" right="0.25" top="0.75" bottom="0.75" header="0.3" footer="0.3"/>
  <pageSetup scale="61"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workbookViewId="0">
      <selection activeCell="A14" sqref="A14:C14"/>
    </sheetView>
  </sheetViews>
  <sheetFormatPr defaultRowHeight="15" x14ac:dyDescent="0.25"/>
  <cols>
    <col min="1" max="1" width="22.5703125" customWidth="1"/>
    <col min="2" max="2" width="25" customWidth="1"/>
    <col min="3" max="3" width="28.42578125" customWidth="1"/>
  </cols>
  <sheetData>
    <row r="1" spans="1:7" x14ac:dyDescent="0.25">
      <c r="A1" s="51" t="s">
        <v>65</v>
      </c>
      <c r="B1" s="51"/>
      <c r="C1" s="51"/>
    </row>
    <row r="2" spans="1:7" ht="56.25" customHeight="1" x14ac:dyDescent="0.25">
      <c r="A2" s="52" t="s">
        <v>66</v>
      </c>
      <c r="B2" s="52"/>
      <c r="C2" s="52"/>
    </row>
    <row r="3" spans="1:7" x14ac:dyDescent="0.25">
      <c r="A3" s="16" t="s">
        <v>1</v>
      </c>
      <c r="B3" s="16" t="s">
        <v>67</v>
      </c>
      <c r="C3" s="16" t="s">
        <v>68</v>
      </c>
    </row>
    <row r="4" spans="1:7" x14ac:dyDescent="0.25">
      <c r="A4" s="3" t="s">
        <v>69</v>
      </c>
      <c r="B4" s="3" t="s">
        <v>2</v>
      </c>
      <c r="C4" s="3"/>
    </row>
    <row r="5" spans="1:7" x14ac:dyDescent="0.25">
      <c r="A5" s="15" t="s">
        <v>70</v>
      </c>
      <c r="B5" s="3" t="s">
        <v>2</v>
      </c>
      <c r="C5" s="3"/>
    </row>
    <row r="6" spans="1:7" x14ac:dyDescent="0.25">
      <c r="A6" s="3" t="s">
        <v>71</v>
      </c>
      <c r="B6" s="3" t="s">
        <v>2</v>
      </c>
      <c r="C6" s="3"/>
    </row>
    <row r="7" spans="1:7" x14ac:dyDescent="0.25">
      <c r="A7" s="1" t="s">
        <v>6</v>
      </c>
      <c r="B7" s="4" t="s">
        <v>2</v>
      </c>
      <c r="C7" s="18"/>
      <c r="D7" s="7"/>
      <c r="E7" s="7"/>
      <c r="F7" s="7"/>
      <c r="G7" s="6"/>
    </row>
    <row r="8" spans="1:7" x14ac:dyDescent="0.25">
      <c r="A8" s="1" t="s">
        <v>7</v>
      </c>
      <c r="B8" s="3" t="s">
        <v>2</v>
      </c>
      <c r="C8" s="3"/>
    </row>
    <row r="9" spans="1:7" x14ac:dyDescent="0.25">
      <c r="A9" s="3" t="s">
        <v>72</v>
      </c>
      <c r="B9" s="3" t="s">
        <v>2</v>
      </c>
      <c r="C9" s="3"/>
    </row>
    <row r="10" spans="1:7" x14ac:dyDescent="0.25">
      <c r="A10" s="3" t="s">
        <v>73</v>
      </c>
      <c r="B10" s="3" t="s">
        <v>2</v>
      </c>
      <c r="C10" s="3"/>
    </row>
    <row r="11" spans="1:7" x14ac:dyDescent="0.25">
      <c r="A11" s="3" t="s">
        <v>74</v>
      </c>
      <c r="B11" s="3" t="s">
        <v>2</v>
      </c>
      <c r="C11" s="3"/>
    </row>
    <row r="12" spans="1:7" x14ac:dyDescent="0.25">
      <c r="A12" s="3" t="s">
        <v>75</v>
      </c>
      <c r="B12" s="3" t="s">
        <v>2</v>
      </c>
      <c r="C12" s="3"/>
    </row>
    <row r="13" spans="1:7" x14ac:dyDescent="0.25">
      <c r="A13" s="1" t="s">
        <v>9</v>
      </c>
      <c r="B13" s="3" t="s">
        <v>2</v>
      </c>
      <c r="C13" s="3"/>
    </row>
    <row r="14" spans="1:7" x14ac:dyDescent="0.25">
      <c r="A14" s="3" t="s">
        <v>76</v>
      </c>
      <c r="B14" s="3" t="s">
        <v>2</v>
      </c>
      <c r="C14" s="3"/>
    </row>
    <row r="15" spans="1:7" x14ac:dyDescent="0.25">
      <c r="A15" s="3" t="s">
        <v>77</v>
      </c>
      <c r="B15" s="3" t="s">
        <v>2</v>
      </c>
      <c r="C15" s="3"/>
    </row>
    <row r="16" spans="1:7" x14ac:dyDescent="0.25">
      <c r="A16" s="1" t="s">
        <v>11</v>
      </c>
      <c r="B16" s="3" t="s">
        <v>2</v>
      </c>
      <c r="C16" s="14" t="s">
        <v>78</v>
      </c>
    </row>
    <row r="17" spans="1:6" x14ac:dyDescent="0.25">
      <c r="A17" s="1" t="s">
        <v>15</v>
      </c>
      <c r="B17" s="2" t="s">
        <v>2</v>
      </c>
      <c r="C17" s="4" t="s">
        <v>51</v>
      </c>
    </row>
    <row r="18" spans="1:6" x14ac:dyDescent="0.25">
      <c r="A18" s="3" t="s">
        <v>79</v>
      </c>
      <c r="B18" s="3" t="s">
        <v>2</v>
      </c>
      <c r="C18" s="3"/>
    </row>
    <row r="19" spans="1:6" x14ac:dyDescent="0.25">
      <c r="A19" s="1" t="s">
        <v>16</v>
      </c>
      <c r="B19" s="3" t="s">
        <v>2</v>
      </c>
      <c r="C19" s="13" t="s">
        <v>52</v>
      </c>
    </row>
    <row r="20" spans="1:6" x14ac:dyDescent="0.25">
      <c r="A20" s="3" t="s">
        <v>80</v>
      </c>
      <c r="B20" s="3" t="s">
        <v>2</v>
      </c>
      <c r="C20" s="14" t="s">
        <v>78</v>
      </c>
    </row>
    <row r="21" spans="1:6" x14ac:dyDescent="0.25">
      <c r="A21" s="3" t="s">
        <v>81</v>
      </c>
      <c r="B21" s="3" t="s">
        <v>2</v>
      </c>
      <c r="C21" s="3"/>
    </row>
    <row r="22" spans="1:6" x14ac:dyDescent="0.25">
      <c r="A22" s="1" t="s">
        <v>21</v>
      </c>
      <c r="B22" s="3" t="s">
        <v>2</v>
      </c>
      <c r="C22" s="3"/>
    </row>
    <row r="23" spans="1:6" x14ac:dyDescent="0.25">
      <c r="A23" s="1" t="s">
        <v>130</v>
      </c>
      <c r="B23" s="4" t="s">
        <v>2</v>
      </c>
      <c r="C23" s="18"/>
      <c r="D23" s="6"/>
      <c r="E23" s="6"/>
      <c r="F23" s="6"/>
    </row>
    <row r="24" spans="1:6" x14ac:dyDescent="0.25">
      <c r="A24" s="1" t="s">
        <v>24</v>
      </c>
      <c r="B24" s="3" t="s">
        <v>2</v>
      </c>
      <c r="C24" s="14" t="s">
        <v>78</v>
      </c>
    </row>
    <row r="25" spans="1:6" x14ac:dyDescent="0.25">
      <c r="A25" s="3" t="s">
        <v>82</v>
      </c>
      <c r="B25" s="3" t="s">
        <v>2</v>
      </c>
      <c r="C25" s="14"/>
    </row>
    <row r="26" spans="1:6" x14ac:dyDescent="0.25">
      <c r="A26" s="3" t="s">
        <v>83</v>
      </c>
      <c r="B26" s="3" t="s">
        <v>2</v>
      </c>
      <c r="C26" s="3"/>
    </row>
    <row r="27" spans="1:6" x14ac:dyDescent="0.25">
      <c r="A27" s="3" t="s">
        <v>84</v>
      </c>
      <c r="B27" s="3" t="s">
        <v>2</v>
      </c>
      <c r="C27" s="3"/>
    </row>
    <row r="28" spans="1:6" x14ac:dyDescent="0.25">
      <c r="A28" s="3" t="s">
        <v>85</v>
      </c>
      <c r="B28" s="3" t="s">
        <v>2</v>
      </c>
      <c r="C28" s="3"/>
    </row>
    <row r="29" spans="1:6" x14ac:dyDescent="0.25">
      <c r="A29" s="3" t="s">
        <v>86</v>
      </c>
      <c r="B29" s="3" t="s">
        <v>2</v>
      </c>
      <c r="C29" s="3"/>
    </row>
    <row r="30" spans="1:6" x14ac:dyDescent="0.25">
      <c r="A30" s="3" t="s">
        <v>87</v>
      </c>
      <c r="B30" s="3" t="s">
        <v>2</v>
      </c>
      <c r="C30" s="3"/>
    </row>
    <row r="31" spans="1:6" x14ac:dyDescent="0.25">
      <c r="A31" s="3" t="s">
        <v>88</v>
      </c>
      <c r="B31" s="3" t="s">
        <v>2</v>
      </c>
      <c r="C31" s="3"/>
    </row>
    <row r="32" spans="1:6" x14ac:dyDescent="0.25">
      <c r="A32" s="3" t="s">
        <v>89</v>
      </c>
      <c r="B32" s="3" t="s">
        <v>2</v>
      </c>
      <c r="C32" s="3"/>
    </row>
    <row r="33" spans="1:7" ht="43.5" x14ac:dyDescent="0.25">
      <c r="A33" s="1" t="s">
        <v>90</v>
      </c>
      <c r="B33" s="5" t="s">
        <v>45</v>
      </c>
      <c r="C33" s="17" t="s">
        <v>91</v>
      </c>
    </row>
    <row r="34" spans="1:7" x14ac:dyDescent="0.25">
      <c r="A34" s="1" t="s">
        <v>29</v>
      </c>
      <c r="B34" s="3" t="s">
        <v>2</v>
      </c>
      <c r="C34" s="3"/>
    </row>
    <row r="35" spans="1:7" x14ac:dyDescent="0.25">
      <c r="A35" s="3" t="s">
        <v>92</v>
      </c>
      <c r="B35" s="3" t="s">
        <v>2</v>
      </c>
      <c r="C35" s="3"/>
    </row>
    <row r="36" spans="1:7" x14ac:dyDescent="0.25">
      <c r="A36" s="1" t="s">
        <v>30</v>
      </c>
      <c r="B36" s="3" t="s">
        <v>2</v>
      </c>
      <c r="C36" s="3"/>
    </row>
    <row r="37" spans="1:7" x14ac:dyDescent="0.25">
      <c r="A37" s="1" t="s">
        <v>135</v>
      </c>
      <c r="B37" s="2" t="s">
        <v>2</v>
      </c>
      <c r="C37" s="4" t="s">
        <v>59</v>
      </c>
    </row>
    <row r="38" spans="1:7" x14ac:dyDescent="0.25">
      <c r="A38" s="3" t="s">
        <v>93</v>
      </c>
      <c r="B38" s="3" t="s">
        <v>2</v>
      </c>
      <c r="C38" s="3"/>
    </row>
    <row r="39" spans="1:7" x14ac:dyDescent="0.25">
      <c r="A39" s="1" t="s">
        <v>32</v>
      </c>
      <c r="B39" s="3" t="s">
        <v>2</v>
      </c>
      <c r="C39" s="3"/>
    </row>
    <row r="40" spans="1:7" x14ac:dyDescent="0.25">
      <c r="A40" s="3" t="s">
        <v>94</v>
      </c>
      <c r="B40" s="3" t="s">
        <v>2</v>
      </c>
      <c r="C40" s="3"/>
    </row>
    <row r="41" spans="1:7" ht="15" customHeight="1" x14ac:dyDescent="0.25">
      <c r="A41" s="1" t="s">
        <v>61</v>
      </c>
      <c r="B41" s="12" t="s">
        <v>2</v>
      </c>
      <c r="C41" s="23"/>
      <c r="D41" s="34"/>
      <c r="E41" s="35"/>
      <c r="F41" s="22"/>
      <c r="G41" s="22"/>
    </row>
    <row r="42" spans="1:7" x14ac:dyDescent="0.25">
      <c r="A42" s="1" t="s">
        <v>35</v>
      </c>
      <c r="B42" s="2" t="s">
        <v>2</v>
      </c>
      <c r="C42" s="14" t="s">
        <v>78</v>
      </c>
    </row>
    <row r="43" spans="1:7" ht="29.25" x14ac:dyDescent="0.25">
      <c r="A43" s="1" t="s">
        <v>219</v>
      </c>
      <c r="B43" s="2" t="s">
        <v>2</v>
      </c>
      <c r="C43" s="14" t="s">
        <v>220</v>
      </c>
    </row>
    <row r="44" spans="1:7" x14ac:dyDescent="0.25">
      <c r="A44" s="3" t="s">
        <v>95</v>
      </c>
      <c r="B44" s="3" t="s">
        <v>2</v>
      </c>
      <c r="C44" s="3"/>
    </row>
    <row r="45" spans="1:7" ht="29.25" x14ac:dyDescent="0.25">
      <c r="A45" s="3" t="s">
        <v>96</v>
      </c>
      <c r="B45" s="3" t="s">
        <v>2</v>
      </c>
      <c r="C45" s="3" t="s">
        <v>97</v>
      </c>
    </row>
    <row r="46" spans="1:7" x14ac:dyDescent="0.25">
      <c r="A46" s="3" t="s">
        <v>98</v>
      </c>
      <c r="B46" s="3" t="s">
        <v>2</v>
      </c>
      <c r="C46" s="3"/>
    </row>
    <row r="47" spans="1:7" x14ac:dyDescent="0.25">
      <c r="A47" s="3" t="s">
        <v>99</v>
      </c>
      <c r="B47" s="3" t="s">
        <v>2</v>
      </c>
      <c r="C47" s="14" t="s">
        <v>78</v>
      </c>
    </row>
    <row r="48" spans="1:7" ht="29.25" x14ac:dyDescent="0.25">
      <c r="A48" s="1" t="s">
        <v>145</v>
      </c>
      <c r="B48" s="4" t="s">
        <v>2</v>
      </c>
      <c r="C48" s="14" t="s">
        <v>146</v>
      </c>
    </row>
    <row r="49" spans="1:3" x14ac:dyDescent="0.25">
      <c r="A49" s="3" t="s">
        <v>100</v>
      </c>
      <c r="B49" s="3" t="s">
        <v>2</v>
      </c>
      <c r="C49" s="3"/>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Orderable in CPRS</vt:lpstr>
      <vt:lpstr>Not Available in CPRS</vt:lpstr>
    </vt:vector>
  </TitlesOfParts>
  <Company>Veteran Affairs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vhaminapp2</dc:creator>
  <cp:lastModifiedBy>Department of Veterans Affairs</cp:lastModifiedBy>
  <cp:lastPrinted>2016-08-19T21:32:28Z</cp:lastPrinted>
  <dcterms:created xsi:type="dcterms:W3CDTF">2016-06-09T17:13:55Z</dcterms:created>
  <dcterms:modified xsi:type="dcterms:W3CDTF">2021-01-21T20:46:37Z</dcterms:modified>
</cp:coreProperties>
</file>