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7"/>
  </bookViews>
  <sheets>
    <sheet name="Задача 1" sheetId="1" r:id="rId1"/>
    <sheet name="Диаграмма1" sheetId="4" r:id="rId2"/>
    <sheet name="Диаграмма2" sheetId="5" r:id="rId3"/>
    <sheet name="Дин уд. веса" sheetId="6" r:id="rId4"/>
    <sheet name="ур. мех. погр. раб." sheetId="7" r:id="rId5"/>
    <sheet name="Задача 2" sheetId="8" r:id="rId6"/>
    <sheet name="затр. упр. запасами" sheetId="9" r:id="rId7"/>
    <sheet name="Задача 3" sheetId="10" r:id="rId8"/>
    <sheet name="сум. затр.разл. опт. ценах" sheetId="11" r:id="rId9"/>
  </sheets>
  <externalReferences>
    <externalReference r:id="rId10"/>
  </externalReferences>
  <definedNames>
    <definedName name="_Ref40567048" localSheetId="0">'Задача 1'!$B$70</definedName>
  </definedNames>
  <calcPr calcId="144525"/>
</workbook>
</file>

<file path=xl/calcChain.xml><?xml version="1.0" encoding="utf-8"?>
<calcChain xmlns="http://schemas.openxmlformats.org/spreadsheetml/2006/main">
  <c r="K60" i="10" l="1"/>
  <c r="K61" i="10"/>
  <c r="K59" i="10"/>
  <c r="G60" i="10"/>
  <c r="G61" i="10"/>
  <c r="G59" i="10"/>
  <c r="J60" i="10"/>
  <c r="J61" i="10"/>
  <c r="J59" i="10"/>
  <c r="D60" i="10"/>
  <c r="D61" i="10"/>
  <c r="D59" i="10"/>
  <c r="C28" i="10" l="1"/>
  <c r="D28" i="10"/>
  <c r="E28" i="10"/>
  <c r="F28" i="10"/>
  <c r="G28" i="10"/>
  <c r="H28" i="10"/>
  <c r="B28" i="10"/>
  <c r="H27" i="10"/>
  <c r="G27" i="10"/>
  <c r="G29" i="10" s="1"/>
  <c r="F27" i="10"/>
  <c r="F29" i="10" s="1"/>
  <c r="E27" i="10"/>
  <c r="E29" i="10" s="1"/>
  <c r="D27" i="10"/>
  <c r="C27" i="10"/>
  <c r="C29" i="10" s="1"/>
  <c r="B27" i="10"/>
  <c r="C22" i="10"/>
  <c r="D22" i="10"/>
  <c r="E22" i="10"/>
  <c r="F22" i="10"/>
  <c r="G22" i="10"/>
  <c r="H22" i="10"/>
  <c r="B22" i="10"/>
  <c r="B23" i="10" s="1"/>
  <c r="F23" i="10"/>
  <c r="E23" i="10"/>
  <c r="H21" i="10"/>
  <c r="H23" i="10" s="1"/>
  <c r="G21" i="10"/>
  <c r="F21" i="10"/>
  <c r="E21" i="10"/>
  <c r="D21" i="10"/>
  <c r="D23" i="10" s="1"/>
  <c r="C21" i="10"/>
  <c r="C23" i="10" s="1"/>
  <c r="B21" i="10"/>
  <c r="C17" i="10"/>
  <c r="D17" i="10"/>
  <c r="E17" i="10"/>
  <c r="F17" i="10"/>
  <c r="G17" i="10"/>
  <c r="H17" i="10"/>
  <c r="B17" i="10"/>
  <c r="C16" i="10"/>
  <c r="D16" i="10"/>
  <c r="E16" i="10"/>
  <c r="F16" i="10"/>
  <c r="G16" i="10"/>
  <c r="H16" i="10"/>
  <c r="B16" i="10"/>
  <c r="C15" i="10"/>
  <c r="D15" i="10"/>
  <c r="E15" i="10"/>
  <c r="F15" i="10"/>
  <c r="G15" i="10"/>
  <c r="H15" i="10"/>
  <c r="B15" i="10"/>
  <c r="K28" i="10"/>
  <c r="L28" i="10"/>
  <c r="M28" i="10"/>
  <c r="N28" i="10"/>
  <c r="O28" i="10"/>
  <c r="P28" i="10"/>
  <c r="K22" i="10"/>
  <c r="K23" i="10" s="1"/>
  <c r="L22" i="10"/>
  <c r="M22" i="10"/>
  <c r="N22" i="10"/>
  <c r="O22" i="10"/>
  <c r="O23" i="10" s="1"/>
  <c r="P22" i="10"/>
  <c r="J22" i="10"/>
  <c r="J28" i="10"/>
  <c r="P27" i="10"/>
  <c r="P29" i="10" s="1"/>
  <c r="O27" i="10"/>
  <c r="N27" i="10"/>
  <c r="N29" i="10" s="1"/>
  <c r="M27" i="10"/>
  <c r="L27" i="10"/>
  <c r="L29" i="10" s="1"/>
  <c r="K27" i="10"/>
  <c r="J27" i="10"/>
  <c r="D19" i="10"/>
  <c r="P21" i="10"/>
  <c r="P23" i="10" s="1"/>
  <c r="O21" i="10"/>
  <c r="N21" i="10"/>
  <c r="N23" i="10" s="1"/>
  <c r="M21" i="10"/>
  <c r="M23" i="10" s="1"/>
  <c r="L21" i="10"/>
  <c r="L23" i="10" s="1"/>
  <c r="K21" i="10"/>
  <c r="J21" i="10"/>
  <c r="D29" i="10" l="1"/>
  <c r="H29" i="10"/>
  <c r="B29" i="10"/>
  <c r="G23" i="10"/>
  <c r="M29" i="10"/>
  <c r="K29" i="10"/>
  <c r="O29" i="10"/>
  <c r="J29" i="10"/>
  <c r="J23" i="10"/>
  <c r="D12" i="10"/>
  <c r="J8" i="10"/>
  <c r="J9" i="10"/>
  <c r="J7" i="10"/>
  <c r="I8" i="10"/>
  <c r="I9" i="10"/>
  <c r="I7" i="10"/>
  <c r="G2" i="10"/>
  <c r="G3" i="10"/>
  <c r="M15" i="10" l="1"/>
  <c r="J15" i="10"/>
  <c r="N15" i="10"/>
  <c r="N17" i="10" s="1"/>
  <c r="L15" i="10"/>
  <c r="P15" i="10"/>
  <c r="P17" i="10" s="1"/>
  <c r="K15" i="10"/>
  <c r="O15" i="10"/>
  <c r="K16" i="10"/>
  <c r="L16" i="10"/>
  <c r="P16" i="10"/>
  <c r="M16" i="10"/>
  <c r="J16" i="10"/>
  <c r="J17" i="10" s="1"/>
  <c r="O16" i="10"/>
  <c r="N16" i="10"/>
  <c r="D54" i="8"/>
  <c r="C54" i="8"/>
  <c r="D53" i="8"/>
  <c r="C53" i="8"/>
  <c r="D47" i="8"/>
  <c r="C47" i="8"/>
  <c r="E30" i="8"/>
  <c r="F30" i="8"/>
  <c r="G30" i="8"/>
  <c r="H30" i="8"/>
  <c r="I30" i="8"/>
  <c r="D30" i="8"/>
  <c r="C30" i="8"/>
  <c r="C6" i="8"/>
  <c r="C5" i="8"/>
  <c r="C3" i="8"/>
  <c r="C2" i="8"/>
  <c r="C1" i="8"/>
  <c r="C16" i="8" s="1"/>
  <c r="C40" i="8" s="1"/>
  <c r="D3" i="8"/>
  <c r="D6" i="8"/>
  <c r="D5" i="8"/>
  <c r="D2" i="8"/>
  <c r="D1" i="8"/>
  <c r="D23" i="8" s="1"/>
  <c r="J183" i="1"/>
  <c r="C183" i="1"/>
  <c r="J179" i="1"/>
  <c r="J178" i="1"/>
  <c r="K178" i="1" s="1"/>
  <c r="D181" i="1"/>
  <c r="C179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M17" i="10" l="1"/>
  <c r="L17" i="10"/>
  <c r="O17" i="10"/>
  <c r="K17" i="10"/>
  <c r="D16" i="8"/>
  <c r="D40" i="8" s="1"/>
  <c r="C23" i="8"/>
  <c r="D111" i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<sst xmlns="http://schemas.openxmlformats.org/spreadsheetml/2006/main" count="192" uniqueCount="113">
  <si>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</si>
  <si>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</si>
  <si>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</si>
  <si>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</si>
  <si>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</si>
  <si>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</si>
  <si>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</si>
  <si>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</si>
  <si>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</si>
  <si>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</si>
  <si>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</si>
  <si>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</si>
  <si>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</si>
  <si>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</si>
  <si>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</si>
  <si>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</si>
  <si>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</si>
  <si>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</si>
  <si>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</si>
  <si>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</si>
  <si>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</si>
  <si>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</si>
  <si>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</si>
  <si>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</si>
  <si>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</si>
  <si>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</si>
  <si>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</si>
  <si>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</si>
  <si>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</si>
  <si>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</si>
  <si>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</si>
  <si>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</si>
  <si>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</si>
  <si>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</si>
  <si>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</si>
  <si>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</si>
  <si>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</si>
  <si>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</si>
  <si>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</si>
  <si>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</si>
  <si>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</si>
  <si>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</si>
  <si>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</si>
  <si>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</si>
  <si>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</si>
  <si>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</si>
  <si>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</si>
  <si>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</si>
  <si>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</si>
  <si>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</si>
  <si>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</si>
  <si>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</si>
  <si>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</si>
  <si>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</si>
  <si>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</si>
  <si>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</si>
  <si>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</si>
  <si>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</si>
  <si>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</si>
  <si>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</si>
  <si>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</si>
  <si>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</si>
  <si>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</si>
  <si>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</si>
  <si>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</si>
  <si>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</si>
  <si>
    <t>Qр=</t>
  </si>
  <si>
    <t>T=</t>
  </si>
  <si>
    <t>Вариант</t>
  </si>
  <si>
    <t xml:space="preserve">h = </t>
  </si>
  <si>
    <t>2,3 руб. + (n/10).</t>
  </si>
  <si>
    <t>р =</t>
  </si>
  <si>
    <t>12000 ед.+ (n∙10);</t>
  </si>
  <si>
    <t xml:space="preserve">q: </t>
  </si>
  <si>
    <t>100, 200, 400, 300, 600, 800, 1000 ед.;</t>
  </si>
  <si>
    <t xml:space="preserve"> i = </t>
  </si>
  <si>
    <t>0,2 руб. + (n/10);</t>
  </si>
  <si>
    <t xml:space="preserve">S = </t>
  </si>
  <si>
    <t>1210 руб. + (n∙10);</t>
  </si>
  <si>
    <t xml:space="preserve">С0 = </t>
  </si>
  <si>
    <t>14,85 руб. + (n/10);</t>
  </si>
  <si>
    <t>g0=</t>
  </si>
  <si>
    <t>gm</t>
  </si>
  <si>
    <t>Размер партии</t>
  </si>
  <si>
    <t>Затраты выполнения заказа, руб</t>
  </si>
  <si>
    <t>Затраты хранения, руб</t>
  </si>
  <si>
    <t>Суммарные затраты, руб</t>
  </si>
  <si>
    <t xml:space="preserve">затраты на поставку единицы продукции </t>
  </si>
  <si>
    <t xml:space="preserve">годовое потребление </t>
  </si>
  <si>
    <t>годовые затраты на хранение продукции</t>
  </si>
  <si>
    <t>размер партии поставки</t>
  </si>
  <si>
    <t xml:space="preserve">годовое производство </t>
  </si>
  <si>
    <t xml:space="preserve">затраты, обусловленные дефицитом </t>
  </si>
  <si>
    <t>gs=</t>
  </si>
  <si>
    <t>Smax</t>
  </si>
  <si>
    <t>Ty</t>
  </si>
  <si>
    <t>Ty норм</t>
  </si>
  <si>
    <r>
      <t>С</t>
    </r>
    <r>
      <rPr>
        <vertAlign val="subscript"/>
        <sz val="15"/>
        <color theme="1"/>
        <rFont val="Times New Roman"/>
        <family val="1"/>
        <charset val="204"/>
      </rPr>
      <t>0</t>
    </r>
    <r>
      <rPr>
        <sz val="15"/>
        <color theme="1"/>
        <rFont val="Times New Roman"/>
        <family val="1"/>
        <charset val="204"/>
      </rPr>
      <t xml:space="preserve"> =</t>
    </r>
  </si>
  <si>
    <t>n</t>
  </si>
  <si>
    <t>Размер партии поставки, ед.</t>
  </si>
  <si>
    <r>
      <t xml:space="preserve">Цена, </t>
    </r>
    <r>
      <rPr>
        <i/>
        <sz val="12"/>
        <color theme="1"/>
        <rFont val="Times New Roman"/>
        <family val="1"/>
        <charset val="204"/>
      </rPr>
      <t>C</t>
    </r>
    <r>
      <rPr>
        <i/>
        <vertAlign val="subscript"/>
        <sz val="12"/>
        <color theme="1"/>
        <rFont val="Times New Roman"/>
        <family val="1"/>
        <charset val="204"/>
      </rPr>
      <t>u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</si>
  <si>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r>
      <t xml:space="preserve">Затраты на хранение продукции, </t>
    </r>
    <r>
      <rPr>
        <i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</si>
  <si>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t>0 – 9999</t>
  </si>
  <si>
    <t>10000 – 19999</t>
  </si>
  <si>
    <t>20000 – и более</t>
  </si>
  <si>
    <r>
      <t xml:space="preserve">Суммарные затраты при </t>
    </r>
    <r>
      <rPr>
        <i/>
        <sz val="15"/>
        <color theme="1"/>
        <rFont val="Times New Roman"/>
        <family val="1"/>
        <charset val="204"/>
      </rP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 xml:space="preserve"> </t>
    </r>
  </si>
  <si>
    <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</si>
  <si>
    <r>
      <t>С</t>
    </r>
    <r>
      <rPr>
        <sz val="11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∙g∙S</t>
    </r>
  </si>
  <si>
    <r>
      <t xml:space="preserve">Оптимальный размер заказываемой партии, </t>
    </r>
    <r>
      <rPr>
        <i/>
        <sz val="12"/>
        <color theme="1"/>
        <rFont val="Times New Roman"/>
        <family val="1"/>
        <charset val="204"/>
      </rPr>
      <t>g</t>
    </r>
  </si>
  <si>
    <t>Рассчитаем оптимальные размеры партий и расходы по их заказу</t>
  </si>
  <si>
    <r>
      <t xml:space="preserve">Суммарные затраты, </t>
    </r>
    <r>
      <rPr>
        <i/>
        <sz val="12"/>
        <color theme="1"/>
        <rFont val="Times New Roman"/>
        <family val="1"/>
        <charset val="204"/>
      </rPr>
      <t>C</t>
    </r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</si>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</sst>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5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i/>
      <vertAlign val="subscript"/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0" xfId="0" applyNumberFormat="1" applyBorder="1"/>
    <xf numFmtId="0" fontId="8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0" fillId="0" borderId="6" xfId="0" applyBorder="1"/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6" xfId="0" applyFill="1" applyBorder="1"/>
    <xf numFmtId="0" fontId="0" fillId="2" borderId="0" xfId="0" applyFill="1" applyBorder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/>
    <xf numFmtId="0" fontId="13" fillId="0" borderId="6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5" fillId="0" borderId="0" xfId="0" applyFont="1"/>
    <xf numFmtId="1" fontId="0" fillId="0" borderId="6" xfId="0" applyNumberFormat="1" applyBorder="1"/>
    <xf numFmtId="1" fontId="0" fillId="0" borderId="0" xfId="0" applyNumberFormat="1"/>
    <xf numFmtId="1" fontId="2" fillId="0" borderId="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164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'Задача 1'!$B$1:$G$1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'Задача 1'!$B$12:$G$12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4400"/>
        <c:axId val="136753920"/>
      </c:lineChart>
      <c:catAx>
        <c:axId val="13669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753920"/>
        <c:crosses val="autoZero"/>
        <c:auto val="1"/>
        <c:lblAlgn val="ctr"/>
        <c:lblOffset val="100"/>
        <c:noMultiLvlLbl val="0"/>
      </c:catAx>
      <c:valAx>
        <c:axId val="1367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9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2608"/>
        <c:axId val="138374528"/>
      </c:lineChart>
      <c:catAx>
        <c:axId val="138372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74528"/>
        <c:crosses val="autoZero"/>
        <c:auto val="1"/>
        <c:lblAlgn val="ctr"/>
        <c:lblOffset val="100"/>
        <c:noMultiLvlLbl val="0"/>
      </c:catAx>
      <c:valAx>
        <c:axId val="1383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7260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'Задача 1'!$J$109:$J$115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7328"/>
        <c:axId val="138709248"/>
      </c:lineChart>
      <c:catAx>
        <c:axId val="1387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09248"/>
        <c:crosses val="autoZero"/>
        <c:auto val="1"/>
        <c:lblAlgn val="ctr"/>
        <c:lblOffset val="100"/>
        <c:noMultiLvlLbl val="0"/>
      </c:catAx>
      <c:valAx>
        <c:axId val="1387092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07328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6544"/>
        <c:axId val="138558464"/>
      </c:lineChart>
      <c:catAx>
        <c:axId val="1385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558464"/>
        <c:crosses val="autoZero"/>
        <c:auto val="1"/>
        <c:lblAlgn val="ctr"/>
        <c:lblOffset val="100"/>
        <c:noMultiLvlLbl val="0"/>
      </c:catAx>
      <c:valAx>
        <c:axId val="1385584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55654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'Задача 2'!$B$30</c:f>
              <c:strCache>
                <c:ptCount val="1"/>
                <c:pt idx="0">
                  <c:v>Суммарные затраты, руб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2'!$C$30:$I$30</c:f>
              <c:numCache>
                <c:formatCode>General</c:formatCode>
                <c:ptCount val="7"/>
                <c:pt idx="0">
                  <c:v>189.69</c:v>
                </c:pt>
                <c:pt idx="1">
                  <c:v>109.84</c:v>
                </c:pt>
                <c:pt idx="2">
                  <c:v>84.92</c:v>
                </c:pt>
                <c:pt idx="3">
                  <c:v>85.94</c:v>
                </c:pt>
                <c:pt idx="4">
                  <c:v>89.95</c:v>
                </c:pt>
                <c:pt idx="5">
                  <c:v>102.46000000000001</c:v>
                </c:pt>
                <c:pt idx="6">
                  <c:v>117.97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'Задача 2'!$B$29</c:f>
              <c:strCache>
                <c:ptCount val="1"/>
                <c:pt idx="0">
                  <c:v>Затраты хранения, руб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2'!$C$29:$I$29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'Задача 2'!$B$28</c:f>
              <c:strCache>
                <c:ptCount val="1"/>
                <c:pt idx="0">
                  <c:v>Затраты выполнения заказа, руб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2'!$C$28:$I$28</c:f>
              <c:numCache>
                <c:formatCode>General</c:formatCode>
                <c:ptCount val="7"/>
                <c:pt idx="0">
                  <c:v>179.69</c:v>
                </c:pt>
                <c:pt idx="1">
                  <c:v>89.84</c:v>
                </c:pt>
                <c:pt idx="2">
                  <c:v>44.92</c:v>
                </c:pt>
                <c:pt idx="3">
                  <c:v>35.94</c:v>
                </c:pt>
                <c:pt idx="4">
                  <c:v>29.95</c:v>
                </c:pt>
                <c:pt idx="5">
                  <c:v>22.46</c:v>
                </c:pt>
                <c:pt idx="6">
                  <c:v>17.97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6608"/>
        <c:axId val="138918528"/>
      </c:lineChart>
      <c:catAx>
        <c:axId val="138916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партии,</a:t>
                </a:r>
                <a:r>
                  <a:rPr lang="ru-RU" baseline="0"/>
                  <a:t> ед.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18528"/>
        <c:crosses val="autoZero"/>
        <c:auto val="1"/>
        <c:lblAlgn val="ctr"/>
        <c:lblOffset val="100"/>
        <c:noMultiLvlLbl val="0"/>
      </c:catAx>
      <c:valAx>
        <c:axId val="13891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Затраты, руб.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3'!$C$7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3'!$C$8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3'!$C$9</c:f>
              <c:strCache>
                <c:ptCount val="1"/>
                <c:pt idx="0">
                  <c:v>3,6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79968"/>
        <c:axId val="138998528"/>
      </c:lineChart>
      <c:catAx>
        <c:axId val="1389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98528"/>
        <c:crosses val="autoZero"/>
        <c:auto val="1"/>
        <c:lblAlgn val="ctr"/>
        <c:lblOffset val="100"/>
        <c:noMultiLvlLbl val="0"/>
      </c:catAx>
      <c:valAx>
        <c:axId val="13899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89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Первая цена Cu(1)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3'!$J$17:$P$17</c:f>
              <c:numCache>
                <c:formatCode>0</c:formatCode>
                <c:ptCount val="7"/>
                <c:pt idx="0">
                  <c:v>98745.8</c:v>
                </c:pt>
                <c:pt idx="1">
                  <c:v>62875.400000000009</c:v>
                </c:pt>
                <c:pt idx="2">
                  <c:v>51156.4</c:v>
                </c:pt>
                <c:pt idx="3">
                  <c:v>21645.68</c:v>
                </c:pt>
                <c:pt idx="4">
                  <c:v>28657.839999999997</c:v>
                </c:pt>
                <c:pt idx="5">
                  <c:v>49998.919999999991</c:v>
                </c:pt>
                <c:pt idx="6">
                  <c:v>61401.135999999991</c:v>
                </c:pt>
              </c:numCache>
            </c:numRef>
          </c:val>
          <c:smooth val="0"/>
        </c:ser>
        <c:ser>
          <c:idx val="1"/>
          <c:order val="1"/>
          <c:tx>
            <c:v>Вторая цена Cu(2)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3'!$J$23:$P$23</c:f>
              <c:numCache>
                <c:formatCode>0</c:formatCode>
                <c:ptCount val="7"/>
                <c:pt idx="0">
                  <c:v>98378.3</c:v>
                </c:pt>
                <c:pt idx="1">
                  <c:v>62287.400000000009</c:v>
                </c:pt>
                <c:pt idx="2">
                  <c:v>50421.4</c:v>
                </c:pt>
                <c:pt idx="3">
                  <c:v>17970.68</c:v>
                </c:pt>
                <c:pt idx="4">
                  <c:v>21307.84</c:v>
                </c:pt>
                <c:pt idx="5">
                  <c:v>35298.92</c:v>
                </c:pt>
                <c:pt idx="6">
                  <c:v>43026.135999999999</c:v>
                </c:pt>
              </c:numCache>
            </c:numRef>
          </c:val>
          <c:smooth val="0"/>
        </c:ser>
        <c:ser>
          <c:idx val="2"/>
          <c:order val="2"/>
          <c:tx>
            <c:v>Третья цена Cu(3)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3'!$J$29:$P$29</c:f>
              <c:numCache>
                <c:formatCode>0</c:formatCode>
                <c:ptCount val="7"/>
                <c:pt idx="0">
                  <c:v>98180.800000000003</c:v>
                </c:pt>
                <c:pt idx="1">
                  <c:v>61971.400000000009</c:v>
                </c:pt>
                <c:pt idx="2">
                  <c:v>50026.400000000001</c:v>
                </c:pt>
                <c:pt idx="3">
                  <c:v>15995.68</c:v>
                </c:pt>
                <c:pt idx="4">
                  <c:v>17357.84</c:v>
                </c:pt>
                <c:pt idx="5">
                  <c:v>27398.92</c:v>
                </c:pt>
                <c:pt idx="6">
                  <c:v>33151.135999999999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6224"/>
        <c:axId val="138846592"/>
      </c:lineChart>
      <c:catAx>
        <c:axId val="138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46592"/>
        <c:crosses val="autoZero"/>
        <c:auto val="1"/>
        <c:lblAlgn val="ctr"/>
        <c:lblOffset val="100"/>
        <c:noMultiLvlLbl val="0"/>
      </c:catAx>
      <c:valAx>
        <c:axId val="13884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8836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3'!$D$12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3'!$D$19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3'!$D$25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1808"/>
        <c:axId val="139673984"/>
      </c:lineChart>
      <c:catAx>
        <c:axId val="1396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73984"/>
        <c:crosses val="autoZero"/>
        <c:auto val="1"/>
        <c:lblAlgn val="ctr"/>
        <c:lblOffset val="100"/>
        <c:noMultiLvlLbl val="0"/>
      </c:catAx>
      <c:valAx>
        <c:axId val="13967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96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2</xdr:col>
          <xdr:colOff>333375</xdr:colOff>
          <xdr:row>12</xdr:row>
          <xdr:rowOff>171450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3</xdr:col>
          <xdr:colOff>533400</xdr:colOff>
          <xdr:row>21</xdr:row>
          <xdr:rowOff>9525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2</xdr:col>
          <xdr:colOff>409575</xdr:colOff>
          <xdr:row>37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180975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48</xdr:row>
          <xdr:rowOff>47625</xdr:rowOff>
        </xdr:from>
        <xdr:to>
          <xdr:col>1</xdr:col>
          <xdr:colOff>1428750</xdr:colOff>
          <xdr:row>50</xdr:row>
          <xdr:rowOff>133350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14301" y="10715625"/>
    <xdr:ext cx="6953250" cy="4476907"/>
    <xdr:graphicFrame macro="">
      <xdr:nvGraphicFramePr>
        <xdr:cNvPr id="5" name="Диаграмма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39000" y="10715625"/>
    <xdr:ext cx="6953250" cy="4476907"/>
    <xdr:graphicFrame macro="">
      <xdr:nvGraphicFramePr>
        <xdr:cNvPr id="6" name="Диаграмма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16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13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0" Type="http://schemas.openxmlformats.org/officeDocument/2006/relationships/image" Target="../media/image15.wmf"/><Relationship Id="rId4" Type="http://schemas.openxmlformats.org/officeDocument/2006/relationships/image" Target="../media/image12.wmf"/><Relationship Id="rId9" Type="http://schemas.openxmlformats.org/officeDocument/2006/relationships/oleObject" Target="../embeddings/oleObject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3"/>
  <sheetViews>
    <sheetView topLeftCell="A155" workbookViewId="0">
      <selection activeCell="J183" sqref="J183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8" spans="1:9" ht="19.5" x14ac:dyDescent="0.3">
      <c r="A8" t="s">
        <v>67</v>
      </c>
      <c r="B8" s="5">
        <v>321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6" spans="1:9" x14ac:dyDescent="0.25">
      <c r="A16" t="s">
        <v>67</v>
      </c>
      <c r="B16">
        <v>349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3">
        <f>1/I21</f>
        <v>1</v>
      </c>
      <c r="K21" s="13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3">
        <f t="shared" ref="J22:J26" si="3">1/I22</f>
        <v>0.5</v>
      </c>
      <c r="K22" s="13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3">
        <f t="shared" si="3"/>
        <v>0.33333333333333331</v>
      </c>
      <c r="K23" s="13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3">
        <f t="shared" si="3"/>
        <v>0.25</v>
      </c>
      <c r="K24" s="13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3">
        <f t="shared" si="3"/>
        <v>0.2</v>
      </c>
      <c r="K25" s="13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3">
        <f t="shared" si="3"/>
        <v>0.16666666666666666</v>
      </c>
      <c r="K26" s="13">
        <f t="shared" si="4"/>
        <v>2.7777777777777776E-2</v>
      </c>
      <c r="L26" s="4">
        <f>G12</f>
        <v>10100</v>
      </c>
      <c r="M26" s="12">
        <f t="shared" si="5"/>
        <v>1683.3333333333333</v>
      </c>
    </row>
    <row r="27" spans="2:13" ht="15.75" customHeight="1" x14ac:dyDescent="0.25">
      <c r="B27" s="60" t="s">
        <v>10</v>
      </c>
      <c r="C27" s="58">
        <v>2.4500000000000002</v>
      </c>
      <c r="D27" s="58">
        <v>1.4910000000000001</v>
      </c>
      <c r="E27" s="58">
        <f>SUM(E21:E26)</f>
        <v>38700</v>
      </c>
      <c r="F27" s="58">
        <v>14553.33</v>
      </c>
      <c r="I27" s="60" t="s">
        <v>10</v>
      </c>
      <c r="J27" s="56">
        <f>SUM(J21:J26)</f>
        <v>2.4499999999999997</v>
      </c>
      <c r="K27" s="56">
        <f>SUM(K21:K26)</f>
        <v>1.4913888888888889</v>
      </c>
      <c r="L27" s="58">
        <f>SUM(L21:L26)</f>
        <v>55500</v>
      </c>
      <c r="M27" s="58">
        <f>SUM(M21:M26)</f>
        <v>21413.333333333332</v>
      </c>
    </row>
    <row r="28" spans="2:13" ht="15.75" customHeight="1" thickBot="1" x14ac:dyDescent="0.3">
      <c r="B28" s="61"/>
      <c r="C28" s="59"/>
      <c r="D28" s="59"/>
      <c r="E28" s="59"/>
      <c r="F28" s="59"/>
      <c r="I28" s="61"/>
      <c r="J28" s="57"/>
      <c r="K28" s="57"/>
      <c r="L28" s="59"/>
      <c r="M28" s="59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4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19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19">
        <f t="shared" ref="B64:B67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19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19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19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19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19">
        <f>$B$44+($B$54/12)</f>
        <v>7277.5459487005255</v>
      </c>
      <c r="I69" s="19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15" t="s">
        <v>16</v>
      </c>
      <c r="C72" s="16" t="s">
        <v>17</v>
      </c>
      <c r="I72" s="15" t="s">
        <v>16</v>
      </c>
      <c r="J72" s="16" t="s">
        <v>17</v>
      </c>
    </row>
    <row r="73" spans="1:10" ht="19.5" thickBot="1" x14ac:dyDescent="0.3">
      <c r="B73" s="17" t="s">
        <v>18</v>
      </c>
      <c r="C73" s="18">
        <f>B63</f>
        <v>4943.4419908272439</v>
      </c>
      <c r="I73" s="17" t="s">
        <v>18</v>
      </c>
      <c r="J73" s="18">
        <f>I63</f>
        <v>7744.6393210749702</v>
      </c>
    </row>
    <row r="74" spans="1:10" ht="19.5" thickBot="1" x14ac:dyDescent="0.3">
      <c r="B74" s="17" t="s">
        <v>19</v>
      </c>
      <c r="C74" s="18">
        <f t="shared" ref="C74:C79" si="8">B64</f>
        <v>6216.5896042126697</v>
      </c>
      <c r="I74" s="17" t="s">
        <v>19</v>
      </c>
      <c r="J74" s="18">
        <f t="shared" ref="J74:J79" si="9">I64</f>
        <v>9016.7751060820374</v>
      </c>
    </row>
    <row r="75" spans="1:10" ht="19.5" thickBot="1" x14ac:dyDescent="0.3">
      <c r="B75" s="17" t="s">
        <v>20</v>
      </c>
      <c r="C75" s="18">
        <f t="shared" si="8"/>
        <v>6640.9721420078122</v>
      </c>
      <c r="I75" s="17" t="s">
        <v>20</v>
      </c>
      <c r="J75" s="18">
        <f t="shared" si="9"/>
        <v>9440.8203677510592</v>
      </c>
    </row>
    <row r="76" spans="1:10" ht="19.5" thickBot="1" x14ac:dyDescent="0.3">
      <c r="B76" s="17" t="s">
        <v>21</v>
      </c>
      <c r="C76" s="18">
        <f t="shared" si="8"/>
        <v>6853.163410905383</v>
      </c>
      <c r="I76" s="17" t="s">
        <v>21</v>
      </c>
      <c r="J76" s="18">
        <f t="shared" si="9"/>
        <v>9652.8429985855691</v>
      </c>
    </row>
    <row r="77" spans="1:10" ht="19.5" thickBot="1" x14ac:dyDescent="0.3">
      <c r="B77" s="17" t="s">
        <v>22</v>
      </c>
      <c r="C77" s="18">
        <f t="shared" si="8"/>
        <v>6980.4781722439257</v>
      </c>
      <c r="I77" s="17" t="s">
        <v>22</v>
      </c>
      <c r="J77" s="18">
        <f t="shared" si="9"/>
        <v>9780.0565770862759</v>
      </c>
    </row>
    <row r="78" spans="1:10" ht="19.5" thickBot="1" x14ac:dyDescent="0.3">
      <c r="B78" s="17" t="s">
        <v>23</v>
      </c>
      <c r="C78" s="18">
        <f t="shared" si="8"/>
        <v>7065.3546798029547</v>
      </c>
      <c r="I78" s="17" t="s">
        <v>23</v>
      </c>
      <c r="J78" s="18">
        <f t="shared" si="9"/>
        <v>9864.8656294200809</v>
      </c>
    </row>
    <row r="79" spans="1:10" ht="19.5" thickBot="1" x14ac:dyDescent="0.3">
      <c r="B79" s="17" t="s">
        <v>24</v>
      </c>
      <c r="C79" s="18">
        <f t="shared" si="8"/>
        <v>7277.5459487005255</v>
      </c>
      <c r="I79" s="17" t="s">
        <v>24</v>
      </c>
      <c r="J79" s="18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0" t="s">
        <v>36</v>
      </c>
      <c r="C92" s="20">
        <v>2.4500000000000002</v>
      </c>
      <c r="D92" s="20">
        <v>1.4910000000000001</v>
      </c>
      <c r="E92" s="20">
        <v>236</v>
      </c>
      <c r="F92" s="20">
        <v>108.03</v>
      </c>
      <c r="G92" s="22"/>
      <c r="H92" s="22"/>
      <c r="I92" s="20" t="s">
        <v>36</v>
      </c>
      <c r="J92" s="20">
        <v>2.4500000000000002</v>
      </c>
      <c r="K92" s="20">
        <v>1.4910000000000001</v>
      </c>
      <c r="L92" s="20">
        <f>SUM(L86:L91)</f>
        <v>68</v>
      </c>
      <c r="M92" s="20">
        <f>SUM(M86:M91)</f>
        <v>39.433333333333337</v>
      </c>
    </row>
    <row r="96" spans="2:13" ht="19.5" x14ac:dyDescent="0.25">
      <c r="B96" s="21" t="s">
        <v>37</v>
      </c>
    </row>
    <row r="99" spans="1:10" ht="19.5" x14ac:dyDescent="0.25">
      <c r="B99" s="21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4">
        <f>(B91*F92-(C92*E92))/(B91*D92-(C92*C92))</f>
        <v>23.77441820961441</v>
      </c>
      <c r="I103" s="14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3" t="s">
        <v>40</v>
      </c>
      <c r="C108" s="16" t="s">
        <v>41</v>
      </c>
      <c r="I108" s="23" t="s">
        <v>40</v>
      </c>
      <c r="J108" s="27" t="s">
        <v>41</v>
      </c>
    </row>
    <row r="109" spans="1:10" ht="19.5" thickBot="1" x14ac:dyDescent="0.3">
      <c r="A109">
        <v>1</v>
      </c>
      <c r="B109" s="24" t="s">
        <v>42</v>
      </c>
      <c r="C109" s="25">
        <v>53.39</v>
      </c>
      <c r="D109" s="19">
        <f>$B$101+$B$103/A109</f>
        <v>53.399864107355185</v>
      </c>
      <c r="H109">
        <v>1</v>
      </c>
      <c r="I109" s="26" t="s">
        <v>42</v>
      </c>
      <c r="J109" s="28">
        <f>$I$101+$I$103/H109</f>
        <v>25.403884264764166</v>
      </c>
    </row>
    <row r="110" spans="1:10" ht="19.5" thickBot="1" x14ac:dyDescent="0.3">
      <c r="A110">
        <v>2</v>
      </c>
      <c r="B110" s="24" t="s">
        <v>43</v>
      </c>
      <c r="C110" s="25">
        <v>41.51</v>
      </c>
      <c r="D110" s="19">
        <f t="shared" ref="D110:D115" si="11">$B$101+$B$103/A110</f>
        <v>41.512655002547987</v>
      </c>
      <c r="H110">
        <v>2</v>
      </c>
      <c r="I110" s="26" t="s">
        <v>43</v>
      </c>
      <c r="J110" s="28">
        <f t="shared" ref="J110:J115" si="12">$I$101+$I$103/H110</f>
        <v>13.5132778438367</v>
      </c>
    </row>
    <row r="111" spans="1:10" ht="19.5" thickBot="1" x14ac:dyDescent="0.3">
      <c r="A111">
        <v>3</v>
      </c>
      <c r="B111" s="24" t="s">
        <v>44</v>
      </c>
      <c r="C111" s="25">
        <v>37.549999999999997</v>
      </c>
      <c r="D111" s="19">
        <f t="shared" si="11"/>
        <v>37.550251967612247</v>
      </c>
      <c r="H111">
        <v>3</v>
      </c>
      <c r="I111" s="26" t="s">
        <v>44</v>
      </c>
      <c r="J111" s="28">
        <f t="shared" si="12"/>
        <v>9.5497423701942097</v>
      </c>
    </row>
    <row r="112" spans="1:10" ht="19.5" thickBot="1" x14ac:dyDescent="0.3">
      <c r="A112">
        <v>4</v>
      </c>
      <c r="B112" s="24" t="s">
        <v>45</v>
      </c>
      <c r="C112" s="25">
        <v>35.57</v>
      </c>
      <c r="D112" s="19">
        <f t="shared" si="11"/>
        <v>35.569050450144381</v>
      </c>
      <c r="H112">
        <v>4</v>
      </c>
      <c r="I112" s="26" t="s">
        <v>45</v>
      </c>
      <c r="J112" s="28">
        <f t="shared" si="12"/>
        <v>7.5679746333729661</v>
      </c>
    </row>
    <row r="113" spans="1:13" ht="19.5" thickBot="1" x14ac:dyDescent="0.3">
      <c r="A113">
        <v>5</v>
      </c>
      <c r="B113" s="24" t="s">
        <v>46</v>
      </c>
      <c r="C113" s="25">
        <v>34.380000000000003</v>
      </c>
      <c r="D113" s="19">
        <f t="shared" si="11"/>
        <v>34.380329539663663</v>
      </c>
      <c r="H113">
        <v>5</v>
      </c>
      <c r="I113" s="26" t="s">
        <v>46</v>
      </c>
      <c r="J113" s="28">
        <f t="shared" si="12"/>
        <v>6.3789139912802195</v>
      </c>
    </row>
    <row r="114" spans="1:13" ht="19.5" thickBot="1" x14ac:dyDescent="0.3">
      <c r="A114">
        <v>6</v>
      </c>
      <c r="B114" s="24" t="s">
        <v>47</v>
      </c>
      <c r="C114" s="25">
        <v>33.590000000000003</v>
      </c>
      <c r="D114" s="19">
        <f t="shared" si="11"/>
        <v>33.587848932676515</v>
      </c>
      <c r="H114">
        <v>6</v>
      </c>
      <c r="I114" s="26" t="s">
        <v>47</v>
      </c>
      <c r="J114" s="28">
        <f t="shared" si="12"/>
        <v>5.5862068965517215</v>
      </c>
    </row>
    <row r="115" spans="1:13" ht="19.5" thickBot="1" x14ac:dyDescent="0.3">
      <c r="A115">
        <v>12</v>
      </c>
      <c r="B115" s="24" t="s">
        <v>48</v>
      </c>
      <c r="C115" s="25">
        <v>31.61</v>
      </c>
      <c r="D115" s="19">
        <f t="shared" si="11"/>
        <v>31.606647415208645</v>
      </c>
      <c r="H115">
        <v>12</v>
      </c>
      <c r="I115" s="26" t="s">
        <v>48</v>
      </c>
      <c r="J115" s="29">
        <f t="shared" si="12"/>
        <v>3.604439159730477</v>
      </c>
    </row>
    <row r="120" spans="1:13" ht="18.75" x14ac:dyDescent="0.3">
      <c r="B120" s="30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3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3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3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3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3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3">
        <f t="shared" si="13"/>
        <v>10</v>
      </c>
    </row>
    <row r="129" spans="1:13" ht="15.75" x14ac:dyDescent="0.25">
      <c r="B129" s="20" t="s">
        <v>52</v>
      </c>
      <c r="C129" s="11">
        <v>2.4500000000000002</v>
      </c>
      <c r="D129" s="11">
        <v>1.4910000000000001</v>
      </c>
      <c r="E129" s="11">
        <v>511</v>
      </c>
      <c r="F129" s="11">
        <v>204.73</v>
      </c>
      <c r="G129" s="22"/>
      <c r="H129" s="22"/>
      <c r="I129" s="20" t="s">
        <v>52</v>
      </c>
      <c r="J129" s="11">
        <v>2.4500000000000002</v>
      </c>
      <c r="K129" s="11">
        <v>1.4910000000000001</v>
      </c>
      <c r="L129" s="11">
        <f>SUM(L123:L128)</f>
        <v>343</v>
      </c>
      <c r="M129" s="31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4">
        <f>(B128*F129-(C129*E129))/(B128*D129-(C129*C129))</f>
        <v>-8.0074740954646373</v>
      </c>
      <c r="I140" s="14">
        <f>(I128*M129-(J129*L129))/(I128*K129-(J129*J129))</f>
        <v>-8.0006794632240759</v>
      </c>
    </row>
    <row r="143" spans="1:13" ht="18.75" x14ac:dyDescent="0.3">
      <c r="B143" s="30" t="s">
        <v>53</v>
      </c>
    </row>
    <row r="144" spans="1:13" ht="15.75" thickBot="1" x14ac:dyDescent="0.3"/>
    <row r="145" spans="1:10" ht="19.5" thickBot="1" x14ac:dyDescent="0.3">
      <c r="B145" s="23" t="s">
        <v>54</v>
      </c>
      <c r="C145" s="16" t="s">
        <v>55</v>
      </c>
      <c r="I145" s="32" t="s">
        <v>54</v>
      </c>
      <c r="J145" s="33" t="s">
        <v>55</v>
      </c>
    </row>
    <row r="146" spans="1:10" ht="19.5" thickBot="1" x14ac:dyDescent="0.3">
      <c r="A146">
        <v>1</v>
      </c>
      <c r="B146" s="24" t="s">
        <v>56</v>
      </c>
      <c r="C146" s="25">
        <v>80.430000000000007</v>
      </c>
      <c r="D146" s="19">
        <f>B138+B140/A146</f>
        <v>80.428911160183418</v>
      </c>
      <c r="H146">
        <v>1</v>
      </c>
      <c r="I146" s="34" t="s">
        <v>56</v>
      </c>
      <c r="J146" s="28">
        <f>$I$138+$I$140/H146</f>
        <v>52.432931317592406</v>
      </c>
    </row>
    <row r="147" spans="1:10" ht="19.5" thickBot="1" x14ac:dyDescent="0.3">
      <c r="A147">
        <v>2</v>
      </c>
      <c r="B147" s="24" t="s">
        <v>57</v>
      </c>
      <c r="C147" s="25">
        <v>84.43</v>
      </c>
      <c r="D147" s="19">
        <f t="shared" ref="D147:D152" si="14">$B$138+$B$140/A147</f>
        <v>84.432648207915733</v>
      </c>
      <c r="H147">
        <v>2</v>
      </c>
      <c r="I147" s="34" t="s">
        <v>57</v>
      </c>
      <c r="J147" s="28">
        <f t="shared" ref="J147:J152" si="15">$I$138+$I$140/H147</f>
        <v>56.433271049204443</v>
      </c>
    </row>
    <row r="148" spans="1:10" ht="19.5" thickBot="1" x14ac:dyDescent="0.3">
      <c r="A148">
        <v>3</v>
      </c>
      <c r="B148" s="24" t="s">
        <v>58</v>
      </c>
      <c r="C148" s="25">
        <v>85.76</v>
      </c>
      <c r="D148" s="19">
        <f t="shared" si="14"/>
        <v>85.767227223826495</v>
      </c>
      <c r="H148">
        <v>3</v>
      </c>
      <c r="I148" s="34" t="s">
        <v>58</v>
      </c>
      <c r="J148" s="28">
        <f t="shared" si="15"/>
        <v>57.766717626408457</v>
      </c>
    </row>
    <row r="149" spans="1:10" ht="19.5" thickBot="1" x14ac:dyDescent="0.3">
      <c r="A149">
        <v>4</v>
      </c>
      <c r="B149" s="24" t="s">
        <v>59</v>
      </c>
      <c r="C149" s="25">
        <v>86.43</v>
      </c>
      <c r="D149" s="19">
        <f t="shared" si="14"/>
        <v>86.434516731781883</v>
      </c>
      <c r="H149">
        <v>4</v>
      </c>
      <c r="I149" s="34" t="s">
        <v>59</v>
      </c>
      <c r="J149" s="28">
        <f t="shared" si="15"/>
        <v>58.433440915010458</v>
      </c>
    </row>
    <row r="150" spans="1:10" ht="19.5" thickBot="1" x14ac:dyDescent="0.3">
      <c r="A150">
        <v>5</v>
      </c>
      <c r="B150" s="24" t="s">
        <v>60</v>
      </c>
      <c r="C150" s="25">
        <v>86.83</v>
      </c>
      <c r="D150" s="19">
        <f t="shared" si="14"/>
        <v>86.834890436555128</v>
      </c>
      <c r="H150">
        <v>5</v>
      </c>
      <c r="I150" s="34" t="s">
        <v>60</v>
      </c>
      <c r="J150" s="28">
        <f t="shared" si="15"/>
        <v>58.833474888171665</v>
      </c>
    </row>
    <row r="151" spans="1:10" ht="19.5" thickBot="1" x14ac:dyDescent="0.3">
      <c r="A151">
        <v>6</v>
      </c>
      <c r="B151" s="24" t="s">
        <v>61</v>
      </c>
      <c r="C151" s="25">
        <v>87.09</v>
      </c>
      <c r="D151" s="19">
        <f t="shared" si="14"/>
        <v>87.101806239737272</v>
      </c>
      <c r="H151">
        <v>6</v>
      </c>
      <c r="I151" s="34" t="s">
        <v>61</v>
      </c>
      <c r="J151" s="28">
        <f t="shared" si="15"/>
        <v>59.100164203612465</v>
      </c>
    </row>
    <row r="152" spans="1:10" ht="19.5" thickBot="1" x14ac:dyDescent="0.3">
      <c r="A152">
        <v>12</v>
      </c>
      <c r="B152" s="24" t="s">
        <v>62</v>
      </c>
      <c r="C152" s="25">
        <v>87.76</v>
      </c>
      <c r="D152" s="19">
        <f t="shared" si="14"/>
        <v>87.76909574769266</v>
      </c>
      <c r="H152">
        <v>12</v>
      </c>
      <c r="I152" s="35" t="s">
        <v>62</v>
      </c>
      <c r="J152" s="29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36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11" x14ac:dyDescent="0.25">
      <c r="B178" t="s">
        <v>63</v>
      </c>
      <c r="C178">
        <f>C79*(C154/100)*(1-(C167/100))</f>
        <v>3760.028810880186</v>
      </c>
      <c r="D178">
        <v>8843.0106099999994</v>
      </c>
      <c r="I178" t="s">
        <v>63</v>
      </c>
      <c r="J178">
        <f>J79*(J154/100)*(1-(J167/100))</f>
        <v>5107.7507282728238</v>
      </c>
      <c r="K178">
        <f>J178/J179</f>
        <v>8865.6793621295328</v>
      </c>
    </row>
    <row r="179" spans="2:11" x14ac:dyDescent="0.25">
      <c r="C179">
        <f>(C152/100)*(1-(C115/100))</f>
        <v>0.60019064</v>
      </c>
      <c r="J179">
        <f>(J152/100)*(1-(J115/100))</f>
        <v>0.57612626394893041</v>
      </c>
    </row>
    <row r="181" spans="2:11" x14ac:dyDescent="0.25">
      <c r="D181">
        <f>(7276.88*0.852*(1-0.393))/(0.8776*(1-0.3161))</f>
        <v>6270.2416824094425</v>
      </c>
    </row>
    <row r="183" spans="2:11" x14ac:dyDescent="0.25">
      <c r="B183" t="s">
        <v>66</v>
      </c>
      <c r="C183">
        <f>D178*B8</f>
        <v>2838606.4058099999</v>
      </c>
      <c r="I183" t="s">
        <v>66</v>
      </c>
      <c r="J183">
        <f>K178*B16</f>
        <v>3094122.0973832072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workbookViewId="0">
      <selection sqref="A1:G7"/>
    </sheetView>
  </sheetViews>
  <sheetFormatPr defaultRowHeight="15" x14ac:dyDescent="0.25"/>
  <cols>
    <col min="1" max="1" width="11.28515625" customWidth="1"/>
    <col min="2" max="2" width="33.140625" customWidth="1"/>
    <col min="3" max="4" width="9.140625" style="39"/>
  </cols>
  <sheetData>
    <row r="1" spans="1:6" ht="19.5" x14ac:dyDescent="0.3">
      <c r="A1" s="37" t="s">
        <v>79</v>
      </c>
      <c r="B1" t="s">
        <v>80</v>
      </c>
      <c r="C1" s="38">
        <f>14.85+C7/10</f>
        <v>14.85</v>
      </c>
      <c r="D1" s="38">
        <f>14.85+D7/10</f>
        <v>16.05</v>
      </c>
      <c r="F1" s="5" t="s">
        <v>87</v>
      </c>
    </row>
    <row r="2" spans="1:6" ht="19.5" x14ac:dyDescent="0.3">
      <c r="A2" s="37" t="s">
        <v>77</v>
      </c>
      <c r="B2" t="s">
        <v>78</v>
      </c>
      <c r="C2" s="38">
        <f>1210+C7*10</f>
        <v>1210</v>
      </c>
      <c r="D2" s="38">
        <f>1210+D7*10</f>
        <v>1330</v>
      </c>
      <c r="F2" s="5" t="s">
        <v>88</v>
      </c>
    </row>
    <row r="3" spans="1:6" ht="19.5" x14ac:dyDescent="0.3">
      <c r="A3" s="37" t="s">
        <v>75</v>
      </c>
      <c r="B3" t="s">
        <v>76</v>
      </c>
      <c r="C3" s="38">
        <f>0.2+C7/10</f>
        <v>0.2</v>
      </c>
      <c r="D3" s="38">
        <f>0.2+D7/10</f>
        <v>1.4</v>
      </c>
      <c r="F3" s="5" t="s">
        <v>89</v>
      </c>
    </row>
    <row r="4" spans="1:6" ht="19.5" x14ac:dyDescent="0.3">
      <c r="A4" s="37" t="s">
        <v>73</v>
      </c>
      <c r="B4" t="s">
        <v>74</v>
      </c>
      <c r="C4" s="38"/>
      <c r="D4" s="38"/>
      <c r="F4" s="5" t="s">
        <v>90</v>
      </c>
    </row>
    <row r="5" spans="1:6" ht="19.5" x14ac:dyDescent="0.3">
      <c r="A5" s="37" t="s">
        <v>71</v>
      </c>
      <c r="B5" t="s">
        <v>72</v>
      </c>
      <c r="C5" s="38">
        <f>12000+C7*10</f>
        <v>12000</v>
      </c>
      <c r="D5" s="38">
        <f>12000+D7*10</f>
        <v>12120</v>
      </c>
      <c r="F5" s="5" t="s">
        <v>91</v>
      </c>
    </row>
    <row r="6" spans="1:6" ht="19.5" x14ac:dyDescent="0.3">
      <c r="A6" s="37" t="s">
        <v>69</v>
      </c>
      <c r="B6" t="s">
        <v>70</v>
      </c>
      <c r="C6" s="38">
        <f>2.3+C7/10</f>
        <v>2.2999999999999998</v>
      </c>
      <c r="D6" s="38">
        <f>2.3+D7/10</f>
        <v>3.5</v>
      </c>
      <c r="F6" s="5" t="s">
        <v>92</v>
      </c>
    </row>
    <row r="7" spans="1:6" ht="18.75" x14ac:dyDescent="0.25">
      <c r="A7" s="37" t="s">
        <v>68</v>
      </c>
      <c r="C7" s="38">
        <v>0</v>
      </c>
      <c r="D7" s="38">
        <v>12</v>
      </c>
    </row>
    <row r="16" spans="1:6" x14ac:dyDescent="0.25">
      <c r="A16" t="s">
        <v>81</v>
      </c>
      <c r="C16" s="42">
        <f>SQRT((2*C1*C2)/C3)</f>
        <v>423.89267509594924</v>
      </c>
      <c r="D16" s="42">
        <f>SQRT((2*D1*D2)/D3)</f>
        <v>174.62817642064525</v>
      </c>
    </row>
    <row r="23" spans="1:9" x14ac:dyDescent="0.25">
      <c r="A23" t="s">
        <v>82</v>
      </c>
      <c r="C23" s="42">
        <f>SQRT((2*C1*C2)/(C3*(1-C2/C5)))</f>
        <v>447.02911810914742</v>
      </c>
      <c r="D23" s="42">
        <f>SQRT((2*D1*D2)/(D3*(1-D2/D5)))</f>
        <v>185.07804630806035</v>
      </c>
    </row>
    <row r="26" spans="1:9" ht="15.75" thickBot="1" x14ac:dyDescent="0.3"/>
    <row r="27" spans="1:9" ht="16.5" thickBot="1" x14ac:dyDescent="0.3">
      <c r="B27" s="40" t="s">
        <v>83</v>
      </c>
      <c r="C27" s="16">
        <v>100</v>
      </c>
      <c r="D27" s="16">
        <v>200</v>
      </c>
      <c r="E27" s="16">
        <v>400</v>
      </c>
      <c r="F27" s="16">
        <v>500</v>
      </c>
      <c r="G27" s="16">
        <v>600</v>
      </c>
      <c r="H27" s="16">
        <v>800</v>
      </c>
      <c r="I27" s="16">
        <v>1000</v>
      </c>
    </row>
    <row r="28" spans="1:9" ht="16.5" thickBot="1" x14ac:dyDescent="0.3">
      <c r="B28" s="41" t="s">
        <v>84</v>
      </c>
      <c r="C28" s="25">
        <v>179.69</v>
      </c>
      <c r="D28" s="25">
        <v>89.84</v>
      </c>
      <c r="E28" s="25">
        <v>44.92</v>
      </c>
      <c r="F28" s="25">
        <v>35.94</v>
      </c>
      <c r="G28" s="25">
        <v>29.95</v>
      </c>
      <c r="H28" s="25">
        <v>22.46</v>
      </c>
      <c r="I28" s="25">
        <v>17.97</v>
      </c>
    </row>
    <row r="29" spans="1:9" ht="16.5" thickBot="1" x14ac:dyDescent="0.3">
      <c r="B29" s="41" t="s">
        <v>85</v>
      </c>
      <c r="C29" s="25">
        <v>10</v>
      </c>
      <c r="D29" s="25">
        <v>20</v>
      </c>
      <c r="E29" s="25">
        <v>40</v>
      </c>
      <c r="F29" s="25">
        <v>50</v>
      </c>
      <c r="G29" s="25">
        <v>60</v>
      </c>
      <c r="H29" s="25">
        <v>80</v>
      </c>
      <c r="I29" s="25">
        <v>100</v>
      </c>
    </row>
    <row r="30" spans="1:9" ht="16.5" thickBot="1" x14ac:dyDescent="0.3">
      <c r="B30" s="41" t="s">
        <v>86</v>
      </c>
      <c r="C30" s="25">
        <f>SUM(C28:C29)</f>
        <v>189.69</v>
      </c>
      <c r="D30" s="25">
        <f>SUM(D28:D29)</f>
        <v>109.84</v>
      </c>
      <c r="E30" s="25">
        <f t="shared" ref="E30:I30" si="0">SUM(E28:E29)</f>
        <v>84.92</v>
      </c>
      <c r="F30" s="25">
        <f t="shared" si="0"/>
        <v>85.94</v>
      </c>
      <c r="G30" s="25">
        <f t="shared" si="0"/>
        <v>89.95</v>
      </c>
      <c r="H30" s="25">
        <f t="shared" si="0"/>
        <v>102.46000000000001</v>
      </c>
      <c r="I30" s="25">
        <f t="shared" si="0"/>
        <v>117.97</v>
      </c>
    </row>
    <row r="40" spans="1:4" x14ac:dyDescent="0.25">
      <c r="A40" t="s">
        <v>93</v>
      </c>
      <c r="C40" s="42">
        <f>C16*SQRT((C3+C6)/C6)</f>
        <v>441.93866385358911</v>
      </c>
      <c r="D40" s="42">
        <f>D16*SQRT((D3+D6)/D6)</f>
        <v>206.62284481634649</v>
      </c>
    </row>
    <row r="47" spans="1:4" x14ac:dyDescent="0.25">
      <c r="A47" t="s">
        <v>94</v>
      </c>
      <c r="C47" s="42">
        <f>C16*SQRT(C6/(C3+C6))</f>
        <v>406.58357074530193</v>
      </c>
      <c r="D47" s="42">
        <f>D16*SQRT(D6/(D3+D6))</f>
        <v>147.58774629739034</v>
      </c>
    </row>
    <row r="53" spans="1:4" x14ac:dyDescent="0.25">
      <c r="A53" t="s">
        <v>95</v>
      </c>
      <c r="C53" s="43">
        <f>C40/C2</f>
        <v>0.36523856516825548</v>
      </c>
      <c r="D53" s="43">
        <f>D40/D2</f>
        <v>0.15535552241830564</v>
      </c>
    </row>
    <row r="54" spans="1:4" x14ac:dyDescent="0.25">
      <c r="A54" t="s">
        <v>96</v>
      </c>
      <c r="C54" s="39">
        <f>C16/C2</f>
        <v>0.35032452487268534</v>
      </c>
      <c r="D54" s="39">
        <f>D16/D2</f>
        <v>0.13129938076740244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2</xdr:col>
                <xdr:colOff>333375</xdr:colOff>
                <xdr:row>12</xdr:row>
                <xdr:rowOff>171450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3</xdr:col>
                <xdr:colOff>533400</xdr:colOff>
                <xdr:row>21</xdr:row>
                <xdr:rowOff>9525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409575</xdr:colOff>
                <xdr:row>37</xdr:row>
                <xdr:rowOff>152400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0</xdr:col>
                <xdr:colOff>133350</xdr:colOff>
                <xdr:row>42</xdr:row>
                <xdr:rowOff>180975</xdr:rowOff>
              </from>
              <to>
                <xdr:col>3</xdr:col>
                <xdr:colOff>0</xdr:colOff>
                <xdr:row>45</xdr:row>
                <xdr:rowOff>161925</xdr:rowOff>
              </to>
            </anchor>
          </objectPr>
        </oleObject>
      </mc:Choice>
      <mc:Fallback>
        <oleObject progId="Equation.3" shapeId="8196" r:id="rId9"/>
      </mc:Fallback>
    </mc:AlternateContent>
    <mc:AlternateContent xmlns:mc="http://schemas.openxmlformats.org/markup-compatibility/2006">
      <mc:Choice Requires="x14">
        <oleObject progId="Equation.3" shapeId="8197" r:id="rId11">
          <objectPr defaultSize="0" autoPict="0" r:id="rId12">
            <anchor moveWithCells="1" sizeWithCells="1">
              <from>
                <xdr:col>0</xdr:col>
                <xdr:colOff>200025</xdr:colOff>
                <xdr:row>48</xdr:row>
                <xdr:rowOff>47625</xdr:rowOff>
              </from>
              <to>
                <xdr:col>1</xdr:col>
                <xdr:colOff>1428750</xdr:colOff>
                <xdr:row>50</xdr:row>
                <xdr:rowOff>133350</xdr:rowOff>
              </to>
            </anchor>
          </objectPr>
        </oleObject>
      </mc:Choice>
      <mc:Fallback>
        <oleObject progId="Equation.3" shapeId="8197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tabSelected="1" topLeftCell="A35" workbookViewId="0">
      <selection activeCell="K64" sqref="K64"/>
    </sheetView>
  </sheetViews>
  <sheetFormatPr defaultRowHeight="15" x14ac:dyDescent="0.25"/>
  <cols>
    <col min="1" max="1" width="15.28515625" customWidth="1"/>
    <col min="2" max="2" width="13.42578125" customWidth="1"/>
    <col min="3" max="3" width="13" customWidth="1"/>
    <col min="4" max="4" width="14.140625" customWidth="1"/>
    <col min="7" max="7" width="9.140625" customWidth="1"/>
    <col min="8" max="8" width="16.7109375" customWidth="1"/>
    <col min="9" max="9" width="14.5703125" customWidth="1"/>
    <col min="10" max="10" width="12.28515625" customWidth="1"/>
    <col min="11" max="11" width="9.5703125" bestFit="1" customWidth="1"/>
  </cols>
  <sheetData>
    <row r="2" spans="1:16" ht="22.5" x14ac:dyDescent="0.4">
      <c r="A2" s="45" t="s">
        <v>97</v>
      </c>
      <c r="B2" s="46">
        <v>47</v>
      </c>
      <c r="G2" s="47">
        <f>B2+(G4/10)</f>
        <v>48.2</v>
      </c>
      <c r="I2" s="5" t="s">
        <v>87</v>
      </c>
    </row>
    <row r="3" spans="1:16" ht="19.5" x14ac:dyDescent="0.3">
      <c r="A3" s="37" t="s">
        <v>77</v>
      </c>
      <c r="B3" s="38">
        <v>1000000</v>
      </c>
      <c r="G3" s="38">
        <f>B3+(G4*1000)</f>
        <v>1012000</v>
      </c>
      <c r="I3" s="5" t="s">
        <v>88</v>
      </c>
    </row>
    <row r="4" spans="1:16" ht="18.75" x14ac:dyDescent="0.25">
      <c r="A4" s="37" t="s">
        <v>68</v>
      </c>
      <c r="B4" s="38">
        <v>0</v>
      </c>
      <c r="G4" s="38">
        <v>12</v>
      </c>
    </row>
    <row r="5" spans="1:16" ht="15.75" thickBot="1" x14ac:dyDescent="0.3"/>
    <row r="6" spans="1:16" ht="63.75" thickBot="1" x14ac:dyDescent="0.3">
      <c r="A6" s="1" t="s">
        <v>98</v>
      </c>
      <c r="B6" s="2" t="s">
        <v>99</v>
      </c>
      <c r="C6" s="2" t="s">
        <v>100</v>
      </c>
      <c r="D6" s="2" t="s">
        <v>101</v>
      </c>
      <c r="G6" s="1" t="s">
        <v>98</v>
      </c>
      <c r="H6" s="2" t="s">
        <v>99</v>
      </c>
      <c r="I6" s="2" t="s">
        <v>100</v>
      </c>
      <c r="J6" s="2" t="s">
        <v>101</v>
      </c>
    </row>
    <row r="7" spans="1:16" ht="16.5" thickBot="1" x14ac:dyDescent="0.3">
      <c r="A7" s="10">
        <v>1</v>
      </c>
      <c r="B7" s="4" t="s">
        <v>102</v>
      </c>
      <c r="C7" s="4">
        <v>4.5999999999999996</v>
      </c>
      <c r="D7" s="4">
        <v>0.7</v>
      </c>
      <c r="G7" s="10">
        <v>1</v>
      </c>
      <c r="H7" s="4" t="s">
        <v>102</v>
      </c>
      <c r="I7" s="4">
        <f>C7+$G$4/10</f>
        <v>5.8</v>
      </c>
      <c r="J7" s="4">
        <f>D7+$G$4/100</f>
        <v>0.82</v>
      </c>
    </row>
    <row r="8" spans="1:16" ht="32.25" thickBot="1" x14ac:dyDescent="0.3">
      <c r="A8" s="10">
        <v>2</v>
      </c>
      <c r="B8" s="4" t="s">
        <v>103</v>
      </c>
      <c r="C8" s="4">
        <v>4.0999999999999996</v>
      </c>
      <c r="D8" s="4">
        <v>0.5</v>
      </c>
      <c r="G8" s="10">
        <v>2</v>
      </c>
      <c r="H8" s="4" t="s">
        <v>103</v>
      </c>
      <c r="I8" s="4">
        <f>C8+$G$4/10</f>
        <v>5.3</v>
      </c>
      <c r="J8" s="4">
        <f>D8+$G$4/100</f>
        <v>0.62</v>
      </c>
    </row>
    <row r="9" spans="1:16" ht="32.25" thickBot="1" x14ac:dyDescent="0.3">
      <c r="A9" s="10">
        <v>3</v>
      </c>
      <c r="B9" s="4" t="s">
        <v>104</v>
      </c>
      <c r="C9" s="4">
        <v>3.6</v>
      </c>
      <c r="D9" s="4">
        <v>0.4</v>
      </c>
      <c r="G9" s="10">
        <v>3</v>
      </c>
      <c r="H9" s="4" t="s">
        <v>104</v>
      </c>
      <c r="I9" s="4">
        <f>C9+$G$4/10</f>
        <v>4.8</v>
      </c>
      <c r="J9" s="4">
        <f>D9+$G$4/100</f>
        <v>0.52</v>
      </c>
    </row>
    <row r="12" spans="1:16" ht="22.5" x14ac:dyDescent="0.4">
      <c r="A12" s="48" t="s">
        <v>105</v>
      </c>
      <c r="B12" s="49"/>
      <c r="C12" s="39"/>
      <c r="D12">
        <f>C7</f>
        <v>4.5999999999999996</v>
      </c>
    </row>
    <row r="13" spans="1:16" ht="16.5" thickBot="1" x14ac:dyDescent="0.3">
      <c r="A13" s="49"/>
      <c r="B13" s="49"/>
      <c r="C13" s="39"/>
    </row>
    <row r="14" spans="1:16" ht="32.25" thickBot="1" x14ac:dyDescent="0.3">
      <c r="A14" s="1" t="s">
        <v>83</v>
      </c>
      <c r="B14" s="16">
        <v>500</v>
      </c>
      <c r="C14" s="16">
        <v>800</v>
      </c>
      <c r="D14" s="16">
        <v>1000</v>
      </c>
      <c r="E14" s="16">
        <v>5000</v>
      </c>
      <c r="F14" s="16">
        <v>10000</v>
      </c>
      <c r="G14" s="16">
        <v>20000</v>
      </c>
      <c r="H14" s="16">
        <v>25000</v>
      </c>
      <c r="J14" s="50">
        <v>500</v>
      </c>
      <c r="K14" s="27">
        <v>800</v>
      </c>
      <c r="L14" s="27">
        <v>1000</v>
      </c>
      <c r="M14" s="27">
        <v>5000</v>
      </c>
      <c r="N14" s="27">
        <v>10000</v>
      </c>
      <c r="O14" s="27">
        <v>20000</v>
      </c>
      <c r="P14" s="27">
        <v>25000</v>
      </c>
    </row>
    <row r="15" spans="1:16" ht="48" thickBot="1" x14ac:dyDescent="0.35">
      <c r="A15" s="10" t="s">
        <v>84</v>
      </c>
      <c r="B15" s="54">
        <f>$B$2/B14*$B$3</f>
        <v>94000</v>
      </c>
      <c r="C15" s="54">
        <f t="shared" ref="C15:H15" si="0">$B$2/C14*$B$3</f>
        <v>58750</v>
      </c>
      <c r="D15" s="54">
        <f t="shared" si="0"/>
        <v>47000</v>
      </c>
      <c r="E15" s="54">
        <f t="shared" si="0"/>
        <v>9400</v>
      </c>
      <c r="F15" s="54">
        <f t="shared" si="0"/>
        <v>4700</v>
      </c>
      <c r="G15" s="54">
        <f t="shared" si="0"/>
        <v>2350</v>
      </c>
      <c r="H15" s="54">
        <f t="shared" si="0"/>
        <v>1880</v>
      </c>
      <c r="I15" s="51" t="s">
        <v>107</v>
      </c>
      <c r="J15" s="52">
        <f>$G$2/J14*$G$3</f>
        <v>97556.800000000003</v>
      </c>
      <c r="K15" s="52">
        <f t="shared" ref="K15:P15" si="1">$G$2/K14*$G$3</f>
        <v>60973.000000000007</v>
      </c>
      <c r="L15" s="52">
        <f t="shared" si="1"/>
        <v>48778.400000000001</v>
      </c>
      <c r="M15" s="52">
        <f t="shared" si="1"/>
        <v>9755.68</v>
      </c>
      <c r="N15" s="52">
        <f t="shared" si="1"/>
        <v>4877.84</v>
      </c>
      <c r="O15" s="52">
        <f t="shared" si="1"/>
        <v>2438.92</v>
      </c>
      <c r="P15" s="52">
        <f t="shared" si="1"/>
        <v>1951.136</v>
      </c>
    </row>
    <row r="16" spans="1:16" ht="32.25" thickBot="1" x14ac:dyDescent="0.45">
      <c r="A16" s="10" t="s">
        <v>85</v>
      </c>
      <c r="B16" s="54">
        <f>($C$7*$D$7*B14)/2</f>
        <v>804.99999999999989</v>
      </c>
      <c r="C16" s="54">
        <f t="shared" ref="C16:H16" si="2">($C$7*$D$7*C14)/2</f>
        <v>1288</v>
      </c>
      <c r="D16" s="54">
        <f t="shared" si="2"/>
        <v>1609.9999999999998</v>
      </c>
      <c r="E16" s="54">
        <f t="shared" si="2"/>
        <v>8049.9999999999991</v>
      </c>
      <c r="F16" s="54">
        <f t="shared" si="2"/>
        <v>16099.999999999998</v>
      </c>
      <c r="G16" s="54">
        <f t="shared" si="2"/>
        <v>32199.999999999996</v>
      </c>
      <c r="H16" s="54">
        <f t="shared" si="2"/>
        <v>40250</v>
      </c>
      <c r="I16" s="45" t="s">
        <v>106</v>
      </c>
      <c r="J16" s="52">
        <f>($I$7*$J$7*J14)/2</f>
        <v>1188.9999999999998</v>
      </c>
      <c r="K16" s="52">
        <f t="shared" ref="K16:P16" si="3">($I$7*$J$7*K14)/2</f>
        <v>1902.3999999999996</v>
      </c>
      <c r="L16" s="52">
        <f t="shared" si="3"/>
        <v>2377.9999999999995</v>
      </c>
      <c r="M16" s="52">
        <f t="shared" si="3"/>
        <v>11889.999999999998</v>
      </c>
      <c r="N16" s="52">
        <f t="shared" si="3"/>
        <v>23779.999999999996</v>
      </c>
      <c r="O16" s="52">
        <f t="shared" si="3"/>
        <v>47559.999999999993</v>
      </c>
      <c r="P16" s="52">
        <f t="shared" si="3"/>
        <v>59449.999999999993</v>
      </c>
    </row>
    <row r="17" spans="1:16" ht="32.25" thickBot="1" x14ac:dyDescent="0.3">
      <c r="A17" s="10" t="s">
        <v>86</v>
      </c>
      <c r="B17" s="54">
        <f>SUM(B15:B16)</f>
        <v>94805</v>
      </c>
      <c r="C17" s="54">
        <f t="shared" ref="C17:H17" si="4">SUM(C15:C16)</f>
        <v>60038</v>
      </c>
      <c r="D17" s="54">
        <f t="shared" si="4"/>
        <v>48610</v>
      </c>
      <c r="E17" s="54">
        <f t="shared" si="4"/>
        <v>17450</v>
      </c>
      <c r="F17" s="54">
        <f t="shared" si="4"/>
        <v>20800</v>
      </c>
      <c r="G17" s="54">
        <f t="shared" si="4"/>
        <v>34550</v>
      </c>
      <c r="H17" s="54">
        <f t="shared" si="4"/>
        <v>42130</v>
      </c>
      <c r="J17" s="52">
        <f>SUM(J15:J16)</f>
        <v>98745.8</v>
      </c>
      <c r="K17" s="52">
        <f t="shared" ref="K17:P17" si="5">SUM(K15:K16)</f>
        <v>62875.400000000009</v>
      </c>
      <c r="L17" s="52">
        <f t="shared" si="5"/>
        <v>51156.4</v>
      </c>
      <c r="M17" s="52">
        <f t="shared" si="5"/>
        <v>21645.68</v>
      </c>
      <c r="N17" s="52">
        <f t="shared" si="5"/>
        <v>28657.839999999997</v>
      </c>
      <c r="O17" s="52">
        <f t="shared" si="5"/>
        <v>49998.919999999991</v>
      </c>
      <c r="P17" s="52">
        <f t="shared" si="5"/>
        <v>61401.135999999991</v>
      </c>
    </row>
    <row r="18" spans="1:16" x14ac:dyDescent="0.25">
      <c r="J18" s="53"/>
      <c r="K18" s="53"/>
      <c r="L18" s="53"/>
      <c r="M18" s="53"/>
      <c r="N18" s="53"/>
      <c r="O18" s="53"/>
      <c r="P18" s="53"/>
    </row>
    <row r="19" spans="1:16" ht="23.25" thickBot="1" x14ac:dyDescent="0.45">
      <c r="A19" s="48" t="s">
        <v>105</v>
      </c>
      <c r="B19" s="49"/>
      <c r="C19" s="39"/>
      <c r="D19">
        <f>C8</f>
        <v>4.0999999999999996</v>
      </c>
      <c r="J19" s="53"/>
      <c r="K19" s="53"/>
      <c r="L19" s="53"/>
      <c r="M19" s="53"/>
      <c r="N19" s="53"/>
      <c r="O19" s="53"/>
      <c r="P19" s="53"/>
    </row>
    <row r="20" spans="1:16" ht="32.25" thickBot="1" x14ac:dyDescent="0.3">
      <c r="A20" s="1" t="s">
        <v>83</v>
      </c>
      <c r="B20" s="16">
        <v>500</v>
      </c>
      <c r="C20" s="16">
        <v>800</v>
      </c>
      <c r="D20" s="16">
        <v>1000</v>
      </c>
      <c r="E20" s="16">
        <v>5000</v>
      </c>
      <c r="F20" s="16">
        <v>10000</v>
      </c>
      <c r="G20" s="16">
        <v>20000</v>
      </c>
      <c r="H20" s="16">
        <v>25000</v>
      </c>
      <c r="J20" s="54">
        <v>500</v>
      </c>
      <c r="K20" s="55">
        <v>800</v>
      </c>
      <c r="L20" s="55">
        <v>1000</v>
      </c>
      <c r="M20" s="55">
        <v>5000</v>
      </c>
      <c r="N20" s="55">
        <v>10000</v>
      </c>
      <c r="O20" s="55">
        <v>20000</v>
      </c>
      <c r="P20" s="55">
        <v>25000</v>
      </c>
    </row>
    <row r="21" spans="1:16" ht="48" thickBot="1" x14ac:dyDescent="0.3">
      <c r="A21" s="44" t="s">
        <v>84</v>
      </c>
      <c r="B21" s="54">
        <f>$B$2/B20*$B$3</f>
        <v>94000</v>
      </c>
      <c r="C21" s="54">
        <f t="shared" ref="C21" si="6">$B$2/C20*$B$3</f>
        <v>58750</v>
      </c>
      <c r="D21" s="54">
        <f t="shared" ref="D21" si="7">$B$2/D20*$B$3</f>
        <v>47000</v>
      </c>
      <c r="E21" s="54">
        <f t="shared" ref="E21" si="8">$B$2/E20*$B$3</f>
        <v>9400</v>
      </c>
      <c r="F21" s="54">
        <f t="shared" ref="F21" si="9">$B$2/F20*$B$3</f>
        <v>4700</v>
      </c>
      <c r="G21" s="54">
        <f t="shared" ref="G21" si="10">$B$2/G20*$B$3</f>
        <v>2350</v>
      </c>
      <c r="H21" s="54">
        <f t="shared" ref="H21" si="11">$B$2/H20*$B$3</f>
        <v>1880</v>
      </c>
      <c r="J21" s="52">
        <f>$G$2/J20*$G$3</f>
        <v>97556.800000000003</v>
      </c>
      <c r="K21" s="52">
        <f t="shared" ref="K21" si="12">$G$2/K20*$G$3</f>
        <v>60973.000000000007</v>
      </c>
      <c r="L21" s="52">
        <f t="shared" ref="L21" si="13">$G$2/L20*$G$3</f>
        <v>48778.400000000001</v>
      </c>
      <c r="M21" s="52">
        <f t="shared" ref="M21" si="14">$G$2/M20*$G$3</f>
        <v>9755.68</v>
      </c>
      <c r="N21" s="52">
        <f t="shared" ref="N21" si="15">$G$2/N20*$G$3</f>
        <v>4877.84</v>
      </c>
      <c r="O21" s="52">
        <f t="shared" ref="O21" si="16">$G$2/O20*$G$3</f>
        <v>2438.92</v>
      </c>
      <c r="P21" s="52">
        <f t="shared" ref="P21" si="17">$G$2/P20*$G$3</f>
        <v>1951.136</v>
      </c>
    </row>
    <row r="22" spans="1:16" ht="32.25" thickBot="1" x14ac:dyDescent="0.3">
      <c r="A22" s="44" t="s">
        <v>85</v>
      </c>
      <c r="B22" s="54">
        <f>($C$8*$D$8*B20)/2</f>
        <v>512.5</v>
      </c>
      <c r="C22" s="54">
        <f t="shared" ref="C22:H22" si="18">($C$8*$D$8*C20)/2</f>
        <v>819.99999999999989</v>
      </c>
      <c r="D22" s="54">
        <f t="shared" si="18"/>
        <v>1025</v>
      </c>
      <c r="E22" s="54">
        <f t="shared" si="18"/>
        <v>5125</v>
      </c>
      <c r="F22" s="54">
        <f t="shared" si="18"/>
        <v>10250</v>
      </c>
      <c r="G22" s="54">
        <f t="shared" si="18"/>
        <v>20500</v>
      </c>
      <c r="H22" s="54">
        <f t="shared" si="18"/>
        <v>25624.999999999996</v>
      </c>
      <c r="J22" s="52">
        <f>($I$8*$J$8*J20)/2</f>
        <v>821.5</v>
      </c>
      <c r="K22" s="52">
        <f t="shared" ref="K22:P22" si="19">($I$8*$J$8*K20)/2</f>
        <v>1314.4</v>
      </c>
      <c r="L22" s="52">
        <f t="shared" si="19"/>
        <v>1643</v>
      </c>
      <c r="M22" s="52">
        <f t="shared" si="19"/>
        <v>8215</v>
      </c>
      <c r="N22" s="52">
        <f t="shared" si="19"/>
        <v>16430</v>
      </c>
      <c r="O22" s="52">
        <f t="shared" si="19"/>
        <v>32860</v>
      </c>
      <c r="P22" s="52">
        <f t="shared" si="19"/>
        <v>41075</v>
      </c>
    </row>
    <row r="23" spans="1:16" ht="32.25" thickBot="1" x14ac:dyDescent="0.3">
      <c r="A23" s="44" t="s">
        <v>86</v>
      </c>
      <c r="B23" s="54">
        <f>SUM(B21:B22)</f>
        <v>94512.5</v>
      </c>
      <c r="C23" s="54">
        <f t="shared" ref="C23" si="20">SUM(C21:C22)</f>
        <v>59570</v>
      </c>
      <c r="D23" s="54">
        <f t="shared" ref="D23" si="21">SUM(D21:D22)</f>
        <v>48025</v>
      </c>
      <c r="E23" s="54">
        <f t="shared" ref="E23" si="22">SUM(E21:E22)</f>
        <v>14525</v>
      </c>
      <c r="F23" s="54">
        <f t="shared" ref="F23" si="23">SUM(F21:F22)</f>
        <v>14950</v>
      </c>
      <c r="G23" s="54">
        <f t="shared" ref="G23" si="24">SUM(G21:G22)</f>
        <v>22850</v>
      </c>
      <c r="H23" s="54">
        <f t="shared" ref="H23" si="25">SUM(H21:H22)</f>
        <v>27504.999999999996</v>
      </c>
      <c r="J23" s="52">
        <f>SUM(J21:J22)</f>
        <v>98378.3</v>
      </c>
      <c r="K23" s="52">
        <f t="shared" ref="K23" si="26">SUM(K21:K22)</f>
        <v>62287.400000000009</v>
      </c>
      <c r="L23" s="52">
        <f t="shared" ref="L23" si="27">SUM(L21:L22)</f>
        <v>50421.4</v>
      </c>
      <c r="M23" s="52">
        <f t="shared" ref="M23" si="28">SUM(M21:M22)</f>
        <v>17970.68</v>
      </c>
      <c r="N23" s="52">
        <f t="shared" ref="N23" si="29">SUM(N21:N22)</f>
        <v>21307.84</v>
      </c>
      <c r="O23" s="52">
        <f t="shared" ref="O23" si="30">SUM(O21:O22)</f>
        <v>35298.92</v>
      </c>
      <c r="P23" s="52">
        <f t="shared" ref="P23" si="31">SUM(P21:P22)</f>
        <v>43026.135999999999</v>
      </c>
    </row>
    <row r="24" spans="1:16" x14ac:dyDescent="0.25">
      <c r="J24" s="53"/>
      <c r="K24" s="53"/>
      <c r="L24" s="53"/>
      <c r="M24" s="53"/>
      <c r="N24" s="53"/>
      <c r="O24" s="53"/>
      <c r="P24" s="53"/>
    </row>
    <row r="25" spans="1:16" ht="15.75" thickBot="1" x14ac:dyDescent="0.3">
      <c r="J25" s="53"/>
      <c r="K25" s="53"/>
      <c r="L25" s="53"/>
      <c r="M25" s="53"/>
      <c r="N25" s="53"/>
      <c r="O25" s="53"/>
      <c r="P25" s="53"/>
    </row>
    <row r="26" spans="1:16" ht="32.25" thickBot="1" x14ac:dyDescent="0.3">
      <c r="A26" s="1" t="s">
        <v>83</v>
      </c>
      <c r="B26" s="16">
        <v>500</v>
      </c>
      <c r="C26" s="16">
        <v>800</v>
      </c>
      <c r="D26" s="16">
        <v>1000</v>
      </c>
      <c r="E26" s="16">
        <v>5000</v>
      </c>
      <c r="F26" s="16">
        <v>10000</v>
      </c>
      <c r="G26" s="16">
        <v>20000</v>
      </c>
      <c r="H26" s="16">
        <v>25000</v>
      </c>
      <c r="J26" s="54">
        <v>500</v>
      </c>
      <c r="K26" s="55">
        <v>800</v>
      </c>
      <c r="L26" s="55">
        <v>1000</v>
      </c>
      <c r="M26" s="55">
        <v>5000</v>
      </c>
      <c r="N26" s="55">
        <v>10000</v>
      </c>
      <c r="O26" s="55">
        <v>20000</v>
      </c>
      <c r="P26" s="55">
        <v>25000</v>
      </c>
    </row>
    <row r="27" spans="1:16" ht="48" thickBot="1" x14ac:dyDescent="0.3">
      <c r="A27" s="44" t="s">
        <v>84</v>
      </c>
      <c r="B27" s="54">
        <f>$B$2/B26*$B$3</f>
        <v>94000</v>
      </c>
      <c r="C27" s="54">
        <f t="shared" ref="C27" si="32">$B$2/C26*$B$3</f>
        <v>58750</v>
      </c>
      <c r="D27" s="54">
        <f t="shared" ref="D27" si="33">$B$2/D26*$B$3</f>
        <v>47000</v>
      </c>
      <c r="E27" s="54">
        <f t="shared" ref="E27" si="34">$B$2/E26*$B$3</f>
        <v>9400</v>
      </c>
      <c r="F27" s="54">
        <f t="shared" ref="F27" si="35">$B$2/F26*$B$3</f>
        <v>4700</v>
      </c>
      <c r="G27" s="54">
        <f t="shared" ref="G27" si="36">$B$2/G26*$B$3</f>
        <v>2350</v>
      </c>
      <c r="H27" s="54">
        <f t="shared" ref="H27" si="37">$B$2/H26*$B$3</f>
        <v>1880</v>
      </c>
      <c r="J27" s="52">
        <f>$G$2/J26*$G$3</f>
        <v>97556.800000000003</v>
      </c>
      <c r="K27" s="52">
        <f t="shared" ref="K27" si="38">$G$2/K26*$G$3</f>
        <v>60973.000000000007</v>
      </c>
      <c r="L27" s="52">
        <f t="shared" ref="L27" si="39">$G$2/L26*$G$3</f>
        <v>48778.400000000001</v>
      </c>
      <c r="M27" s="52">
        <f t="shared" ref="M27" si="40">$G$2/M26*$G$3</f>
        <v>9755.68</v>
      </c>
      <c r="N27" s="52">
        <f t="shared" ref="N27" si="41">$G$2/N26*$G$3</f>
        <v>4877.84</v>
      </c>
      <c r="O27" s="52">
        <f t="shared" ref="O27" si="42">$G$2/O26*$G$3</f>
        <v>2438.92</v>
      </c>
      <c r="P27" s="52">
        <f t="shared" ref="P27" si="43">$G$2/P26*$G$3</f>
        <v>1951.136</v>
      </c>
    </row>
    <row r="28" spans="1:16" ht="32.25" thickBot="1" x14ac:dyDescent="0.3">
      <c r="A28" s="44" t="s">
        <v>85</v>
      </c>
      <c r="B28" s="54">
        <f>($C$9*$D$9*B26)/2</f>
        <v>360.00000000000006</v>
      </c>
      <c r="C28" s="54">
        <f t="shared" ref="C28:H28" si="44">($C$9*$D$9*C26)/2</f>
        <v>576.00000000000011</v>
      </c>
      <c r="D28" s="54">
        <f t="shared" si="44"/>
        <v>720.00000000000011</v>
      </c>
      <c r="E28" s="54">
        <f t="shared" si="44"/>
        <v>3600.0000000000005</v>
      </c>
      <c r="F28" s="54">
        <f t="shared" si="44"/>
        <v>7200.0000000000009</v>
      </c>
      <c r="G28" s="54">
        <f t="shared" si="44"/>
        <v>14400.000000000002</v>
      </c>
      <c r="H28" s="54">
        <f t="shared" si="44"/>
        <v>18000.000000000004</v>
      </c>
      <c r="J28" s="52">
        <f>($I$9*$J$9*J26)/2</f>
        <v>624</v>
      </c>
      <c r="K28" s="52">
        <f t="shared" ref="K28:P28" si="45">($I$9*$J$9*K26)/2</f>
        <v>998.4</v>
      </c>
      <c r="L28" s="52">
        <f t="shared" si="45"/>
        <v>1248</v>
      </c>
      <c r="M28" s="52">
        <f t="shared" si="45"/>
        <v>6240</v>
      </c>
      <c r="N28" s="52">
        <f t="shared" si="45"/>
        <v>12480</v>
      </c>
      <c r="O28" s="52">
        <f t="shared" si="45"/>
        <v>24960</v>
      </c>
      <c r="P28" s="52">
        <f t="shared" si="45"/>
        <v>31200</v>
      </c>
    </row>
    <row r="29" spans="1:16" ht="32.25" thickBot="1" x14ac:dyDescent="0.3">
      <c r="A29" s="44" t="s">
        <v>86</v>
      </c>
      <c r="B29" s="54">
        <f>SUM(B27:B28)</f>
        <v>94360</v>
      </c>
      <c r="C29" s="54">
        <f t="shared" ref="C29" si="46">SUM(C27:C28)</f>
        <v>59326</v>
      </c>
      <c r="D29" s="54">
        <f t="shared" ref="D29" si="47">SUM(D27:D28)</f>
        <v>47720</v>
      </c>
      <c r="E29" s="54">
        <f t="shared" ref="E29" si="48">SUM(E27:E28)</f>
        <v>13000</v>
      </c>
      <c r="F29" s="54">
        <f t="shared" ref="F29" si="49">SUM(F27:F28)</f>
        <v>11900</v>
      </c>
      <c r="G29" s="54">
        <f t="shared" ref="G29" si="50">SUM(G27:G28)</f>
        <v>16750</v>
      </c>
      <c r="H29" s="54">
        <f t="shared" ref="H29" si="51">SUM(H27:H28)</f>
        <v>19880.000000000004</v>
      </c>
      <c r="J29" s="52">
        <f>SUM(J27:J28)</f>
        <v>98180.800000000003</v>
      </c>
      <c r="K29" s="52">
        <f t="shared" ref="K29" si="52">SUM(K27:K28)</f>
        <v>61971.400000000009</v>
      </c>
      <c r="L29" s="52">
        <f t="shared" ref="L29" si="53">SUM(L27:L28)</f>
        <v>50026.400000000001</v>
      </c>
      <c r="M29" s="52">
        <f t="shared" ref="M29" si="54">SUM(M27:M28)</f>
        <v>15995.68</v>
      </c>
      <c r="N29" s="52">
        <f t="shared" ref="N29" si="55">SUM(N27:N28)</f>
        <v>17357.84</v>
      </c>
      <c r="O29" s="52">
        <f t="shared" ref="O29" si="56">SUM(O27:O28)</f>
        <v>27398.92</v>
      </c>
      <c r="P29" s="52">
        <f t="shared" ref="P29" si="57">SUM(P27:P28)</f>
        <v>33151.135999999999</v>
      </c>
    </row>
    <row r="57" spans="1:11" ht="19.5" x14ac:dyDescent="0.3">
      <c r="A57" s="5" t="s">
        <v>109</v>
      </c>
    </row>
    <row r="58" spans="1:11" ht="15.75" x14ac:dyDescent="0.25">
      <c r="A58" s="62" t="s">
        <v>108</v>
      </c>
      <c r="E58" s="62" t="s">
        <v>110</v>
      </c>
      <c r="J58" t="s">
        <v>111</v>
      </c>
      <c r="K58" t="s">
        <v>112</v>
      </c>
    </row>
    <row r="59" spans="1:11" x14ac:dyDescent="0.25">
      <c r="D59" s="52">
        <f>SQRT((2*$B$2*$B$3)/(C7*D7))</f>
        <v>5403.0127321570262</v>
      </c>
      <c r="G59" s="38">
        <f>(($B$2*$B$3)/D59)+(C7*D7*D59)/2</f>
        <v>17397.700997545624</v>
      </c>
      <c r="J59" s="52">
        <f>SQRT((2*$G$2*$G$3)/(I7*J7))</f>
        <v>4529.0576647388652</v>
      </c>
      <c r="K59" s="63">
        <f>(($G$2*$G$3)/J59)+(I7*J7*J59)/2</f>
        <v>21540.198253498042</v>
      </c>
    </row>
    <row r="60" spans="1:11" x14ac:dyDescent="0.25">
      <c r="D60" s="52">
        <f>SQRT((2*$B$2*$B$3)/(C8*D8))</f>
        <v>6771.5329532230271</v>
      </c>
      <c r="G60" s="38">
        <f t="shared" ref="G60:G61" si="58">(($B$2*$B$3)/D60)+(C8*D8*D60)/2</f>
        <v>13881.642554107204</v>
      </c>
      <c r="J60" s="52">
        <f t="shared" ref="J60:J61" si="59">SQRT((2*$G$2*$G$3)/(I8*J8))</f>
        <v>5448.726308139394</v>
      </c>
      <c r="K60" s="63">
        <f t="shared" ref="K60:K61" si="60">(($G$2*$G$3)/J60)+(I8*J8*J60)/2</f>
        <v>17904.51464854605</v>
      </c>
    </row>
    <row r="61" spans="1:11" x14ac:dyDescent="0.25">
      <c r="D61" s="52">
        <f>SQRT((2*$B$2*$B$3)/(C9*D9))</f>
        <v>8079.4664290272149</v>
      </c>
      <c r="G61" s="38">
        <f t="shared" si="58"/>
        <v>11634.43165779919</v>
      </c>
      <c r="J61" s="52">
        <f t="shared" si="59"/>
        <v>6251.8202477563609</v>
      </c>
      <c r="K61" s="63">
        <f t="shared" si="60"/>
        <v>15604.543338399879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Задача 1</vt:lpstr>
      <vt:lpstr>Задача 2</vt:lpstr>
      <vt:lpstr>Задача 3</vt:lpstr>
      <vt:lpstr>Диаграмма1</vt:lpstr>
      <vt:lpstr>Диаграмма2</vt:lpstr>
      <vt:lpstr>Дин уд. веса</vt:lpstr>
      <vt:lpstr>ур. мех. погр. раб.</vt:lpstr>
      <vt:lpstr>затр. упр. запасами</vt:lpstr>
      <vt:lpstr>сум. затр.разл. опт. ценах</vt:lpstr>
      <vt:lpstr>'Задача 1'!_Ref40567048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2020-05-17T17:15:08Z</dcterms:modified>
</cp:coreProperties>
</file>