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2 вариант" sheetId="1" r:id="rId1"/>
    <sheet name="27 вариант" sheetId="4" r:id="rId2"/>
  </sheets>
  <calcPr calcId="144525"/>
</workbook>
</file>

<file path=xl/calcChain.xml><?xml version="1.0" encoding="utf-8"?>
<calcChain xmlns="http://schemas.openxmlformats.org/spreadsheetml/2006/main">
  <c r="I55" i="4" l="1"/>
  <c r="I54" i="4"/>
  <c r="I53" i="4"/>
  <c r="I52" i="4"/>
  <c r="I56" i="4" s="1"/>
  <c r="I51" i="4"/>
  <c r="G58" i="1"/>
  <c r="K55" i="1"/>
  <c r="K56" i="1"/>
  <c r="K51" i="1"/>
  <c r="K53" i="1"/>
  <c r="K54" i="1"/>
  <c r="K52" i="1"/>
  <c r="I56" i="1"/>
  <c r="G52" i="1" s="1"/>
  <c r="G47" i="1"/>
  <c r="G53" i="1"/>
  <c r="G51" i="1"/>
  <c r="I55" i="1"/>
  <c r="I54" i="1"/>
  <c r="I53" i="1"/>
  <c r="I52" i="1"/>
  <c r="I51" i="1"/>
  <c r="G41" i="4"/>
  <c r="G41" i="1"/>
  <c r="G43" i="1" s="1"/>
  <c r="G45" i="1" s="1"/>
  <c r="J39" i="4"/>
  <c r="I39" i="4"/>
  <c r="H39" i="4"/>
  <c r="G39" i="4"/>
  <c r="F39" i="4"/>
  <c r="G37" i="4"/>
  <c r="G23" i="4"/>
  <c r="G25" i="4" s="1"/>
  <c r="G20" i="4"/>
  <c r="H33" i="1"/>
  <c r="I39" i="1"/>
  <c r="H39" i="1"/>
  <c r="J39" i="1"/>
  <c r="G39" i="1"/>
  <c r="F39" i="1"/>
  <c r="G37" i="1"/>
  <c r="G35" i="1"/>
  <c r="G33" i="1"/>
  <c r="H31" i="1"/>
  <c r="G31" i="1"/>
  <c r="G29" i="1"/>
  <c r="G27" i="1"/>
  <c r="G25" i="1"/>
  <c r="G23" i="1"/>
  <c r="G20" i="1"/>
  <c r="G55" i="4" l="1"/>
  <c r="K55" i="4" s="1"/>
  <c r="G51" i="4"/>
  <c r="G53" i="4"/>
  <c r="K53" i="4" s="1"/>
  <c r="G54" i="4"/>
  <c r="K54" i="4" s="1"/>
  <c r="G52" i="4"/>
  <c r="K52" i="4" s="1"/>
  <c r="G54" i="1"/>
  <c r="G55" i="1"/>
  <c r="G56" i="1"/>
  <c r="G27" i="4"/>
  <c r="G29" i="4"/>
  <c r="G31" i="4" s="1"/>
  <c r="H31" i="4" s="1"/>
  <c r="G33" i="4" s="1"/>
  <c r="G43" i="4"/>
  <c r="G45" i="4" s="1"/>
  <c r="G47" i="4" s="1"/>
  <c r="G56" i="4" l="1"/>
  <c r="K51" i="4"/>
  <c r="K56" i="4" s="1"/>
  <c r="G58" i="4" s="1"/>
  <c r="H33" i="4"/>
  <c r="G35" i="4"/>
</calcChain>
</file>

<file path=xl/sharedStrings.xml><?xml version="1.0" encoding="utf-8"?>
<sst xmlns="http://schemas.openxmlformats.org/spreadsheetml/2006/main" count="98" uniqueCount="48">
  <si>
    <t>Наименование показателя</t>
  </si>
  <si>
    <t>Значение</t>
  </si>
  <si>
    <t>Сумма выплаченных дивидендов в отчетном периоде, тыс. ден. ед.</t>
  </si>
  <si>
    <t>Собственный капитал на начало  отчетного периода, тыс. ден. ед.</t>
  </si>
  <si>
    <t>Собственный капитал на конец  отчетного периода, тыс. ден. ед.</t>
  </si>
  <si>
    <t>Количество выпущенных привилегированных акций, тыс. шт.</t>
  </si>
  <si>
    <t>Чистая прибыль предприятия за отчетный период, тыс. ден. ед.</t>
  </si>
  <si>
    <t>Текущая рыночная цена привилегированной акции, ден. ед.</t>
  </si>
  <si>
    <t>Доля прибыли направленно на выплату дивидендов, %</t>
  </si>
  <si>
    <t>Ожидаемый темп роста выплат, %</t>
  </si>
  <si>
    <t>Количество выпущенных простых акций, тыс. шт.</t>
  </si>
  <si>
    <t>Расходы на эмиссию акций, %</t>
  </si>
  <si>
    <t>Ставка процента за банковский кредит, %</t>
  </si>
  <si>
    <t>Уровень расходов  по привлечению банковского кредита, %</t>
  </si>
  <si>
    <t>Номинальная стоимость облигации, ден. ед.</t>
  </si>
  <si>
    <t>Процентные выплаты, производимые по облигации, ден. ед.</t>
  </si>
  <si>
    <t>Рыночная процентная ставка по аналогичным финансовым займам, %</t>
  </si>
  <si>
    <t>Срок погашения облигации, года</t>
  </si>
  <si>
    <t>СКф=</t>
  </si>
  <si>
    <t>1.1 Стоимость функционирующего собственного капитала предприятия в отчетном периоде определяется по формуле:</t>
  </si>
  <si>
    <t xml:space="preserve">1.3 Размер дивидендных выплат </t>
  </si>
  <si>
    <t>Д=</t>
  </si>
  <si>
    <t>Ца.п.=</t>
  </si>
  <si>
    <t>Д1=</t>
  </si>
  <si>
    <t>Двидендов на 1 акцию</t>
  </si>
  <si>
    <t>Учитывая ожидаемый темп прироста дивидентов расчитаем дивидентные выплаты</t>
  </si>
  <si>
    <t>Ца=</t>
  </si>
  <si>
    <t>Ставка дисконта(1.4)</t>
  </si>
  <si>
    <t>Ска=</t>
  </si>
  <si>
    <t>Стоимость заемного капитала (1.5)</t>
  </si>
  <si>
    <t>СКЗ=</t>
  </si>
  <si>
    <t>СК=</t>
  </si>
  <si>
    <t>Находим текущюю стоимость облигации</t>
  </si>
  <si>
    <t>Vb=</t>
  </si>
  <si>
    <t>Сумма затрат на эмиссию</t>
  </si>
  <si>
    <t>Уровень эмиссионных затрат</t>
  </si>
  <si>
    <t>Стоимость заемного капитала</t>
  </si>
  <si>
    <t>СОЗк=</t>
  </si>
  <si>
    <t>Всего</t>
  </si>
  <si>
    <t>СКФ_У=</t>
  </si>
  <si>
    <t>Пр. акции</t>
  </si>
  <si>
    <t>об. Акции</t>
  </si>
  <si>
    <t>кредит</t>
  </si>
  <si>
    <t>облигации</t>
  </si>
  <si>
    <t>ССК=</t>
  </si>
  <si>
    <t>ССК</t>
  </si>
  <si>
    <t>Сi</t>
  </si>
  <si>
    <t>Уi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</si>
</sst>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0.000"/>
    <numFmt numFmtId="170" formatCode="0.0000"/>
    <numFmt numFmtId="171" formatCode="0.0"/>
    <numFmt numFmtId="172" formatCode="0.00000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169" fontId="2" fillId="0" borderId="0" xfId="0" applyNumberFormat="1" applyFont="1"/>
    <xf numFmtId="169" fontId="1" fillId="0" borderId="0" xfId="0" applyNumberFormat="1" applyFont="1" applyAlignment="1">
      <alignment vertical="center"/>
    </xf>
    <xf numFmtId="170" fontId="2" fillId="0" borderId="0" xfId="0" applyNumberFormat="1" applyFont="1"/>
    <xf numFmtId="169" fontId="2" fillId="2" borderId="0" xfId="0" applyNumberFormat="1" applyFont="1" applyFill="1"/>
    <xf numFmtId="171" fontId="2" fillId="0" borderId="0" xfId="0" applyNumberFormat="1" applyFont="1"/>
    <xf numFmtId="169" fontId="2" fillId="0" borderId="0" xfId="0" applyNumberFormat="1" applyFont="1" applyFill="1"/>
    <xf numFmtId="0" fontId="1" fillId="0" borderId="3" xfId="0" applyFont="1" applyBorder="1" applyAlignment="1">
      <alignment horizontal="center" vertical="center" wrapText="1"/>
    </xf>
    <xf numFmtId="2" fontId="2" fillId="2" borderId="0" xfId="0" applyNumberFormat="1" applyFont="1" applyFill="1"/>
    <xf numFmtId="2" fontId="2" fillId="0" borderId="0" xfId="0" applyNumberFormat="1" applyFont="1"/>
    <xf numFmtId="172" fontId="2" fillId="0" borderId="0" xfId="0" applyNumberFormat="1" applyFont="1"/>
    <xf numFmtId="16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2" fontId="2" fillId="0" borderId="0" xfId="0" applyNumberFormat="1" applyFont="1" applyAlignment="1">
      <alignment horizontal="center"/>
    </xf>
    <xf numFmtId="171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topLeftCell="A36" workbookViewId="0">
      <selection activeCell="E50" sqref="E50:K58"/>
    </sheetView>
  </sheetViews>
  <sheetFormatPr defaultRowHeight="18.75" x14ac:dyDescent="0.3"/>
  <cols>
    <col min="1" max="1" width="9.140625" style="6"/>
    <col min="2" max="2" width="46" style="6" bestFit="1" customWidth="1"/>
    <col min="3" max="3" width="11.85546875" style="6" bestFit="1" customWidth="1"/>
    <col min="4" max="5" width="9.140625" style="6"/>
    <col min="6" max="6" width="9.140625" style="8"/>
    <col min="7" max="7" width="11.140625" style="9" bestFit="1" customWidth="1"/>
    <col min="8" max="9" width="9.28515625" style="6" bestFit="1" customWidth="1"/>
    <col min="10" max="10" width="9.7109375" style="6" bestFit="1" customWidth="1"/>
    <col min="11" max="11" width="11" style="18" bestFit="1" customWidth="1"/>
    <col min="12" max="16384" width="9.140625" style="6"/>
  </cols>
  <sheetData>
    <row r="1" spans="2:3" ht="19.5" thickBot="1" x14ac:dyDescent="0.35">
      <c r="B1" s="1" t="s">
        <v>0</v>
      </c>
      <c r="C1" s="2" t="s">
        <v>1</v>
      </c>
    </row>
    <row r="2" spans="2:3" ht="38.25" thickBot="1" x14ac:dyDescent="0.35">
      <c r="B2" s="3" t="s">
        <v>2</v>
      </c>
      <c r="C2" s="4">
        <v>203</v>
      </c>
    </row>
    <row r="3" spans="2:3" ht="38.25" thickBot="1" x14ac:dyDescent="0.35">
      <c r="B3" s="3" t="s">
        <v>3</v>
      </c>
      <c r="C3" s="4">
        <v>860</v>
      </c>
    </row>
    <row r="4" spans="2:3" ht="38.25" thickBot="1" x14ac:dyDescent="0.35">
      <c r="B4" s="3" t="s">
        <v>4</v>
      </c>
      <c r="C4" s="4">
        <v>990</v>
      </c>
    </row>
    <row r="5" spans="2:3" ht="38.25" thickBot="1" x14ac:dyDescent="0.35">
      <c r="B5" s="3" t="s">
        <v>5</v>
      </c>
      <c r="C5" s="4">
        <v>90</v>
      </c>
    </row>
    <row r="6" spans="2:3" ht="38.25" thickBot="1" x14ac:dyDescent="0.35">
      <c r="B6" s="3" t="s">
        <v>6</v>
      </c>
      <c r="C6" s="4">
        <v>15</v>
      </c>
    </row>
    <row r="7" spans="2:3" ht="38.25" thickBot="1" x14ac:dyDescent="0.35">
      <c r="B7" s="3" t="s">
        <v>7</v>
      </c>
      <c r="C7" s="4">
        <v>1.7</v>
      </c>
    </row>
    <row r="8" spans="2:3" ht="38.25" thickBot="1" x14ac:dyDescent="0.35">
      <c r="B8" s="3" t="s">
        <v>8</v>
      </c>
      <c r="C8" s="4">
        <v>15</v>
      </c>
    </row>
    <row r="9" spans="2:3" ht="19.5" thickBot="1" x14ac:dyDescent="0.35">
      <c r="B9" s="3" t="s">
        <v>9</v>
      </c>
      <c r="C9" s="4">
        <v>4</v>
      </c>
    </row>
    <row r="10" spans="2:3" ht="38.25" thickBot="1" x14ac:dyDescent="0.35">
      <c r="B10" s="3" t="s">
        <v>10</v>
      </c>
      <c r="C10" s="4">
        <v>90</v>
      </c>
    </row>
    <row r="11" spans="2:3" ht="19.5" thickBot="1" x14ac:dyDescent="0.35">
      <c r="B11" s="3" t="s">
        <v>11</v>
      </c>
      <c r="C11" s="4">
        <v>5</v>
      </c>
    </row>
    <row r="12" spans="2:3" ht="38.25" thickBot="1" x14ac:dyDescent="0.35">
      <c r="B12" s="3" t="s">
        <v>12</v>
      </c>
      <c r="C12" s="4">
        <v>21</v>
      </c>
    </row>
    <row r="13" spans="2:3" ht="38.25" thickBot="1" x14ac:dyDescent="0.35">
      <c r="B13" s="3" t="s">
        <v>13</v>
      </c>
      <c r="C13" s="4">
        <v>5</v>
      </c>
    </row>
    <row r="14" spans="2:3" ht="38.25" thickBot="1" x14ac:dyDescent="0.35">
      <c r="B14" s="3" t="s">
        <v>14</v>
      </c>
      <c r="C14" s="4">
        <v>220</v>
      </c>
    </row>
    <row r="15" spans="2:3" ht="38.25" thickBot="1" x14ac:dyDescent="0.35">
      <c r="B15" s="3" t="s">
        <v>15</v>
      </c>
      <c r="C15" s="4">
        <v>22</v>
      </c>
    </row>
    <row r="16" spans="2:3" ht="38.25" thickBot="1" x14ac:dyDescent="0.35">
      <c r="B16" s="3" t="s">
        <v>16</v>
      </c>
      <c r="C16" s="4">
        <v>17</v>
      </c>
    </row>
    <row r="17" spans="2:10" ht="19.5" thickBot="1" x14ac:dyDescent="0.35">
      <c r="B17" s="3" t="s">
        <v>17</v>
      </c>
      <c r="C17" s="4">
        <v>2</v>
      </c>
    </row>
    <row r="19" spans="2:10" x14ac:dyDescent="0.3">
      <c r="B19" s="5" t="s">
        <v>19</v>
      </c>
      <c r="C19" s="5"/>
      <c r="D19" s="5"/>
      <c r="E19" s="5"/>
      <c r="F19" s="7"/>
      <c r="G19" s="10"/>
      <c r="H19" s="5"/>
      <c r="I19" s="5"/>
      <c r="J19" s="5"/>
    </row>
    <row r="20" spans="2:10" x14ac:dyDescent="0.3">
      <c r="F20" s="8" t="s">
        <v>18</v>
      </c>
      <c r="G20" s="16">
        <f>C2/((C3+C4)/2)*100</f>
        <v>21.945945945945947</v>
      </c>
    </row>
    <row r="22" spans="2:10" x14ac:dyDescent="0.3">
      <c r="B22" s="6" t="s">
        <v>20</v>
      </c>
    </row>
    <row r="23" spans="2:10" x14ac:dyDescent="0.3">
      <c r="F23" s="8" t="s">
        <v>21</v>
      </c>
      <c r="G23" s="9">
        <f>C6*1000*C8/100</f>
        <v>2250</v>
      </c>
    </row>
    <row r="24" spans="2:10" x14ac:dyDescent="0.3">
      <c r="B24" s="6" t="s">
        <v>24</v>
      </c>
    </row>
    <row r="25" spans="2:10" x14ac:dyDescent="0.3">
      <c r="F25" s="8" t="s">
        <v>23</v>
      </c>
      <c r="G25" s="9">
        <f>G23/(C10*1000)</f>
        <v>2.5000000000000001E-2</v>
      </c>
    </row>
    <row r="27" spans="2:10" x14ac:dyDescent="0.3">
      <c r="F27" s="8" t="s">
        <v>22</v>
      </c>
      <c r="G27" s="16">
        <f>(G25/C7)*100</f>
        <v>1.4705882352941178</v>
      </c>
    </row>
    <row r="28" spans="2:10" x14ac:dyDescent="0.3">
      <c r="B28" s="6" t="s">
        <v>25</v>
      </c>
    </row>
    <row r="29" spans="2:10" x14ac:dyDescent="0.3">
      <c r="F29" s="8" t="s">
        <v>21</v>
      </c>
      <c r="G29" s="9">
        <f>G25*(C9/100+1)</f>
        <v>2.6000000000000002E-2</v>
      </c>
      <c r="H29" s="9"/>
      <c r="I29" s="9"/>
      <c r="J29" s="9"/>
    </row>
    <row r="30" spans="2:10" x14ac:dyDescent="0.3">
      <c r="H30" s="9"/>
      <c r="I30" s="9"/>
      <c r="J30" s="9"/>
    </row>
    <row r="31" spans="2:10" x14ac:dyDescent="0.3">
      <c r="F31" s="8" t="s">
        <v>26</v>
      </c>
      <c r="G31" s="9">
        <f>G29/(1-(C9/100))</f>
        <v>2.7083333333333338E-2</v>
      </c>
      <c r="H31" s="9">
        <f>G31*100</f>
        <v>2.7083333333333339</v>
      </c>
      <c r="I31" s="9"/>
      <c r="J31" s="9"/>
    </row>
    <row r="32" spans="2:10" x14ac:dyDescent="0.3">
      <c r="B32" s="6" t="s">
        <v>27</v>
      </c>
      <c r="H32" s="9"/>
      <c r="I32" s="9"/>
      <c r="J32" s="9"/>
    </row>
    <row r="33" spans="2:10" x14ac:dyDescent="0.3">
      <c r="F33" s="8" t="s">
        <v>28</v>
      </c>
      <c r="G33" s="14">
        <f>(G29/(H31*(1-C13/100)))+C9/100</f>
        <v>5.0105263157894736E-2</v>
      </c>
      <c r="H33" s="12">
        <f>G33*100</f>
        <v>5.0105263157894733</v>
      </c>
      <c r="I33" s="9"/>
      <c r="J33" s="9"/>
    </row>
    <row r="34" spans="2:10" x14ac:dyDescent="0.3">
      <c r="B34" s="6" t="s">
        <v>29</v>
      </c>
      <c r="H34" s="9"/>
      <c r="I34" s="9"/>
      <c r="J34" s="9"/>
    </row>
    <row r="35" spans="2:10" x14ac:dyDescent="0.3">
      <c r="F35" s="8" t="s">
        <v>30</v>
      </c>
      <c r="G35" s="12">
        <f>C12*(1-0.2)/(1-G33)</f>
        <v>17.686170212765958</v>
      </c>
      <c r="H35" s="9"/>
      <c r="I35" s="9"/>
      <c r="J35" s="9"/>
    </row>
    <row r="36" spans="2:10" x14ac:dyDescent="0.3">
      <c r="H36" s="9"/>
      <c r="I36" s="9"/>
      <c r="J36" s="9"/>
    </row>
    <row r="37" spans="2:10" x14ac:dyDescent="0.3">
      <c r="F37" s="8" t="s">
        <v>31</v>
      </c>
      <c r="G37" s="9">
        <f>C15/C14*100</f>
        <v>10</v>
      </c>
      <c r="H37" s="9"/>
      <c r="I37" s="9"/>
      <c r="J37" s="9"/>
    </row>
    <row r="38" spans="2:10" x14ac:dyDescent="0.3">
      <c r="B38" s="6" t="s">
        <v>32</v>
      </c>
      <c r="H38" s="9"/>
      <c r="I38" s="9"/>
      <c r="J38" s="9"/>
    </row>
    <row r="39" spans="2:10" x14ac:dyDescent="0.3">
      <c r="F39" s="6">
        <f>$C$15/POWER((1+$C$16/100),1)</f>
        <v>18.803418803418804</v>
      </c>
      <c r="G39" s="9">
        <f>$C$15/POWER((1+$C$16/100),2)</f>
        <v>16.071298122580178</v>
      </c>
      <c r="H39" s="9">
        <f>$C$15/POWER((1+$C$16/100),3)</f>
        <v>13.736152241521518</v>
      </c>
      <c r="I39" s="9">
        <f>$C$15/POWER((1+$C$16/100),4)</f>
        <v>11.740301061129504</v>
      </c>
      <c r="J39" s="9">
        <f>$C$14/POWER((1+$C$16/100),$C$17)</f>
        <v>160.71298122580177</v>
      </c>
    </row>
    <row r="40" spans="2:10" x14ac:dyDescent="0.3">
      <c r="H40" s="9"/>
      <c r="I40" s="9"/>
      <c r="J40" s="9"/>
    </row>
    <row r="41" spans="2:10" x14ac:dyDescent="0.3">
      <c r="F41" s="8" t="s">
        <v>33</v>
      </c>
      <c r="G41" s="9">
        <f>SUM(F39,G39,J39)</f>
        <v>195.58769815180074</v>
      </c>
      <c r="H41" s="9"/>
      <c r="I41" s="9"/>
      <c r="J41" s="9"/>
    </row>
    <row r="42" spans="2:10" x14ac:dyDescent="0.3">
      <c r="B42" s="6" t="s">
        <v>34</v>
      </c>
      <c r="H42" s="9"/>
      <c r="I42" s="9"/>
      <c r="J42" s="9"/>
    </row>
    <row r="43" spans="2:10" x14ac:dyDescent="0.3">
      <c r="G43" s="9">
        <f>C14-G41</f>
        <v>24.412301848199263</v>
      </c>
      <c r="H43" s="9"/>
      <c r="I43" s="9"/>
      <c r="J43" s="9"/>
    </row>
    <row r="44" spans="2:10" x14ac:dyDescent="0.3">
      <c r="B44" s="6" t="s">
        <v>35</v>
      </c>
      <c r="H44" s="9"/>
      <c r="I44" s="9"/>
      <c r="J44" s="9"/>
    </row>
    <row r="45" spans="2:10" x14ac:dyDescent="0.3">
      <c r="G45" s="9">
        <f>G43/C14</f>
        <v>0.11096500840090574</v>
      </c>
      <c r="H45" s="9"/>
      <c r="I45" s="9"/>
      <c r="J45" s="9"/>
    </row>
    <row r="46" spans="2:10" x14ac:dyDescent="0.3">
      <c r="B46" s="6" t="s">
        <v>36</v>
      </c>
      <c r="H46" s="9"/>
      <c r="I46" s="9"/>
      <c r="J46" s="9"/>
    </row>
    <row r="47" spans="2:10" x14ac:dyDescent="0.3">
      <c r="F47" s="8" t="s">
        <v>37</v>
      </c>
      <c r="G47" s="12">
        <f>10*(1-0.2)/(1-G45)</f>
        <v>8.9985209531635153</v>
      </c>
      <c r="H47" s="9"/>
      <c r="I47" s="9"/>
      <c r="J47" s="9"/>
    </row>
    <row r="50" spans="6:11" x14ac:dyDescent="0.3">
      <c r="G50" s="19" t="s">
        <v>47</v>
      </c>
      <c r="H50" s="20"/>
      <c r="I50" s="20" t="s">
        <v>46</v>
      </c>
      <c r="J50" s="20"/>
      <c r="K50" s="21" t="s">
        <v>45</v>
      </c>
    </row>
    <row r="51" spans="6:11" x14ac:dyDescent="0.3">
      <c r="F51" s="8" t="s">
        <v>39</v>
      </c>
      <c r="G51" s="9">
        <f>I51*100/$I$56</f>
        <v>39.820810051835032</v>
      </c>
      <c r="I51" s="9">
        <f>G20</f>
        <v>21.945945945945947</v>
      </c>
      <c r="K51" s="11">
        <f>G51/100*I51/100</f>
        <v>8.7390534492135269E-2</v>
      </c>
    </row>
    <row r="52" spans="6:11" x14ac:dyDescent="0.3">
      <c r="F52" s="8" t="s">
        <v>40</v>
      </c>
      <c r="G52" s="9">
        <f>I52*100/$I$56</f>
        <v>2.668375057805521</v>
      </c>
      <c r="I52" s="9">
        <f>G27</f>
        <v>1.4705882352941178</v>
      </c>
      <c r="K52" s="11">
        <f>G52/100*I52/100</f>
        <v>3.9240809673610607E-4</v>
      </c>
    </row>
    <row r="53" spans="6:11" x14ac:dyDescent="0.3">
      <c r="F53" s="8" t="s">
        <v>41</v>
      </c>
      <c r="G53" s="9">
        <f>I53*100/$I$56</f>
        <v>9.0915751443209576</v>
      </c>
      <c r="I53" s="9">
        <f>H33</f>
        <v>5.0105263157894733</v>
      </c>
      <c r="K53" s="11">
        <f>G53/100*I53/100</f>
        <v>4.5553576512597635E-3</v>
      </c>
    </row>
    <row r="54" spans="6:11" x14ac:dyDescent="0.3">
      <c r="F54" s="8" t="s">
        <v>42</v>
      </c>
      <c r="G54" s="9">
        <f>I54*100/$I$56</f>
        <v>32.091468115416397</v>
      </c>
      <c r="I54" s="9">
        <f>G35</f>
        <v>17.686170212765958</v>
      </c>
      <c r="K54" s="11">
        <f t="shared" ref="K53:K55" si="0">G54/100*I54/100</f>
        <v>5.67575167466806E-2</v>
      </c>
    </row>
    <row r="55" spans="6:11" x14ac:dyDescent="0.3">
      <c r="F55" s="8" t="s">
        <v>43</v>
      </c>
      <c r="G55" s="9">
        <f>I55*100/$I$56</f>
        <v>16.327771630622081</v>
      </c>
      <c r="I55" s="9">
        <f>G47</f>
        <v>8.9985209531635153</v>
      </c>
      <c r="K55" s="11">
        <f>G55/100*I55/100</f>
        <v>1.4692579513662162E-2</v>
      </c>
    </row>
    <row r="56" spans="6:11" x14ac:dyDescent="0.3">
      <c r="F56" s="6" t="s">
        <v>38</v>
      </c>
      <c r="G56" s="9">
        <f>SUM(G51:G55)</f>
        <v>99.999999999999986</v>
      </c>
      <c r="I56" s="17">
        <f>SUM(I51:I55)</f>
        <v>55.111751662959016</v>
      </c>
      <c r="K56" s="18">
        <f>SUM(K51:K55)</f>
        <v>0.16378839650047389</v>
      </c>
    </row>
    <row r="58" spans="6:11" x14ac:dyDescent="0.3">
      <c r="F58" s="8" t="s">
        <v>44</v>
      </c>
      <c r="G58" s="13">
        <f>K56*100</f>
        <v>16.378839650047389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tabSelected="1" topLeftCell="A21" workbookViewId="0">
      <selection activeCell="H61" sqref="H61"/>
    </sheetView>
  </sheetViews>
  <sheetFormatPr defaultRowHeight="18.75" x14ac:dyDescent="0.3"/>
  <cols>
    <col min="1" max="1" width="9.140625" style="6"/>
    <col min="2" max="2" width="46" style="6" bestFit="1" customWidth="1"/>
    <col min="3" max="3" width="11.85546875" style="6" bestFit="1" customWidth="1"/>
    <col min="4" max="5" width="9.140625" style="6"/>
    <col min="6" max="6" width="9.140625" style="8"/>
    <col min="7" max="7" width="11" style="9" bestFit="1" customWidth="1"/>
    <col min="8" max="10" width="9.140625" style="6"/>
    <col min="11" max="11" width="9.7109375" style="6" bestFit="1" customWidth="1"/>
    <col min="12" max="16384" width="9.140625" style="6"/>
  </cols>
  <sheetData>
    <row r="1" spans="2:3" ht="19.5" thickBot="1" x14ac:dyDescent="0.35">
      <c r="B1" s="1" t="s">
        <v>0</v>
      </c>
      <c r="C1" s="2" t="s">
        <v>1</v>
      </c>
    </row>
    <row r="2" spans="2:3" ht="38.25" thickBot="1" x14ac:dyDescent="0.35">
      <c r="B2" s="3" t="s">
        <v>2</v>
      </c>
      <c r="C2" s="1">
        <v>164</v>
      </c>
    </row>
    <row r="3" spans="2:3" ht="38.25" thickBot="1" x14ac:dyDescent="0.35">
      <c r="B3" s="3" t="s">
        <v>3</v>
      </c>
      <c r="C3" s="15">
        <v>642.4</v>
      </c>
    </row>
    <row r="4" spans="2:3" ht="38.25" thickBot="1" x14ac:dyDescent="0.35">
      <c r="B4" s="3" t="s">
        <v>4</v>
      </c>
      <c r="C4" s="15">
        <v>754.4</v>
      </c>
    </row>
    <row r="5" spans="2:3" ht="38.25" thickBot="1" x14ac:dyDescent="0.35">
      <c r="B5" s="3" t="s">
        <v>5</v>
      </c>
      <c r="C5" s="15">
        <v>76</v>
      </c>
    </row>
    <row r="6" spans="2:3" ht="38.25" thickBot="1" x14ac:dyDescent="0.35">
      <c r="B6" s="3" t="s">
        <v>6</v>
      </c>
      <c r="C6" s="15">
        <v>12</v>
      </c>
    </row>
    <row r="7" spans="2:3" ht="38.25" thickBot="1" x14ac:dyDescent="0.35">
      <c r="B7" s="3" t="s">
        <v>7</v>
      </c>
      <c r="C7" s="15">
        <v>1.44</v>
      </c>
    </row>
    <row r="8" spans="2:3" ht="38.25" thickBot="1" x14ac:dyDescent="0.35">
      <c r="B8" s="3" t="s">
        <v>8</v>
      </c>
      <c r="C8" s="15">
        <v>15</v>
      </c>
    </row>
    <row r="9" spans="2:3" ht="19.5" thickBot="1" x14ac:dyDescent="0.35">
      <c r="B9" s="3" t="s">
        <v>9</v>
      </c>
      <c r="C9" s="15">
        <v>4</v>
      </c>
    </row>
    <row r="10" spans="2:3" ht="38.25" thickBot="1" x14ac:dyDescent="0.35">
      <c r="B10" s="3" t="s">
        <v>10</v>
      </c>
      <c r="C10" s="15">
        <v>76</v>
      </c>
    </row>
    <row r="11" spans="2:3" ht="19.5" thickBot="1" x14ac:dyDescent="0.35">
      <c r="B11" s="3" t="s">
        <v>11</v>
      </c>
      <c r="C11" s="15">
        <v>4</v>
      </c>
    </row>
    <row r="12" spans="2:3" ht="38.25" thickBot="1" x14ac:dyDescent="0.35">
      <c r="B12" s="3" t="s">
        <v>12</v>
      </c>
      <c r="C12" s="15">
        <v>24</v>
      </c>
    </row>
    <row r="13" spans="2:3" ht="38.25" thickBot="1" x14ac:dyDescent="0.35">
      <c r="B13" s="3" t="s">
        <v>13</v>
      </c>
      <c r="C13" s="15">
        <v>3.2</v>
      </c>
    </row>
    <row r="14" spans="2:3" ht="38.25" thickBot="1" x14ac:dyDescent="0.35">
      <c r="B14" s="3" t="s">
        <v>14</v>
      </c>
      <c r="C14" s="15">
        <v>168</v>
      </c>
    </row>
    <row r="15" spans="2:3" ht="38.25" thickBot="1" x14ac:dyDescent="0.35">
      <c r="B15" s="3" t="s">
        <v>15</v>
      </c>
      <c r="C15" s="15">
        <v>16.8</v>
      </c>
    </row>
    <row r="16" spans="2:3" ht="38.25" thickBot="1" x14ac:dyDescent="0.35">
      <c r="B16" s="3" t="s">
        <v>16</v>
      </c>
      <c r="C16" s="15">
        <v>23</v>
      </c>
    </row>
    <row r="17" spans="2:10" ht="19.5" thickBot="1" x14ac:dyDescent="0.35">
      <c r="B17" s="3" t="s">
        <v>17</v>
      </c>
      <c r="C17" s="15">
        <v>4</v>
      </c>
    </row>
    <row r="19" spans="2:10" x14ac:dyDescent="0.3">
      <c r="B19" s="5" t="s">
        <v>19</v>
      </c>
      <c r="C19" s="5"/>
      <c r="D19" s="5"/>
      <c r="E19" s="5"/>
      <c r="F19" s="7"/>
      <c r="G19" s="10"/>
      <c r="H19" s="5"/>
      <c r="I19" s="5"/>
      <c r="J19" s="5"/>
    </row>
    <row r="20" spans="2:10" x14ac:dyDescent="0.3">
      <c r="F20" s="8" t="s">
        <v>18</v>
      </c>
      <c r="G20" s="16">
        <f>C2/((C3+C4)/2)*100</f>
        <v>23.482245131729666</v>
      </c>
    </row>
    <row r="22" spans="2:10" x14ac:dyDescent="0.3">
      <c r="B22" s="6" t="s">
        <v>20</v>
      </c>
    </row>
    <row r="23" spans="2:10" x14ac:dyDescent="0.3">
      <c r="F23" s="8" t="s">
        <v>21</v>
      </c>
      <c r="G23" s="9">
        <f>C6*1000*C8/100</f>
        <v>1800</v>
      </c>
    </row>
    <row r="24" spans="2:10" x14ac:dyDescent="0.3">
      <c r="B24" s="6" t="s">
        <v>24</v>
      </c>
    </row>
    <row r="25" spans="2:10" x14ac:dyDescent="0.3">
      <c r="F25" s="8" t="s">
        <v>23</v>
      </c>
      <c r="G25" s="9">
        <f>G23/(C10*1000)</f>
        <v>2.368421052631579E-2</v>
      </c>
    </row>
    <row r="27" spans="2:10" x14ac:dyDescent="0.3">
      <c r="F27" s="8" t="s">
        <v>22</v>
      </c>
      <c r="G27" s="16">
        <f>(G25/C7)*100</f>
        <v>1.6447368421052635</v>
      </c>
    </row>
    <row r="28" spans="2:10" x14ac:dyDescent="0.3">
      <c r="B28" s="6" t="s">
        <v>25</v>
      </c>
    </row>
    <row r="29" spans="2:10" x14ac:dyDescent="0.3">
      <c r="F29" s="8" t="s">
        <v>21</v>
      </c>
      <c r="G29" s="9">
        <f>G25*(C9/100+1)</f>
        <v>2.4631578947368421E-2</v>
      </c>
    </row>
    <row r="31" spans="2:10" x14ac:dyDescent="0.3">
      <c r="F31" s="8" t="s">
        <v>26</v>
      </c>
      <c r="G31" s="9">
        <f>G29/(1-(C9/100))</f>
        <v>2.5657894736842105E-2</v>
      </c>
      <c r="H31" s="6">
        <f>G31*100</f>
        <v>2.5657894736842106</v>
      </c>
    </row>
    <row r="32" spans="2:10" x14ac:dyDescent="0.3">
      <c r="B32" s="6" t="s">
        <v>27</v>
      </c>
    </row>
    <row r="33" spans="2:10" x14ac:dyDescent="0.3">
      <c r="F33" s="8" t="s">
        <v>28</v>
      </c>
      <c r="G33" s="14">
        <f>(G29/(H31*(1-C13/100)))+C9/100</f>
        <v>4.9917355371900826E-2</v>
      </c>
      <c r="H33" s="16">
        <f>G33*100</f>
        <v>4.9917355371900829</v>
      </c>
    </row>
    <row r="34" spans="2:10" x14ac:dyDescent="0.3">
      <c r="B34" s="6" t="s">
        <v>29</v>
      </c>
    </row>
    <row r="35" spans="2:10" x14ac:dyDescent="0.3">
      <c r="F35" s="8" t="s">
        <v>30</v>
      </c>
      <c r="G35" s="16">
        <f>C12*(1-0.2)/(1-G33)</f>
        <v>20.208768267223384</v>
      </c>
    </row>
    <row r="37" spans="2:10" x14ac:dyDescent="0.3">
      <c r="F37" s="8" t="s">
        <v>31</v>
      </c>
      <c r="G37" s="9">
        <f>C15/C14*100</f>
        <v>10</v>
      </c>
    </row>
    <row r="38" spans="2:10" x14ac:dyDescent="0.3">
      <c r="B38" s="6" t="s">
        <v>32</v>
      </c>
    </row>
    <row r="39" spans="2:10" x14ac:dyDescent="0.3">
      <c r="F39" s="9">
        <f>$C$15/POWER((1+$C$16/100),1)</f>
        <v>13.658536585365855</v>
      </c>
      <c r="G39" s="9">
        <f>$C$15/POWER((1+$C$16/100),2)</f>
        <v>11.10450128891533</v>
      </c>
      <c r="H39" s="9">
        <f>$C$15/POWER((1+$C$16/100),3)</f>
        <v>9.0280498283864468</v>
      </c>
      <c r="I39" s="9">
        <f>$C$15/POWER((1+$C$16/100),4)</f>
        <v>7.3398779092572735</v>
      </c>
      <c r="J39" s="9">
        <f>$C$14/POWER((1+$C$16/100),$C$17)</f>
        <v>73.398779092572738</v>
      </c>
    </row>
    <row r="41" spans="2:10" x14ac:dyDescent="0.3">
      <c r="F41" s="8" t="s">
        <v>33</v>
      </c>
      <c r="G41" s="9">
        <f>SUM(F39:I39,J39)</f>
        <v>114.52974470449765</v>
      </c>
    </row>
    <row r="42" spans="2:10" x14ac:dyDescent="0.3">
      <c r="B42" s="6" t="s">
        <v>34</v>
      </c>
    </row>
    <row r="43" spans="2:10" x14ac:dyDescent="0.3">
      <c r="G43" s="9">
        <f>C14-G41</f>
        <v>53.470255295502355</v>
      </c>
    </row>
    <row r="44" spans="2:10" x14ac:dyDescent="0.3">
      <c r="B44" s="6" t="s">
        <v>35</v>
      </c>
    </row>
    <row r="45" spans="2:10" x14ac:dyDescent="0.3">
      <c r="G45" s="9">
        <f>G43/C14</f>
        <v>0.31827532913989498</v>
      </c>
    </row>
    <row r="46" spans="2:10" x14ac:dyDescent="0.3">
      <c r="B46" s="6" t="s">
        <v>36</v>
      </c>
    </row>
    <row r="47" spans="2:10" x14ac:dyDescent="0.3">
      <c r="F47" s="8" t="s">
        <v>37</v>
      </c>
      <c r="G47" s="16">
        <f>10*(1-0.2)/(1-G45)</f>
        <v>11.734942773754566</v>
      </c>
    </row>
    <row r="49" spans="6:11" x14ac:dyDescent="0.3">
      <c r="F49" s="6"/>
    </row>
    <row r="50" spans="6:11" x14ac:dyDescent="0.3">
      <c r="G50" s="19" t="s">
        <v>47</v>
      </c>
      <c r="H50" s="20"/>
      <c r="I50" s="20" t="s">
        <v>46</v>
      </c>
      <c r="J50" s="20"/>
      <c r="K50" s="21" t="s">
        <v>45</v>
      </c>
    </row>
    <row r="51" spans="6:11" x14ac:dyDescent="0.3">
      <c r="F51" s="8" t="s">
        <v>39</v>
      </c>
      <c r="G51" s="9">
        <f>I51*100/$I$56</f>
        <v>37.836490900535047</v>
      </c>
      <c r="I51" s="9">
        <f>G20</f>
        <v>23.482245131729666</v>
      </c>
      <c r="K51" s="11">
        <f>G51/100*I51/100</f>
        <v>8.8848575425082288E-2</v>
      </c>
    </row>
    <row r="52" spans="6:11" x14ac:dyDescent="0.3">
      <c r="F52" s="8" t="s">
        <v>40</v>
      </c>
      <c r="G52" s="9">
        <f>I52*100/$I$56</f>
        <v>2.6501329072662956</v>
      </c>
      <c r="I52" s="9">
        <f>G27</f>
        <v>1.6447368421052635</v>
      </c>
      <c r="K52" s="11">
        <f>G52/100*I52/100</f>
        <v>4.3587712290564078E-4</v>
      </c>
    </row>
    <row r="53" spans="6:11" x14ac:dyDescent="0.3">
      <c r="F53" s="8" t="s">
        <v>41</v>
      </c>
      <c r="G53" s="9">
        <f>I53*100/$I$56</f>
        <v>8.0430876677786447</v>
      </c>
      <c r="I53" s="9">
        <f>H33</f>
        <v>4.9917355371900829</v>
      </c>
      <c r="K53" s="11">
        <f>G53/100*I53/100</f>
        <v>4.0148966539985962E-3</v>
      </c>
    </row>
    <row r="54" spans="6:11" x14ac:dyDescent="0.3">
      <c r="F54" s="8" t="s">
        <v>42</v>
      </c>
      <c r="G54" s="9">
        <f>I54*100/$I$56</f>
        <v>32.562000454574829</v>
      </c>
      <c r="I54" s="9">
        <f>G35</f>
        <v>20.208768267223384</v>
      </c>
      <c r="K54" s="11">
        <f t="shared" ref="K54:K56" si="0">G54/100*I54/100</f>
        <v>6.580379215037252E-2</v>
      </c>
    </row>
    <row r="55" spans="6:11" x14ac:dyDescent="0.3">
      <c r="F55" s="8" t="s">
        <v>43</v>
      </c>
      <c r="G55" s="9">
        <f>I55*100/$I$56</f>
        <v>18.908288069845185</v>
      </c>
      <c r="I55" s="9">
        <f>G47</f>
        <v>11.734942773754566</v>
      </c>
      <c r="K55" s="11">
        <f>G55/100*I55/100</f>
        <v>2.218876784492994E-2</v>
      </c>
    </row>
    <row r="56" spans="6:11" x14ac:dyDescent="0.3">
      <c r="F56" s="6" t="s">
        <v>38</v>
      </c>
      <c r="G56" s="9">
        <f>SUM(G51:G55)</f>
        <v>100</v>
      </c>
      <c r="I56" s="17">
        <f>SUM(I51:I55)</f>
        <v>62.062428552002963</v>
      </c>
      <c r="K56" s="11">
        <f>SUM(K51:K55)</f>
        <v>0.18129190919728896</v>
      </c>
    </row>
    <row r="57" spans="6:11" x14ac:dyDescent="0.3">
      <c r="K57" s="11"/>
    </row>
    <row r="58" spans="6:11" x14ac:dyDescent="0.3">
      <c r="F58" s="8" t="s">
        <v>44</v>
      </c>
      <c r="G58" s="22">
        <f>K56*100</f>
        <v>18.129190919728895</v>
      </c>
      <c r="K58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 вариант</vt:lpstr>
      <vt:lpstr>27 вариант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2020-04-11T14:28:53Z</dcterms:modified>
</cp:coreProperties>
</file>