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72" windowWidth="10500" windowHeight="9288" activeTab="3"/>
  </bookViews>
  <sheets>
    <sheet name="Пример 1" sheetId="1" r:id="rId1"/>
    <sheet name="Задача 1" sheetId="4" r:id="rId2"/>
    <sheet name="Задача 2" sheetId="5" r:id="rId3"/>
    <sheet name="Задача 3" sheetId="6" r:id="rId4"/>
  </sheets>
  <calcPr calcId="144525"/>
</workbook>
</file>

<file path=xl/calcChain.xml><?xml version="1.0" encoding="utf-8"?>
<calcChain xmlns="http://schemas.openxmlformats.org/spreadsheetml/2006/main">
  <c r="C45" i="6" l="1"/>
  <c r="D45" i="6"/>
  <c r="E45" i="6"/>
  <c r="F45" i="6"/>
  <c r="F33" i="6"/>
  <c r="F34" i="6"/>
  <c r="F35" i="6"/>
  <c r="F36" i="6"/>
  <c r="F37" i="6"/>
  <c r="F38" i="6"/>
  <c r="F39" i="6"/>
  <c r="F40" i="6"/>
  <c r="F41" i="6"/>
  <c r="F42" i="6"/>
  <c r="F43" i="6"/>
  <c r="F44" i="6"/>
  <c r="D41" i="6"/>
  <c r="D42" i="6"/>
  <c r="D43" i="6"/>
  <c r="D44" i="6"/>
  <c r="D40" i="6"/>
  <c r="D39" i="6"/>
  <c r="D38" i="6"/>
  <c r="D37" i="6"/>
  <c r="D36" i="6"/>
  <c r="D35" i="6"/>
  <c r="D34" i="6"/>
  <c r="D33" i="6"/>
  <c r="F32" i="6"/>
  <c r="D32" i="6"/>
  <c r="B30" i="6"/>
  <c r="C28" i="6"/>
  <c r="E28" i="6"/>
  <c r="F19" i="6"/>
  <c r="F20" i="6"/>
  <c r="F21" i="6"/>
  <c r="F22" i="6"/>
  <c r="F23" i="6"/>
  <c r="F24" i="6"/>
  <c r="F25" i="6"/>
  <c r="F26" i="6"/>
  <c r="F27" i="6"/>
  <c r="F18" i="6"/>
  <c r="D19" i="6"/>
  <c r="D20" i="6"/>
  <c r="D21" i="6"/>
  <c r="D22" i="6"/>
  <c r="D23" i="6"/>
  <c r="D24" i="6"/>
  <c r="D25" i="6"/>
  <c r="D26" i="6"/>
  <c r="D27" i="6"/>
  <c r="D18" i="6"/>
  <c r="B15" i="6"/>
  <c r="B21" i="6"/>
  <c r="B19" i="6"/>
  <c r="B18" i="6"/>
  <c r="I7" i="6" s="1"/>
  <c r="L7" i="6" s="1"/>
  <c r="B17" i="6"/>
  <c r="B16" i="6"/>
  <c r="F28" i="6" l="1"/>
  <c r="D28" i="6"/>
  <c r="I14" i="6"/>
  <c r="L14" i="6" s="1"/>
  <c r="I13" i="6"/>
  <c r="I9" i="6"/>
  <c r="L9" i="6" s="1"/>
  <c r="I5" i="6"/>
  <c r="L5" i="6" s="1"/>
  <c r="I10" i="6"/>
  <c r="L10" i="6" s="1"/>
  <c r="I6" i="6"/>
  <c r="L6" i="6" s="1"/>
  <c r="I12" i="6"/>
  <c r="L12" i="6" s="1"/>
  <c r="I8" i="6"/>
  <c r="L8" i="6" s="1"/>
  <c r="I4" i="6"/>
  <c r="L4" i="6" s="1"/>
  <c r="I11" i="6"/>
  <c r="L11" i="6" s="1"/>
  <c r="J3" i="6"/>
  <c r="M3" i="6" s="1"/>
  <c r="J4" i="6"/>
  <c r="M4" i="6" s="1"/>
  <c r="J8" i="6"/>
  <c r="M8" i="6" s="1"/>
  <c r="J12" i="6"/>
  <c r="M12" i="6" s="1"/>
  <c r="J9" i="6"/>
  <c r="J5" i="6"/>
  <c r="J6" i="6"/>
  <c r="M6" i="6" s="1"/>
  <c r="J10" i="6"/>
  <c r="M10" i="6" s="1"/>
  <c r="J7" i="6"/>
  <c r="J11" i="6"/>
  <c r="B20" i="6"/>
  <c r="D2" i="6"/>
  <c r="G2" i="6" s="1"/>
  <c r="D5" i="6"/>
  <c r="G5" i="6" s="1"/>
  <c r="D7" i="6"/>
  <c r="G7" i="6" s="1"/>
  <c r="D13" i="6"/>
  <c r="G13" i="6" s="1"/>
  <c r="D4" i="6"/>
  <c r="G4" i="6" s="1"/>
  <c r="C4" i="6"/>
  <c r="F4" i="6" s="1"/>
  <c r="C85" i="5"/>
  <c r="C84" i="5"/>
  <c r="D79" i="5"/>
  <c r="D81" i="5"/>
  <c r="B81" i="5"/>
  <c r="B80" i="5"/>
  <c r="D80" i="5"/>
  <c r="B79" i="5"/>
  <c r="K5" i="6" l="1"/>
  <c r="K9" i="6"/>
  <c r="K13" i="6"/>
  <c r="L13" i="6"/>
  <c r="L15" i="6" s="1"/>
  <c r="K11" i="6"/>
  <c r="P5" i="6"/>
  <c r="S5" i="6" s="1"/>
  <c r="P6" i="6"/>
  <c r="S6" i="6" s="1"/>
  <c r="P10" i="6"/>
  <c r="S10" i="6" s="1"/>
  <c r="P7" i="6"/>
  <c r="S7" i="6" s="1"/>
  <c r="P11" i="6"/>
  <c r="S11" i="6" s="1"/>
  <c r="P4" i="6"/>
  <c r="S4" i="6" s="1"/>
  <c r="P8" i="6"/>
  <c r="S8" i="6" s="1"/>
  <c r="P9" i="6"/>
  <c r="S9" i="6" s="1"/>
  <c r="K8" i="6"/>
  <c r="M7" i="6"/>
  <c r="M9" i="6"/>
  <c r="K10" i="6"/>
  <c r="K7" i="6"/>
  <c r="O7" i="6"/>
  <c r="O11" i="6"/>
  <c r="O8" i="6"/>
  <c r="O12" i="6"/>
  <c r="O5" i="6"/>
  <c r="O9" i="6"/>
  <c r="O6" i="6"/>
  <c r="O10" i="6"/>
  <c r="K4" i="6"/>
  <c r="M11" i="6"/>
  <c r="K12" i="6"/>
  <c r="K6" i="6"/>
  <c r="M5" i="6"/>
  <c r="C14" i="6"/>
  <c r="C6" i="6"/>
  <c r="D10" i="6"/>
  <c r="G10" i="6" s="1"/>
  <c r="C11" i="6"/>
  <c r="C3" i="6"/>
  <c r="E3" i="6" s="1"/>
  <c r="D9" i="6"/>
  <c r="G9" i="6" s="1"/>
  <c r="D3" i="6"/>
  <c r="G3" i="6" s="1"/>
  <c r="C10" i="6"/>
  <c r="C7" i="6"/>
  <c r="D11" i="6"/>
  <c r="G11" i="6" s="1"/>
  <c r="D6" i="6"/>
  <c r="G6" i="6" s="1"/>
  <c r="C13" i="6"/>
  <c r="C9" i="6"/>
  <c r="C5" i="6"/>
  <c r="C12" i="6"/>
  <c r="C8" i="6"/>
  <c r="D12" i="6"/>
  <c r="G12" i="6" s="1"/>
  <c r="D8" i="6"/>
  <c r="G8" i="6" s="1"/>
  <c r="C75" i="5"/>
  <c r="C46" i="5"/>
  <c r="C47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3" i="5"/>
  <c r="I3" i="5" s="1"/>
  <c r="C19" i="5"/>
  <c r="C48" i="5" s="1"/>
  <c r="C71" i="5" s="1"/>
  <c r="C29" i="5"/>
  <c r="N6" i="5" s="1"/>
  <c r="C28" i="5"/>
  <c r="M7" i="5" s="1"/>
  <c r="T7" i="5" s="1"/>
  <c r="C27" i="5"/>
  <c r="O6" i="5" s="1"/>
  <c r="G18" i="5"/>
  <c r="F18" i="5"/>
  <c r="E18" i="5"/>
  <c r="S15" i="6" l="1"/>
  <c r="M15" i="6"/>
  <c r="K15" i="6"/>
  <c r="B27" i="6" s="1"/>
  <c r="R10" i="6"/>
  <c r="Q9" i="6"/>
  <c r="R5" i="6"/>
  <c r="Q4" i="6"/>
  <c r="R7" i="6"/>
  <c r="Q6" i="6"/>
  <c r="R6" i="6"/>
  <c r="Q5" i="6"/>
  <c r="Q11" i="6"/>
  <c r="R12" i="6"/>
  <c r="Q7" i="6"/>
  <c r="R8" i="6"/>
  <c r="Q8" i="6"/>
  <c r="R9" i="6"/>
  <c r="R11" i="6"/>
  <c r="Q10" i="6"/>
  <c r="G15" i="6"/>
  <c r="E4" i="6"/>
  <c r="F5" i="6"/>
  <c r="E5" i="6"/>
  <c r="F11" i="6"/>
  <c r="E11" i="6"/>
  <c r="F14" i="6"/>
  <c r="E14" i="6"/>
  <c r="F9" i="6"/>
  <c r="E9" i="6"/>
  <c r="F8" i="6"/>
  <c r="E8" i="6"/>
  <c r="F13" i="6"/>
  <c r="E13" i="6"/>
  <c r="F7" i="6"/>
  <c r="E7" i="6"/>
  <c r="F12" i="6"/>
  <c r="E12" i="6"/>
  <c r="F10" i="6"/>
  <c r="E10" i="6"/>
  <c r="F3" i="6"/>
  <c r="F6" i="6"/>
  <c r="E6" i="6"/>
  <c r="I18" i="5"/>
  <c r="C53" i="5" s="1"/>
  <c r="C55" i="5" s="1"/>
  <c r="J14" i="5"/>
  <c r="J6" i="5"/>
  <c r="K13" i="5"/>
  <c r="K5" i="5"/>
  <c r="N15" i="5"/>
  <c r="U15" i="5" s="1"/>
  <c r="J12" i="5"/>
  <c r="J4" i="5"/>
  <c r="K11" i="5"/>
  <c r="J3" i="5"/>
  <c r="J10" i="5"/>
  <c r="K17" i="5"/>
  <c r="K9" i="5"/>
  <c r="J16" i="5"/>
  <c r="J8" i="5"/>
  <c r="K15" i="5"/>
  <c r="K7" i="5"/>
  <c r="J17" i="5"/>
  <c r="J13" i="5"/>
  <c r="J9" i="5"/>
  <c r="J5" i="5"/>
  <c r="K16" i="5"/>
  <c r="K12" i="5"/>
  <c r="K8" i="5"/>
  <c r="K4" i="5"/>
  <c r="J15" i="5"/>
  <c r="J11" i="5"/>
  <c r="J7" i="5"/>
  <c r="K3" i="5"/>
  <c r="K14" i="5"/>
  <c r="K10" i="5"/>
  <c r="K6" i="5"/>
  <c r="N12" i="5"/>
  <c r="U12" i="5" s="1"/>
  <c r="N11" i="5"/>
  <c r="U11" i="5" s="1"/>
  <c r="N16" i="5"/>
  <c r="U16" i="5" s="1"/>
  <c r="N8" i="5"/>
  <c r="U8" i="5" s="1"/>
  <c r="R6" i="5"/>
  <c r="U6" i="5"/>
  <c r="P17" i="5"/>
  <c r="P13" i="5"/>
  <c r="P9" i="5"/>
  <c r="P5" i="5"/>
  <c r="N17" i="5"/>
  <c r="N13" i="5"/>
  <c r="N9" i="5"/>
  <c r="N5" i="5"/>
  <c r="P16" i="5"/>
  <c r="P12" i="5"/>
  <c r="P8" i="5"/>
  <c r="P4" i="5"/>
  <c r="N4" i="5"/>
  <c r="P15" i="5"/>
  <c r="P7" i="5"/>
  <c r="N7" i="5"/>
  <c r="S7" i="5" s="1"/>
  <c r="P11" i="5"/>
  <c r="P3" i="5"/>
  <c r="P14" i="5"/>
  <c r="P10" i="5"/>
  <c r="P6" i="5"/>
  <c r="N3" i="5"/>
  <c r="N14" i="5"/>
  <c r="N10" i="5"/>
  <c r="M3" i="5"/>
  <c r="M10" i="5"/>
  <c r="O17" i="5"/>
  <c r="O9" i="5"/>
  <c r="M17" i="5"/>
  <c r="S17" i="5" s="1"/>
  <c r="M9" i="5"/>
  <c r="O16" i="5"/>
  <c r="O8" i="5"/>
  <c r="M14" i="5"/>
  <c r="M6" i="5"/>
  <c r="Q6" i="5" s="1"/>
  <c r="O13" i="5"/>
  <c r="O5" i="5"/>
  <c r="M13" i="5"/>
  <c r="M5" i="5"/>
  <c r="O12" i="5"/>
  <c r="R12" i="5" s="1"/>
  <c r="O4" i="5"/>
  <c r="M16" i="5"/>
  <c r="M12" i="5"/>
  <c r="M8" i="5"/>
  <c r="M4" i="5"/>
  <c r="O15" i="5"/>
  <c r="R15" i="5" s="1"/>
  <c r="O11" i="5"/>
  <c r="O7" i="5"/>
  <c r="Q7" i="5" s="1"/>
  <c r="M15" i="5"/>
  <c r="M11" i="5"/>
  <c r="O3" i="5"/>
  <c r="O14" i="5"/>
  <c r="O10" i="5"/>
  <c r="R15" i="6" l="1"/>
  <c r="Q15" i="6"/>
  <c r="E15" i="6"/>
  <c r="F15" i="6"/>
  <c r="C64" i="5"/>
  <c r="C69" i="5" s="1"/>
  <c r="C63" i="5"/>
  <c r="C68" i="5" s="1"/>
  <c r="C65" i="5"/>
  <c r="C70" i="5" s="1"/>
  <c r="S12" i="5"/>
  <c r="R16" i="5"/>
  <c r="S8" i="5"/>
  <c r="S11" i="5"/>
  <c r="S5" i="5"/>
  <c r="K18" i="5"/>
  <c r="S4" i="5"/>
  <c r="R8" i="5"/>
  <c r="J18" i="5"/>
  <c r="C74" i="5" s="1"/>
  <c r="C77" i="5" s="1"/>
  <c r="Q10" i="5"/>
  <c r="S13" i="5"/>
  <c r="S16" i="5"/>
  <c r="T6" i="5"/>
  <c r="S6" i="5"/>
  <c r="S9" i="5"/>
  <c r="T10" i="5"/>
  <c r="S10" i="5"/>
  <c r="T15" i="5"/>
  <c r="S15" i="5"/>
  <c r="T14" i="5"/>
  <c r="S14" i="5"/>
  <c r="T3" i="5"/>
  <c r="S3" i="5"/>
  <c r="R11" i="5"/>
  <c r="P18" i="5"/>
  <c r="R10" i="5"/>
  <c r="U10" i="5"/>
  <c r="R17" i="5"/>
  <c r="U17" i="5"/>
  <c r="R14" i="5"/>
  <c r="U14" i="5"/>
  <c r="R5" i="5"/>
  <c r="U5" i="5"/>
  <c r="R3" i="5"/>
  <c r="U3" i="5"/>
  <c r="R9" i="5"/>
  <c r="U9" i="5"/>
  <c r="U4" i="5"/>
  <c r="R4" i="5"/>
  <c r="R13" i="5"/>
  <c r="U13" i="5"/>
  <c r="R7" i="5"/>
  <c r="U7" i="5"/>
  <c r="Q12" i="5"/>
  <c r="T12" i="5"/>
  <c r="Q13" i="5"/>
  <c r="T13" i="5"/>
  <c r="Q11" i="5"/>
  <c r="T11" i="5"/>
  <c r="Q16" i="5"/>
  <c r="T16" i="5"/>
  <c r="Q4" i="5"/>
  <c r="T4" i="5"/>
  <c r="Q14" i="5"/>
  <c r="Q8" i="5"/>
  <c r="T8" i="5"/>
  <c r="Q3" i="5"/>
  <c r="Q5" i="5"/>
  <c r="T5" i="5"/>
  <c r="Q9" i="5"/>
  <c r="T9" i="5"/>
  <c r="Q17" i="5"/>
  <c r="T17" i="5"/>
  <c r="Q15" i="5"/>
  <c r="C3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K27" i="1" s="1"/>
  <c r="B28" i="6" l="1"/>
  <c r="B26" i="6"/>
  <c r="C32" i="5"/>
  <c r="S18" i="5"/>
  <c r="U18" i="5"/>
  <c r="R18" i="5"/>
  <c r="T18" i="5"/>
  <c r="Q18" i="5"/>
  <c r="C25" i="4"/>
  <c r="C32" i="1"/>
  <c r="C35" i="1" s="1"/>
  <c r="C16" i="4"/>
  <c r="C28" i="1"/>
  <c r="G15" i="4"/>
  <c r="C35" i="4" s="1"/>
  <c r="F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I27" i="1"/>
  <c r="J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H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27" i="1"/>
  <c r="F27" i="1"/>
  <c r="C44" i="5" l="1"/>
  <c r="C76" i="5"/>
  <c r="C35" i="5"/>
  <c r="C40" i="5"/>
  <c r="C38" i="5"/>
  <c r="C39" i="5"/>
  <c r="H18" i="5"/>
  <c r="C34" i="4"/>
  <c r="N14" i="4" s="1"/>
  <c r="O4" i="4"/>
  <c r="O8" i="4"/>
  <c r="O12" i="4"/>
  <c r="O6" i="4"/>
  <c r="O14" i="4"/>
  <c r="O3" i="4"/>
  <c r="O11" i="4"/>
  <c r="O5" i="4"/>
  <c r="O9" i="4"/>
  <c r="O13" i="4"/>
  <c r="O10" i="4"/>
  <c r="O7" i="4"/>
  <c r="C33" i="1"/>
  <c r="L15" i="4"/>
  <c r="M15" i="4"/>
  <c r="K15" i="4"/>
  <c r="D27" i="4" s="1"/>
  <c r="N5" i="4" l="1"/>
  <c r="N10" i="4"/>
  <c r="D28" i="4"/>
  <c r="C29" i="4" s="1"/>
  <c r="N9" i="4"/>
  <c r="N8" i="4"/>
  <c r="N11" i="4"/>
  <c r="N12" i="4"/>
  <c r="N6" i="4"/>
  <c r="N7" i="4"/>
  <c r="N4" i="4"/>
  <c r="N3" i="4"/>
  <c r="N13" i="4"/>
  <c r="O15" i="4"/>
  <c r="C20" i="4"/>
  <c r="N15" i="4" l="1"/>
  <c r="D32" i="4"/>
  <c r="C32" i="4" s="1"/>
  <c r="C30" i="4"/>
  <c r="C36" i="4"/>
  <c r="C23" i="4"/>
  <c r="C21" i="4"/>
  <c r="C49" i="4" s="1"/>
  <c r="F23" i="4" l="1"/>
  <c r="H7" i="4"/>
  <c r="H11" i="4"/>
  <c r="H3" i="4"/>
  <c r="H13" i="4"/>
  <c r="H10" i="4"/>
  <c r="H4" i="4"/>
  <c r="H8" i="4"/>
  <c r="H12" i="4"/>
  <c r="H5" i="4"/>
  <c r="H9" i="4"/>
  <c r="H6" i="4"/>
  <c r="H14" i="4"/>
  <c r="C42" i="4"/>
  <c r="D42" i="4" s="1"/>
  <c r="C31" i="4"/>
  <c r="P9" i="4" l="1"/>
  <c r="J9" i="4"/>
  <c r="I9" i="4"/>
  <c r="I8" i="4"/>
  <c r="J8" i="4"/>
  <c r="P8" i="4"/>
  <c r="H15" i="4"/>
  <c r="I3" i="4"/>
  <c r="P3" i="4"/>
  <c r="J3" i="4"/>
  <c r="P5" i="4"/>
  <c r="J5" i="4"/>
  <c r="I5" i="4"/>
  <c r="I4" i="4"/>
  <c r="P4" i="4"/>
  <c r="J4" i="4"/>
  <c r="J11" i="4"/>
  <c r="P11" i="4"/>
  <c r="I11" i="4"/>
  <c r="I14" i="4"/>
  <c r="J14" i="4"/>
  <c r="P14" i="4"/>
  <c r="J10" i="4"/>
  <c r="P10" i="4"/>
  <c r="I10" i="4"/>
  <c r="J7" i="4"/>
  <c r="I7" i="4"/>
  <c r="P7" i="4"/>
  <c r="I6" i="4"/>
  <c r="J6" i="4"/>
  <c r="P6" i="4"/>
  <c r="I12" i="4"/>
  <c r="P12" i="4"/>
  <c r="J12" i="4"/>
  <c r="P13" i="4"/>
  <c r="I13" i="4"/>
  <c r="J13" i="4"/>
  <c r="P15" i="4" l="1"/>
  <c r="J15" i="4"/>
  <c r="I15" i="4"/>
  <c r="C38" i="4" l="1"/>
  <c r="D30" i="4"/>
  <c r="C37" i="4"/>
  <c r="C40" i="4"/>
  <c r="C41" i="4" s="1"/>
  <c r="C48" i="4" s="1"/>
  <c r="C39" i="4"/>
  <c r="E47" i="4" l="1"/>
  <c r="C50" i="4"/>
</calcChain>
</file>

<file path=xl/comments1.xml><?xml version="1.0" encoding="utf-8"?>
<comments xmlns="http://schemas.openxmlformats.org/spreadsheetml/2006/main">
  <authors>
    <author>Antis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остаток между спрогнозированным и фактическим значением
эпсилон с крышкой</t>
        </r>
      </text>
    </comment>
    <comment ref="L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в квадрате</t>
        </r>
      </text>
    </comment>
    <comment ref="B33" authorId="0">
      <text>
        <r>
          <rPr>
            <b/>
            <sz val="9"/>
            <color indexed="81"/>
            <rFont val="Tahoma"/>
            <family val="2"/>
            <charset val="204"/>
          </rPr>
          <t>Antis:
табличное значение</t>
        </r>
      </text>
    </comment>
  </commentList>
</comments>
</file>

<file path=xl/comments2.xml><?xml version="1.0" encoding="utf-8"?>
<comments xmlns="http://schemas.openxmlformats.org/spreadsheetml/2006/main">
  <authors>
    <author>Antis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J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L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остаток между спрогнозированным и фактическим значением
эпсилон с крышкой</t>
        </r>
      </text>
    </comment>
  </commentList>
</comments>
</file>

<file path=xl/sharedStrings.xml><?xml version="1.0" encoding="utf-8"?>
<sst xmlns="http://schemas.openxmlformats.org/spreadsheetml/2006/main" count="202" uniqueCount="173">
  <si>
    <t>Квартал, год</t>
  </si>
  <si>
    <t>ВВП</t>
  </si>
  <si>
    <t>Частное потребление</t>
  </si>
  <si>
    <t>I, 1995</t>
  </si>
  <si>
    <t>II, 1995</t>
  </si>
  <si>
    <t>III, 1995</t>
  </si>
  <si>
    <t>IV, 1995</t>
  </si>
  <si>
    <t>I, 1996</t>
  </si>
  <si>
    <t>II, 1996</t>
  </si>
  <si>
    <t>III, 1996</t>
  </si>
  <si>
    <t>IV, 1996</t>
  </si>
  <si>
    <t>I, 1997</t>
  </si>
  <si>
    <t>II, 1997</t>
  </si>
  <si>
    <t>III, 1997</t>
  </si>
  <si>
    <t>IV, 1997</t>
  </si>
  <si>
    <t>I, 1998</t>
  </si>
  <si>
    <t>II, 1998</t>
  </si>
  <si>
    <t>III, 1998</t>
  </si>
  <si>
    <t>IV, 1998</t>
  </si>
  <si>
    <t>I, 1999</t>
  </si>
  <si>
    <t>II, 1999</t>
  </si>
  <si>
    <t>III, 1999</t>
  </si>
  <si>
    <t>IV, 1999</t>
  </si>
  <si>
    <t>I, 2000</t>
  </si>
  <si>
    <t>II, 2000</t>
  </si>
  <si>
    <t>III, 2000</t>
  </si>
  <si>
    <t>IV, 2000</t>
  </si>
  <si>
    <t>Всего</t>
  </si>
  <si>
    <t>XY</t>
  </si>
  <si>
    <t>X2</t>
  </si>
  <si>
    <t>Y2</t>
  </si>
  <si>
    <t>X</t>
  </si>
  <si>
    <t>Y</t>
  </si>
  <si>
    <t>n=</t>
  </si>
  <si>
    <t>b=</t>
  </si>
  <si>
    <t>a=</t>
  </si>
  <si>
    <t>y=</t>
  </si>
  <si>
    <t>Xi</t>
  </si>
  <si>
    <t>+</t>
  </si>
  <si>
    <t>r=</t>
  </si>
  <si>
    <t>числитель:</t>
  </si>
  <si>
    <t>знаменатель</t>
  </si>
  <si>
    <t>x средняя</t>
  </si>
  <si>
    <t>t=</t>
  </si>
  <si>
    <t>(Xi-Xср)2</t>
  </si>
  <si>
    <t>Y средняя</t>
  </si>
  <si>
    <t>r2=</t>
  </si>
  <si>
    <t>Yei</t>
  </si>
  <si>
    <t>Ei</t>
  </si>
  <si>
    <t>(Yei-Yср)^2</t>
  </si>
  <si>
    <t>(Yi-Yср)^2</t>
  </si>
  <si>
    <t>R=</t>
  </si>
  <si>
    <t>F=</t>
  </si>
  <si>
    <t>ESS=</t>
  </si>
  <si>
    <t>(Yi-Yei)^2</t>
  </si>
  <si>
    <t>TSS (sigma_y)^2=</t>
  </si>
  <si>
    <t>RSS (sigma_e)^2=</t>
  </si>
  <si>
    <t>S_eps^2=</t>
  </si>
  <si>
    <t>S_eps=</t>
  </si>
  <si>
    <t>t_pk</t>
  </si>
  <si>
    <t>deltaYep=</t>
  </si>
  <si>
    <t>Yep=</t>
  </si>
  <si>
    <t>-</t>
  </si>
  <si>
    <t>se^2</t>
  </si>
  <si>
    <t>F</t>
  </si>
  <si>
    <t>X1</t>
  </si>
  <si>
    <t>a1=</t>
  </si>
  <si>
    <t>a2=</t>
  </si>
  <si>
    <t>X1 ср</t>
  </si>
  <si>
    <t>Х2 ср</t>
  </si>
  <si>
    <t>Y ср</t>
  </si>
  <si>
    <t>Сумма</t>
  </si>
  <si>
    <t>(X1-X1ср)*(Yi-Yср)</t>
  </si>
  <si>
    <r>
      <t>Ryx</t>
    </r>
    <r>
      <rPr>
        <sz val="8"/>
        <color rgb="FF000000"/>
        <rFont val="Arial"/>
        <family val="2"/>
        <charset val="204"/>
      </rPr>
      <t>1</t>
    </r>
  </si>
  <si>
    <t>(X1-X1ср)^2</t>
  </si>
  <si>
    <r>
      <t>Ryx</t>
    </r>
    <r>
      <rPr>
        <sz val="8"/>
        <color rgb="FF000000"/>
        <rFont val="Arial"/>
        <family val="2"/>
        <charset val="204"/>
      </rPr>
      <t>2</t>
    </r>
  </si>
  <si>
    <t>(X2-X2ср)^2</t>
  </si>
  <si>
    <r>
      <t>Rx</t>
    </r>
    <r>
      <rPr>
        <sz val="8"/>
        <color rgb="FF000000"/>
        <rFont val="Arial"/>
        <family val="2"/>
        <charset val="204"/>
      </rPr>
      <t>1</t>
    </r>
    <r>
      <rPr>
        <sz val="10"/>
        <color rgb="FF000000"/>
        <rFont val="Arial"/>
        <family val="2"/>
        <charset val="204"/>
      </rPr>
      <t>x</t>
    </r>
    <r>
      <rPr>
        <sz val="8"/>
        <color rgb="FF000000"/>
        <rFont val="Arial"/>
        <family val="2"/>
        <charset val="204"/>
      </rPr>
      <t>2</t>
    </r>
  </si>
  <si>
    <t>(X1-X1ср)*(X2-X2ср)</t>
  </si>
  <si>
    <t>R</t>
  </si>
  <si>
    <t>R^2</t>
  </si>
  <si>
    <t>a0=</t>
  </si>
  <si>
    <t xml:space="preserve">Коэффициент  множественной детерминации </t>
  </si>
  <si>
    <t>Оценки коэффициентов регрессии</t>
  </si>
  <si>
    <t xml:space="preserve">Коэффициент  множественной корреляции </t>
  </si>
  <si>
    <t xml:space="preserve">Коэффициенты  парной корреляции  признаков </t>
  </si>
  <si>
    <t>Оценка адекватности  построенной экономической модели</t>
  </si>
  <si>
    <t xml:space="preserve">Статистика для проверки качества оцениваемой регрессии </t>
  </si>
  <si>
    <t>h</t>
  </si>
  <si>
    <t>– количество оцениваемых параметров</t>
  </si>
  <si>
    <t>K1</t>
  </si>
  <si>
    <t>K2</t>
  </si>
  <si>
    <r>
      <t>m</t>
    </r>
    <r>
      <rPr>
        <sz val="13"/>
        <color theme="1"/>
        <rFont val="Arial"/>
        <family val="2"/>
        <charset val="204"/>
      </rPr>
      <t xml:space="preserve"> – число независимых переменных</t>
    </r>
  </si>
  <si>
    <t>m</t>
  </si>
  <si>
    <r>
      <t>Оценка значимости</t>
    </r>
    <r>
      <rPr>
        <sz val="11"/>
        <color theme="1"/>
        <rFont val="Arial"/>
        <family val="2"/>
        <charset val="204"/>
      </rPr>
      <t xml:space="preserve"> </t>
    </r>
    <r>
      <rPr>
        <b/>
        <i/>
        <sz val="11"/>
        <color theme="1"/>
        <rFont val="Arial"/>
        <family val="2"/>
        <charset val="204"/>
      </rPr>
      <t>коэффициентов множественной регрессии</t>
    </r>
  </si>
  <si>
    <t>t1</t>
  </si>
  <si>
    <t>t2</t>
  </si>
  <si>
    <t>t0</t>
  </si>
  <si>
    <t>Стандартные отклонения коэффициентов множественной  регрессии</t>
  </si>
  <si>
    <t>Sa0</t>
  </si>
  <si>
    <t>Sa1</t>
  </si>
  <si>
    <t>Sa2</t>
  </si>
  <si>
    <t>Se</t>
  </si>
  <si>
    <t>Статистической оценкой дисперсии остатков</t>
  </si>
  <si>
    <t>Se^2</t>
  </si>
  <si>
    <t xml:space="preserve">оценкой стандартного отклонения остатков </t>
  </si>
  <si>
    <t>(Yi--Yср)^2</t>
  </si>
  <si>
    <t>X1-X1ср</t>
  </si>
  <si>
    <t>X2-X2ср</t>
  </si>
  <si>
    <t>Yi-Yср</t>
  </si>
  <si>
    <t>(X2-X2ср)*(Yi-Yср)</t>
  </si>
  <si>
    <t>Fkp</t>
  </si>
  <si>
    <t>t-статистика. Критерий Стьюдента</t>
  </si>
  <si>
    <t>Матрица (XTX)^-1</t>
  </si>
  <si>
    <r>
      <t>R</t>
    </r>
    <r>
      <rPr>
        <sz val="8"/>
        <color theme="1"/>
        <rFont val="Calibri"/>
        <family val="2"/>
        <charset val="204"/>
        <scheme val="minor"/>
      </rPr>
      <t>adj</t>
    </r>
  </si>
  <si>
    <r>
      <t>R</t>
    </r>
    <r>
      <rPr>
        <sz val="8"/>
        <color theme="1"/>
        <rFont val="Calibri"/>
        <family val="2"/>
        <charset val="204"/>
        <scheme val="minor"/>
      </rPr>
      <t>adj=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</si>
  <si>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0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</si>
  <si>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1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</si>
  <si>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2</t>
    </r>
  </si>
  <si>
    <t>доверительные интервалы для коэффициентов регрессии</t>
  </si>
  <si>
    <t xml:space="preserve">Коэффициент эластичности </t>
  </si>
  <si>
    <t>E1</t>
  </si>
  <si>
    <t>E2</t>
  </si>
  <si>
    <t>2005    I</t>
  </si>
  <si>
    <t>2005    II</t>
  </si>
  <si>
    <t>2005    III</t>
  </si>
  <si>
    <t>2005    IV</t>
  </si>
  <si>
    <t>2006    I</t>
  </si>
  <si>
    <t>2006    II</t>
  </si>
  <si>
    <t>2006    III</t>
  </si>
  <si>
    <t>2006    IV</t>
  </si>
  <si>
    <t>2007     I</t>
  </si>
  <si>
    <t>2007    II</t>
  </si>
  <si>
    <t>2007    III</t>
  </si>
  <si>
    <t>2007    IV</t>
  </si>
  <si>
    <t>2008    I</t>
  </si>
  <si>
    <t>t</t>
  </si>
  <si>
    <t xml:space="preserve"> Yt</t>
  </si>
  <si>
    <t>Yt-Yср1</t>
  </si>
  <si>
    <t>Yt-Yср2</t>
  </si>
  <si>
    <r>
      <t>(Yt-Yср1)*(Y</t>
    </r>
    <r>
      <rPr>
        <sz val="8"/>
        <color theme="1"/>
        <rFont val="Calibri"/>
        <family val="2"/>
        <charset val="204"/>
        <scheme val="minor"/>
      </rPr>
      <t>t-1</t>
    </r>
    <r>
      <rPr>
        <sz val="11"/>
        <color theme="1"/>
        <rFont val="Calibri"/>
        <family val="2"/>
        <charset val="204"/>
        <scheme val="minor"/>
      </rPr>
      <t>-Yср2)</t>
    </r>
  </si>
  <si>
    <t>(Yt-Yср1)^2</t>
  </si>
  <si>
    <t>r1</t>
  </si>
  <si>
    <t>(Yt-1-Yср2)^2</t>
  </si>
  <si>
    <t>r2</t>
  </si>
  <si>
    <t>r3</t>
  </si>
  <si>
    <t>Yср7</t>
  </si>
  <si>
    <t>Yср8</t>
  </si>
  <si>
    <t>Yср1 (y+1 -&gt; n)</t>
  </si>
  <si>
    <t>Yср2 (y1 -&gt; n-1)</t>
  </si>
  <si>
    <t>Yср3 (y+2 -&gt; n)</t>
  </si>
  <si>
    <t>Yср4 (y1 -&gt; n-2)</t>
  </si>
  <si>
    <t>Yср5 (y+3 -&gt; n)</t>
  </si>
  <si>
    <t>Yср6 (y1 -&gt; n-3)</t>
  </si>
  <si>
    <t>(Yt-Yср3)^2</t>
  </si>
  <si>
    <t>Yt-Yср3</t>
  </si>
  <si>
    <t>Yt-Yср4</t>
  </si>
  <si>
    <r>
      <t>(Yt-Yср3)*(Y</t>
    </r>
    <r>
      <rPr>
        <sz val="8"/>
        <color theme="1"/>
        <rFont val="Calibri"/>
        <family val="2"/>
        <charset val="204"/>
        <scheme val="minor"/>
      </rPr>
      <t>t-1</t>
    </r>
    <r>
      <rPr>
        <sz val="11"/>
        <color theme="1"/>
        <rFont val="Calibri"/>
        <family val="2"/>
        <charset val="204"/>
        <scheme val="minor"/>
      </rPr>
      <t>-Yср4)</t>
    </r>
  </si>
  <si>
    <t>(Yt-2-Yср2)^2</t>
  </si>
  <si>
    <t>Yt-Yср5</t>
  </si>
  <si>
    <t>Yt-Yср6</t>
  </si>
  <si>
    <r>
      <t>(Yt-Yср5)*(Y</t>
    </r>
    <r>
      <rPr>
        <sz val="8"/>
        <color theme="1"/>
        <rFont val="Calibri"/>
        <family val="2"/>
        <charset val="204"/>
        <scheme val="minor"/>
      </rPr>
      <t>t-1</t>
    </r>
    <r>
      <rPr>
        <sz val="11"/>
        <color theme="1"/>
        <rFont val="Calibri"/>
        <family val="2"/>
        <charset val="204"/>
        <scheme val="minor"/>
      </rPr>
      <t>-Yср6)</t>
    </r>
  </si>
  <si>
    <t>(Yt-Yср5)^2</t>
  </si>
  <si>
    <t>(Yt-3-Yср6)^2</t>
  </si>
  <si>
    <t>Суммы</t>
  </si>
  <si>
    <t xml:space="preserve"> t</t>
  </si>
  <si>
    <t>t^2</t>
  </si>
  <si>
    <t>Xt</t>
  </si>
  <si>
    <t>Xt*t</t>
  </si>
  <si>
    <t>b1 =</t>
  </si>
  <si>
    <t xml:space="preserve"> 0.3148</t>
  </si>
  <si>
    <t>a1 =</t>
  </si>
  <si>
    <t xml:space="preserve"> 35.35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</si>
</sst>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#,##0.0000"/>
    <numFmt numFmtId="166" formatCode="0.0000"/>
    <numFmt numFmtId="167" formatCode="0.000"/>
  </numFmts>
  <fonts count="21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4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Times New Roman"/>
      <family val="1"/>
      <charset val="204"/>
    </font>
    <font>
      <sz val="8"/>
      <color rgb="FF00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i/>
      <sz val="11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3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i/>
      <sz val="11"/>
      <color theme="1"/>
      <name val="Arial"/>
      <family val="2"/>
      <charset val="204"/>
    </font>
    <font>
      <i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12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12"/>
      </right>
      <top style="medium">
        <color rgb="FF000000"/>
      </top>
      <bottom style="medium">
        <color rgb="FF000000"/>
      </bottom>
      <diagonal/>
    </border>
    <border>
      <left style="thin">
        <color indexed="12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12"/>
      </right>
      <top/>
      <bottom style="medium">
        <color rgb="FF000000"/>
      </bottom>
      <diagonal/>
    </border>
    <border>
      <left style="thin">
        <color indexed="12"/>
      </left>
      <right style="medium">
        <color rgb="FF000000"/>
      </right>
      <top/>
      <bottom style="thin">
        <color indexed="12"/>
      </bottom>
      <diagonal/>
    </border>
    <border>
      <left style="medium">
        <color rgb="FF000000"/>
      </left>
      <right style="thin">
        <color indexed="12"/>
      </right>
      <top/>
      <bottom style="thin">
        <color indexed="1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/>
      <right/>
      <top style="dashDot">
        <color rgb="FF808080"/>
      </top>
      <bottom/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 style="dashDot">
        <color rgb="FF808080"/>
      </left>
      <right/>
      <top/>
      <bottom/>
      <diagonal/>
    </border>
    <border>
      <left/>
      <right style="dashDot">
        <color rgb="FF808080"/>
      </right>
      <top/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/>
      <top/>
      <bottom style="dashDot">
        <color rgb="FF808080"/>
      </bottom>
      <diagonal/>
    </border>
    <border>
      <left/>
      <right style="dashDot">
        <color rgb="FF808080"/>
      </right>
      <top/>
      <bottom style="dashDot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vertical="center" wrapText="1"/>
    </xf>
    <xf numFmtId="164" fontId="2" fillId="0" borderId="0" xfId="0" applyNumberFormat="1" applyFont="1"/>
    <xf numFmtId="164" fontId="0" fillId="0" borderId="0" xfId="0" applyNumberFormat="1"/>
    <xf numFmtId="164" fontId="1" fillId="2" borderId="1" xfId="0" applyNumberFormat="1" applyFont="1" applyFill="1" applyBorder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164" fontId="0" fillId="3" borderId="0" xfId="0" applyNumberFormat="1" applyFill="1"/>
    <xf numFmtId="164" fontId="2" fillId="3" borderId="0" xfId="0" applyNumberFormat="1" applyFont="1" applyFill="1"/>
    <xf numFmtId="164" fontId="1" fillId="2" borderId="11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164" fontId="1" fillId="2" borderId="10" xfId="0" applyNumberFormat="1" applyFont="1" applyFill="1" applyBorder="1" applyAlignment="1">
      <alignment horizontal="left" vertical="center"/>
    </xf>
    <xf numFmtId="0" fontId="0" fillId="0" borderId="0" xfId="0" applyAlignment="1"/>
    <xf numFmtId="0" fontId="9" fillId="0" borderId="10" xfId="0" applyFont="1" applyBorder="1"/>
    <xf numFmtId="0" fontId="0" fillId="0" borderId="10" xfId="0" applyFont="1" applyBorder="1"/>
    <xf numFmtId="164" fontId="10" fillId="2" borderId="10" xfId="0" applyNumberFormat="1" applyFont="1" applyFill="1" applyBorder="1" applyAlignment="1">
      <alignment horizontal="left" vertical="center"/>
    </xf>
    <xf numFmtId="166" fontId="0" fillId="0" borderId="10" xfId="0" applyNumberFormat="1" applyFont="1" applyBorder="1"/>
    <xf numFmtId="166" fontId="0" fillId="0" borderId="0" xfId="0" applyNumberFormat="1"/>
    <xf numFmtId="166" fontId="0" fillId="0" borderId="0" xfId="0" applyNumberFormat="1" applyFont="1" applyBorder="1"/>
    <xf numFmtId="0" fontId="6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164" fontId="10" fillId="2" borderId="0" xfId="0" applyNumberFormat="1" applyFont="1" applyFill="1" applyBorder="1" applyAlignment="1">
      <alignment horizontal="left" vertical="center"/>
    </xf>
    <xf numFmtId="0" fontId="14" fillId="0" borderId="0" xfId="0" applyFont="1" applyBorder="1"/>
    <xf numFmtId="0" fontId="1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0" fillId="0" borderId="0" xfId="0" applyNumberFormat="1"/>
    <xf numFmtId="0" fontId="18" fillId="0" borderId="0" xfId="0" applyFont="1"/>
    <xf numFmtId="0" fontId="16" fillId="0" borderId="0" xfId="0" applyFont="1"/>
    <xf numFmtId="164" fontId="15" fillId="0" borderId="0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4" fontId="2" fillId="2" borderId="1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top" wrapText="1"/>
    </xf>
    <xf numFmtId="0" fontId="9" fillId="0" borderId="0" xfId="0" applyFont="1"/>
    <xf numFmtId="0" fontId="15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9" fillId="0" borderId="0" xfId="0" applyNumberFormat="1" applyFont="1"/>
    <xf numFmtId="0" fontId="15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9" fillId="5" borderId="10" xfId="0" applyFont="1" applyFill="1" applyBorder="1"/>
    <xf numFmtId="0" fontId="9" fillId="6" borderId="10" xfId="0" applyFont="1" applyFill="1" applyBorder="1"/>
    <xf numFmtId="0" fontId="9" fillId="7" borderId="10" xfId="0" applyFont="1" applyFill="1" applyBorder="1"/>
    <xf numFmtId="0" fontId="9" fillId="8" borderId="10" xfId="0" applyFont="1" applyFill="1" applyBorder="1"/>
    <xf numFmtId="0" fontId="9" fillId="9" borderId="10" xfId="0" applyFont="1" applyFill="1" applyBorder="1"/>
    <xf numFmtId="0" fontId="9" fillId="10" borderId="10" xfId="0" applyFont="1" applyFill="1" applyBorder="1"/>
    <xf numFmtId="0" fontId="15" fillId="0" borderId="0" xfId="0" applyFont="1"/>
    <xf numFmtId="0" fontId="0" fillId="10" borderId="22" xfId="0" applyFill="1" applyBorder="1"/>
    <xf numFmtId="166" fontId="12" fillId="0" borderId="10" xfId="0" applyNumberFormat="1" applyFont="1" applyBorder="1" applyAlignment="1">
      <alignment horizontal="center" vertical="center" wrapText="1"/>
    </xf>
    <xf numFmtId="166" fontId="0" fillId="0" borderId="10" xfId="0" applyNumberFormat="1" applyBorder="1"/>
    <xf numFmtId="166" fontId="6" fillId="0" borderId="10" xfId="0" applyNumberFormat="1" applyFont="1" applyBorder="1" applyAlignment="1">
      <alignment horizontal="center" vertical="center" wrapText="1"/>
    </xf>
    <xf numFmtId="166" fontId="0" fillId="10" borderId="22" xfId="0" applyNumberFormat="1" applyFill="1" applyBorder="1"/>
    <xf numFmtId="166" fontId="0" fillId="4" borderId="22" xfId="0" applyNumberFormat="1" applyFill="1" applyBorder="1"/>
    <xf numFmtId="0" fontId="0" fillId="8" borderId="0" xfId="0" applyFill="1"/>
    <xf numFmtId="0" fontId="0" fillId="12" borderId="0" xfId="0" applyFill="1"/>
    <xf numFmtId="0" fontId="20" fillId="11" borderId="0" xfId="0" applyFont="1" applyFill="1"/>
    <xf numFmtId="166" fontId="0" fillId="10" borderId="10" xfId="0" applyNumberFormat="1" applyFill="1" applyBorder="1"/>
    <xf numFmtId="166" fontId="0" fillId="8" borderId="10" xfId="0" applyNumberFormat="1" applyFill="1" applyBorder="1"/>
    <xf numFmtId="0" fontId="0" fillId="12" borderId="10" xfId="0" applyFill="1" applyBorder="1"/>
    <xf numFmtId="167" fontId="0" fillId="12" borderId="10" xfId="0" applyNumberFormat="1" applyFill="1" applyBorder="1"/>
    <xf numFmtId="167" fontId="0" fillId="0" borderId="10" xfId="0" applyNumberFormat="1" applyBorder="1"/>
    <xf numFmtId="0" fontId="0" fillId="4" borderId="10" xfId="0" applyFill="1" applyBorder="1"/>
    <xf numFmtId="0" fontId="0" fillId="10" borderId="10" xfId="0" applyFill="1" applyBorder="1"/>
    <xf numFmtId="167" fontId="0" fillId="10" borderId="10" xfId="0" applyNumberFormat="1" applyFill="1" applyBorder="1"/>
  </cellXfs>
  <cellStyles count="1">
    <cellStyle name="Обычный" xfId="0" builtinId="0"/>
  </cellStyles>
  <dxfs count="18">
    <dxf>
      <border diagonalUp="0" diagonalDown="0" outline="0">
        <left/>
        <right/>
        <top/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/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/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/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/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6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Таблица1" displayName="Таблица1" ref="A1:G15" totalsRowShown="0" headerRowDxfId="17" headerRowBorderDxfId="16" tableBorderDxfId="15" totalsRowBorderDxfId="14">
  <tableColumns count="7">
    <tableColumn id="1" name="t" dataDxfId="13" totalsRowDxfId="12"/>
    <tableColumn id="2" name=" Yt" dataDxfId="11" totalsRowDxfId="10"/>
    <tableColumn id="3" name="Yt-Yср1" dataDxfId="9" totalsRowDxfId="8">
      <calculatedColumnFormula>Таблица1[[#This Row],[ Yt]]-$B$16</calculatedColumnFormula>
    </tableColumn>
    <tableColumn id="4" name="Yt-Yср2" dataDxfId="7" totalsRowDxfId="6">
      <calculatedColumnFormula>Таблица1[[#This Row],[ Yt]]-$B$17</calculatedColumnFormula>
    </tableColumn>
    <tableColumn id="5" name="(Yt-Yср1)*(Yt-1-Yср2)" dataDxfId="5" totalsRowDxfId="4">
      <calculatedColumnFormula>Таблица1[[#This Row],[Yt-Yср1]]*D1</calculatedColumnFormula>
    </tableColumn>
    <tableColumn id="6" name="(Yt-Yср1)^2" dataDxfId="3" totalsRowDxfId="2">
      <calculatedColumnFormula>POWER(Таблица1[[#This Row],[Yt-Yср1]],2)</calculatedColumnFormula>
    </tableColumn>
    <tableColumn id="7" name="(Yt-1-Yср2)^2" dataDxfId="1" totalsRowDxfId="0">
      <calculatedColumnFormula>POWER(Таблица1[[#This Row],[Yt-Yср2]],2)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D1" workbookViewId="0">
      <selection activeCell="K2" sqref="K2"/>
    </sheetView>
  </sheetViews>
  <sheetFormatPr defaultRowHeight="14.4" x14ac:dyDescent="0.3"/>
  <cols>
    <col min="3" max="3" width="9.109375" bestFit="1" customWidth="1"/>
    <col min="6" max="7" width="10" style="3" bestFit="1" customWidth="1"/>
    <col min="8" max="8" width="15.5546875" style="3" customWidth="1"/>
    <col min="9" max="9" width="13.44140625" style="3" bestFit="1" customWidth="1"/>
    <col min="10" max="10" width="14.5546875" customWidth="1"/>
    <col min="11" max="11" width="14.44140625" bestFit="1" customWidth="1"/>
  </cols>
  <sheetData>
    <row r="2" spans="5:11" ht="39.6" x14ac:dyDescent="0.3">
      <c r="E2" s="1" t="s">
        <v>0</v>
      </c>
      <c r="F2" s="4" t="s">
        <v>1</v>
      </c>
      <c r="G2" s="4" t="s">
        <v>2</v>
      </c>
      <c r="H2" s="5" t="s">
        <v>28</v>
      </c>
      <c r="I2" s="5" t="s">
        <v>29</v>
      </c>
      <c r="J2" s="6" t="s">
        <v>30</v>
      </c>
      <c r="K2" t="s">
        <v>44</v>
      </c>
    </row>
    <row r="3" spans="5:11" x14ac:dyDescent="0.3">
      <c r="E3" s="1" t="s">
        <v>3</v>
      </c>
      <c r="F3" s="4">
        <v>562.87</v>
      </c>
      <c r="G3" s="4">
        <v>357.19099999999997</v>
      </c>
      <c r="H3" s="3">
        <f>F3*G3</f>
        <v>201052.09816999998</v>
      </c>
      <c r="I3" s="3">
        <f>POWER(F3,2)</f>
        <v>316822.63689999998</v>
      </c>
      <c r="J3" s="3">
        <f>POWER(G3,2)</f>
        <v>127585.41048099998</v>
      </c>
      <c r="K3" s="3">
        <f>POWER(F3-$C$31,2)</f>
        <v>9695.7172666944352</v>
      </c>
    </row>
    <row r="4" spans="5:11" x14ac:dyDescent="0.3">
      <c r="E4" s="1" t="s">
        <v>4</v>
      </c>
      <c r="F4" s="4">
        <v>601.89300000000003</v>
      </c>
      <c r="G4" s="4">
        <v>356.53300000000002</v>
      </c>
      <c r="H4" s="3">
        <f t="shared" ref="H4:H26" si="0">F4*G4</f>
        <v>214594.71696900003</v>
      </c>
      <c r="I4" s="3">
        <f t="shared" ref="I4:I26" si="1">POWER(F4,2)</f>
        <v>362275.18344900006</v>
      </c>
      <c r="J4" s="3">
        <f t="shared" ref="J4:J26" si="2">POWER(G4,2)</f>
        <v>127115.78008900001</v>
      </c>
      <c r="K4" s="3">
        <f t="shared" ref="K4:K26" si="3">POWER(F4-$C$31,2)</f>
        <v>3533.5693213611025</v>
      </c>
    </row>
    <row r="5" spans="5:11" x14ac:dyDescent="0.3">
      <c r="E5" s="1" t="s">
        <v>5</v>
      </c>
      <c r="F5" s="4">
        <v>590.79200000000003</v>
      </c>
      <c r="G5" s="4">
        <v>376.95100000000002</v>
      </c>
      <c r="H5" s="3">
        <f t="shared" si="0"/>
        <v>222699.63519200002</v>
      </c>
      <c r="I5" s="3">
        <f t="shared" si="1"/>
        <v>349035.18726400001</v>
      </c>
      <c r="J5" s="3">
        <f t="shared" si="2"/>
        <v>142092.05640100001</v>
      </c>
      <c r="K5" s="3">
        <f t="shared" si="3"/>
        <v>4976.573510027767</v>
      </c>
    </row>
    <row r="6" spans="5:11" x14ac:dyDescent="0.3">
      <c r="E6" s="1" t="s">
        <v>6</v>
      </c>
      <c r="F6" s="4">
        <v>593.66700000000003</v>
      </c>
      <c r="G6" s="4">
        <v>379.86599999999999</v>
      </c>
      <c r="H6" s="3">
        <f t="shared" si="0"/>
        <v>225513.90862200002</v>
      </c>
      <c r="I6" s="3">
        <f t="shared" si="1"/>
        <v>352440.50688900001</v>
      </c>
      <c r="J6" s="3">
        <f t="shared" si="2"/>
        <v>144298.177956</v>
      </c>
      <c r="K6" s="3">
        <f t="shared" si="3"/>
        <v>4579.2063433611011</v>
      </c>
    </row>
    <row r="7" spans="5:11" x14ac:dyDescent="0.3">
      <c r="E7" s="1" t="s">
        <v>7</v>
      </c>
      <c r="F7" s="4">
        <v>580.43499999999995</v>
      </c>
      <c r="G7" s="4">
        <v>385.74900000000002</v>
      </c>
      <c r="H7" s="3">
        <f t="shared" si="0"/>
        <v>223902.22081499998</v>
      </c>
      <c r="I7" s="3">
        <f t="shared" si="1"/>
        <v>336904.78922499996</v>
      </c>
      <c r="J7" s="3">
        <f t="shared" si="2"/>
        <v>148802.29100100001</v>
      </c>
      <c r="K7" s="3">
        <f t="shared" si="3"/>
        <v>6545.106636694446</v>
      </c>
    </row>
    <row r="8" spans="5:11" x14ac:dyDescent="0.3">
      <c r="E8" s="1" t="s">
        <v>8</v>
      </c>
      <c r="F8" s="4">
        <v>612.06299999999999</v>
      </c>
      <c r="G8" s="4">
        <v>392.19400000000002</v>
      </c>
      <c r="H8" s="3">
        <f t="shared" si="0"/>
        <v>240047.43622200002</v>
      </c>
      <c r="I8" s="3">
        <f t="shared" si="1"/>
        <v>374621.11596899998</v>
      </c>
      <c r="J8" s="3">
        <f t="shared" si="2"/>
        <v>153816.13363600001</v>
      </c>
      <c r="K8" s="3">
        <f t="shared" si="3"/>
        <v>2427.9106513611077</v>
      </c>
    </row>
    <row r="9" spans="5:11" x14ac:dyDescent="0.3">
      <c r="E9" s="1" t="s">
        <v>9</v>
      </c>
      <c r="F9" s="4">
        <v>620.84699999999998</v>
      </c>
      <c r="G9" s="4">
        <v>417.34199999999998</v>
      </c>
      <c r="H9" s="3">
        <f t="shared" si="0"/>
        <v>259105.52867399997</v>
      </c>
      <c r="I9" s="3">
        <f t="shared" si="1"/>
        <v>385450.997409</v>
      </c>
      <c r="J9" s="3">
        <f t="shared" si="2"/>
        <v>174174.34496399999</v>
      </c>
      <c r="K9" s="3">
        <f t="shared" si="3"/>
        <v>1639.4266033611091</v>
      </c>
    </row>
    <row r="10" spans="5:11" x14ac:dyDescent="0.3">
      <c r="E10" s="1" t="s">
        <v>10</v>
      </c>
      <c r="F10" s="4">
        <v>614.36</v>
      </c>
      <c r="G10" s="4">
        <v>426.99099999999999</v>
      </c>
      <c r="H10" s="3">
        <f t="shared" si="0"/>
        <v>262326.19075999997</v>
      </c>
      <c r="I10" s="3">
        <f t="shared" si="1"/>
        <v>377438.2096</v>
      </c>
      <c r="J10" s="3">
        <f t="shared" si="2"/>
        <v>182321.31408099999</v>
      </c>
      <c r="K10" s="3">
        <f t="shared" si="3"/>
        <v>2206.8228700277723</v>
      </c>
    </row>
    <row r="11" spans="5:11" x14ac:dyDescent="0.3">
      <c r="E11" s="1" t="s">
        <v>11</v>
      </c>
      <c r="F11" s="4">
        <v>609.70799999999997</v>
      </c>
      <c r="G11" s="4">
        <v>394.661</v>
      </c>
      <c r="H11" s="3">
        <f t="shared" si="0"/>
        <v>240627.96898799998</v>
      </c>
      <c r="I11" s="3">
        <f t="shared" si="1"/>
        <v>371743.84526399995</v>
      </c>
      <c r="J11" s="3">
        <f t="shared" si="2"/>
        <v>155757.304921</v>
      </c>
      <c r="K11" s="3">
        <f t="shared" si="3"/>
        <v>2665.5364313611094</v>
      </c>
    </row>
    <row r="12" spans="5:11" x14ac:dyDescent="0.3">
      <c r="E12" s="1" t="s">
        <v>12</v>
      </c>
      <c r="F12" s="4">
        <v>664.24599999999998</v>
      </c>
      <c r="G12" s="4">
        <v>416.36700000000002</v>
      </c>
      <c r="H12" s="3">
        <f t="shared" si="0"/>
        <v>276570.114282</v>
      </c>
      <c r="I12" s="3">
        <f t="shared" si="1"/>
        <v>441222.74851599999</v>
      </c>
      <c r="J12" s="3">
        <f t="shared" si="2"/>
        <v>173361.47868900001</v>
      </c>
      <c r="K12" s="3">
        <f t="shared" si="3"/>
        <v>8.4632506944445947</v>
      </c>
    </row>
    <row r="13" spans="5:11" x14ac:dyDescent="0.3">
      <c r="E13" s="1" t="s">
        <v>13</v>
      </c>
      <c r="F13" s="4">
        <v>682.69600000000003</v>
      </c>
      <c r="G13" s="4">
        <v>428.10300000000001</v>
      </c>
      <c r="H13" s="3">
        <f t="shared" si="0"/>
        <v>292264.20568800002</v>
      </c>
      <c r="I13" s="3">
        <f t="shared" si="1"/>
        <v>466073.82841600006</v>
      </c>
      <c r="J13" s="3">
        <f t="shared" si="2"/>
        <v>183272.178609</v>
      </c>
      <c r="K13" s="3">
        <f t="shared" si="3"/>
        <v>456.21400069444746</v>
      </c>
    </row>
    <row r="14" spans="5:11" x14ac:dyDescent="0.3">
      <c r="E14" s="1" t="s">
        <v>14</v>
      </c>
      <c r="F14" s="4">
        <v>680.10400000000004</v>
      </c>
      <c r="G14" s="4">
        <v>464.41</v>
      </c>
      <c r="H14" s="3">
        <f t="shared" si="0"/>
        <v>315847.09864000004</v>
      </c>
      <c r="I14" s="3">
        <f t="shared" si="1"/>
        <v>462541.45081600006</v>
      </c>
      <c r="J14" s="3">
        <f t="shared" si="2"/>
        <v>215676.64810000002</v>
      </c>
      <c r="K14" s="3">
        <f t="shared" si="3"/>
        <v>352.2065446944477</v>
      </c>
    </row>
    <row r="15" spans="5:11" x14ac:dyDescent="0.3">
      <c r="E15" s="1" t="s">
        <v>15</v>
      </c>
      <c r="F15" s="4">
        <v>667.51300000000003</v>
      </c>
      <c r="G15" s="4">
        <v>412.13299999999998</v>
      </c>
      <c r="H15" s="3">
        <f t="shared" si="0"/>
        <v>275104.13522900001</v>
      </c>
      <c r="I15" s="3">
        <f t="shared" si="1"/>
        <v>445573.60516900005</v>
      </c>
      <c r="J15" s="3">
        <f t="shared" si="2"/>
        <v>169853.60968899998</v>
      </c>
      <c r="K15" s="3">
        <f t="shared" si="3"/>
        <v>38.145034694445414</v>
      </c>
    </row>
    <row r="16" spans="5:11" x14ac:dyDescent="0.3">
      <c r="E16" s="1" t="s">
        <v>16</v>
      </c>
      <c r="F16" s="4">
        <v>704.31700000000001</v>
      </c>
      <c r="G16" s="4">
        <v>450.60599999999999</v>
      </c>
      <c r="H16" s="3">
        <f t="shared" si="0"/>
        <v>317369.46610199998</v>
      </c>
      <c r="I16" s="3">
        <f t="shared" si="1"/>
        <v>496062.43648899999</v>
      </c>
      <c r="J16" s="3">
        <f t="shared" si="2"/>
        <v>203045.76723599999</v>
      </c>
      <c r="K16" s="3">
        <f t="shared" si="3"/>
        <v>1847.2947266944489</v>
      </c>
    </row>
    <row r="17" spans="2:11" x14ac:dyDescent="0.3">
      <c r="E17" s="1" t="s">
        <v>17</v>
      </c>
      <c r="F17" s="4">
        <v>698.79300000000001</v>
      </c>
      <c r="G17" s="4">
        <v>469.77499999999998</v>
      </c>
      <c r="H17" s="3">
        <f t="shared" si="0"/>
        <v>328275.48157499998</v>
      </c>
      <c r="I17" s="3">
        <f t="shared" si="1"/>
        <v>488311.65684900002</v>
      </c>
      <c r="J17" s="3">
        <f t="shared" si="2"/>
        <v>220688.55062499997</v>
      </c>
      <c r="K17" s="3">
        <f t="shared" si="3"/>
        <v>1402.964421361115</v>
      </c>
    </row>
    <row r="18" spans="2:11" x14ac:dyDescent="0.3">
      <c r="E18" s="1" t="s">
        <v>18</v>
      </c>
      <c r="F18" s="4">
        <v>668.49800000000005</v>
      </c>
      <c r="G18" s="4">
        <v>477.42099999999999</v>
      </c>
      <c r="H18" s="3">
        <f t="shared" si="0"/>
        <v>319154.98365800001</v>
      </c>
      <c r="I18" s="3">
        <f t="shared" si="1"/>
        <v>446889.57600400009</v>
      </c>
      <c r="J18" s="3">
        <f t="shared" si="2"/>
        <v>227930.81124099999</v>
      </c>
      <c r="K18" s="3">
        <f t="shared" si="3"/>
        <v>51.282308027779095</v>
      </c>
    </row>
    <row r="19" spans="2:11" x14ac:dyDescent="0.3">
      <c r="E19" s="1" t="s">
        <v>19</v>
      </c>
      <c r="F19" s="4">
        <v>663.78599999999994</v>
      </c>
      <c r="G19" s="4">
        <v>415.65</v>
      </c>
      <c r="H19" s="3">
        <f t="shared" si="0"/>
        <v>275902.65089999995</v>
      </c>
      <c r="I19" s="3">
        <f t="shared" si="1"/>
        <v>440611.85379599995</v>
      </c>
      <c r="J19" s="3">
        <f t="shared" si="2"/>
        <v>172764.92249999999</v>
      </c>
      <c r="K19" s="3">
        <f t="shared" si="3"/>
        <v>5.9984173611110592</v>
      </c>
    </row>
    <row r="20" spans="2:11" x14ac:dyDescent="0.3">
      <c r="E20" s="1" t="s">
        <v>20</v>
      </c>
      <c r="F20" s="4">
        <v>703.21299999999997</v>
      </c>
      <c r="G20" s="4">
        <v>477.01299999999998</v>
      </c>
      <c r="H20" s="3">
        <f t="shared" si="0"/>
        <v>335441.74276899995</v>
      </c>
      <c r="I20" s="3">
        <f t="shared" si="1"/>
        <v>494508.52336899994</v>
      </c>
      <c r="J20" s="3">
        <f t="shared" si="2"/>
        <v>227541.40216899998</v>
      </c>
      <c r="K20" s="3">
        <f t="shared" si="3"/>
        <v>1753.6133346944453</v>
      </c>
    </row>
    <row r="21" spans="2:11" x14ac:dyDescent="0.3">
      <c r="E21" s="1" t="s">
        <v>21</v>
      </c>
      <c r="F21" s="4">
        <v>707.23800000000006</v>
      </c>
      <c r="G21" s="4">
        <v>498.52499999999998</v>
      </c>
      <c r="H21" s="3">
        <f t="shared" si="0"/>
        <v>352575.82394999999</v>
      </c>
      <c r="I21" s="3">
        <f t="shared" si="1"/>
        <v>500185.58864400006</v>
      </c>
      <c r="J21" s="3">
        <f t="shared" si="2"/>
        <v>248527.17562499997</v>
      </c>
      <c r="K21" s="3">
        <f t="shared" si="3"/>
        <v>2106.9171013611203</v>
      </c>
    </row>
    <row r="22" spans="2:11" x14ac:dyDescent="0.3">
      <c r="E22" s="1" t="s">
        <v>22</v>
      </c>
      <c r="F22" s="4">
        <v>694.32899999999995</v>
      </c>
      <c r="G22" s="4">
        <v>510.17099999999999</v>
      </c>
      <c r="H22" s="3">
        <f t="shared" si="0"/>
        <v>354226.52025899995</v>
      </c>
      <c r="I22" s="3">
        <f t="shared" si="1"/>
        <v>482092.76024099992</v>
      </c>
      <c r="J22" s="3">
        <f t="shared" si="2"/>
        <v>260274.44924099999</v>
      </c>
      <c r="K22" s="3">
        <f t="shared" si="3"/>
        <v>1088.4830613611109</v>
      </c>
    </row>
    <row r="23" spans="2:11" x14ac:dyDescent="0.3">
      <c r="E23" s="1" t="s">
        <v>23</v>
      </c>
      <c r="F23" s="4">
        <v>704.05499999999995</v>
      </c>
      <c r="G23" s="4">
        <v>447.27199999999999</v>
      </c>
      <c r="H23" s="3">
        <f t="shared" si="0"/>
        <v>314904.08795999998</v>
      </c>
      <c r="I23" s="3">
        <f t="shared" si="1"/>
        <v>495693.44302499993</v>
      </c>
      <c r="J23" s="3">
        <f t="shared" si="2"/>
        <v>200052.24198399999</v>
      </c>
      <c r="K23" s="3">
        <f t="shared" si="3"/>
        <v>1824.8417633611107</v>
      </c>
    </row>
    <row r="24" spans="2:11" x14ac:dyDescent="0.3">
      <c r="E24" s="1" t="s">
        <v>24</v>
      </c>
      <c r="F24" s="4">
        <v>738.63699999999994</v>
      </c>
      <c r="G24" s="4">
        <v>504.1</v>
      </c>
      <c r="H24" s="3">
        <f t="shared" si="0"/>
        <v>372346.9117</v>
      </c>
      <c r="I24" s="3">
        <f t="shared" si="1"/>
        <v>545584.61776899989</v>
      </c>
      <c r="J24" s="3">
        <f t="shared" si="2"/>
        <v>254116.81000000003</v>
      </c>
      <c r="K24" s="3">
        <f t="shared" si="3"/>
        <v>5975.3157666944426</v>
      </c>
    </row>
    <row r="25" spans="2:11" x14ac:dyDescent="0.3">
      <c r="E25" s="1" t="s">
        <v>25</v>
      </c>
      <c r="F25" s="4">
        <v>753.56500000000005</v>
      </c>
      <c r="G25" s="4">
        <v>522.27700000000004</v>
      </c>
      <c r="H25" s="3">
        <f t="shared" si="0"/>
        <v>393569.66750500008</v>
      </c>
      <c r="I25" s="3">
        <f t="shared" si="1"/>
        <v>567860.20922500012</v>
      </c>
      <c r="J25" s="3">
        <f t="shared" si="2"/>
        <v>272773.26472900005</v>
      </c>
      <c r="K25" s="3">
        <f t="shared" si="3"/>
        <v>8506.0347266944627</v>
      </c>
    </row>
    <row r="26" spans="2:11" x14ac:dyDescent="0.3">
      <c r="E26" s="1" t="s">
        <v>26</v>
      </c>
      <c r="F26" s="4">
        <v>754.45899999999995</v>
      </c>
      <c r="G26" s="4">
        <v>533.58500000000004</v>
      </c>
      <c r="H26" s="3">
        <f t="shared" si="0"/>
        <v>402568.00551500003</v>
      </c>
      <c r="I26" s="3">
        <f t="shared" si="1"/>
        <v>569208.38268099993</v>
      </c>
      <c r="J26" s="3">
        <f t="shared" si="2"/>
        <v>284712.95222500002</v>
      </c>
      <c r="K26" s="3">
        <f t="shared" si="3"/>
        <v>8671.737924694442</v>
      </c>
    </row>
    <row r="27" spans="2:11" s="3" customFormat="1" ht="15.6" x14ac:dyDescent="0.3">
      <c r="E27" s="2" t="s">
        <v>27</v>
      </c>
      <c r="F27" s="3">
        <f t="shared" ref="F27:K27" si="4">SUM(F3:F26)</f>
        <v>15872.083999999999</v>
      </c>
      <c r="G27" s="3">
        <f t="shared" si="4"/>
        <v>10514.885999999999</v>
      </c>
      <c r="H27" s="3">
        <f t="shared" si="4"/>
        <v>7015990.6001439998</v>
      </c>
      <c r="I27" s="3">
        <f t="shared" si="4"/>
        <v>10569153.152977999</v>
      </c>
      <c r="J27" s="3">
        <f t="shared" si="4"/>
        <v>4670555.076191999</v>
      </c>
      <c r="K27" s="3">
        <f t="shared" si="4"/>
        <v>72359.382017333322</v>
      </c>
    </row>
    <row r="28" spans="2:11" x14ac:dyDescent="0.3">
      <c r="B28" t="s">
        <v>33</v>
      </c>
      <c r="C28">
        <f>COUNTA(E3:E26)</f>
        <v>24</v>
      </c>
      <c r="K28" s="3"/>
    </row>
    <row r="31" spans="2:11" x14ac:dyDescent="0.3">
      <c r="B31" t="s">
        <v>42</v>
      </c>
      <c r="C31">
        <f>F27/C28</f>
        <v>661.33683333333329</v>
      </c>
    </row>
    <row r="32" spans="2:11" x14ac:dyDescent="0.3">
      <c r="B32" t="s">
        <v>34</v>
      </c>
      <c r="C32" s="16">
        <f>(C28*H27-F27*G27)/(C28*I27-POWER(F27,2))</f>
        <v>0.85834329027467848</v>
      </c>
    </row>
    <row r="33" spans="2:5" x14ac:dyDescent="0.3">
      <c r="B33" t="s">
        <v>35</v>
      </c>
      <c r="C33" s="16">
        <f>(G27-C32*F27)/C28</f>
        <v>-129.53378350316999</v>
      </c>
    </row>
    <row r="34" spans="2:5" x14ac:dyDescent="0.3">
      <c r="E34" s="16"/>
    </row>
    <row r="35" spans="2:5" x14ac:dyDescent="0.3">
      <c r="B35" t="s">
        <v>36</v>
      </c>
      <c r="C35" s="16">
        <f>C32</f>
        <v>0.85834329027467848</v>
      </c>
      <c r="D35" s="16" t="s">
        <v>37</v>
      </c>
      <c r="E35" s="3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50"/>
  <sheetViews>
    <sheetView topLeftCell="A13" zoomScaleNormal="100" zoomScaleSheetLayoutView="100" workbookViewId="0">
      <selection activeCell="C37" sqref="C37"/>
    </sheetView>
  </sheetViews>
  <sheetFormatPr defaultRowHeight="14.4" x14ac:dyDescent="0.3"/>
  <cols>
    <col min="2" max="2" width="15.21875" bestFit="1" customWidth="1"/>
    <col min="3" max="3" width="15.109375" customWidth="1"/>
    <col min="4" max="4" width="12" bestFit="1" customWidth="1"/>
    <col min="6" max="7" width="10" style="3" bestFit="1" customWidth="1"/>
    <col min="8" max="10" width="10" style="3" customWidth="1"/>
    <col min="11" max="11" width="15.5546875" style="3" customWidth="1"/>
    <col min="12" max="12" width="13.44140625" style="3" bestFit="1" customWidth="1"/>
    <col min="13" max="13" width="14.5546875" customWidth="1"/>
    <col min="14" max="14" width="14.21875" customWidth="1"/>
    <col min="15" max="15" width="9.109375" bestFit="1" customWidth="1"/>
    <col min="16" max="16" width="10.109375" bestFit="1" customWidth="1"/>
  </cols>
  <sheetData>
    <row r="2" spans="2:16" ht="15" thickBot="1" x14ac:dyDescent="0.35">
      <c r="E2" s="1"/>
      <c r="F2" s="15" t="s">
        <v>31</v>
      </c>
      <c r="G2" s="20" t="s">
        <v>32</v>
      </c>
      <c r="H2" s="21" t="s">
        <v>47</v>
      </c>
      <c r="I2" s="21" t="s">
        <v>48</v>
      </c>
      <c r="J2" s="21" t="s">
        <v>54</v>
      </c>
      <c r="K2" s="22" t="s">
        <v>28</v>
      </c>
      <c r="L2" s="22" t="s">
        <v>29</v>
      </c>
      <c r="M2" s="23" t="s">
        <v>30</v>
      </c>
      <c r="N2" s="24" t="s">
        <v>44</v>
      </c>
      <c r="O2" s="24" t="s">
        <v>50</v>
      </c>
      <c r="P2" s="24" t="s">
        <v>49</v>
      </c>
    </row>
    <row r="3" spans="2:16" ht="18.600000000000001" thickBot="1" x14ac:dyDescent="0.35">
      <c r="E3" s="13">
        <v>1</v>
      </c>
      <c r="F3" s="7">
        <v>41.5</v>
      </c>
      <c r="G3" s="8">
        <v>41.2</v>
      </c>
      <c r="H3" s="17">
        <f>$C$21+$C$20*F3</f>
        <v>48.419941055769684</v>
      </c>
      <c r="I3" s="17">
        <f>G3-H3</f>
        <v>-7.2199410557696808</v>
      </c>
      <c r="J3" s="17">
        <f>POWER(G3-H3,2)</f>
        <v>52.127548848788614</v>
      </c>
      <c r="K3" s="3">
        <f>F3*G3</f>
        <v>1709.8000000000002</v>
      </c>
      <c r="L3" s="3">
        <f>POWER(F3,2)</f>
        <v>1722.25</v>
      </c>
      <c r="M3" s="3">
        <f>POWER(G3,2)</f>
        <v>1697.4400000000003</v>
      </c>
      <c r="N3" s="3">
        <f t="shared" ref="N3:N14" si="0">POWER(F3-$C$34,2)</f>
        <v>361.00000000000028</v>
      </c>
      <c r="O3" s="3">
        <f>POWER(G3-$C$35,2)</f>
        <v>268.41361111111109</v>
      </c>
      <c r="P3">
        <f>POWER(H3-$C$35,2)</f>
        <v>83.967758032513174</v>
      </c>
    </row>
    <row r="4" spans="2:16" ht="18.600000000000001" thickBot="1" x14ac:dyDescent="0.35">
      <c r="E4" s="14">
        <v>2</v>
      </c>
      <c r="F4" s="9">
        <v>29.6</v>
      </c>
      <c r="G4" s="10">
        <v>35.299999999999997</v>
      </c>
      <c r="H4" s="17">
        <f t="shared" ref="H4:H14" si="1">$C$21+$C$20*F4</f>
        <v>42.680763787190344</v>
      </c>
      <c r="I4" s="17">
        <f t="shared" ref="I4:I14" si="2">G4-H4</f>
        <v>-7.3807637871903466</v>
      </c>
      <c r="J4" s="17">
        <f t="shared" ref="J4:J13" si="3">POWER(G4-H4,2)</f>
        <v>54.475674082300387</v>
      </c>
      <c r="K4" s="3">
        <f t="shared" ref="K4:K14" si="4">F4*G4</f>
        <v>1044.8799999999999</v>
      </c>
      <c r="L4" s="3">
        <f t="shared" ref="L4:M14" si="5">POWER(F4,2)</f>
        <v>876.16000000000008</v>
      </c>
      <c r="M4" s="3">
        <f t="shared" si="5"/>
        <v>1246.0899999999997</v>
      </c>
      <c r="N4" s="3">
        <f t="shared" si="0"/>
        <v>954.8100000000004</v>
      </c>
      <c r="O4" s="3">
        <f t="shared" ref="O4:O14" si="6">POWER(G4-$C$35,2)</f>
        <v>496.5469444444447</v>
      </c>
      <c r="P4">
        <f t="shared" ref="P4:P14" si="7">POWER(H4-$C$35,2)</f>
        <v>222.08657907762853</v>
      </c>
    </row>
    <row r="5" spans="2:16" ht="18.600000000000001" thickBot="1" x14ac:dyDescent="0.35">
      <c r="E5" s="14">
        <v>3</v>
      </c>
      <c r="F5" s="9">
        <v>31.8</v>
      </c>
      <c r="G5" s="10">
        <v>40.700000000000003</v>
      </c>
      <c r="H5" s="17">
        <f t="shared" si="1"/>
        <v>43.741788156171395</v>
      </c>
      <c r="I5" s="17">
        <f t="shared" si="2"/>
        <v>-3.0417881561713926</v>
      </c>
      <c r="J5" s="17">
        <f t="shared" si="3"/>
        <v>9.2524751870245598</v>
      </c>
      <c r="K5" s="3">
        <f t="shared" si="4"/>
        <v>1294.2600000000002</v>
      </c>
      <c r="L5" s="3">
        <f t="shared" si="5"/>
        <v>1011.24</v>
      </c>
      <c r="M5" s="3">
        <f t="shared" si="5"/>
        <v>1656.4900000000002</v>
      </c>
      <c r="N5" s="3">
        <f t="shared" si="0"/>
        <v>823.6900000000004</v>
      </c>
      <c r="O5" s="3">
        <f t="shared" si="6"/>
        <v>285.04694444444442</v>
      </c>
      <c r="P5">
        <f t="shared" si="7"/>
        <v>191.58837289141496</v>
      </c>
    </row>
    <row r="6" spans="2:16" ht="18.600000000000001" thickBot="1" x14ac:dyDescent="0.35">
      <c r="E6" s="14">
        <v>4</v>
      </c>
      <c r="F6" s="9">
        <v>69.8</v>
      </c>
      <c r="G6" s="10">
        <v>55.1</v>
      </c>
      <c r="H6" s="17">
        <f t="shared" si="1"/>
        <v>62.0685727112987</v>
      </c>
      <c r="I6" s="17">
        <f t="shared" si="2"/>
        <v>-6.9685727112986982</v>
      </c>
      <c r="J6" s="17">
        <f t="shared" si="3"/>
        <v>48.561005632656887</v>
      </c>
      <c r="K6" s="3">
        <f t="shared" si="4"/>
        <v>3845.98</v>
      </c>
      <c r="L6" s="3">
        <f t="shared" si="5"/>
        <v>4872.04</v>
      </c>
      <c r="M6" s="3">
        <f t="shared" si="5"/>
        <v>3036.01</v>
      </c>
      <c r="N6" s="3">
        <f t="shared" si="0"/>
        <v>86.48999999999981</v>
      </c>
      <c r="O6" s="3">
        <f t="shared" si="6"/>
        <v>6.1669444444444492</v>
      </c>
      <c r="P6">
        <f t="shared" si="7"/>
        <v>20.117372277651125</v>
      </c>
    </row>
    <row r="7" spans="2:16" ht="18.600000000000001" thickBot="1" x14ac:dyDescent="0.35">
      <c r="E7" s="14">
        <v>5</v>
      </c>
      <c r="F7" s="9">
        <v>100.5</v>
      </c>
      <c r="G7" s="10">
        <v>80.099999999999994</v>
      </c>
      <c r="H7" s="17">
        <f t="shared" si="1"/>
        <v>76.874685496625233</v>
      </c>
      <c r="I7" s="17">
        <f t="shared" si="2"/>
        <v>3.2253145033747614</v>
      </c>
      <c r="J7" s="17">
        <f t="shared" si="3"/>
        <v>10.402653645679584</v>
      </c>
      <c r="K7" s="3">
        <f t="shared" si="4"/>
        <v>8050.0499999999993</v>
      </c>
      <c r="L7" s="3">
        <f t="shared" si="5"/>
        <v>10100.25</v>
      </c>
      <c r="M7" s="3">
        <f t="shared" si="5"/>
        <v>6416.0099999999993</v>
      </c>
      <c r="N7" s="3">
        <f t="shared" si="0"/>
        <v>1599.9999999999995</v>
      </c>
      <c r="O7" s="3">
        <f t="shared" si="6"/>
        <v>507.0002777777774</v>
      </c>
      <c r="P7">
        <f t="shared" si="7"/>
        <v>372.15626828814698</v>
      </c>
    </row>
    <row r="8" spans="2:16" ht="18.600000000000001" thickBot="1" x14ac:dyDescent="0.35">
      <c r="E8" s="14">
        <v>6</v>
      </c>
      <c r="F8" s="9">
        <v>93.3</v>
      </c>
      <c r="G8" s="10">
        <v>65.900000000000006</v>
      </c>
      <c r="H8" s="17">
        <f t="shared" si="1"/>
        <v>73.402242107232681</v>
      </c>
      <c r="I8" s="17">
        <f t="shared" si="2"/>
        <v>-7.502242107232675</v>
      </c>
      <c r="J8" s="17">
        <f t="shared" si="3"/>
        <v>56.283636635534968</v>
      </c>
      <c r="K8" s="3">
        <f t="shared" si="4"/>
        <v>6148.47</v>
      </c>
      <c r="L8" s="3">
        <f t="shared" si="5"/>
        <v>8704.89</v>
      </c>
      <c r="M8" s="3">
        <f t="shared" si="5"/>
        <v>4342.8100000000004</v>
      </c>
      <c r="N8" s="3">
        <f t="shared" si="0"/>
        <v>1075.8399999999992</v>
      </c>
      <c r="O8" s="3">
        <f t="shared" si="6"/>
        <v>69.166944444444496</v>
      </c>
      <c r="P8">
        <f t="shared" si="7"/>
        <v>250.23787479694968</v>
      </c>
    </row>
    <row r="9" spans="2:16" ht="18.600000000000001" thickBot="1" x14ac:dyDescent="0.35">
      <c r="E9" s="14">
        <v>7</v>
      </c>
      <c r="F9" s="9">
        <v>82.1</v>
      </c>
      <c r="G9" s="10">
        <v>64.2</v>
      </c>
      <c r="H9" s="17">
        <f t="shared" si="1"/>
        <v>68.000663501510957</v>
      </c>
      <c r="I9" s="17">
        <f t="shared" si="2"/>
        <v>-3.8006635015109538</v>
      </c>
      <c r="J9" s="17">
        <f t="shared" si="3"/>
        <v>14.445043051717503</v>
      </c>
      <c r="K9" s="3">
        <f t="shared" si="4"/>
        <v>5270.82</v>
      </c>
      <c r="L9" s="3">
        <f t="shared" si="5"/>
        <v>6740.4099999999989</v>
      </c>
      <c r="M9" s="3">
        <f t="shared" si="5"/>
        <v>4121.6400000000003</v>
      </c>
      <c r="N9" s="3">
        <f t="shared" si="0"/>
        <v>466.55999999999943</v>
      </c>
      <c r="O9" s="3">
        <f t="shared" si="6"/>
        <v>43.780277777777783</v>
      </c>
      <c r="P9">
        <f t="shared" si="7"/>
        <v>108.52076783282358</v>
      </c>
    </row>
    <row r="10" spans="2:16" ht="18.600000000000001" thickBot="1" x14ac:dyDescent="0.35">
      <c r="E10" s="14">
        <v>8</v>
      </c>
      <c r="F10" s="9">
        <v>77.400000000000006</v>
      </c>
      <c r="G10" s="10">
        <v>70.5</v>
      </c>
      <c r="H10" s="17">
        <f t="shared" si="1"/>
        <v>65.733929622324155</v>
      </c>
      <c r="I10" s="17">
        <f t="shared" si="2"/>
        <v>4.7660703776758453</v>
      </c>
      <c r="J10" s="17">
        <f t="shared" si="3"/>
        <v>22.715426844959175</v>
      </c>
      <c r="K10" s="3">
        <f t="shared" si="4"/>
        <v>5456.7000000000007</v>
      </c>
      <c r="L10" s="3">
        <f t="shared" si="5"/>
        <v>5990.7600000000011</v>
      </c>
      <c r="M10" s="3">
        <f t="shared" si="5"/>
        <v>4970.25</v>
      </c>
      <c r="N10" s="3">
        <f t="shared" si="0"/>
        <v>285.60999999999996</v>
      </c>
      <c r="O10" s="3">
        <f t="shared" si="6"/>
        <v>166.84027777777771</v>
      </c>
      <c r="P10">
        <f t="shared" si="7"/>
        <v>66.432219866110913</v>
      </c>
    </row>
    <row r="11" spans="2:16" ht="18.600000000000001" thickBot="1" x14ac:dyDescent="0.35">
      <c r="E11" s="14">
        <v>9</v>
      </c>
      <c r="F11" s="9">
        <v>55.7</v>
      </c>
      <c r="G11" s="10">
        <v>61.1</v>
      </c>
      <c r="H11" s="17">
        <f t="shared" si="1"/>
        <v>55.268371073738308</v>
      </c>
      <c r="I11" s="17">
        <f t="shared" si="2"/>
        <v>5.8316289262616934</v>
      </c>
      <c r="J11" s="17">
        <f t="shared" si="3"/>
        <v>34.007895933612112</v>
      </c>
      <c r="K11" s="3">
        <f t="shared" si="4"/>
        <v>3403.2700000000004</v>
      </c>
      <c r="L11" s="3">
        <f t="shared" si="5"/>
        <v>3102.4900000000002</v>
      </c>
      <c r="M11" s="3">
        <f t="shared" si="5"/>
        <v>3733.21</v>
      </c>
      <c r="N11" s="3">
        <f t="shared" si="0"/>
        <v>23.040000000000042</v>
      </c>
      <c r="O11" s="3">
        <f t="shared" si="6"/>
        <v>12.366944444444437</v>
      </c>
      <c r="P11">
        <f t="shared" si="7"/>
        <v>5.3590502633493164</v>
      </c>
    </row>
    <row r="12" spans="2:16" ht="18.600000000000001" thickBot="1" x14ac:dyDescent="0.35">
      <c r="E12" s="14">
        <v>10</v>
      </c>
      <c r="F12" s="9">
        <v>38.9</v>
      </c>
      <c r="G12" s="10">
        <v>51.7</v>
      </c>
      <c r="H12" s="17">
        <f t="shared" si="1"/>
        <v>47.166003165155708</v>
      </c>
      <c r="I12" s="17">
        <f t="shared" si="2"/>
        <v>4.5339968348442952</v>
      </c>
      <c r="J12" s="17">
        <f t="shared" si="3"/>
        <v>20.557127298378088</v>
      </c>
      <c r="K12" s="3">
        <f t="shared" si="4"/>
        <v>2011.13</v>
      </c>
      <c r="L12" s="3">
        <f t="shared" si="5"/>
        <v>1513.2099999999998</v>
      </c>
      <c r="M12" s="3">
        <f t="shared" si="5"/>
        <v>2672.8900000000003</v>
      </c>
      <c r="N12" s="3">
        <f t="shared" si="0"/>
        <v>466.56000000000034</v>
      </c>
      <c r="O12" s="3">
        <f t="shared" si="6"/>
        <v>34.613611111111105</v>
      </c>
      <c r="P12">
        <f t="shared" si="7"/>
        <v>108.52076783282372</v>
      </c>
    </row>
    <row r="13" spans="2:16" ht="18.600000000000001" thickBot="1" x14ac:dyDescent="0.35">
      <c r="E13" s="14">
        <v>11</v>
      </c>
      <c r="F13" s="9">
        <v>45.2</v>
      </c>
      <c r="G13" s="10">
        <v>59.4</v>
      </c>
      <c r="H13" s="17">
        <f t="shared" si="1"/>
        <v>50.204391130874185</v>
      </c>
      <c r="I13" s="17">
        <f t="shared" si="2"/>
        <v>9.1956088691258131</v>
      </c>
      <c r="J13" s="17">
        <f t="shared" si="3"/>
        <v>84.559222473945312</v>
      </c>
      <c r="K13" s="3">
        <f t="shared" si="4"/>
        <v>2684.88</v>
      </c>
      <c r="L13" s="3">
        <f t="shared" si="5"/>
        <v>2043.0400000000002</v>
      </c>
      <c r="M13" s="3">
        <f t="shared" si="5"/>
        <v>3528.3599999999997</v>
      </c>
      <c r="N13" s="3">
        <f t="shared" si="0"/>
        <v>234.09000000000012</v>
      </c>
      <c r="O13" s="3">
        <f t="shared" si="6"/>
        <v>3.3002777777777639</v>
      </c>
      <c r="P13">
        <f t="shared" si="7"/>
        <v>54.448788027232695</v>
      </c>
    </row>
    <row r="14" spans="2:16" ht="18.600000000000001" thickBot="1" x14ac:dyDescent="0.35">
      <c r="E14" s="14">
        <v>12</v>
      </c>
      <c r="F14" s="11">
        <v>60.2</v>
      </c>
      <c r="G14" s="12">
        <v>65.8</v>
      </c>
      <c r="H14" s="17">
        <f t="shared" si="1"/>
        <v>57.438648192108644</v>
      </c>
      <c r="I14" s="17">
        <f t="shared" si="2"/>
        <v>8.3613518078913529</v>
      </c>
      <c r="J14" s="17">
        <f>POWER(G14-H14,2)</f>
        <v>69.91220405532799</v>
      </c>
      <c r="K14" s="3">
        <f t="shared" si="4"/>
        <v>3961.16</v>
      </c>
      <c r="L14" s="3">
        <f t="shared" si="5"/>
        <v>3624.0400000000004</v>
      </c>
      <c r="M14" s="3">
        <f t="shared" si="5"/>
        <v>4329.6399999999994</v>
      </c>
      <c r="N14" s="3">
        <f t="shared" si="0"/>
        <v>9.0000000000002564E-2</v>
      </c>
      <c r="O14" s="3">
        <f t="shared" si="6"/>
        <v>67.513611111111032</v>
      </c>
      <c r="P14">
        <f t="shared" si="7"/>
        <v>2.0933790091208909E-2</v>
      </c>
    </row>
    <row r="15" spans="2:16" s="18" customFormat="1" ht="15.6" x14ac:dyDescent="0.3">
      <c r="E15" s="19" t="s">
        <v>27</v>
      </c>
      <c r="F15" s="18">
        <f t="shared" ref="F15:P15" si="8">SUM(F3:F14)</f>
        <v>726.00000000000011</v>
      </c>
      <c r="G15" s="18">
        <f t="shared" si="8"/>
        <v>691</v>
      </c>
      <c r="H15" s="18">
        <f t="shared" si="8"/>
        <v>691</v>
      </c>
      <c r="I15" s="18">
        <f t="shared" si="8"/>
        <v>1.4210854715202004E-14</v>
      </c>
      <c r="J15" s="18">
        <f t="shared" si="8"/>
        <v>477.29991368992518</v>
      </c>
      <c r="K15" s="18">
        <f t="shared" si="8"/>
        <v>44881.399999999994</v>
      </c>
      <c r="L15" s="18">
        <f t="shared" si="8"/>
        <v>50300.78</v>
      </c>
      <c r="M15" s="18">
        <f t="shared" si="8"/>
        <v>41750.840000000004</v>
      </c>
      <c r="N15" s="18">
        <f t="shared" si="8"/>
        <v>6377.78</v>
      </c>
      <c r="O15" s="18">
        <f t="shared" si="8"/>
        <v>1960.7566666666664</v>
      </c>
      <c r="P15" s="18">
        <f t="shared" si="8"/>
        <v>1483.456752976736</v>
      </c>
    </row>
    <row r="16" spans="2:16" x14ac:dyDescent="0.3">
      <c r="B16" t="s">
        <v>33</v>
      </c>
      <c r="C16">
        <f>COUNTA(E3:E14)</f>
        <v>12</v>
      </c>
      <c r="N16" s="3"/>
    </row>
    <row r="17" spans="2:14" x14ac:dyDescent="0.3">
      <c r="N17" s="3"/>
    </row>
    <row r="18" spans="2:14" x14ac:dyDescent="0.3">
      <c r="N18" s="3"/>
    </row>
    <row r="19" spans="2:14" x14ac:dyDescent="0.3">
      <c r="N19" s="3"/>
    </row>
    <row r="20" spans="2:14" x14ac:dyDescent="0.3">
      <c r="B20" t="s">
        <v>34</v>
      </c>
      <c r="C20" s="16">
        <f>(C16*K15-F15*G15)/(C16*L15-POWER(F15,2))</f>
        <v>0.48228380408229737</v>
      </c>
      <c r="N20" s="3"/>
    </row>
    <row r="21" spans="2:14" x14ac:dyDescent="0.3">
      <c r="B21" t="s">
        <v>35</v>
      </c>
      <c r="C21" s="16">
        <f>(G15-C20*F15)/C16</f>
        <v>28.40516318635434</v>
      </c>
      <c r="K21"/>
    </row>
    <row r="22" spans="2:14" x14ac:dyDescent="0.3">
      <c r="E22" s="16"/>
      <c r="K22"/>
    </row>
    <row r="23" spans="2:14" x14ac:dyDescent="0.3">
      <c r="B23" t="s">
        <v>36</v>
      </c>
      <c r="C23" s="16">
        <f>C20</f>
        <v>0.48228380408229737</v>
      </c>
      <c r="D23" s="16" t="s">
        <v>37</v>
      </c>
      <c r="E23" s="3" t="s">
        <v>38</v>
      </c>
      <c r="F23" s="3">
        <f>C21</f>
        <v>28.40516318635434</v>
      </c>
      <c r="K23"/>
    </row>
    <row r="24" spans="2:14" x14ac:dyDescent="0.3">
      <c r="K24"/>
    </row>
    <row r="25" spans="2:14" x14ac:dyDescent="0.3">
      <c r="B25" t="s">
        <v>39</v>
      </c>
      <c r="C25">
        <f>CORREL(F3:F14,G3:G14)</f>
        <v>0.86981240029449047</v>
      </c>
      <c r="K25"/>
    </row>
    <row r="26" spans="2:14" x14ac:dyDescent="0.3">
      <c r="K26"/>
    </row>
    <row r="27" spans="2:14" x14ac:dyDescent="0.3">
      <c r="C27" t="s">
        <v>40</v>
      </c>
      <c r="D27">
        <f>C16*K15-F15*G15</f>
        <v>36910.799999999872</v>
      </c>
      <c r="K27"/>
    </row>
    <row r="28" spans="2:14" x14ac:dyDescent="0.3">
      <c r="C28" t="s">
        <v>41</v>
      </c>
      <c r="D28">
        <f>SQRT((C16*L15-POWER(F15,2))*(C16*M15-POWER(G15,2)))</f>
        <v>42435.357310959487</v>
      </c>
      <c r="K28"/>
      <c r="L28"/>
    </row>
    <row r="29" spans="2:14" x14ac:dyDescent="0.3">
      <c r="B29" t="s">
        <v>39</v>
      </c>
      <c r="C29" s="16">
        <f>D27/D28</f>
        <v>0.86981240029448681</v>
      </c>
      <c r="D29" s="16"/>
      <c r="K29"/>
      <c r="L29"/>
    </row>
    <row r="30" spans="2:14" x14ac:dyDescent="0.3">
      <c r="B30" t="s">
        <v>46</v>
      </c>
      <c r="C30" s="16">
        <f>POWER(C29,2)</f>
        <v>0.75657361170605653</v>
      </c>
      <c r="D30" s="16">
        <f>P15/O15</f>
        <v>0.75657361170606052</v>
      </c>
      <c r="K30"/>
      <c r="L30"/>
    </row>
    <row r="31" spans="2:14" x14ac:dyDescent="0.3">
      <c r="B31" t="s">
        <v>51</v>
      </c>
      <c r="C31" s="16">
        <f>SQRT(C30)</f>
        <v>0.86981240029448681</v>
      </c>
      <c r="D31" s="16"/>
      <c r="H31" s="3">
        <v>0.86981240029448703</v>
      </c>
      <c r="K31"/>
      <c r="L31"/>
    </row>
    <row r="32" spans="2:14" x14ac:dyDescent="0.3">
      <c r="B32" t="s">
        <v>43</v>
      </c>
      <c r="C32" s="16">
        <f>C29*D32</f>
        <v>5.5749601455950302</v>
      </c>
      <c r="D32" s="16">
        <f>SQRT((C16-2)/(1-POWER(C29,2)))</f>
        <v>6.4093822342697706</v>
      </c>
      <c r="K32"/>
      <c r="L32"/>
    </row>
    <row r="33" spans="2:12" x14ac:dyDescent="0.3">
      <c r="B33" t="s">
        <v>59</v>
      </c>
      <c r="C33" s="16">
        <v>2.2280000000000002</v>
      </c>
      <c r="D33" s="16"/>
      <c r="K33"/>
      <c r="L33"/>
    </row>
    <row r="34" spans="2:12" x14ac:dyDescent="0.3">
      <c r="B34" t="s">
        <v>42</v>
      </c>
      <c r="C34" s="16">
        <f>F15/$C$16</f>
        <v>60.500000000000007</v>
      </c>
      <c r="D34" s="16"/>
    </row>
    <row r="35" spans="2:12" x14ac:dyDescent="0.3">
      <c r="B35" t="s">
        <v>45</v>
      </c>
      <c r="C35" s="16">
        <f>G15/$C$16</f>
        <v>57.583333333333336</v>
      </c>
    </row>
    <row r="36" spans="2:12" x14ac:dyDescent="0.3">
      <c r="B36" t="s">
        <v>55</v>
      </c>
      <c r="C36" s="3">
        <f>O15</f>
        <v>1960.7566666666664</v>
      </c>
    </row>
    <row r="37" spans="2:12" x14ac:dyDescent="0.3">
      <c r="B37" t="s">
        <v>56</v>
      </c>
      <c r="C37" s="3">
        <f>$O$15-$P$15</f>
        <v>477.29991368993046</v>
      </c>
    </row>
    <row r="38" spans="2:12" x14ac:dyDescent="0.3">
      <c r="B38" t="s">
        <v>53</v>
      </c>
      <c r="C38" s="3">
        <f>P15</f>
        <v>1483.456752976736</v>
      </c>
    </row>
    <row r="39" spans="2:12" x14ac:dyDescent="0.3">
      <c r="B39" t="s">
        <v>63</v>
      </c>
      <c r="C39" s="3">
        <f>J15</f>
        <v>477.29991368992518</v>
      </c>
    </row>
    <row r="40" spans="2:12" x14ac:dyDescent="0.3">
      <c r="B40" t="s">
        <v>57</v>
      </c>
      <c r="C40">
        <f>(1/(C16-2))*J15</f>
        <v>47.729991368992522</v>
      </c>
      <c r="D40" s="16"/>
    </row>
    <row r="41" spans="2:12" x14ac:dyDescent="0.3">
      <c r="B41" t="s">
        <v>58</v>
      </c>
      <c r="C41" s="3">
        <f>SQRT(C40)</f>
        <v>6.908689555117709</v>
      </c>
      <c r="D41" s="16"/>
    </row>
    <row r="42" spans="2:12" x14ac:dyDescent="0.3">
      <c r="B42" t="s">
        <v>52</v>
      </c>
      <c r="C42">
        <f>C30/(1-C30)*(12-1-1)/1</f>
        <v>31.080180624972954</v>
      </c>
      <c r="D42">
        <f>C36/C42</f>
        <v>63.087042199851204</v>
      </c>
    </row>
    <row r="47" spans="2:12" x14ac:dyDescent="0.3">
      <c r="E47">
        <f>C49+C48</f>
        <v>69.311358739082692</v>
      </c>
    </row>
    <row r="48" spans="2:12" x14ac:dyDescent="0.3">
      <c r="B48" t="s">
        <v>60</v>
      </c>
      <c r="C48">
        <f>C33*C41*SQRT(1+1/12+POWER(51.4-60.5,2)/N15)</f>
        <v>16.116808022898269</v>
      </c>
    </row>
    <row r="49" spans="2:4" x14ac:dyDescent="0.3">
      <c r="B49" t="s">
        <v>61</v>
      </c>
      <c r="C49">
        <f>C21+C20*51.4</f>
        <v>53.194550716184423</v>
      </c>
    </row>
    <row r="50" spans="2:4" x14ac:dyDescent="0.3">
      <c r="B50" t="s">
        <v>38</v>
      </c>
      <c r="C50">
        <f>C49-C48</f>
        <v>37.077742693286154</v>
      </c>
      <c r="D50" t="s">
        <v>62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85"/>
  <sheetViews>
    <sheetView topLeftCell="A14" zoomScaleNormal="100" zoomScaleSheetLayoutView="100" workbookViewId="0">
      <selection activeCell="C86" sqref="C86"/>
    </sheetView>
  </sheetViews>
  <sheetFormatPr defaultRowHeight="14.4" x14ac:dyDescent="0.3"/>
  <cols>
    <col min="2" max="2" width="15.21875" bestFit="1" customWidth="1"/>
    <col min="3" max="3" width="15.109375" customWidth="1"/>
    <col min="4" max="4" width="12" bestFit="1" customWidth="1"/>
    <col min="5" max="5" width="13.21875" customWidth="1"/>
    <col min="6" max="7" width="10" style="3" bestFit="1" customWidth="1"/>
    <col min="8" max="8" width="14" style="3" bestFit="1" customWidth="1"/>
    <col min="9" max="9" width="14" style="3" customWidth="1"/>
    <col min="10" max="10" width="15.33203125" style="3" bestFit="1" customWidth="1"/>
    <col min="11" max="11" width="14" style="3" customWidth="1"/>
    <col min="12" max="12" width="11.6640625" style="3" customWidth="1"/>
    <col min="13" max="14" width="14.21875" customWidth="1"/>
    <col min="15" max="15" width="9.88671875" bestFit="1" customWidth="1"/>
    <col min="16" max="16" width="9.88671875" customWidth="1"/>
    <col min="17" max="17" width="19.88671875" customWidth="1"/>
    <col min="18" max="18" width="20.5546875" customWidth="1"/>
    <col min="19" max="19" width="22.77734375" customWidth="1"/>
    <col min="20" max="20" width="15.88671875" customWidth="1"/>
    <col min="21" max="21" width="11.21875" customWidth="1"/>
  </cols>
  <sheetData>
    <row r="1" spans="4:21" x14ac:dyDescent="0.3">
      <c r="E1" s="3"/>
    </row>
    <row r="2" spans="4:21" s="50" customFormat="1" ht="16.2" thickBot="1" x14ac:dyDescent="0.35">
      <c r="D2" s="45"/>
      <c r="E2" s="46" t="s">
        <v>32</v>
      </c>
      <c r="F2" s="47" t="s">
        <v>65</v>
      </c>
      <c r="G2" s="47" t="s">
        <v>29</v>
      </c>
      <c r="H2" s="48" t="s">
        <v>47</v>
      </c>
      <c r="I2" s="48" t="s">
        <v>54</v>
      </c>
      <c r="J2" s="49" t="s">
        <v>49</v>
      </c>
      <c r="K2" s="48" t="s">
        <v>106</v>
      </c>
      <c r="L2" s="48" t="s">
        <v>48</v>
      </c>
      <c r="M2" s="27" t="s">
        <v>107</v>
      </c>
      <c r="N2" s="27" t="s">
        <v>108</v>
      </c>
      <c r="O2" s="27" t="s">
        <v>109</v>
      </c>
      <c r="P2" s="71" t="s">
        <v>50</v>
      </c>
      <c r="Q2" s="67" t="s">
        <v>72</v>
      </c>
      <c r="R2" s="68" t="s">
        <v>110</v>
      </c>
      <c r="S2" s="69" t="s">
        <v>78</v>
      </c>
      <c r="T2" s="70" t="s">
        <v>74</v>
      </c>
      <c r="U2" s="72" t="s">
        <v>76</v>
      </c>
    </row>
    <row r="3" spans="4:21" s="50" customFormat="1" ht="16.2" thickBot="1" x14ac:dyDescent="0.35">
      <c r="D3" s="51">
        <v>1</v>
      </c>
      <c r="E3" s="52">
        <v>115.1</v>
      </c>
      <c r="F3" s="53">
        <v>5.9</v>
      </c>
      <c r="G3" s="53">
        <v>71.099999999999994</v>
      </c>
      <c r="H3" s="44">
        <f>$C$23+$C$24*F3+$C$25*G3</f>
        <v>84.190790175063384</v>
      </c>
      <c r="I3" s="44">
        <f>POWER(E3-H3,2)</f>
        <v>955.37925200195787</v>
      </c>
      <c r="J3" s="44">
        <f>POWER(H3-$C$27,2)</f>
        <v>475.6416331881112</v>
      </c>
      <c r="K3" s="44">
        <f>POWER( E3-$C$27,2)</f>
        <v>82.810000000000159</v>
      </c>
      <c r="L3" s="54"/>
      <c r="M3" s="55">
        <f t="shared" ref="M3:M17" si="0">F3-$C$28</f>
        <v>-15.100000000000003</v>
      </c>
      <c r="N3" s="55">
        <f t="shared" ref="N3:N17" si="1">G3-$C$29</f>
        <v>29.099999999999994</v>
      </c>
      <c r="O3" s="55">
        <f t="shared" ref="O3:O17" si="2">E3-$C$27</f>
        <v>9.1000000000000085</v>
      </c>
      <c r="P3" s="55">
        <f t="shared" ref="P3:P17" si="3">POWER(E3-$C$27,2)</f>
        <v>82.810000000000159</v>
      </c>
      <c r="Q3" s="55">
        <f>M3*O3</f>
        <v>-137.41000000000017</v>
      </c>
      <c r="R3" s="55">
        <f t="shared" ref="R3:R17" si="4">N3*O3</f>
        <v>264.81000000000017</v>
      </c>
      <c r="S3" s="55">
        <f>M3*N3</f>
        <v>-439.41</v>
      </c>
      <c r="T3" s="55">
        <f>POWER(M3,2)</f>
        <v>228.0100000000001</v>
      </c>
      <c r="U3" s="55">
        <f>POWER(N3,2)</f>
        <v>846.80999999999972</v>
      </c>
    </row>
    <row r="4" spans="4:21" s="50" customFormat="1" ht="16.2" thickBot="1" x14ac:dyDescent="0.35">
      <c r="D4" s="56">
        <v>2</v>
      </c>
      <c r="E4" s="57">
        <v>97.1</v>
      </c>
      <c r="F4" s="58">
        <v>17</v>
      </c>
      <c r="G4" s="58">
        <v>15.2</v>
      </c>
      <c r="H4" s="44">
        <f t="shared" ref="H4:H17" si="5">$C$23+$C$24*F4+$C$25*G4</f>
        <v>86.989761981231212</v>
      </c>
      <c r="I4" s="44">
        <f t="shared" ref="I4:I17" si="6">POWER(E4-H4,2)</f>
        <v>102.21691279615773</v>
      </c>
      <c r="J4" s="44">
        <f t="shared" ref="J4:J17" si="7">POWER(H4-$C$27,2)</f>
        <v>361.38914953024175</v>
      </c>
      <c r="K4" s="44">
        <f t="shared" ref="K4:K17" si="8">POWER( E4-$C$27,2)</f>
        <v>79.209999999999852</v>
      </c>
      <c r="L4" s="54"/>
      <c r="M4" s="55">
        <f t="shared" si="0"/>
        <v>-4.0000000000000036</v>
      </c>
      <c r="N4" s="55">
        <f t="shared" si="1"/>
        <v>-26.8</v>
      </c>
      <c r="O4" s="55">
        <f t="shared" si="2"/>
        <v>-8.8999999999999915</v>
      </c>
      <c r="P4" s="55">
        <f t="shared" si="3"/>
        <v>79.209999999999852</v>
      </c>
      <c r="Q4" s="55">
        <f t="shared" ref="Q4:Q17" si="9">M4*O4</f>
        <v>35.599999999999994</v>
      </c>
      <c r="R4" s="55">
        <f t="shared" si="4"/>
        <v>238.51999999999978</v>
      </c>
      <c r="S4" s="55">
        <f t="shared" ref="S4:S16" si="10">M4*N4</f>
        <v>107.2000000000001</v>
      </c>
      <c r="T4" s="55">
        <f t="shared" ref="T4:T17" si="11">POWER(M4,2)</f>
        <v>16.000000000000028</v>
      </c>
      <c r="U4" s="55">
        <f t="shared" ref="U4:U17" si="12">POWER(N4,2)</f>
        <v>718.24</v>
      </c>
    </row>
    <row r="5" spans="4:21" s="50" customFormat="1" ht="16.2" thickBot="1" x14ac:dyDescent="0.35">
      <c r="D5" s="56">
        <v>3</v>
      </c>
      <c r="E5" s="57">
        <v>53.6</v>
      </c>
      <c r="F5" s="58">
        <v>4.0999999999999996</v>
      </c>
      <c r="G5" s="58">
        <v>8.5</v>
      </c>
      <c r="H5" s="44">
        <f t="shared" si="5"/>
        <v>56.255686162560124</v>
      </c>
      <c r="I5" s="44">
        <f t="shared" si="6"/>
        <v>7.0526689940133114</v>
      </c>
      <c r="J5" s="44">
        <f t="shared" si="7"/>
        <v>2474.496759157711</v>
      </c>
      <c r="K5" s="44">
        <f t="shared" si="8"/>
        <v>2745.7599999999984</v>
      </c>
      <c r="L5" s="54"/>
      <c r="M5" s="55">
        <f t="shared" si="0"/>
        <v>-16.900000000000006</v>
      </c>
      <c r="N5" s="55">
        <f t="shared" si="1"/>
        <v>-33.5</v>
      </c>
      <c r="O5" s="55">
        <f t="shared" si="2"/>
        <v>-52.399999999999984</v>
      </c>
      <c r="P5" s="55">
        <f t="shared" si="3"/>
        <v>2745.7599999999984</v>
      </c>
      <c r="Q5" s="55">
        <f t="shared" si="9"/>
        <v>885.56000000000006</v>
      </c>
      <c r="R5" s="55">
        <f t="shared" si="4"/>
        <v>1755.3999999999994</v>
      </c>
      <c r="S5" s="55">
        <f t="shared" si="10"/>
        <v>566.1500000000002</v>
      </c>
      <c r="T5" s="55">
        <f t="shared" si="11"/>
        <v>285.61000000000018</v>
      </c>
      <c r="U5" s="55">
        <f t="shared" si="12"/>
        <v>1122.25</v>
      </c>
    </row>
    <row r="6" spans="4:21" s="50" customFormat="1" ht="16.2" thickBot="1" x14ac:dyDescent="0.35">
      <c r="D6" s="56">
        <v>4</v>
      </c>
      <c r="E6" s="57">
        <v>61.5</v>
      </c>
      <c r="F6" s="58">
        <v>4.5999999999999996</v>
      </c>
      <c r="G6" s="58">
        <v>69.099999999999994</v>
      </c>
      <c r="H6" s="44">
        <f t="shared" si="5"/>
        <v>80.585536309787173</v>
      </c>
      <c r="I6" s="44">
        <f t="shared" si="6"/>
        <v>364.25769623220458</v>
      </c>
      <c r="J6" s="44">
        <f t="shared" si="7"/>
        <v>645.89496466114542</v>
      </c>
      <c r="K6" s="44">
        <f t="shared" si="8"/>
        <v>1980.2499999999986</v>
      </c>
      <c r="L6" s="54"/>
      <c r="M6" s="55">
        <f t="shared" si="0"/>
        <v>-16.400000000000006</v>
      </c>
      <c r="N6" s="55">
        <f t="shared" si="1"/>
        <v>27.099999999999994</v>
      </c>
      <c r="O6" s="55">
        <f t="shared" si="2"/>
        <v>-44.499999999999986</v>
      </c>
      <c r="P6" s="55">
        <f t="shared" si="3"/>
        <v>1980.2499999999986</v>
      </c>
      <c r="Q6" s="55">
        <f t="shared" si="9"/>
        <v>729.80000000000007</v>
      </c>
      <c r="R6" s="55">
        <f t="shared" si="4"/>
        <v>-1205.9499999999994</v>
      </c>
      <c r="S6" s="55">
        <f t="shared" si="10"/>
        <v>-444.44000000000005</v>
      </c>
      <c r="T6" s="55">
        <f t="shared" si="11"/>
        <v>268.96000000000021</v>
      </c>
      <c r="U6" s="55">
        <f t="shared" si="12"/>
        <v>734.40999999999974</v>
      </c>
    </row>
    <row r="7" spans="4:21" s="50" customFormat="1" ht="16.2" thickBot="1" x14ac:dyDescent="0.35">
      <c r="D7" s="56">
        <v>5</v>
      </c>
      <c r="E7" s="57">
        <v>55.3</v>
      </c>
      <c r="F7" s="58">
        <v>5.2</v>
      </c>
      <c r="G7" s="58">
        <v>70.3</v>
      </c>
      <c r="H7" s="44">
        <f t="shared" si="5"/>
        <v>82.355690903195239</v>
      </c>
      <c r="I7" s="44">
        <f t="shared" si="6"/>
        <v>732.01041024924177</v>
      </c>
      <c r="J7" s="44">
        <f t="shared" si="7"/>
        <v>559.05335266524366</v>
      </c>
      <c r="K7" s="44">
        <f t="shared" si="8"/>
        <v>2570.4899999999989</v>
      </c>
      <c r="L7" s="54"/>
      <c r="M7" s="55">
        <f t="shared" si="0"/>
        <v>-15.800000000000004</v>
      </c>
      <c r="N7" s="55">
        <f t="shared" si="1"/>
        <v>28.299999999999997</v>
      </c>
      <c r="O7" s="55">
        <f t="shared" si="2"/>
        <v>-50.699999999999989</v>
      </c>
      <c r="P7" s="55">
        <f t="shared" si="3"/>
        <v>2570.4899999999989</v>
      </c>
      <c r="Q7" s="55">
        <f t="shared" si="9"/>
        <v>801.06000000000006</v>
      </c>
      <c r="R7" s="55">
        <f t="shared" si="4"/>
        <v>-1434.8099999999995</v>
      </c>
      <c r="S7" s="55">
        <f t="shared" si="10"/>
        <v>-447.1400000000001</v>
      </c>
      <c r="T7" s="55">
        <f t="shared" si="11"/>
        <v>249.64000000000013</v>
      </c>
      <c r="U7" s="55">
        <f t="shared" si="12"/>
        <v>800.88999999999987</v>
      </c>
    </row>
    <row r="8" spans="4:21" s="50" customFormat="1" ht="16.2" thickBot="1" x14ac:dyDescent="0.35">
      <c r="D8" s="56">
        <v>6</v>
      </c>
      <c r="E8" s="57">
        <v>68.900000000000006</v>
      </c>
      <c r="F8" s="58">
        <v>16.8</v>
      </c>
      <c r="G8" s="58">
        <v>49.7</v>
      </c>
      <c r="H8" s="44">
        <f t="shared" si="5"/>
        <v>99.782760350206047</v>
      </c>
      <c r="I8" s="44">
        <f t="shared" si="6"/>
        <v>953.74488684825837</v>
      </c>
      <c r="J8" s="44">
        <f t="shared" si="7"/>
        <v>38.654068862969858</v>
      </c>
      <c r="K8" s="44">
        <f t="shared" si="8"/>
        <v>1376.4099999999985</v>
      </c>
      <c r="L8" s="54"/>
      <c r="M8" s="55">
        <f t="shared" si="0"/>
        <v>-4.2000000000000028</v>
      </c>
      <c r="N8" s="55">
        <f t="shared" si="1"/>
        <v>7.7000000000000028</v>
      </c>
      <c r="O8" s="55">
        <f t="shared" si="2"/>
        <v>-37.09999999999998</v>
      </c>
      <c r="P8" s="55">
        <f t="shared" si="3"/>
        <v>1376.4099999999985</v>
      </c>
      <c r="Q8" s="55">
        <f t="shared" si="9"/>
        <v>155.82000000000002</v>
      </c>
      <c r="R8" s="55">
        <f t="shared" si="4"/>
        <v>-285.66999999999996</v>
      </c>
      <c r="S8" s="55">
        <f t="shared" si="10"/>
        <v>-32.340000000000032</v>
      </c>
      <c r="T8" s="55">
        <f t="shared" si="11"/>
        <v>17.640000000000025</v>
      </c>
      <c r="U8" s="55">
        <f t="shared" si="12"/>
        <v>59.290000000000042</v>
      </c>
    </row>
    <row r="9" spans="4:21" s="50" customFormat="1" ht="16.2" thickBot="1" x14ac:dyDescent="0.35">
      <c r="D9" s="56">
        <v>7</v>
      </c>
      <c r="E9" s="57">
        <v>130</v>
      </c>
      <c r="F9" s="58">
        <v>41.3</v>
      </c>
      <c r="G9" s="58">
        <v>33.1</v>
      </c>
      <c r="H9" s="44">
        <f t="shared" si="5"/>
        <v>146.90854072390229</v>
      </c>
      <c r="I9" s="44">
        <f t="shared" si="6"/>
        <v>285.89874941186224</v>
      </c>
      <c r="J9" s="44">
        <f t="shared" si="7"/>
        <v>1673.5087041591735</v>
      </c>
      <c r="K9" s="44">
        <f t="shared" si="8"/>
        <v>576.00000000000068</v>
      </c>
      <c r="L9" s="54"/>
      <c r="M9" s="55">
        <f t="shared" si="0"/>
        <v>20.299999999999994</v>
      </c>
      <c r="N9" s="55">
        <f t="shared" si="1"/>
        <v>-8.8999999999999986</v>
      </c>
      <c r="O9" s="55">
        <f t="shared" si="2"/>
        <v>24.000000000000014</v>
      </c>
      <c r="P9" s="55">
        <f t="shared" si="3"/>
        <v>576.00000000000068</v>
      </c>
      <c r="Q9" s="55">
        <f t="shared" si="9"/>
        <v>487.20000000000016</v>
      </c>
      <c r="R9" s="55">
        <f t="shared" si="4"/>
        <v>-213.60000000000008</v>
      </c>
      <c r="S9" s="55">
        <f t="shared" si="10"/>
        <v>-180.6699999999999</v>
      </c>
      <c r="T9" s="55">
        <f t="shared" si="11"/>
        <v>412.08999999999975</v>
      </c>
      <c r="U9" s="55">
        <f t="shared" si="12"/>
        <v>79.20999999999998</v>
      </c>
    </row>
    <row r="10" spans="4:21" s="50" customFormat="1" ht="16.2" thickBot="1" x14ac:dyDescent="0.35">
      <c r="D10" s="56">
        <v>8</v>
      </c>
      <c r="E10" s="57">
        <v>197</v>
      </c>
      <c r="F10" s="58">
        <v>56.4</v>
      </c>
      <c r="G10" s="58">
        <v>40.299999999999997</v>
      </c>
      <c r="H10" s="44">
        <f t="shared" si="5"/>
        <v>182.6376563188681</v>
      </c>
      <c r="I10" s="44">
        <f t="shared" si="6"/>
        <v>206.27691601494953</v>
      </c>
      <c r="J10" s="44">
        <f t="shared" si="7"/>
        <v>5873.3303660489455</v>
      </c>
      <c r="K10" s="44">
        <f t="shared" si="8"/>
        <v>8281.0000000000018</v>
      </c>
      <c r="L10" s="54"/>
      <c r="M10" s="55">
        <f t="shared" si="0"/>
        <v>35.399999999999991</v>
      </c>
      <c r="N10" s="55">
        <f t="shared" si="1"/>
        <v>-1.7000000000000028</v>
      </c>
      <c r="O10" s="55">
        <f t="shared" si="2"/>
        <v>91.000000000000014</v>
      </c>
      <c r="P10" s="55">
        <f t="shared" si="3"/>
        <v>8281.0000000000018</v>
      </c>
      <c r="Q10" s="55">
        <f t="shared" si="9"/>
        <v>3221.3999999999996</v>
      </c>
      <c r="R10" s="55">
        <f t="shared" si="4"/>
        <v>-154.70000000000027</v>
      </c>
      <c r="S10" s="55">
        <f t="shared" si="10"/>
        <v>-60.180000000000085</v>
      </c>
      <c r="T10" s="55">
        <f t="shared" si="11"/>
        <v>1253.1599999999994</v>
      </c>
      <c r="U10" s="55">
        <f t="shared" si="12"/>
        <v>2.8900000000000095</v>
      </c>
    </row>
    <row r="11" spans="4:21" s="50" customFormat="1" ht="16.2" thickBot="1" x14ac:dyDescent="0.35">
      <c r="D11" s="56">
        <v>9</v>
      </c>
      <c r="E11" s="57">
        <v>145.1</v>
      </c>
      <c r="F11" s="58">
        <v>24.7</v>
      </c>
      <c r="G11" s="58">
        <v>55</v>
      </c>
      <c r="H11" s="44">
        <f t="shared" si="5"/>
        <v>119.06337680569018</v>
      </c>
      <c r="I11" s="44">
        <f t="shared" si="6"/>
        <v>677.90574736247163</v>
      </c>
      <c r="J11" s="44">
        <f t="shared" si="7"/>
        <v>170.65181356744461</v>
      </c>
      <c r="K11" s="44">
        <f t="shared" si="8"/>
        <v>1528.8100000000006</v>
      </c>
      <c r="L11" s="54"/>
      <c r="M11" s="55">
        <f t="shared" si="0"/>
        <v>3.6999999999999957</v>
      </c>
      <c r="N11" s="55">
        <f t="shared" si="1"/>
        <v>13</v>
      </c>
      <c r="O11" s="55">
        <f t="shared" si="2"/>
        <v>39.100000000000009</v>
      </c>
      <c r="P11" s="55">
        <f t="shared" si="3"/>
        <v>1528.8100000000006</v>
      </c>
      <c r="Q11" s="55">
        <f t="shared" si="9"/>
        <v>144.66999999999987</v>
      </c>
      <c r="R11" s="55">
        <f t="shared" si="4"/>
        <v>508.30000000000013</v>
      </c>
      <c r="S11" s="55">
        <f t="shared" si="10"/>
        <v>48.099999999999945</v>
      </c>
      <c r="T11" s="55">
        <f t="shared" si="11"/>
        <v>13.689999999999969</v>
      </c>
      <c r="U11" s="55">
        <f t="shared" si="12"/>
        <v>169</v>
      </c>
    </row>
    <row r="12" spans="4:21" s="50" customFormat="1" ht="16.2" thickBot="1" x14ac:dyDescent="0.35">
      <c r="D12" s="56">
        <v>10</v>
      </c>
      <c r="E12" s="57">
        <v>167</v>
      </c>
      <c r="F12" s="58">
        <v>36.5</v>
      </c>
      <c r="G12" s="58">
        <v>59.6</v>
      </c>
      <c r="H12" s="44">
        <f t="shared" si="5"/>
        <v>146.59051605096448</v>
      </c>
      <c r="I12" s="44">
        <f t="shared" si="6"/>
        <v>416.54703506593847</v>
      </c>
      <c r="J12" s="44">
        <f t="shared" si="7"/>
        <v>1647.5899932836064</v>
      </c>
      <c r="K12" s="44">
        <f t="shared" si="8"/>
        <v>3721.0000000000018</v>
      </c>
      <c r="L12" s="54"/>
      <c r="M12" s="55">
        <f t="shared" si="0"/>
        <v>15.499999999999996</v>
      </c>
      <c r="N12" s="55">
        <f t="shared" si="1"/>
        <v>17.600000000000001</v>
      </c>
      <c r="O12" s="55">
        <f t="shared" si="2"/>
        <v>61.000000000000014</v>
      </c>
      <c r="P12" s="55">
        <f t="shared" si="3"/>
        <v>3721.0000000000018</v>
      </c>
      <c r="Q12" s="55">
        <f t="shared" si="9"/>
        <v>945.5</v>
      </c>
      <c r="R12" s="55">
        <f t="shared" si="4"/>
        <v>1073.6000000000004</v>
      </c>
      <c r="S12" s="55">
        <f t="shared" si="10"/>
        <v>272.79999999999995</v>
      </c>
      <c r="T12" s="55">
        <f t="shared" si="11"/>
        <v>240.24999999999989</v>
      </c>
      <c r="U12" s="55">
        <f t="shared" si="12"/>
        <v>309.76000000000005</v>
      </c>
    </row>
    <row r="13" spans="4:21" s="50" customFormat="1" ht="16.2" thickBot="1" x14ac:dyDescent="0.35">
      <c r="D13" s="56">
        <v>11</v>
      </c>
      <c r="E13" s="57">
        <v>77.5</v>
      </c>
      <c r="F13" s="58">
        <v>6.3</v>
      </c>
      <c r="G13" s="58">
        <v>8.5</v>
      </c>
      <c r="H13" s="44">
        <f t="shared" si="5"/>
        <v>61.058991699598245</v>
      </c>
      <c r="I13" s="44">
        <f t="shared" si="6"/>
        <v>270.30675393387941</v>
      </c>
      <c r="J13" s="44">
        <f t="shared" si="7"/>
        <v>2019.6942270567781</v>
      </c>
      <c r="K13" s="44">
        <f t="shared" si="8"/>
        <v>812.2499999999992</v>
      </c>
      <c r="L13" s="54"/>
      <c r="M13" s="55">
        <f t="shared" si="0"/>
        <v>-14.700000000000003</v>
      </c>
      <c r="N13" s="55">
        <f t="shared" si="1"/>
        <v>-33.5</v>
      </c>
      <c r="O13" s="55">
        <f t="shared" si="2"/>
        <v>-28.499999999999986</v>
      </c>
      <c r="P13" s="55">
        <f t="shared" si="3"/>
        <v>812.2499999999992</v>
      </c>
      <c r="Q13" s="55">
        <f t="shared" si="9"/>
        <v>418.94999999999987</v>
      </c>
      <c r="R13" s="55">
        <f t="shared" si="4"/>
        <v>954.74999999999955</v>
      </c>
      <c r="S13" s="55">
        <f t="shared" si="10"/>
        <v>492.4500000000001</v>
      </c>
      <c r="T13" s="55">
        <f t="shared" si="11"/>
        <v>216.09000000000009</v>
      </c>
      <c r="U13" s="55">
        <f t="shared" si="12"/>
        <v>1122.25</v>
      </c>
    </row>
    <row r="14" spans="4:21" s="50" customFormat="1" ht="16.2" thickBot="1" x14ac:dyDescent="0.35">
      <c r="D14" s="56">
        <v>12</v>
      </c>
      <c r="E14" s="57">
        <v>63.1</v>
      </c>
      <c r="F14" s="58">
        <v>4.3</v>
      </c>
      <c r="G14" s="58">
        <v>44.3</v>
      </c>
      <c r="H14" s="44">
        <f t="shared" si="5"/>
        <v>70.420521833063589</v>
      </c>
      <c r="I14" s="44">
        <f t="shared" si="6"/>
        <v>53.590039908360666</v>
      </c>
      <c r="J14" s="44">
        <f t="shared" si="7"/>
        <v>1265.8992666315037</v>
      </c>
      <c r="K14" s="44">
        <f t="shared" si="8"/>
        <v>1840.4099999999987</v>
      </c>
      <c r="L14" s="54"/>
      <c r="M14" s="55">
        <f t="shared" si="0"/>
        <v>-16.700000000000003</v>
      </c>
      <c r="N14" s="55">
        <f t="shared" si="1"/>
        <v>2.2999999999999972</v>
      </c>
      <c r="O14" s="55">
        <f t="shared" si="2"/>
        <v>-42.899999999999984</v>
      </c>
      <c r="P14" s="55">
        <f t="shared" si="3"/>
        <v>1840.4099999999987</v>
      </c>
      <c r="Q14" s="55">
        <f t="shared" si="9"/>
        <v>716.42999999999984</v>
      </c>
      <c r="R14" s="55">
        <f t="shared" si="4"/>
        <v>-98.669999999999845</v>
      </c>
      <c r="S14" s="55">
        <f t="shared" si="10"/>
        <v>-38.409999999999961</v>
      </c>
      <c r="T14" s="55">
        <f t="shared" si="11"/>
        <v>278.8900000000001</v>
      </c>
      <c r="U14" s="55">
        <f t="shared" si="12"/>
        <v>5.2899999999999867</v>
      </c>
    </row>
    <row r="15" spans="4:21" s="50" customFormat="1" ht="16.2" thickBot="1" x14ac:dyDescent="0.35">
      <c r="D15" s="56">
        <v>13</v>
      </c>
      <c r="E15" s="57">
        <v>158</v>
      </c>
      <c r="F15" s="58">
        <v>29.9</v>
      </c>
      <c r="G15" s="58">
        <v>53.9</v>
      </c>
      <c r="H15" s="44">
        <f t="shared" si="5"/>
        <v>129.99482911232485</v>
      </c>
      <c r="I15" s="44">
        <f t="shared" si="6"/>
        <v>784.28959644788767</v>
      </c>
      <c r="J15" s="44">
        <f t="shared" si="7"/>
        <v>575.75182412967285</v>
      </c>
      <c r="K15" s="44">
        <f t="shared" si="8"/>
        <v>2704.0000000000014</v>
      </c>
      <c r="L15" s="54"/>
      <c r="M15" s="55">
        <f t="shared" si="0"/>
        <v>8.899999999999995</v>
      </c>
      <c r="N15" s="55">
        <f t="shared" si="1"/>
        <v>11.899999999999999</v>
      </c>
      <c r="O15" s="55">
        <f t="shared" si="2"/>
        <v>52.000000000000014</v>
      </c>
      <c r="P15" s="55">
        <f t="shared" si="3"/>
        <v>2704.0000000000014</v>
      </c>
      <c r="Q15" s="55">
        <f t="shared" si="9"/>
        <v>462.79999999999984</v>
      </c>
      <c r="R15" s="55">
        <f t="shared" si="4"/>
        <v>618.80000000000007</v>
      </c>
      <c r="S15" s="55">
        <f t="shared" si="10"/>
        <v>105.90999999999993</v>
      </c>
      <c r="T15" s="55">
        <f t="shared" si="11"/>
        <v>79.209999999999908</v>
      </c>
      <c r="U15" s="55">
        <f t="shared" si="12"/>
        <v>141.60999999999996</v>
      </c>
    </row>
    <row r="16" spans="4:21" s="50" customFormat="1" ht="16.2" thickBot="1" x14ac:dyDescent="0.35">
      <c r="D16" s="56">
        <v>14</v>
      </c>
      <c r="E16" s="57">
        <v>135</v>
      </c>
      <c r="F16" s="58">
        <v>51.9</v>
      </c>
      <c r="G16" s="58">
        <v>40.1</v>
      </c>
      <c r="H16" s="44">
        <f t="shared" si="5"/>
        <v>172.73601947922384</v>
      </c>
      <c r="I16" s="44">
        <f t="shared" si="6"/>
        <v>1424.0071661363613</v>
      </c>
      <c r="J16" s="44">
        <f t="shared" si="7"/>
        <v>4453.696295931346</v>
      </c>
      <c r="K16" s="44">
        <f t="shared" si="8"/>
        <v>841.0000000000008</v>
      </c>
      <c r="L16" s="54"/>
      <c r="M16" s="55">
        <f t="shared" si="0"/>
        <v>30.899999999999995</v>
      </c>
      <c r="N16" s="55">
        <f t="shared" si="1"/>
        <v>-1.8999999999999986</v>
      </c>
      <c r="O16" s="55">
        <f t="shared" si="2"/>
        <v>29.000000000000014</v>
      </c>
      <c r="P16" s="55">
        <f t="shared" si="3"/>
        <v>841.0000000000008</v>
      </c>
      <c r="Q16" s="55">
        <f t="shared" si="9"/>
        <v>896.10000000000025</v>
      </c>
      <c r="R16" s="55">
        <f t="shared" si="4"/>
        <v>-55.099999999999987</v>
      </c>
      <c r="S16" s="55">
        <f t="shared" si="10"/>
        <v>-58.709999999999944</v>
      </c>
      <c r="T16" s="55">
        <f t="shared" si="11"/>
        <v>954.80999999999972</v>
      </c>
      <c r="U16" s="55">
        <f t="shared" si="12"/>
        <v>3.6099999999999945</v>
      </c>
    </row>
    <row r="17" spans="2:21" s="50" customFormat="1" ht="16.2" thickBot="1" x14ac:dyDescent="0.35">
      <c r="D17" s="56">
        <v>15</v>
      </c>
      <c r="E17" s="57">
        <v>65.8</v>
      </c>
      <c r="F17" s="58">
        <v>10.1</v>
      </c>
      <c r="G17" s="58">
        <v>11.3</v>
      </c>
      <c r="H17" s="44">
        <f t="shared" si="5"/>
        <v>70.429322094319232</v>
      </c>
      <c r="I17" s="44">
        <f t="shared" si="6"/>
        <v>21.430623052952232</v>
      </c>
      <c r="J17" s="44">
        <f t="shared" si="7"/>
        <v>1265.2731266696849</v>
      </c>
      <c r="K17" s="44">
        <f t="shared" si="8"/>
        <v>1616.0399999999991</v>
      </c>
      <c r="L17" s="54"/>
      <c r="M17" s="55">
        <f t="shared" si="0"/>
        <v>-10.900000000000004</v>
      </c>
      <c r="N17" s="55">
        <f t="shared" si="1"/>
        <v>-30.7</v>
      </c>
      <c r="O17" s="55">
        <f t="shared" si="2"/>
        <v>-40.199999999999989</v>
      </c>
      <c r="P17" s="55">
        <f t="shared" si="3"/>
        <v>1616.0399999999991</v>
      </c>
      <c r="Q17" s="55">
        <f t="shared" si="9"/>
        <v>438.18</v>
      </c>
      <c r="R17" s="55">
        <f t="shared" si="4"/>
        <v>1234.1399999999996</v>
      </c>
      <c r="S17" s="55">
        <f>M17*N17</f>
        <v>334.63000000000011</v>
      </c>
      <c r="T17" s="55">
        <f t="shared" si="11"/>
        <v>118.81000000000009</v>
      </c>
      <c r="U17" s="55">
        <f t="shared" si="12"/>
        <v>942.49</v>
      </c>
    </row>
    <row r="18" spans="2:21" s="18" customFormat="1" ht="15.6" x14ac:dyDescent="0.3">
      <c r="D18" s="19" t="s">
        <v>71</v>
      </c>
      <c r="E18" s="19">
        <f t="shared" ref="E18:K18" si="13">SUM(E3:E17)</f>
        <v>1589.9999999999998</v>
      </c>
      <c r="F18" s="18">
        <f t="shared" si="13"/>
        <v>315.00000000000006</v>
      </c>
      <c r="G18" s="18">
        <f t="shared" si="13"/>
        <v>630</v>
      </c>
      <c r="H18" s="18">
        <f t="shared" si="13"/>
        <v>1589.999999999998</v>
      </c>
      <c r="I18" s="18">
        <f t="shared" si="13"/>
        <v>7254.9144544564961</v>
      </c>
      <c r="J18" s="18">
        <f t="shared" si="13"/>
        <v>23500.525545543576</v>
      </c>
      <c r="K18" s="18">
        <f t="shared" si="13"/>
        <v>30755.439999999995</v>
      </c>
      <c r="P18" s="18">
        <f t="shared" ref="P18:U18" si="14">SUM(P3:P17)</f>
        <v>30755.439999999995</v>
      </c>
      <c r="Q18" s="18">
        <f t="shared" si="14"/>
        <v>10201.66</v>
      </c>
      <c r="R18" s="18">
        <f t="shared" si="14"/>
        <v>3199.8200000000006</v>
      </c>
      <c r="S18" s="18">
        <f t="shared" si="14"/>
        <v>225.94000000000017</v>
      </c>
      <c r="T18" s="18">
        <f t="shared" si="14"/>
        <v>4632.8599999999997</v>
      </c>
      <c r="U18" s="18">
        <f t="shared" si="14"/>
        <v>7057.9999999999991</v>
      </c>
    </row>
    <row r="19" spans="2:21" x14ac:dyDescent="0.3">
      <c r="B19" t="s">
        <v>33</v>
      </c>
      <c r="C19">
        <f>COUNTA(D3:D17)</f>
        <v>15</v>
      </c>
      <c r="M19" s="3"/>
      <c r="N19" s="3"/>
    </row>
    <row r="20" spans="2:21" x14ac:dyDescent="0.3">
      <c r="M20" s="3"/>
      <c r="N20" s="3"/>
    </row>
    <row r="21" spans="2:21" x14ac:dyDescent="0.3">
      <c r="M21" s="3"/>
      <c r="N21" s="3"/>
    </row>
    <row r="22" spans="2:21" x14ac:dyDescent="0.3">
      <c r="B22" s="36" t="s">
        <v>83</v>
      </c>
      <c r="M22" s="3"/>
      <c r="N22" s="3"/>
      <c r="P22">
        <v>30755.439999999999</v>
      </c>
      <c r="Q22">
        <v>10201.66</v>
      </c>
      <c r="R22">
        <v>3199.82</v>
      </c>
      <c r="S22">
        <v>225.94</v>
      </c>
      <c r="T22">
        <v>4632.8599999999997</v>
      </c>
      <c r="U22">
        <v>7058</v>
      </c>
    </row>
    <row r="23" spans="2:21" x14ac:dyDescent="0.3">
      <c r="B23" s="28" t="s">
        <v>81</v>
      </c>
      <c r="C23" s="30">
        <v>44.044589230717747</v>
      </c>
      <c r="H23" s="3">
        <v>44.044589230717698</v>
      </c>
      <c r="M23" s="3"/>
      <c r="N23" s="3"/>
    </row>
    <row r="24" spans="2:21" x14ac:dyDescent="0.3">
      <c r="B24" s="28" t="s">
        <v>66</v>
      </c>
      <c r="C24" s="30">
        <v>2.1833206986536915</v>
      </c>
    </row>
    <row r="25" spans="2:21" x14ac:dyDescent="0.3">
      <c r="B25" s="28" t="s">
        <v>67</v>
      </c>
      <c r="C25" s="30">
        <v>0.38346847851320476</v>
      </c>
      <c r="E25" s="16"/>
    </row>
    <row r="26" spans="2:21" x14ac:dyDescent="0.3">
      <c r="C26" s="31"/>
      <c r="D26" s="3"/>
      <c r="E26" s="3"/>
      <c r="K26"/>
      <c r="L26"/>
    </row>
    <row r="27" spans="2:21" x14ac:dyDescent="0.3">
      <c r="B27" s="29" t="s">
        <v>70</v>
      </c>
      <c r="C27" s="30">
        <f>AVERAGE(E3:E17)</f>
        <v>105.99999999999999</v>
      </c>
    </row>
    <row r="28" spans="2:21" x14ac:dyDescent="0.3">
      <c r="B28" s="29" t="s">
        <v>68</v>
      </c>
      <c r="C28" s="30">
        <f>AVERAGE(F3:F17)</f>
        <v>21.000000000000004</v>
      </c>
    </row>
    <row r="29" spans="2:21" x14ac:dyDescent="0.3">
      <c r="B29" s="29" t="s">
        <v>69</v>
      </c>
      <c r="C29" s="30">
        <f>AVERAGE(G3:G17)</f>
        <v>42</v>
      </c>
    </row>
    <row r="30" spans="2:21" x14ac:dyDescent="0.3">
      <c r="B30" s="37"/>
      <c r="C30" s="32"/>
    </row>
    <row r="31" spans="2:21" x14ac:dyDescent="0.3">
      <c r="B31" s="38" t="s">
        <v>82</v>
      </c>
      <c r="C31" s="31"/>
      <c r="D31" s="3"/>
      <c r="E31" s="3"/>
      <c r="G31"/>
      <c r="H31"/>
      <c r="I31"/>
      <c r="J31"/>
      <c r="K31"/>
      <c r="L31"/>
    </row>
    <row r="32" spans="2:21" x14ac:dyDescent="0.3">
      <c r="B32" s="29" t="s">
        <v>80</v>
      </c>
      <c r="C32" s="32">
        <f>J18/K18</f>
        <v>0.76410955413232851</v>
      </c>
    </row>
    <row r="33" spans="2:8" x14ac:dyDescent="0.3">
      <c r="B33" s="37"/>
      <c r="C33" s="32"/>
    </row>
    <row r="34" spans="2:8" x14ac:dyDescent="0.3">
      <c r="B34" s="36" t="s">
        <v>84</v>
      </c>
      <c r="C34" s="32"/>
    </row>
    <row r="35" spans="2:8" x14ac:dyDescent="0.3">
      <c r="B35" s="29" t="s">
        <v>79</v>
      </c>
      <c r="C35" s="32">
        <f>SQRT(C32)</f>
        <v>0.87413360199246914</v>
      </c>
      <c r="H35" s="3">
        <v>0.87413360199246903</v>
      </c>
    </row>
    <row r="36" spans="2:8" x14ac:dyDescent="0.3">
      <c r="B36" s="37"/>
      <c r="C36" s="32"/>
      <c r="H36" s="3">
        <v>0.85464407229708494</v>
      </c>
    </row>
    <row r="37" spans="2:8" x14ac:dyDescent="0.3">
      <c r="B37" s="35" t="s">
        <v>85</v>
      </c>
      <c r="C37" s="32"/>
    </row>
    <row r="38" spans="2:8" x14ac:dyDescent="0.3">
      <c r="B38" s="25" t="s">
        <v>73</v>
      </c>
      <c r="C38" s="31">
        <f>Q18/(SQRT(T18)*SQRT(P18))</f>
        <v>0.85464407229708483</v>
      </c>
    </row>
    <row r="39" spans="2:8" x14ac:dyDescent="0.3">
      <c r="B39" s="25" t="s">
        <v>75</v>
      </c>
      <c r="C39" s="31">
        <f>R18/(SQRT(U18)*SQRT(P18))</f>
        <v>0.21718196053680366</v>
      </c>
      <c r="H39" s="3">
        <v>0.217181960536804</v>
      </c>
    </row>
    <row r="40" spans="2:8" x14ac:dyDescent="0.3">
      <c r="B40" s="25" t="s">
        <v>77</v>
      </c>
      <c r="C40" s="31">
        <f>S18/(SQRT(T18)*SQRT(U18))</f>
        <v>3.9511881363248617E-2</v>
      </c>
      <c r="H40" s="3">
        <v>3.9511881363248597E-2</v>
      </c>
    </row>
    <row r="41" spans="2:8" x14ac:dyDescent="0.3">
      <c r="B41" s="26"/>
    </row>
    <row r="42" spans="2:8" x14ac:dyDescent="0.3">
      <c r="B42" s="36" t="s">
        <v>87</v>
      </c>
      <c r="C42" s="16"/>
      <c r="D42" s="16"/>
    </row>
    <row r="43" spans="2:8" x14ac:dyDescent="0.3">
      <c r="B43" s="40" t="s">
        <v>86</v>
      </c>
      <c r="C43" s="16"/>
      <c r="D43" s="16"/>
    </row>
    <row r="44" spans="2:8" x14ac:dyDescent="0.3">
      <c r="B44" s="24" t="s">
        <v>64</v>
      </c>
      <c r="C44" s="16">
        <f>(C32/(1-C32))*((C19-C50-1)/(C46))</f>
        <v>19.43553630555197</v>
      </c>
    </row>
    <row r="45" spans="2:8" x14ac:dyDescent="0.3">
      <c r="B45" t="s">
        <v>111</v>
      </c>
      <c r="C45" s="16">
        <v>3.8852938346523942</v>
      </c>
    </row>
    <row r="46" spans="2:8" x14ac:dyDescent="0.3">
      <c r="B46" t="s">
        <v>88</v>
      </c>
      <c r="C46" s="41">
        <f>COUNT(F3:G3)</f>
        <v>2</v>
      </c>
      <c r="D46" s="36" t="s">
        <v>89</v>
      </c>
    </row>
    <row r="47" spans="2:8" x14ac:dyDescent="0.3">
      <c r="B47" t="s">
        <v>90</v>
      </c>
      <c r="C47" s="41">
        <f>C46-1</f>
        <v>1</v>
      </c>
    </row>
    <row r="48" spans="2:8" x14ac:dyDescent="0.3">
      <c r="B48" t="s">
        <v>91</v>
      </c>
      <c r="C48" s="41">
        <f>C19-C50-1</f>
        <v>12</v>
      </c>
    </row>
    <row r="49" spans="2:11" ht="18" x14ac:dyDescent="0.35">
      <c r="B49" s="42" t="s">
        <v>92</v>
      </c>
    </row>
    <row r="50" spans="2:11" x14ac:dyDescent="0.3">
      <c r="B50" t="s">
        <v>93</v>
      </c>
      <c r="C50">
        <v>2</v>
      </c>
    </row>
    <row r="52" spans="2:11" x14ac:dyDescent="0.3">
      <c r="B52" s="33" t="s">
        <v>103</v>
      </c>
    </row>
    <row r="53" spans="2:11" x14ac:dyDescent="0.3">
      <c r="B53" t="s">
        <v>104</v>
      </c>
      <c r="C53">
        <f>(1/(C19-3))*I18</f>
        <v>604.57620453804134</v>
      </c>
    </row>
    <row r="54" spans="2:11" x14ac:dyDescent="0.3">
      <c r="B54" s="33" t="s">
        <v>105</v>
      </c>
    </row>
    <row r="55" spans="2:11" x14ac:dyDescent="0.3">
      <c r="B55" t="s">
        <v>102</v>
      </c>
      <c r="C55">
        <f>SQRT(C53)</f>
        <v>24.588131375483606</v>
      </c>
    </row>
    <row r="57" spans="2:11" x14ac:dyDescent="0.3">
      <c r="B57" t="s">
        <v>113</v>
      </c>
    </row>
    <row r="58" spans="2:11" x14ac:dyDescent="0.3">
      <c r="B58" s="59">
        <v>0.40011718693493675</v>
      </c>
      <c r="C58" s="60">
        <v>-4.2492615941801233E-3</v>
      </c>
      <c r="D58" s="61">
        <v>-5.8146673045354168E-3</v>
      </c>
    </row>
    <row r="59" spans="2:11" x14ac:dyDescent="0.3">
      <c r="B59" s="62">
        <v>-4.2492615941801216E-3</v>
      </c>
      <c r="C59">
        <v>2.1618689748671184E-4</v>
      </c>
      <c r="D59" s="63">
        <v>-6.9205536438292342E-6</v>
      </c>
    </row>
    <row r="60" spans="2:11" x14ac:dyDescent="0.3">
      <c r="B60" s="64">
        <v>-5.8146673045354168E-3</v>
      </c>
      <c r="C60" s="65">
        <v>-6.9205536438291961E-6</v>
      </c>
      <c r="D60" s="66">
        <v>1.4190473645371023E-4</v>
      </c>
    </row>
    <row r="62" spans="2:11" x14ac:dyDescent="0.3">
      <c r="B62" s="39" t="s">
        <v>98</v>
      </c>
      <c r="C62" s="3"/>
    </row>
    <row r="63" spans="2:11" x14ac:dyDescent="0.3">
      <c r="B63" s="43" t="s">
        <v>99</v>
      </c>
      <c r="C63">
        <f>$C$55*SQRT(B58)</f>
        <v>15.553177496819163</v>
      </c>
      <c r="D63" s="16"/>
      <c r="F63"/>
      <c r="G63"/>
      <c r="H63">
        <v>15.553177496819201</v>
      </c>
      <c r="I63"/>
      <c r="J63"/>
      <c r="K63"/>
    </row>
    <row r="64" spans="2:11" x14ac:dyDescent="0.3">
      <c r="B64" s="43" t="s">
        <v>100</v>
      </c>
      <c r="C64">
        <f>$C$55*SQRT(C59)</f>
        <v>0.36152656050886617</v>
      </c>
      <c r="D64" s="16"/>
      <c r="F64"/>
      <c r="G64"/>
      <c r="H64"/>
      <c r="I64"/>
      <c r="J64"/>
      <c r="K64"/>
    </row>
    <row r="65" spans="2:20" x14ac:dyDescent="0.3">
      <c r="B65" s="43" t="s">
        <v>101</v>
      </c>
      <c r="C65">
        <f>$C$55*SQRT(D60)</f>
        <v>0.2929031016755459</v>
      </c>
      <c r="D65" s="16"/>
      <c r="F65"/>
      <c r="G65"/>
      <c r="H65"/>
      <c r="I65"/>
      <c r="J65"/>
      <c r="K65"/>
    </row>
    <row r="66" spans="2:20" x14ac:dyDescent="0.3">
      <c r="B66" s="43"/>
      <c r="D66" s="16"/>
      <c r="F66"/>
      <c r="G66"/>
      <c r="H66"/>
      <c r="I66"/>
      <c r="J66"/>
      <c r="K66"/>
    </row>
    <row r="67" spans="2:20" x14ac:dyDescent="0.3">
      <c r="B67" s="34" t="s">
        <v>94</v>
      </c>
      <c r="C67" s="3"/>
      <c r="D67" s="16"/>
      <c r="F67"/>
      <c r="G67"/>
      <c r="H67"/>
      <c r="I67"/>
      <c r="J67"/>
      <c r="K67"/>
    </row>
    <row r="68" spans="2:20" x14ac:dyDescent="0.3">
      <c r="B68" t="s">
        <v>97</v>
      </c>
      <c r="C68">
        <f xml:space="preserve"> ABS(C23)/C63</f>
        <v>2.8318708019454846</v>
      </c>
      <c r="F68"/>
      <c r="G68"/>
      <c r="H68"/>
      <c r="I68"/>
      <c r="J68"/>
      <c r="K68"/>
    </row>
    <row r="69" spans="2:20" x14ac:dyDescent="0.3">
      <c r="B69" t="s">
        <v>95</v>
      </c>
      <c r="C69">
        <f xml:space="preserve"> ABS(C24)/C64</f>
        <v>6.0391709410798526</v>
      </c>
    </row>
    <row r="70" spans="2:20" x14ac:dyDescent="0.3">
      <c r="B70" t="s">
        <v>96</v>
      </c>
      <c r="C70">
        <f xml:space="preserve"> ABS(C25)/C65</f>
        <v>1.3091991048219755</v>
      </c>
    </row>
    <row r="71" spans="2:20" x14ac:dyDescent="0.3">
      <c r="B71" t="s">
        <v>112</v>
      </c>
      <c r="C71">
        <f>TINV(0.05,C48)</f>
        <v>2.1788128296672284</v>
      </c>
    </row>
    <row r="74" spans="2:20" x14ac:dyDescent="0.3">
      <c r="B74" t="s">
        <v>56</v>
      </c>
      <c r="C74" s="3">
        <f>C75-J18</f>
        <v>7254.9144544564188</v>
      </c>
    </row>
    <row r="75" spans="2:20" s="3" customFormat="1" x14ac:dyDescent="0.3">
      <c r="B75" t="s">
        <v>55</v>
      </c>
      <c r="C75" s="3">
        <f>P18</f>
        <v>30755.439999999995</v>
      </c>
      <c r="E75"/>
      <c r="M75"/>
      <c r="N75"/>
      <c r="O75"/>
      <c r="P75"/>
      <c r="Q75"/>
      <c r="R75"/>
      <c r="S75"/>
      <c r="T75"/>
    </row>
    <row r="76" spans="2:20" s="3" customFormat="1" x14ac:dyDescent="0.3">
      <c r="B76" s="3" t="s">
        <v>114</v>
      </c>
      <c r="C76" s="3">
        <f>1-(1-C32)*(C19-1)/(C19-C46)</f>
        <v>0.74596413521943072</v>
      </c>
      <c r="E76"/>
      <c r="M76"/>
      <c r="N76"/>
      <c r="O76"/>
      <c r="P76"/>
      <c r="Q76"/>
      <c r="R76"/>
      <c r="S76"/>
      <c r="T76"/>
    </row>
    <row r="77" spans="2:20" x14ac:dyDescent="0.3">
      <c r="B77" s="3" t="s">
        <v>115</v>
      </c>
      <c r="C77">
        <f>1-(C74/(C19-C50))/(C75/(C19-1))</f>
        <v>0.74596413521943061</v>
      </c>
    </row>
    <row r="78" spans="2:20" ht="15.6" x14ac:dyDescent="0.3">
      <c r="B78" s="73" t="s">
        <v>119</v>
      </c>
    </row>
    <row r="79" spans="2:20" ht="15.6" x14ac:dyDescent="0.3">
      <c r="B79" s="31">
        <f>$C$23-C63</f>
        <v>28.491411733898584</v>
      </c>
      <c r="C79" t="s">
        <v>116</v>
      </c>
      <c r="D79" s="31">
        <f>$C$23+C63</f>
        <v>59.597766727536907</v>
      </c>
    </row>
    <row r="80" spans="2:20" ht="15.6" x14ac:dyDescent="0.3">
      <c r="B80" s="31">
        <f>C24-C64</f>
        <v>1.8217941381448253</v>
      </c>
      <c r="C80" t="s">
        <v>117</v>
      </c>
      <c r="D80" s="31">
        <f>C24+$C$64</f>
        <v>2.5448472591625575</v>
      </c>
    </row>
    <row r="81" spans="2:4" ht="15.6" x14ac:dyDescent="0.3">
      <c r="B81" s="31">
        <f>$C$25-$C$65</f>
        <v>9.0565376837658862E-2</v>
      </c>
      <c r="C81" t="s">
        <v>118</v>
      </c>
      <c r="D81" s="31">
        <f>$C$25+$C$65</f>
        <v>0.67637158018875065</v>
      </c>
    </row>
    <row r="83" spans="2:4" ht="15.6" x14ac:dyDescent="0.3">
      <c r="B83" s="73" t="s">
        <v>120</v>
      </c>
    </row>
    <row r="84" spans="2:4" x14ac:dyDescent="0.3">
      <c r="B84" t="s">
        <v>121</v>
      </c>
      <c r="C84">
        <f>C24*(C28/C27)</f>
        <v>0.43254466671441072</v>
      </c>
    </row>
    <row r="85" spans="2:4" x14ac:dyDescent="0.3">
      <c r="B85" t="s">
        <v>122</v>
      </c>
      <c r="C85">
        <f>C25*(C29/C27)</f>
        <v>0.15194034054296796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topLeftCell="A19" zoomScaleNormal="100" workbookViewId="0">
      <selection activeCell="A34" sqref="A34"/>
    </sheetView>
  </sheetViews>
  <sheetFormatPr defaultRowHeight="14.4" x14ac:dyDescent="0.3"/>
  <cols>
    <col min="1" max="1" width="13.6640625" bestFit="1" customWidth="1"/>
    <col min="2" max="2" width="12.6640625" bestFit="1" customWidth="1"/>
    <col min="3" max="3" width="12" bestFit="1" customWidth="1"/>
    <col min="4" max="4" width="12.6640625" bestFit="1" customWidth="1"/>
    <col min="5" max="5" width="18.109375" customWidth="1"/>
    <col min="6" max="6" width="10.33203125" bestFit="1" customWidth="1"/>
    <col min="7" max="7" width="12" bestFit="1" customWidth="1"/>
    <col min="9" max="10" width="7.21875" bestFit="1" customWidth="1"/>
    <col min="11" max="11" width="17.88671875" bestFit="1" customWidth="1"/>
    <col min="12" max="12" width="10.33203125" bestFit="1" customWidth="1"/>
    <col min="13" max="13" width="12" bestFit="1" customWidth="1"/>
    <col min="16" max="16" width="7.21875" bestFit="1" customWidth="1"/>
    <col min="17" max="17" width="17.88671875" bestFit="1" customWidth="1"/>
    <col min="18" max="18" width="10.33203125" bestFit="1" customWidth="1"/>
    <col min="19" max="19" width="12" bestFit="1" customWidth="1"/>
  </cols>
  <sheetData>
    <row r="1" spans="1:19" s="6" customFormat="1" x14ac:dyDescent="0.3">
      <c r="A1" s="23" t="s">
        <v>136</v>
      </c>
      <c r="B1" s="23" t="s">
        <v>137</v>
      </c>
      <c r="C1" s="23" t="s">
        <v>138</v>
      </c>
      <c r="D1" s="23" t="s">
        <v>139</v>
      </c>
      <c r="E1" s="23" t="s">
        <v>140</v>
      </c>
      <c r="F1" s="23" t="s">
        <v>141</v>
      </c>
      <c r="G1" s="23" t="s">
        <v>143</v>
      </c>
      <c r="I1" s="23" t="s">
        <v>155</v>
      </c>
      <c r="J1" s="23" t="s">
        <v>156</v>
      </c>
      <c r="K1" s="23" t="s">
        <v>157</v>
      </c>
      <c r="L1" s="23" t="s">
        <v>154</v>
      </c>
      <c r="M1" s="23" t="s">
        <v>158</v>
      </c>
      <c r="O1" s="23" t="s">
        <v>159</v>
      </c>
      <c r="P1" s="23" t="s">
        <v>160</v>
      </c>
      <c r="Q1" s="23" t="s">
        <v>161</v>
      </c>
      <c r="R1" s="23" t="s">
        <v>162</v>
      </c>
      <c r="S1" s="23" t="s">
        <v>163</v>
      </c>
    </row>
    <row r="2" spans="1:19" x14ac:dyDescent="0.3">
      <c r="A2" s="24" t="s">
        <v>123</v>
      </c>
      <c r="B2" s="75">
        <v>33.200000000000003</v>
      </c>
      <c r="C2" s="84"/>
      <c r="D2" s="76">
        <f>Таблица1[[#This Row],[ Yt]]-$B$17</f>
        <v>-4.5333333333333314</v>
      </c>
      <c r="E2" s="84"/>
      <c r="F2" s="84"/>
      <c r="G2" s="76">
        <f>POWER(Таблица1[[#This Row],[Yt-Yср2]],2)</f>
        <v>20.551111111111094</v>
      </c>
      <c r="I2" s="85"/>
      <c r="J2" s="86"/>
      <c r="K2" s="85"/>
      <c r="L2" s="85"/>
      <c r="M2" s="85"/>
      <c r="O2" s="89"/>
      <c r="P2" s="90"/>
      <c r="Q2" s="89"/>
      <c r="R2" s="89"/>
      <c r="S2" s="89"/>
    </row>
    <row r="3" spans="1:19" x14ac:dyDescent="0.3">
      <c r="A3" s="24" t="s">
        <v>124</v>
      </c>
      <c r="B3" s="75">
        <v>33.9</v>
      </c>
      <c r="C3" s="76">
        <f>Таблица1[[#This Row],[ Yt]]-$B$16</f>
        <v>-4.0166666666666657</v>
      </c>
      <c r="D3" s="76">
        <f>Таблица1[[#This Row],[ Yt]]-$B$17</f>
        <v>-3.8333333333333357</v>
      </c>
      <c r="E3" s="76">
        <f>Таблица1[[#This Row],[Yt-Yср1]]*D2</f>
        <v>18.208888888888875</v>
      </c>
      <c r="F3" s="76">
        <f>POWER(Таблица1[[#This Row],[Yt-Yср1]],2)</f>
        <v>16.133611111111104</v>
      </c>
      <c r="G3" s="76">
        <f>POWER(Таблица1[[#This Row],[Yt-Yср2]],2)</f>
        <v>14.694444444444462</v>
      </c>
      <c r="I3" s="85"/>
      <c r="J3" s="87">
        <f>Таблица1[[#This Row],[ Yt]]-$B$19</f>
        <v>-3.1909090909090949</v>
      </c>
      <c r="K3" s="85"/>
      <c r="L3" s="85"/>
      <c r="M3" s="24">
        <f>POWER(J3,2)</f>
        <v>10.181900826446306</v>
      </c>
      <c r="O3" s="89"/>
      <c r="P3" s="90"/>
      <c r="Q3" s="89"/>
      <c r="R3" s="89"/>
      <c r="S3" s="89"/>
    </row>
    <row r="4" spans="1:19" x14ac:dyDescent="0.3">
      <c r="A4" s="24" t="s">
        <v>125</v>
      </c>
      <c r="B4" s="75">
        <v>36.9</v>
      </c>
      <c r="C4" s="76">
        <f>Таблица1[[#This Row],[ Yt]]-$B$16</f>
        <v>-1.0166666666666657</v>
      </c>
      <c r="D4" s="76">
        <f>Таблица1[[#This Row],[ Yt]]-$B$17</f>
        <v>-0.8333333333333357</v>
      </c>
      <c r="E4" s="76">
        <f>Таблица1[[#This Row],[Yt-Yср1]]*D3</f>
        <v>3.8972222222222208</v>
      </c>
      <c r="F4" s="76">
        <f>POWER(Таблица1[[#This Row],[Yt-Yср1]],2)</f>
        <v>1.0336111111111093</v>
      </c>
      <c r="G4" s="76">
        <f>POWER(Таблица1[[#This Row],[Yt-Yср2]],2)</f>
        <v>0.69444444444444842</v>
      </c>
      <c r="I4" s="87">
        <f>Таблица1[[#This Row],[ Yt]]-$B$18</f>
        <v>-1.3818181818181827</v>
      </c>
      <c r="J4" s="87">
        <f>Таблица1[[#This Row],[ Yt]]-$B$19</f>
        <v>-0.19090909090909491</v>
      </c>
      <c r="K4" s="24">
        <f>I4*J3</f>
        <v>4.4092561983471157</v>
      </c>
      <c r="L4" s="76">
        <f>POWER(I4,2)</f>
        <v>1.9094214876033082</v>
      </c>
      <c r="M4" s="24">
        <f t="shared" ref="M4:M12" si="0">POWER(J4,2)</f>
        <v>3.6446280991737065E-2</v>
      </c>
      <c r="O4" s="90"/>
      <c r="P4" s="87">
        <f>Таблица1[[#This Row],[ Yt]]-$B$21</f>
        <v>-0.11999999999999744</v>
      </c>
      <c r="Q4" s="24">
        <f>O5*P4</f>
        <v>3.7533181818181012</v>
      </c>
      <c r="R4" s="83"/>
      <c r="S4" s="24">
        <f t="shared" ref="S4:S11" si="1">POWER(P4,2)</f>
        <v>1.4399999999999386E-2</v>
      </c>
    </row>
    <row r="5" spans="1:19" x14ac:dyDescent="0.3">
      <c r="A5" s="24" t="s">
        <v>126</v>
      </c>
      <c r="B5" s="75">
        <v>44.4</v>
      </c>
      <c r="C5" s="76">
        <f>Таблица1[[#This Row],[ Yt]]-$B$16</f>
        <v>6.4833333333333343</v>
      </c>
      <c r="D5" s="76">
        <f>Таблица1[[#This Row],[ Yt]]-$B$17</f>
        <v>6.6666666666666643</v>
      </c>
      <c r="E5" s="76">
        <f>Таблица1[[#This Row],[Yt-Yср1]]*D4</f>
        <v>-5.4027777777777937</v>
      </c>
      <c r="F5" s="76">
        <f>POWER(Таблица1[[#This Row],[Yt-Yср1]],2)</f>
        <v>42.033611111111121</v>
      </c>
      <c r="G5" s="76">
        <f>POWER(Таблица1[[#This Row],[Yt-Yср2]],2)</f>
        <v>44.444444444444414</v>
      </c>
      <c r="I5" s="87">
        <f>Таблица1[[#This Row],[ Yt]]-$B$18</f>
        <v>6.1181818181818173</v>
      </c>
      <c r="J5" s="87">
        <f>Таблица1[[#This Row],[ Yt]]-$B$19</f>
        <v>7.3090909090909051</v>
      </c>
      <c r="K5" s="24">
        <f t="shared" ref="K5:K13" si="2">I5*J4</f>
        <v>-1.1680165289256441</v>
      </c>
      <c r="L5" s="76">
        <f t="shared" ref="L5:L14" si="3">POWER(I5,2)</f>
        <v>37.43214876033057</v>
      </c>
      <c r="M5" s="24">
        <f t="shared" si="0"/>
        <v>53.422809917355316</v>
      </c>
      <c r="O5" s="87">
        <f>Таблица1[[#This Row],[ Yt]]-$B$20</f>
        <v>-31.277651515151511</v>
      </c>
      <c r="P5" s="87">
        <f>Таблица1[[#This Row],[ Yt]]-$B$21</f>
        <v>7.3800000000000026</v>
      </c>
      <c r="Q5" s="24">
        <f t="shared" ref="Q5:Q11" si="4">O6*P5</f>
        <v>-309.05706818181829</v>
      </c>
      <c r="R5" s="76">
        <f>POWER(O5,2)</f>
        <v>978.29148430325961</v>
      </c>
      <c r="S5" s="24">
        <f t="shared" si="1"/>
        <v>54.46440000000004</v>
      </c>
    </row>
    <row r="6" spans="1:19" x14ac:dyDescent="0.3">
      <c r="A6" s="24" t="s">
        <v>127</v>
      </c>
      <c r="B6" s="75">
        <v>33.799999999999997</v>
      </c>
      <c r="C6" s="76">
        <f>Таблица1[[#This Row],[ Yt]]-$B$16</f>
        <v>-4.1166666666666671</v>
      </c>
      <c r="D6" s="76">
        <f>Таблица1[[#This Row],[ Yt]]-$B$17</f>
        <v>-3.9333333333333371</v>
      </c>
      <c r="E6" s="76">
        <f>Таблица1[[#This Row],[Yt-Yср1]]*D5</f>
        <v>-27.444444444444439</v>
      </c>
      <c r="F6" s="76">
        <f>POWER(Таблица1[[#This Row],[Yt-Yср1]],2)</f>
        <v>16.946944444444448</v>
      </c>
      <c r="G6" s="76">
        <f>POWER(Таблица1[[#This Row],[Yt-Yср2]],2)</f>
        <v>15.47111111111114</v>
      </c>
      <c r="I6" s="87">
        <f>Таблица1[[#This Row],[ Yt]]-$B$18</f>
        <v>-4.4818181818181841</v>
      </c>
      <c r="J6" s="87">
        <f>Таблица1[[#This Row],[ Yt]]-$B$19</f>
        <v>-3.2909090909090963</v>
      </c>
      <c r="K6" s="24">
        <f t="shared" si="2"/>
        <v>-32.758016528925616</v>
      </c>
      <c r="L6" s="76">
        <f t="shared" si="3"/>
        <v>20.086694214876054</v>
      </c>
      <c r="M6" s="24">
        <f t="shared" si="0"/>
        <v>10.830082644628135</v>
      </c>
      <c r="O6" s="87">
        <f>Таблица1[[#This Row],[ Yt]]-$B$20</f>
        <v>-41.877651515151513</v>
      </c>
      <c r="P6" s="87">
        <f>Таблица1[[#This Row],[ Yt]]-$B$21</f>
        <v>-3.2199999999999989</v>
      </c>
      <c r="Q6" s="24">
        <f t="shared" si="4"/>
        <v>130.33803787878782</v>
      </c>
      <c r="R6" s="76">
        <f t="shared" ref="R6:R12" si="5">POWER(O6,2)</f>
        <v>1753.7376964244718</v>
      </c>
      <c r="S6" s="24">
        <f t="shared" si="1"/>
        <v>10.368399999999992</v>
      </c>
    </row>
    <row r="7" spans="1:19" x14ac:dyDescent="0.3">
      <c r="A7" s="24" t="s">
        <v>128</v>
      </c>
      <c r="B7" s="75">
        <v>35.200000000000003</v>
      </c>
      <c r="C7" s="76">
        <f>Таблица1[[#This Row],[ Yt]]-$B$16</f>
        <v>-2.7166666666666615</v>
      </c>
      <c r="D7" s="76">
        <f>Таблица1[[#This Row],[ Yt]]-$B$17</f>
        <v>-2.5333333333333314</v>
      </c>
      <c r="E7" s="76">
        <f>Таблица1[[#This Row],[Yt-Yср1]]*D6</f>
        <v>10.685555555555545</v>
      </c>
      <c r="F7" s="76">
        <f>POWER(Таблица1[[#This Row],[Yt-Yср1]],2)</f>
        <v>7.3802777777777493</v>
      </c>
      <c r="G7" s="76">
        <f>POWER(Таблица1[[#This Row],[Yt-Yср2]],2)</f>
        <v>6.4177777777777685</v>
      </c>
      <c r="I7" s="87">
        <f>Таблица1[[#This Row],[ Yt]]-$B$18</f>
        <v>-3.0818181818181785</v>
      </c>
      <c r="J7" s="87">
        <f>Таблица1[[#This Row],[ Yt]]-$B$19</f>
        <v>-1.8909090909090907</v>
      </c>
      <c r="K7" s="24">
        <f t="shared" si="2"/>
        <v>10.141983471074386</v>
      </c>
      <c r="L7" s="76">
        <f t="shared" si="3"/>
        <v>9.4976033057851037</v>
      </c>
      <c r="M7" s="24">
        <f t="shared" si="0"/>
        <v>3.5755371900826436</v>
      </c>
      <c r="O7" s="87">
        <f>Таблица1[[#This Row],[ Yt]]-$B$20</f>
        <v>-40.477651515151507</v>
      </c>
      <c r="P7" s="87">
        <f>Таблица1[[#This Row],[ Yt]]-$B$21</f>
        <v>-1.8199999999999932</v>
      </c>
      <c r="Q7" s="24">
        <f t="shared" si="4"/>
        <v>69.665325757575488</v>
      </c>
      <c r="R7" s="76">
        <f t="shared" si="5"/>
        <v>1638.440272182047</v>
      </c>
      <c r="S7" s="24">
        <f t="shared" si="1"/>
        <v>3.3123999999999754</v>
      </c>
    </row>
    <row r="8" spans="1:19" x14ac:dyDescent="0.3">
      <c r="A8" s="24" t="s">
        <v>129</v>
      </c>
      <c r="B8" s="75">
        <v>37.4</v>
      </c>
      <c r="C8" s="76">
        <f>Таблица1[[#This Row],[ Yt]]-$B$16</f>
        <v>-0.51666666666666572</v>
      </c>
      <c r="D8" s="76">
        <f>Таблица1[[#This Row],[ Yt]]-$B$17</f>
        <v>-0.3333333333333357</v>
      </c>
      <c r="E8" s="76">
        <f>Таблица1[[#This Row],[Yt-Yср1]]*D7</f>
        <v>1.3088888888888854</v>
      </c>
      <c r="F8" s="76">
        <f>POWER(Таблица1[[#This Row],[Yt-Yср1]],2)</f>
        <v>0.26694444444444348</v>
      </c>
      <c r="G8" s="76">
        <f>POWER(Таблица1[[#This Row],[Yt-Yср2]],2)</f>
        <v>0.11111111111111269</v>
      </c>
      <c r="I8" s="87">
        <f>Таблица1[[#This Row],[ Yt]]-$B$18</f>
        <v>-0.88181818181818272</v>
      </c>
      <c r="J8" s="87">
        <f>Таблица1[[#This Row],[ Yt]]-$B$19</f>
        <v>0.30909090909090509</v>
      </c>
      <c r="K8" s="24">
        <f t="shared" si="2"/>
        <v>1.6674380165289271</v>
      </c>
      <c r="L8" s="76">
        <f t="shared" si="3"/>
        <v>0.7776033057851256</v>
      </c>
      <c r="M8" s="24">
        <f t="shared" si="0"/>
        <v>9.5537190082642151E-2</v>
      </c>
      <c r="O8" s="87">
        <f>Таблица1[[#This Row],[ Yt]]-$B$20</f>
        <v>-38.277651515151511</v>
      </c>
      <c r="P8" s="87">
        <f>Таблица1[[#This Row],[ Yt]]-$B$21</f>
        <v>0.38000000000000256</v>
      </c>
      <c r="Q8" s="24">
        <f t="shared" si="4"/>
        <v>-11.809507575757653</v>
      </c>
      <c r="R8" s="76">
        <f t="shared" si="5"/>
        <v>1465.1786055153807</v>
      </c>
      <c r="S8" s="24">
        <f t="shared" si="1"/>
        <v>0.14440000000000194</v>
      </c>
    </row>
    <row r="9" spans="1:19" x14ac:dyDescent="0.3">
      <c r="A9" s="24" t="s">
        <v>130</v>
      </c>
      <c r="B9" s="75">
        <v>44.6</v>
      </c>
      <c r="C9" s="76">
        <f>Таблица1[[#This Row],[ Yt]]-$B$16</f>
        <v>6.6833333333333371</v>
      </c>
      <c r="D9" s="76">
        <f>Таблица1[[#This Row],[ Yt]]-$B$17</f>
        <v>6.8666666666666671</v>
      </c>
      <c r="E9" s="76">
        <f>Таблица1[[#This Row],[Yt-Yср1]]*D8</f>
        <v>-2.2277777777777947</v>
      </c>
      <c r="F9" s="76">
        <f>POWER(Таблица1[[#This Row],[Yt-Yср1]],2)</f>
        <v>44.666944444444496</v>
      </c>
      <c r="G9" s="76">
        <f>POWER(Таблица1[[#This Row],[Yt-Yср2]],2)</f>
        <v>47.151111111111121</v>
      </c>
      <c r="I9" s="87">
        <f>Таблица1[[#This Row],[ Yt]]-$B$18</f>
        <v>6.3181818181818201</v>
      </c>
      <c r="J9" s="87">
        <f>Таблица1[[#This Row],[ Yt]]-$B$19</f>
        <v>7.5090909090909079</v>
      </c>
      <c r="K9" s="24">
        <f t="shared" si="2"/>
        <v>1.9528925619834463</v>
      </c>
      <c r="L9" s="76">
        <f t="shared" si="3"/>
        <v>39.91942148760333</v>
      </c>
      <c r="M9" s="24">
        <f t="shared" si="0"/>
        <v>56.38644628099172</v>
      </c>
      <c r="O9" s="87">
        <f>Таблица1[[#This Row],[ Yt]]-$B$20</f>
        <v>-31.077651515151508</v>
      </c>
      <c r="P9" s="87">
        <f>Таблица1[[#This Row],[ Yt]]-$B$21</f>
        <v>7.5800000000000054</v>
      </c>
      <c r="Q9" s="24">
        <f t="shared" si="4"/>
        <v>-308.33659848484865</v>
      </c>
      <c r="R9" s="76">
        <f t="shared" si="5"/>
        <v>965.82042369719886</v>
      </c>
      <c r="S9" s="24">
        <f t="shared" si="1"/>
        <v>57.45640000000008</v>
      </c>
    </row>
    <row r="10" spans="1:19" x14ac:dyDescent="0.3">
      <c r="A10" s="24" t="s">
        <v>131</v>
      </c>
      <c r="B10" s="75">
        <v>35</v>
      </c>
      <c r="C10" s="76">
        <f>Таблица1[[#This Row],[ Yt]]-$B$16</f>
        <v>-2.9166666666666643</v>
      </c>
      <c r="D10" s="76">
        <f>Таблица1[[#This Row],[ Yt]]-$B$17</f>
        <v>-2.7333333333333343</v>
      </c>
      <c r="E10" s="76">
        <f>Таблица1[[#This Row],[Yt-Yср1]]*D9</f>
        <v>-20.027777777777764</v>
      </c>
      <c r="F10" s="76">
        <f>POWER(Таблица1[[#This Row],[Yt-Yср1]],2)</f>
        <v>8.5069444444444304</v>
      </c>
      <c r="G10" s="76">
        <f>POWER(Таблица1[[#This Row],[Yt-Yср2]],2)</f>
        <v>7.4711111111111164</v>
      </c>
      <c r="I10" s="87">
        <f>Таблица1[[#This Row],[ Yt]]-$B$18</f>
        <v>-3.2818181818181813</v>
      </c>
      <c r="J10" s="87">
        <f>Таблица1[[#This Row],[ Yt]]-$B$19</f>
        <v>-2.0909090909090935</v>
      </c>
      <c r="K10" s="24">
        <f t="shared" si="2"/>
        <v>-24.643471074380159</v>
      </c>
      <c r="L10" s="76">
        <f t="shared" si="3"/>
        <v>10.770330578512393</v>
      </c>
      <c r="M10" s="24">
        <f t="shared" si="0"/>
        <v>4.371900826446292</v>
      </c>
      <c r="O10" s="87">
        <f>Таблица1[[#This Row],[ Yt]]-$B$20</f>
        <v>-40.67765151515151</v>
      </c>
      <c r="P10" s="87">
        <f>Таблица1[[#This Row],[ Yt]]-$B$21</f>
        <v>-2.019999999999996</v>
      </c>
      <c r="Q10" s="24">
        <f t="shared" si="4"/>
        <v>80.55285606060589</v>
      </c>
      <c r="R10" s="76">
        <f t="shared" si="5"/>
        <v>1654.671332788108</v>
      </c>
      <c r="S10" s="24">
        <f t="shared" si="1"/>
        <v>4.080399999999984</v>
      </c>
    </row>
    <row r="11" spans="1:19" x14ac:dyDescent="0.3">
      <c r="A11" s="24" t="s">
        <v>132</v>
      </c>
      <c r="B11" s="75">
        <v>35.799999999999997</v>
      </c>
      <c r="C11" s="76">
        <f>Таблица1[[#This Row],[ Yt]]-$B$16</f>
        <v>-2.1166666666666671</v>
      </c>
      <c r="D11" s="76">
        <f>Таблица1[[#This Row],[ Yt]]-$B$17</f>
        <v>-1.9333333333333371</v>
      </c>
      <c r="E11" s="76">
        <f>Таблица1[[#This Row],[Yt-Yср1]]*D10</f>
        <v>5.7855555555555584</v>
      </c>
      <c r="F11" s="76">
        <f>POWER(Таблица1[[#This Row],[Yt-Yср1]],2)</f>
        <v>4.48027777777778</v>
      </c>
      <c r="G11" s="76">
        <f>POWER(Таблица1[[#This Row],[Yt-Yср2]],2)</f>
        <v>3.7377777777777923</v>
      </c>
      <c r="I11" s="87">
        <f>Таблица1[[#This Row],[ Yt]]-$B$18</f>
        <v>-2.4818181818181841</v>
      </c>
      <c r="J11" s="87">
        <f>Таблица1[[#This Row],[ Yt]]-$B$19</f>
        <v>-1.2909090909090963</v>
      </c>
      <c r="K11" s="24">
        <f t="shared" si="2"/>
        <v>5.1892561983471186</v>
      </c>
      <c r="L11" s="76">
        <f t="shared" si="3"/>
        <v>6.1594214876033178</v>
      </c>
      <c r="M11" s="24">
        <f t="shared" si="0"/>
        <v>1.6664462809917495</v>
      </c>
      <c r="O11" s="87">
        <f>Таблица1[[#This Row],[ Yt]]-$B$20</f>
        <v>-39.877651515151513</v>
      </c>
      <c r="P11" s="87">
        <f>Таблица1[[#This Row],[ Yt]]-$B$21</f>
        <v>-1.2199999999999989</v>
      </c>
      <c r="Q11" s="24">
        <f t="shared" si="4"/>
        <v>46.210734848484805</v>
      </c>
      <c r="R11" s="76">
        <f t="shared" si="5"/>
        <v>1590.2270903638657</v>
      </c>
      <c r="S11" s="24">
        <f t="shared" si="1"/>
        <v>1.4883999999999973</v>
      </c>
    </row>
    <row r="12" spans="1:19" x14ac:dyDescent="0.3">
      <c r="A12" s="24" t="s">
        <v>133</v>
      </c>
      <c r="B12" s="75">
        <v>37.799999999999997</v>
      </c>
      <c r="C12" s="76">
        <f>Таблица1[[#This Row],[ Yt]]-$B$16</f>
        <v>-0.11666666666666714</v>
      </c>
      <c r="D12" s="76">
        <f>Таблица1[[#This Row],[ Yt]]-$B$17</f>
        <v>6.6666666666662877E-2</v>
      </c>
      <c r="E12" s="76">
        <f>Таблица1[[#This Row],[Yt-Yср1]]*D11</f>
        <v>0.22555555555555692</v>
      </c>
      <c r="F12" s="76">
        <f>POWER(Таблица1[[#This Row],[Yt-Yср1]],2)</f>
        <v>1.3611111111111221E-2</v>
      </c>
      <c r="G12" s="76">
        <f>POWER(Таблица1[[#This Row],[Yt-Yср2]],2)</f>
        <v>4.4444444444439388E-3</v>
      </c>
      <c r="I12" s="87">
        <f>Таблица1[[#This Row],[ Yt]]-$B$18</f>
        <v>-0.48181818181818414</v>
      </c>
      <c r="J12" s="87">
        <f>Таблица1[[#This Row],[ Yt]]-$B$19</f>
        <v>0.70909090909090366</v>
      </c>
      <c r="K12" s="24">
        <f t="shared" si="2"/>
        <v>0.62198347107438579</v>
      </c>
      <c r="L12" s="76">
        <f t="shared" si="3"/>
        <v>0.23214876033058077</v>
      </c>
      <c r="M12" s="24">
        <f t="shared" si="0"/>
        <v>0.50280991735536418</v>
      </c>
      <c r="O12" s="87">
        <f>Таблица1[[#This Row],[ Yt]]-$B$20</f>
        <v>-37.877651515151513</v>
      </c>
      <c r="P12" s="90"/>
      <c r="Q12" s="89"/>
      <c r="R12" s="76">
        <f t="shared" si="5"/>
        <v>1434.7164843032597</v>
      </c>
      <c r="S12" s="89"/>
    </row>
    <row r="13" spans="1:19" x14ac:dyDescent="0.3">
      <c r="A13" s="24" t="s">
        <v>134</v>
      </c>
      <c r="B13" s="75">
        <v>44.8</v>
      </c>
      <c r="C13" s="76">
        <f>Таблица1[[#This Row],[ Yt]]-$B$16</f>
        <v>6.8833333333333329</v>
      </c>
      <c r="D13" s="76">
        <f>Таблица1[[#This Row],[ Yt]]-$B$17</f>
        <v>7.0666666666666629</v>
      </c>
      <c r="E13" s="76">
        <f>Таблица1[[#This Row],[Yt-Yср1]]*D12</f>
        <v>0.45888888888886276</v>
      </c>
      <c r="F13" s="76">
        <f>POWER(Таблица1[[#This Row],[Yt-Yср1]],2)</f>
        <v>47.380277777777771</v>
      </c>
      <c r="G13" s="76">
        <f>POWER(Таблица1[[#This Row],[Yt-Yср2]],2)</f>
        <v>49.937777777777725</v>
      </c>
      <c r="I13" s="87">
        <f>Таблица1[[#This Row],[ Yt]]-$B$18</f>
        <v>6.5181818181818159</v>
      </c>
      <c r="J13" s="85"/>
      <c r="K13" s="24">
        <f t="shared" si="2"/>
        <v>4.6219834710743433</v>
      </c>
      <c r="L13" s="76">
        <f t="shared" si="3"/>
        <v>42.486694214876003</v>
      </c>
      <c r="M13" s="85"/>
      <c r="O13" s="90"/>
      <c r="P13" s="89"/>
      <c r="Q13" s="89"/>
      <c r="R13" s="83"/>
      <c r="S13" s="89"/>
    </row>
    <row r="14" spans="1:19" x14ac:dyDescent="0.3">
      <c r="A14" s="24" t="s">
        <v>135</v>
      </c>
      <c r="B14" s="77">
        <v>35.4</v>
      </c>
      <c r="C14" s="76">
        <f>Таблица1[[#This Row],[ Yt]]-$B$16</f>
        <v>-2.5166666666666657</v>
      </c>
      <c r="D14" s="84"/>
      <c r="E14" s="76">
        <f>Таблица1[[#This Row],[Yt-Yср1]]*D13</f>
        <v>-17.784444444444429</v>
      </c>
      <c r="F14" s="76">
        <f>POWER(Таблица1[[#This Row],[Yt-Yср1]],2)</f>
        <v>6.3336111111111064</v>
      </c>
      <c r="G14" s="76"/>
      <c r="I14" s="87">
        <f>Таблица1[[#This Row],[ Yt]]-$B$18</f>
        <v>-2.8818181818181827</v>
      </c>
      <c r="J14" s="85"/>
      <c r="K14" s="85"/>
      <c r="L14" s="76">
        <f t="shared" si="3"/>
        <v>8.304876033057857</v>
      </c>
      <c r="M14" s="85"/>
      <c r="O14" s="90"/>
      <c r="P14" s="89"/>
      <c r="Q14" s="89"/>
      <c r="R14" s="83"/>
      <c r="S14" s="89"/>
    </row>
    <row r="15" spans="1:19" x14ac:dyDescent="0.3">
      <c r="A15" s="74" t="s">
        <v>164</v>
      </c>
      <c r="B15" s="78">
        <f>SUBTOTAL(109,B2:B14)</f>
        <v>488.2</v>
      </c>
      <c r="C15" s="79"/>
      <c r="D15" s="79"/>
      <c r="E15" s="78">
        <f>SUM(E3:E14)</f>
        <v>-32.316666666666713</v>
      </c>
      <c r="F15" s="78">
        <f>SUM(F3:F14)</f>
        <v>195.17666666666668</v>
      </c>
      <c r="G15" s="78">
        <f>SUM(G2:G13)</f>
        <v>210.68666666666661</v>
      </c>
      <c r="I15" s="88"/>
      <c r="J15" s="88"/>
      <c r="K15" s="89">
        <f>SUM(K4:K13)</f>
        <v>-29.964710743801696</v>
      </c>
      <c r="L15" s="83">
        <f>SUM(L4:L14)</f>
        <v>177.57636363636362</v>
      </c>
      <c r="M15" s="89">
        <f>SUM(M3:M12)</f>
        <v>141.0699173553719</v>
      </c>
      <c r="O15" s="88"/>
      <c r="P15" s="88"/>
      <c r="Q15" s="89">
        <f>SUM(Q4:Q11)</f>
        <v>-298.68290151515248</v>
      </c>
      <c r="R15" s="83">
        <f>SUM(R5:R12)</f>
        <v>11481.08338957759</v>
      </c>
      <c r="S15" s="89">
        <f>SUM(S3:S11)</f>
        <v>131.32920000000007</v>
      </c>
    </row>
    <row r="16" spans="1:19" x14ac:dyDescent="0.3">
      <c r="A16" s="80" t="s">
        <v>148</v>
      </c>
      <c r="B16" s="31">
        <f>AVERAGE(B3:B14)</f>
        <v>37.916666666666664</v>
      </c>
      <c r="C16" s="31"/>
    </row>
    <row r="17" spans="1:6" x14ac:dyDescent="0.3">
      <c r="A17" s="80" t="s">
        <v>149</v>
      </c>
      <c r="B17" s="31">
        <f>AVERAGE(B2:B13)</f>
        <v>37.733333333333334</v>
      </c>
      <c r="C17" s="23" t="s">
        <v>165</v>
      </c>
      <c r="D17" s="23" t="s">
        <v>166</v>
      </c>
      <c r="E17" s="23" t="s">
        <v>167</v>
      </c>
      <c r="F17" s="23" t="s">
        <v>168</v>
      </c>
    </row>
    <row r="18" spans="1:6" x14ac:dyDescent="0.3">
      <c r="A18" s="81" t="s">
        <v>150</v>
      </c>
      <c r="B18" s="31">
        <f>AVERAGE(B4:B14)</f>
        <v>38.281818181818181</v>
      </c>
      <c r="C18" s="75">
        <v>1</v>
      </c>
      <c r="D18" s="24">
        <f>POWER(C18,2)</f>
        <v>1</v>
      </c>
      <c r="E18" s="75">
        <v>2</v>
      </c>
      <c r="F18" s="24">
        <f>E18*C18</f>
        <v>2</v>
      </c>
    </row>
    <row r="19" spans="1:6" x14ac:dyDescent="0.3">
      <c r="A19" s="81" t="s">
        <v>151</v>
      </c>
      <c r="B19" s="31">
        <f>AVERAGE(B2:B12)</f>
        <v>37.090909090909093</v>
      </c>
      <c r="C19" s="75">
        <v>2</v>
      </c>
      <c r="D19" s="24">
        <f t="shared" ref="D19:D27" si="6">POWER(C19,2)</f>
        <v>4</v>
      </c>
      <c r="E19" s="75">
        <v>1</v>
      </c>
      <c r="F19" s="24">
        <f t="shared" ref="F19:F27" si="7">E19*C19</f>
        <v>2</v>
      </c>
    </row>
    <row r="20" spans="1:6" x14ac:dyDescent="0.3">
      <c r="A20" s="82" t="s">
        <v>152</v>
      </c>
      <c r="B20" s="31">
        <f t="shared" ref="B20" si="8">AVERAGE(B7:B18)</f>
        <v>75.67765151515151</v>
      </c>
      <c r="C20" s="75">
        <v>3</v>
      </c>
      <c r="D20" s="24">
        <f t="shared" si="6"/>
        <v>9</v>
      </c>
      <c r="E20" s="75">
        <v>4</v>
      </c>
      <c r="F20" s="24">
        <f t="shared" si="7"/>
        <v>12</v>
      </c>
    </row>
    <row r="21" spans="1:6" x14ac:dyDescent="0.3">
      <c r="A21" s="82" t="s">
        <v>153</v>
      </c>
      <c r="B21" s="31">
        <f>AVERAGE(B2:B11)</f>
        <v>37.019999999999996</v>
      </c>
      <c r="C21" s="75">
        <v>4</v>
      </c>
      <c r="D21" s="24">
        <f t="shared" si="6"/>
        <v>16</v>
      </c>
      <c r="E21" s="75">
        <v>4</v>
      </c>
      <c r="F21" s="24">
        <f t="shared" si="7"/>
        <v>16</v>
      </c>
    </row>
    <row r="22" spans="1:6" x14ac:dyDescent="0.3">
      <c r="A22" t="s">
        <v>146</v>
      </c>
      <c r="C22" s="75">
        <v>5</v>
      </c>
      <c r="D22" s="24">
        <f t="shared" si="6"/>
        <v>25</v>
      </c>
      <c r="E22" s="75">
        <v>6</v>
      </c>
      <c r="F22" s="24">
        <f t="shared" si="7"/>
        <v>30</v>
      </c>
    </row>
    <row r="23" spans="1:6" x14ac:dyDescent="0.3">
      <c r="A23" t="s">
        <v>147</v>
      </c>
      <c r="C23" s="75">
        <v>6</v>
      </c>
      <c r="D23" s="24">
        <f t="shared" si="6"/>
        <v>36</v>
      </c>
      <c r="E23" s="75">
        <v>8</v>
      </c>
      <c r="F23" s="24">
        <f t="shared" si="7"/>
        <v>48</v>
      </c>
    </row>
    <row r="24" spans="1:6" x14ac:dyDescent="0.3">
      <c r="C24" s="75">
        <v>7</v>
      </c>
      <c r="D24" s="24">
        <f t="shared" si="6"/>
        <v>49</v>
      </c>
      <c r="E24" s="75">
        <v>7</v>
      </c>
      <c r="F24" s="24">
        <f t="shared" si="7"/>
        <v>49</v>
      </c>
    </row>
    <row r="25" spans="1:6" x14ac:dyDescent="0.3">
      <c r="C25" s="75">
        <v>8</v>
      </c>
      <c r="D25" s="24">
        <f t="shared" si="6"/>
        <v>64</v>
      </c>
      <c r="E25" s="75">
        <v>9</v>
      </c>
      <c r="F25" s="24">
        <f t="shared" si="7"/>
        <v>72</v>
      </c>
    </row>
    <row r="26" spans="1:6" x14ac:dyDescent="0.3">
      <c r="A26" t="s">
        <v>142</v>
      </c>
      <c r="B26">
        <f>E15/SQRT(F15*G15)</f>
        <v>-0.1593654173230469</v>
      </c>
      <c r="C26" s="75">
        <v>9</v>
      </c>
      <c r="D26" s="24">
        <f t="shared" si="6"/>
        <v>81</v>
      </c>
      <c r="E26" s="75">
        <v>12</v>
      </c>
      <c r="F26" s="24">
        <f t="shared" si="7"/>
        <v>108</v>
      </c>
    </row>
    <row r="27" spans="1:6" x14ac:dyDescent="0.3">
      <c r="A27" t="s">
        <v>144</v>
      </c>
      <c r="B27">
        <f>K15/SQRT(L15*M15)</f>
        <v>-0.18932166034668627</v>
      </c>
      <c r="C27" s="75">
        <v>10</v>
      </c>
      <c r="D27" s="24">
        <f t="shared" si="6"/>
        <v>100</v>
      </c>
      <c r="E27" s="75">
        <v>11</v>
      </c>
      <c r="F27" s="24">
        <f t="shared" si="7"/>
        <v>110</v>
      </c>
    </row>
    <row r="28" spans="1:6" x14ac:dyDescent="0.3">
      <c r="A28" t="s">
        <v>145</v>
      </c>
      <c r="B28">
        <f>Q15/SQRT(R15*S15)</f>
        <v>-0.2432418380784773</v>
      </c>
      <c r="C28" s="31">
        <f>SUM(C18:C27)</f>
        <v>55</v>
      </c>
      <c r="D28" s="31">
        <f>SUM(D18:D27)</f>
        <v>385</v>
      </c>
      <c r="E28" s="31">
        <f>SUM(E18:E27)</f>
        <v>64</v>
      </c>
      <c r="F28" s="31">
        <f>SUM(F18:F27)</f>
        <v>449</v>
      </c>
    </row>
    <row r="30" spans="1:6" x14ac:dyDescent="0.3">
      <c r="A30" t="s">
        <v>33</v>
      </c>
      <c r="B30">
        <f>COUNT(C18:C27)</f>
        <v>10</v>
      </c>
    </row>
    <row r="31" spans="1:6" x14ac:dyDescent="0.3">
      <c r="C31" s="23" t="s">
        <v>165</v>
      </c>
      <c r="D31" s="23" t="s">
        <v>166</v>
      </c>
      <c r="E31" s="23" t="s">
        <v>167</v>
      </c>
      <c r="F31" s="23" t="s">
        <v>168</v>
      </c>
    </row>
    <row r="32" spans="1:6" x14ac:dyDescent="0.3">
      <c r="C32" s="75">
        <v>1</v>
      </c>
      <c r="D32" s="24">
        <f>POWER(C32,2)</f>
        <v>1</v>
      </c>
      <c r="E32" s="75">
        <v>33.200000000000003</v>
      </c>
      <c r="F32" s="24">
        <f>E32*C32</f>
        <v>33.200000000000003</v>
      </c>
    </row>
    <row r="33" spans="1:6" x14ac:dyDescent="0.3">
      <c r="C33" s="75">
        <v>2</v>
      </c>
      <c r="D33" s="24">
        <f t="shared" ref="D33:D44" si="9">POWER(C33,2)</f>
        <v>4</v>
      </c>
      <c r="E33" s="75">
        <v>33.9</v>
      </c>
      <c r="F33" s="24">
        <f t="shared" ref="F33:F44" si="10">E33*C33</f>
        <v>67.8</v>
      </c>
    </row>
    <row r="34" spans="1:6" x14ac:dyDescent="0.3">
      <c r="C34" s="75">
        <v>3</v>
      </c>
      <c r="D34" s="24">
        <f t="shared" si="9"/>
        <v>9</v>
      </c>
      <c r="E34" s="75">
        <v>36.9</v>
      </c>
      <c r="F34" s="24">
        <f t="shared" si="10"/>
        <v>110.69999999999999</v>
      </c>
    </row>
    <row r="35" spans="1:6" x14ac:dyDescent="0.3">
      <c r="C35" s="75">
        <v>4</v>
      </c>
      <c r="D35" s="24">
        <f t="shared" si="9"/>
        <v>16</v>
      </c>
      <c r="E35" s="75">
        <v>44.4</v>
      </c>
      <c r="F35" s="24">
        <f t="shared" si="10"/>
        <v>177.6</v>
      </c>
    </row>
    <row r="36" spans="1:6" x14ac:dyDescent="0.3">
      <c r="C36" s="75">
        <v>5</v>
      </c>
      <c r="D36" s="24">
        <f t="shared" si="9"/>
        <v>25</v>
      </c>
      <c r="E36" s="75">
        <v>33.799999999999997</v>
      </c>
      <c r="F36" s="24">
        <f t="shared" si="10"/>
        <v>169</v>
      </c>
    </row>
    <row r="37" spans="1:6" x14ac:dyDescent="0.3">
      <c r="C37" s="75">
        <v>6</v>
      </c>
      <c r="D37" s="24">
        <f t="shared" si="9"/>
        <v>36</v>
      </c>
      <c r="E37" s="75">
        <v>35.200000000000003</v>
      </c>
      <c r="F37" s="24">
        <f t="shared" si="10"/>
        <v>211.20000000000002</v>
      </c>
    </row>
    <row r="38" spans="1:6" x14ac:dyDescent="0.3">
      <c r="C38" s="75">
        <v>7</v>
      </c>
      <c r="D38" s="24">
        <f t="shared" si="9"/>
        <v>49</v>
      </c>
      <c r="E38" s="75">
        <v>37.4</v>
      </c>
      <c r="F38" s="24">
        <f t="shared" si="10"/>
        <v>261.8</v>
      </c>
    </row>
    <row r="39" spans="1:6" x14ac:dyDescent="0.3">
      <c r="C39" s="75">
        <v>8</v>
      </c>
      <c r="D39" s="24">
        <f t="shared" si="9"/>
        <v>64</v>
      </c>
      <c r="E39" s="75">
        <v>44.6</v>
      </c>
      <c r="F39" s="24">
        <f t="shared" si="10"/>
        <v>356.8</v>
      </c>
    </row>
    <row r="40" spans="1:6" x14ac:dyDescent="0.3">
      <c r="C40" s="75">
        <v>9</v>
      </c>
      <c r="D40" s="24">
        <f t="shared" si="9"/>
        <v>81</v>
      </c>
      <c r="E40" s="75">
        <v>35</v>
      </c>
      <c r="F40" s="24">
        <f t="shared" si="10"/>
        <v>315</v>
      </c>
    </row>
    <row r="41" spans="1:6" x14ac:dyDescent="0.3">
      <c r="C41" s="75">
        <v>10</v>
      </c>
      <c r="D41" s="24">
        <f t="shared" si="9"/>
        <v>100</v>
      </c>
      <c r="E41" s="75">
        <v>35.799999999999997</v>
      </c>
      <c r="F41" s="24">
        <f t="shared" si="10"/>
        <v>358</v>
      </c>
    </row>
    <row r="42" spans="1:6" x14ac:dyDescent="0.3">
      <c r="C42" s="75">
        <v>11</v>
      </c>
      <c r="D42" s="24">
        <f t="shared" si="9"/>
        <v>121</v>
      </c>
      <c r="E42" s="75">
        <v>37.799999999999997</v>
      </c>
      <c r="F42" s="24">
        <f t="shared" si="10"/>
        <v>415.79999999999995</v>
      </c>
    </row>
    <row r="43" spans="1:6" x14ac:dyDescent="0.3">
      <c r="C43" s="75">
        <v>12</v>
      </c>
      <c r="D43" s="24">
        <f t="shared" si="9"/>
        <v>144</v>
      </c>
      <c r="E43" s="75">
        <v>44.8</v>
      </c>
      <c r="F43" s="24">
        <f t="shared" si="10"/>
        <v>537.59999999999991</v>
      </c>
    </row>
    <row r="44" spans="1:6" x14ac:dyDescent="0.3">
      <c r="C44" s="75">
        <v>13</v>
      </c>
      <c r="D44" s="24">
        <f t="shared" si="9"/>
        <v>169</v>
      </c>
      <c r="E44" s="77">
        <v>35.4</v>
      </c>
      <c r="F44" s="24">
        <f t="shared" si="10"/>
        <v>460.2</v>
      </c>
    </row>
    <row r="45" spans="1:6" x14ac:dyDescent="0.3">
      <c r="C45" s="31">
        <f>SUM(C32:C44)</f>
        <v>91</v>
      </c>
      <c r="D45" s="31">
        <f>SUM(D32:D44)</f>
        <v>819</v>
      </c>
      <c r="E45" s="31">
        <f>SUM(E32:E44)</f>
        <v>488.2</v>
      </c>
      <c r="F45" s="31">
        <f>SUM(F32:F44)</f>
        <v>3474.6999999999994</v>
      </c>
    </row>
    <row r="47" spans="1:6" x14ac:dyDescent="0.3">
      <c r="A47" t="s">
        <v>171</v>
      </c>
      <c r="B47" t="s">
        <v>172</v>
      </c>
    </row>
    <row r="48" spans="1:6" x14ac:dyDescent="0.3">
      <c r="A48" t="s">
        <v>169</v>
      </c>
      <c r="B48" t="s">
        <v>170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Пример 1</vt:lpstr>
      <vt:lpstr>Задача 1</vt:lpstr>
      <vt:lpstr>Задача 2</vt:lpstr>
      <vt:lpstr>Задача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Antis</dc:creator>
  <cp:lastModifiedBy>Antis</cp:lastModifiedBy>
  <dcterms:created xsi:type="dcterms:W3CDTF">2021-10-14T08:03:12Z</dcterms:created>
  <dcterms:modified xsi:type="dcterms:W3CDTF">2021-11-07T17:36:06Z</dcterms:modified>
</cp:coreProperties>
</file>