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2" i="1" l="1"/>
  <c r="S118" i="1"/>
  <c r="S124" i="1"/>
  <c r="S24" i="1"/>
  <c r="S14" i="1"/>
  <c r="S113" i="1"/>
  <c r="S119" i="1"/>
  <c r="S125" i="1"/>
  <c r="S25" i="1"/>
  <c r="S15" i="1"/>
  <c r="S114" i="1"/>
  <c r="S120" i="1"/>
  <c r="S126" i="1"/>
  <c r="S26" i="1"/>
  <c r="S16" i="1"/>
  <c r="S19" i="1"/>
  <c r="T112" i="1"/>
  <c r="T118" i="1"/>
  <c r="T124" i="1"/>
  <c r="T24" i="1"/>
  <c r="T14" i="1"/>
  <c r="S44" i="1"/>
  <c r="T38" i="1"/>
  <c r="T113" i="1"/>
  <c r="T119" i="1"/>
  <c r="T125" i="1"/>
  <c r="T25" i="1"/>
  <c r="T15" i="1"/>
  <c r="S45" i="1"/>
  <c r="T39" i="1"/>
  <c r="T114" i="1"/>
  <c r="T120" i="1"/>
  <c r="T126" i="1"/>
  <c r="T26" i="1"/>
  <c r="T16" i="1"/>
  <c r="T19" i="1"/>
  <c r="U6" i="1"/>
  <c r="U136" i="1"/>
  <c r="U142" i="1"/>
  <c r="U112" i="1"/>
  <c r="U118" i="1"/>
  <c r="U124" i="1"/>
  <c r="U24" i="1"/>
  <c r="U14" i="1"/>
  <c r="T44" i="1"/>
  <c r="U38" i="1"/>
  <c r="U137" i="1"/>
  <c r="U143" i="1"/>
  <c r="U113" i="1"/>
  <c r="U119" i="1"/>
  <c r="U125" i="1"/>
  <c r="U25" i="1"/>
  <c r="U15" i="1"/>
  <c r="T45" i="1"/>
  <c r="U39" i="1"/>
  <c r="U114" i="1"/>
  <c r="U120" i="1"/>
  <c r="U126" i="1"/>
  <c r="U26" i="1"/>
  <c r="U16" i="1"/>
  <c r="U19" i="1"/>
  <c r="V6" i="1"/>
  <c r="V112" i="1"/>
  <c r="V7" i="1"/>
  <c r="V118" i="1"/>
  <c r="V8" i="1"/>
  <c r="V160" i="1"/>
  <c r="V166" i="1"/>
  <c r="V124" i="1"/>
  <c r="V24" i="1"/>
  <c r="V14" i="1"/>
  <c r="U44" i="1"/>
  <c r="V38" i="1"/>
  <c r="V137" i="1"/>
  <c r="V143" i="1"/>
  <c r="V113" i="1"/>
  <c r="V119" i="1"/>
  <c r="V125" i="1"/>
  <c r="V25" i="1"/>
  <c r="V15" i="1"/>
  <c r="U45" i="1"/>
  <c r="V39" i="1"/>
  <c r="V114" i="1"/>
  <c r="V150" i="1"/>
  <c r="V156" i="1"/>
  <c r="V120" i="1"/>
  <c r="V126" i="1"/>
  <c r="V26" i="1"/>
  <c r="V16" i="1"/>
  <c r="V19" i="1"/>
  <c r="W6" i="1"/>
  <c r="W112" i="1"/>
  <c r="W7" i="1"/>
  <c r="W118" i="1"/>
  <c r="W8" i="1"/>
  <c r="W160" i="1"/>
  <c r="W166" i="1"/>
  <c r="W124" i="1"/>
  <c r="W24" i="1"/>
  <c r="W14" i="1"/>
  <c r="V44" i="1"/>
  <c r="W38" i="1"/>
  <c r="W137" i="1"/>
  <c r="W143" i="1"/>
  <c r="W113" i="1"/>
  <c r="W119" i="1"/>
  <c r="W125" i="1"/>
  <c r="W25" i="1"/>
  <c r="W15" i="1"/>
  <c r="V45" i="1"/>
  <c r="W39" i="1"/>
  <c r="W114" i="1"/>
  <c r="W150" i="1"/>
  <c r="W156" i="1"/>
  <c r="W120" i="1"/>
  <c r="W126" i="1"/>
  <c r="W26" i="1"/>
  <c r="W16" i="1"/>
  <c r="W19" i="1"/>
  <c r="X6" i="1"/>
  <c r="X112" i="1"/>
  <c r="X7" i="1"/>
  <c r="X118" i="1"/>
  <c r="X8" i="1"/>
  <c r="X160" i="1"/>
  <c r="X166" i="1"/>
  <c r="X124" i="1"/>
  <c r="X24" i="1"/>
  <c r="X14" i="1"/>
  <c r="W44" i="1"/>
  <c r="X38" i="1"/>
  <c r="X137" i="1"/>
  <c r="X143" i="1"/>
  <c r="X113" i="1"/>
  <c r="X119" i="1"/>
  <c r="X125" i="1"/>
  <c r="X25" i="1"/>
  <c r="X15" i="1"/>
  <c r="W45" i="1"/>
  <c r="X39" i="1"/>
  <c r="X114" i="1"/>
  <c r="X150" i="1"/>
  <c r="X156" i="1"/>
  <c r="X120" i="1"/>
  <c r="X126" i="1"/>
  <c r="X26" i="1"/>
  <c r="X16" i="1"/>
  <c r="X19" i="1"/>
  <c r="Y6" i="1"/>
  <c r="Y112" i="1"/>
  <c r="Y7" i="1"/>
  <c r="Y148" i="1"/>
  <c r="Y154" i="1"/>
  <c r="Y118" i="1"/>
  <c r="Y8" i="1"/>
  <c r="Y124" i="1"/>
  <c r="Y24" i="1"/>
  <c r="Y14" i="1"/>
  <c r="X44" i="1"/>
  <c r="Y38" i="1"/>
  <c r="Y113" i="1"/>
  <c r="Y119" i="1"/>
  <c r="Y161" i="1"/>
  <c r="Y167" i="1"/>
  <c r="Y125" i="1"/>
  <c r="Y25" i="1"/>
  <c r="Y15" i="1"/>
  <c r="X45" i="1"/>
  <c r="Y39" i="1"/>
  <c r="Y138" i="1"/>
  <c r="Y144" i="1"/>
  <c r="Y114" i="1"/>
  <c r="Y120" i="1"/>
  <c r="Y126" i="1"/>
  <c r="Y26" i="1"/>
  <c r="Y16" i="1"/>
  <c r="Y19" i="1"/>
  <c r="Z6" i="1"/>
  <c r="Z112" i="1"/>
  <c r="Z7" i="1"/>
  <c r="Z148" i="1"/>
  <c r="Z154" i="1"/>
  <c r="Z118" i="1"/>
  <c r="Z8" i="1"/>
  <c r="Z124" i="1"/>
  <c r="Z24" i="1"/>
  <c r="Z14" i="1"/>
  <c r="Y44" i="1"/>
  <c r="Z38" i="1"/>
  <c r="Z113" i="1"/>
  <c r="Z119" i="1"/>
  <c r="Z161" i="1"/>
  <c r="Z167" i="1"/>
  <c r="Z125" i="1"/>
  <c r="Z25" i="1"/>
  <c r="Z15" i="1"/>
  <c r="Y45" i="1"/>
  <c r="Z39" i="1"/>
  <c r="Z138" i="1"/>
  <c r="Z144" i="1"/>
  <c r="Z114" i="1"/>
  <c r="Z120" i="1"/>
  <c r="Z126" i="1"/>
  <c r="Z26" i="1"/>
  <c r="Z16" i="1"/>
  <c r="Z19" i="1"/>
  <c r="AA6" i="1"/>
  <c r="AA112" i="1"/>
  <c r="AA7" i="1"/>
  <c r="AA148" i="1"/>
  <c r="AA154" i="1"/>
  <c r="AA118" i="1"/>
  <c r="AA8" i="1"/>
  <c r="AA124" i="1"/>
  <c r="AA24" i="1"/>
  <c r="AA14" i="1"/>
  <c r="Z44" i="1"/>
  <c r="AA38" i="1"/>
  <c r="AA113" i="1"/>
  <c r="AA119" i="1"/>
  <c r="AA161" i="1"/>
  <c r="AA167" i="1"/>
  <c r="AA125" i="1"/>
  <c r="AA25" i="1"/>
  <c r="AA15" i="1"/>
  <c r="Z45" i="1"/>
  <c r="AA39" i="1"/>
  <c r="AA138" i="1"/>
  <c r="AA144" i="1"/>
  <c r="AA114" i="1"/>
  <c r="AA120" i="1"/>
  <c r="AA126" i="1"/>
  <c r="AA26" i="1"/>
  <c r="AA16" i="1"/>
  <c r="AA19" i="1"/>
  <c r="R19" i="1"/>
  <c r="S20" i="1"/>
  <c r="T20" i="1"/>
  <c r="U20" i="1"/>
  <c r="V20" i="1"/>
  <c r="W20" i="1"/>
  <c r="X20" i="1"/>
  <c r="Y20" i="1"/>
  <c r="Z20" i="1"/>
  <c r="AA20" i="1"/>
  <c r="R20" i="1"/>
  <c r="S17" i="1"/>
  <c r="S30" i="1"/>
  <c r="S31" i="1"/>
  <c r="S32" i="1"/>
  <c r="S33" i="1"/>
  <c r="T17" i="1"/>
  <c r="T30" i="1"/>
  <c r="T31" i="1"/>
  <c r="T32" i="1"/>
  <c r="T33" i="1"/>
  <c r="U17" i="1"/>
  <c r="U30" i="1"/>
  <c r="U31" i="1"/>
  <c r="U32" i="1"/>
  <c r="U33" i="1"/>
  <c r="V17" i="1"/>
  <c r="V30" i="1"/>
  <c r="V31" i="1"/>
  <c r="V32" i="1"/>
  <c r="V33" i="1"/>
  <c r="W17" i="1"/>
  <c r="W30" i="1"/>
  <c r="W31" i="1"/>
  <c r="W32" i="1"/>
  <c r="W33" i="1"/>
  <c r="X17" i="1"/>
  <c r="X30" i="1"/>
  <c r="X31" i="1"/>
  <c r="X32" i="1"/>
  <c r="X33" i="1"/>
  <c r="Y17" i="1"/>
  <c r="Y30" i="1"/>
  <c r="Y31" i="1"/>
  <c r="Y32" i="1"/>
  <c r="Y33" i="1"/>
  <c r="Z17" i="1"/>
  <c r="Z30" i="1"/>
  <c r="Z31" i="1"/>
  <c r="Z32" i="1"/>
  <c r="Z33" i="1"/>
  <c r="AA17" i="1"/>
  <c r="AA30" i="1"/>
  <c r="AA31" i="1"/>
  <c r="AA32" i="1"/>
  <c r="AA33" i="1"/>
  <c r="R33" i="1"/>
  <c r="S56" i="1"/>
  <c r="T55" i="1"/>
  <c r="T56" i="1"/>
  <c r="U60" i="1"/>
  <c r="U55" i="1"/>
  <c r="U56" i="1"/>
  <c r="V60" i="1"/>
  <c r="V55" i="1"/>
  <c r="V56" i="1"/>
  <c r="W60" i="1"/>
  <c r="W55" i="1"/>
  <c r="W56" i="1"/>
  <c r="X60" i="1"/>
  <c r="X55" i="1"/>
  <c r="X56" i="1"/>
  <c r="Y60" i="1"/>
  <c r="Y55" i="1"/>
  <c r="Y56" i="1"/>
  <c r="Z60" i="1"/>
  <c r="Z55" i="1"/>
  <c r="Z56" i="1"/>
  <c r="AA60" i="1"/>
  <c r="T60" i="1"/>
  <c r="R60" i="1"/>
  <c r="R177" i="1"/>
  <c r="R178" i="1"/>
  <c r="R187" i="1"/>
  <c r="R196" i="1"/>
  <c r="R211" i="1"/>
  <c r="R186" i="1"/>
  <c r="R195" i="1"/>
  <c r="R210" i="1"/>
  <c r="R185" i="1"/>
  <c r="R194" i="1"/>
  <c r="R209" i="1"/>
  <c r="R184" i="1"/>
  <c r="R193" i="1"/>
  <c r="R208" i="1"/>
  <c r="T141" i="1"/>
  <c r="U141" i="1"/>
  <c r="V141" i="1"/>
  <c r="W141" i="1"/>
  <c r="X141" i="1"/>
  <c r="Y141" i="1"/>
  <c r="Z141" i="1"/>
  <c r="AA141" i="1"/>
  <c r="AB141" i="1"/>
  <c r="AB153" i="1"/>
  <c r="AB165" i="1"/>
  <c r="AA153" i="1"/>
  <c r="AA165" i="1"/>
  <c r="AA175" i="1"/>
  <c r="AA184" i="1"/>
  <c r="AA193" i="1"/>
  <c r="AA208" i="1"/>
  <c r="Z153" i="1"/>
  <c r="Z165" i="1"/>
  <c r="Z175" i="1"/>
  <c r="Z184" i="1"/>
  <c r="Z193" i="1"/>
  <c r="Z208" i="1"/>
  <c r="Y153" i="1"/>
  <c r="Y165" i="1"/>
  <c r="Y175" i="1"/>
  <c r="Y184" i="1"/>
  <c r="Y193" i="1"/>
  <c r="Y208" i="1"/>
  <c r="X153" i="1"/>
  <c r="X165" i="1"/>
  <c r="X175" i="1"/>
  <c r="X184" i="1"/>
  <c r="X193" i="1"/>
  <c r="X208" i="1"/>
  <c r="W153" i="1"/>
  <c r="W165" i="1"/>
  <c r="W175" i="1"/>
  <c r="W184" i="1"/>
  <c r="W193" i="1"/>
  <c r="W208" i="1"/>
  <c r="V153" i="1"/>
  <c r="V165" i="1"/>
  <c r="V175" i="1"/>
  <c r="V184" i="1"/>
  <c r="V193" i="1"/>
  <c r="V208" i="1"/>
  <c r="U153" i="1"/>
  <c r="U165" i="1"/>
  <c r="U175" i="1"/>
  <c r="U184" i="1"/>
  <c r="U193" i="1"/>
  <c r="U208" i="1"/>
  <c r="T153" i="1"/>
  <c r="T165" i="1"/>
  <c r="T175" i="1"/>
  <c r="T184" i="1"/>
  <c r="T193" i="1"/>
  <c r="T208" i="1"/>
  <c r="S153" i="1"/>
  <c r="S165" i="1"/>
  <c r="S175" i="1"/>
  <c r="S184" i="1"/>
  <c r="S193" i="1"/>
  <c r="S208" i="1"/>
  <c r="S152" i="1"/>
  <c r="S164" i="1"/>
  <c r="S174" i="1"/>
  <c r="S183" i="1"/>
  <c r="S192" i="1"/>
  <c r="S207" i="1"/>
  <c r="Q140" i="1"/>
  <c r="Q146" i="1"/>
  <c r="Q152" i="1"/>
  <c r="Q158" i="1"/>
  <c r="Q164" i="1"/>
  <c r="S146" i="1"/>
  <c r="S158" i="1"/>
  <c r="U146" i="1"/>
  <c r="U158" i="1"/>
  <c r="Q141" i="1"/>
  <c r="Q147" i="1"/>
  <c r="Q153" i="1"/>
  <c r="Q159" i="1"/>
  <c r="Q165" i="1"/>
  <c r="S147" i="1"/>
  <c r="S159" i="1"/>
  <c r="T135" i="1"/>
  <c r="T147" i="1"/>
  <c r="T159" i="1"/>
  <c r="U135" i="1"/>
  <c r="U147" i="1"/>
  <c r="U159" i="1"/>
  <c r="V135" i="1"/>
  <c r="V147" i="1"/>
  <c r="V159" i="1"/>
  <c r="W135" i="1"/>
  <c r="W147" i="1"/>
  <c r="W159" i="1"/>
  <c r="X135" i="1"/>
  <c r="X147" i="1"/>
  <c r="X159" i="1"/>
  <c r="Y135" i="1"/>
  <c r="Y147" i="1"/>
  <c r="Y159" i="1"/>
  <c r="Z135" i="1"/>
  <c r="Z147" i="1"/>
  <c r="Z159" i="1"/>
  <c r="AA135" i="1"/>
  <c r="AA147" i="1"/>
  <c r="AA159" i="1"/>
  <c r="AB135" i="1"/>
  <c r="AB147" i="1"/>
  <c r="AB159" i="1"/>
  <c r="Q142" i="1"/>
  <c r="Q148" i="1"/>
  <c r="Q154" i="1"/>
  <c r="Q160" i="1"/>
  <c r="Q166" i="1"/>
  <c r="Q137" i="1"/>
  <c r="Q143" i="1"/>
  <c r="Q149" i="1"/>
  <c r="Q155" i="1"/>
  <c r="Q161" i="1"/>
  <c r="Q167" i="1"/>
  <c r="Q138" i="1"/>
  <c r="Q144" i="1"/>
  <c r="Q150" i="1"/>
  <c r="Q156" i="1"/>
  <c r="Q162" i="1"/>
  <c r="Q168" i="1"/>
  <c r="U152" i="1"/>
  <c r="U164" i="1"/>
  <c r="H153" i="1"/>
  <c r="H165" i="1"/>
  <c r="I153" i="1"/>
  <c r="I165" i="1"/>
  <c r="J153" i="1"/>
  <c r="J165" i="1"/>
  <c r="K153" i="1"/>
  <c r="K165" i="1"/>
  <c r="L153" i="1"/>
  <c r="L165" i="1"/>
  <c r="M153" i="1"/>
  <c r="M165" i="1"/>
  <c r="N153" i="1"/>
  <c r="N165" i="1"/>
  <c r="O153" i="1"/>
  <c r="O165" i="1"/>
  <c r="P153" i="1"/>
  <c r="P165" i="1"/>
  <c r="B25" i="1"/>
  <c r="B26" i="1"/>
  <c r="B31" i="1"/>
  <c r="B32" i="1"/>
  <c r="B44" i="1"/>
  <c r="B45" i="1"/>
  <c r="B50" i="1"/>
  <c r="B51" i="1"/>
  <c r="C23" i="1"/>
  <c r="C25" i="1"/>
  <c r="C26" i="1"/>
  <c r="C29" i="1"/>
  <c r="C31" i="1"/>
  <c r="C32" i="1"/>
  <c r="C36" i="1"/>
  <c r="C42" i="1"/>
  <c r="C44" i="1"/>
  <c r="C45" i="1"/>
  <c r="C48" i="1"/>
  <c r="C50" i="1"/>
  <c r="C51" i="1"/>
  <c r="C5" i="1"/>
  <c r="C13" i="1"/>
  <c r="D23" i="1"/>
  <c r="D25" i="1"/>
  <c r="D26" i="1"/>
  <c r="D29" i="1"/>
  <c r="D31" i="1"/>
  <c r="D32" i="1"/>
  <c r="D36" i="1"/>
  <c r="D42" i="1"/>
  <c r="D44" i="1"/>
  <c r="D45" i="1"/>
  <c r="D48" i="1"/>
  <c r="D50" i="1"/>
  <c r="D51" i="1"/>
  <c r="D5" i="1"/>
  <c r="D13" i="1"/>
  <c r="C8" i="1"/>
  <c r="D8" i="1"/>
  <c r="C7" i="1"/>
  <c r="D7" i="1"/>
  <c r="C6" i="1"/>
  <c r="D6" i="1"/>
  <c r="C16" i="1"/>
  <c r="D16" i="1"/>
  <c r="C15" i="1"/>
  <c r="D15" i="1"/>
  <c r="C14" i="1"/>
  <c r="D14" i="1"/>
  <c r="P7" i="1"/>
  <c r="P8" i="1"/>
  <c r="T6" i="1"/>
  <c r="S6" i="1"/>
  <c r="T179" i="1"/>
  <c r="T188" i="1"/>
  <c r="T197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S210" i="1"/>
  <c r="S211" i="1"/>
  <c r="S209" i="1"/>
  <c r="P185" i="1"/>
  <c r="P194" i="1"/>
  <c r="Q184" i="1"/>
  <c r="Q193" i="1"/>
  <c r="Q194" i="1"/>
  <c r="U183" i="1"/>
  <c r="U192" i="1"/>
  <c r="AA197" i="1"/>
  <c r="Z197" i="1"/>
  <c r="Y197" i="1"/>
  <c r="X197" i="1"/>
  <c r="W197" i="1"/>
  <c r="V197" i="1"/>
  <c r="U197" i="1"/>
  <c r="S197" i="1"/>
  <c r="AA188" i="1"/>
  <c r="Z188" i="1"/>
  <c r="Y188" i="1"/>
  <c r="X188" i="1"/>
  <c r="W188" i="1"/>
  <c r="V188" i="1"/>
  <c r="U188" i="1"/>
  <c r="S188" i="1"/>
  <c r="Q185" i="1"/>
  <c r="AA179" i="1"/>
  <c r="Z179" i="1"/>
  <c r="Y179" i="1"/>
  <c r="X179" i="1"/>
  <c r="W179" i="1"/>
  <c r="V179" i="1"/>
  <c r="U179" i="1"/>
  <c r="S179" i="1"/>
  <c r="Q176" i="1"/>
  <c r="S8" i="1"/>
  <c r="H168" i="1"/>
  <c r="J168" i="1"/>
  <c r="O168" i="1"/>
  <c r="L168" i="1"/>
  <c r="K168" i="1"/>
  <c r="R168" i="1"/>
  <c r="P168" i="1"/>
  <c r="N168" i="1"/>
  <c r="I168" i="1"/>
  <c r="M168" i="1"/>
  <c r="J167" i="1"/>
  <c r="R167" i="1"/>
  <c r="P167" i="1"/>
  <c r="O167" i="1"/>
  <c r="N167" i="1"/>
  <c r="I167" i="1"/>
  <c r="M167" i="1"/>
  <c r="L167" i="1"/>
  <c r="H167" i="1"/>
  <c r="K167" i="1"/>
  <c r="J166" i="1"/>
  <c r="R166" i="1"/>
  <c r="P166" i="1"/>
  <c r="O166" i="1"/>
  <c r="N166" i="1"/>
  <c r="I166" i="1"/>
  <c r="M166" i="1"/>
  <c r="L166" i="1"/>
  <c r="H166" i="1"/>
  <c r="K166" i="1"/>
  <c r="S7" i="1"/>
  <c r="J156" i="1"/>
  <c r="R156" i="1"/>
  <c r="P156" i="1"/>
  <c r="O156" i="1"/>
  <c r="N156" i="1"/>
  <c r="I156" i="1"/>
  <c r="M156" i="1"/>
  <c r="L156" i="1"/>
  <c r="H156" i="1"/>
  <c r="K156" i="1"/>
  <c r="J155" i="1"/>
  <c r="R155" i="1"/>
  <c r="P155" i="1"/>
  <c r="O155" i="1"/>
  <c r="N155" i="1"/>
  <c r="I155" i="1"/>
  <c r="M155" i="1"/>
  <c r="L155" i="1"/>
  <c r="H155" i="1"/>
  <c r="K155" i="1"/>
  <c r="H154" i="1"/>
  <c r="J154" i="1"/>
  <c r="O154" i="1"/>
  <c r="L154" i="1"/>
  <c r="K154" i="1"/>
  <c r="R154" i="1"/>
  <c r="P154" i="1"/>
  <c r="N154" i="1"/>
  <c r="I154" i="1"/>
  <c r="M154" i="1"/>
  <c r="J144" i="1"/>
  <c r="AB138" i="1"/>
  <c r="X138" i="1"/>
  <c r="W138" i="1"/>
  <c r="V138" i="1"/>
  <c r="U138" i="1"/>
  <c r="T138" i="1"/>
  <c r="S138" i="1"/>
  <c r="S144" i="1"/>
  <c r="I144" i="1"/>
  <c r="P144" i="1"/>
  <c r="N144" i="1"/>
  <c r="M144" i="1"/>
  <c r="T144" i="1"/>
  <c r="U144" i="1"/>
  <c r="V144" i="1"/>
  <c r="W144" i="1"/>
  <c r="X144" i="1"/>
  <c r="AB144" i="1"/>
  <c r="R144" i="1"/>
  <c r="O144" i="1"/>
  <c r="L144" i="1"/>
  <c r="H144" i="1"/>
  <c r="K144" i="1"/>
  <c r="H143" i="1"/>
  <c r="AB137" i="1"/>
  <c r="AA137" i="1"/>
  <c r="Z137" i="1"/>
  <c r="Y137" i="1"/>
  <c r="T137" i="1"/>
  <c r="S137" i="1"/>
  <c r="J143" i="1"/>
  <c r="S143" i="1"/>
  <c r="O143" i="1"/>
  <c r="L143" i="1"/>
  <c r="K143" i="1"/>
  <c r="T143" i="1"/>
  <c r="Y143" i="1"/>
  <c r="Z143" i="1"/>
  <c r="AA143" i="1"/>
  <c r="AB143" i="1"/>
  <c r="R143" i="1"/>
  <c r="P143" i="1"/>
  <c r="N143" i="1"/>
  <c r="I143" i="1"/>
  <c r="M143" i="1"/>
  <c r="J142" i="1"/>
  <c r="AB136" i="1"/>
  <c r="AA136" i="1"/>
  <c r="Z136" i="1"/>
  <c r="Y136" i="1"/>
  <c r="X136" i="1"/>
  <c r="W136" i="1"/>
  <c r="V136" i="1"/>
  <c r="T136" i="1"/>
  <c r="S136" i="1"/>
  <c r="S142" i="1"/>
  <c r="H142" i="1"/>
  <c r="O142" i="1"/>
  <c r="L142" i="1"/>
  <c r="K142" i="1"/>
  <c r="T142" i="1"/>
  <c r="V142" i="1"/>
  <c r="W142" i="1"/>
  <c r="X142" i="1"/>
  <c r="Y142" i="1"/>
  <c r="Z142" i="1"/>
  <c r="AA142" i="1"/>
  <c r="AB142" i="1"/>
  <c r="R142" i="1"/>
  <c r="P142" i="1"/>
  <c r="N142" i="1"/>
  <c r="I142" i="1"/>
  <c r="M142" i="1"/>
  <c r="Q113" i="1"/>
  <c r="Q114" i="1"/>
  <c r="Q120" i="1"/>
  <c r="Q126" i="1"/>
  <c r="Q119" i="1"/>
  <c r="Q125" i="1"/>
  <c r="Q118" i="1"/>
  <c r="Q124" i="1"/>
  <c r="T111" i="1"/>
  <c r="U111" i="1"/>
  <c r="V111" i="1"/>
  <c r="W111" i="1"/>
  <c r="X111" i="1"/>
  <c r="Y111" i="1"/>
  <c r="Z111" i="1"/>
  <c r="AA111" i="1"/>
  <c r="AB111" i="1"/>
  <c r="AB117" i="1"/>
  <c r="AB123" i="1"/>
  <c r="AA117" i="1"/>
  <c r="AA123" i="1"/>
  <c r="Z117" i="1"/>
  <c r="Z123" i="1"/>
  <c r="Y117" i="1"/>
  <c r="Y123" i="1"/>
  <c r="X117" i="1"/>
  <c r="X123" i="1"/>
  <c r="W117" i="1"/>
  <c r="W123" i="1"/>
  <c r="V117" i="1"/>
  <c r="V123" i="1"/>
  <c r="U117" i="1"/>
  <c r="U123" i="1"/>
  <c r="T117" i="1"/>
  <c r="T123" i="1"/>
  <c r="S117" i="1"/>
  <c r="S123" i="1"/>
  <c r="Q117" i="1"/>
  <c r="Q123" i="1"/>
  <c r="U116" i="1"/>
  <c r="U122" i="1"/>
  <c r="S116" i="1"/>
  <c r="S122" i="1"/>
  <c r="Q116" i="1"/>
  <c r="Q122" i="1"/>
  <c r="AB114" i="1"/>
  <c r="AB113" i="1"/>
  <c r="AB112" i="1"/>
  <c r="Q15" i="1"/>
  <c r="Q16" i="1"/>
  <c r="Q26" i="1"/>
  <c r="Q25" i="1"/>
  <c r="Q24" i="1"/>
  <c r="R10" i="1"/>
  <c r="Q64" i="1"/>
  <c r="W69" i="1"/>
  <c r="S69" i="1"/>
  <c r="O69" i="1"/>
  <c r="W68" i="1"/>
  <c r="S68" i="1"/>
  <c r="O68" i="1"/>
  <c r="T5" i="1"/>
  <c r="U5" i="1"/>
  <c r="V5" i="1"/>
  <c r="W5" i="1"/>
  <c r="X5" i="1"/>
  <c r="Y5" i="1"/>
  <c r="Z5" i="1"/>
  <c r="AA5" i="1"/>
  <c r="AB5" i="1"/>
  <c r="AB13" i="1"/>
  <c r="AB23" i="1"/>
  <c r="AB29" i="1"/>
  <c r="AB36" i="1"/>
  <c r="AB42" i="1"/>
  <c r="AB48" i="1"/>
  <c r="AB54" i="1"/>
  <c r="AA13" i="1"/>
  <c r="AA23" i="1"/>
  <c r="AA29" i="1"/>
  <c r="AA36" i="1"/>
  <c r="AA42" i="1"/>
  <c r="AA48" i="1"/>
  <c r="AA54" i="1"/>
  <c r="Z13" i="1"/>
  <c r="Z23" i="1"/>
  <c r="Z29" i="1"/>
  <c r="Z36" i="1"/>
  <c r="Z42" i="1"/>
  <c r="Z48" i="1"/>
  <c r="Z54" i="1"/>
  <c r="Y13" i="1"/>
  <c r="Y23" i="1"/>
  <c r="Y29" i="1"/>
  <c r="Y36" i="1"/>
  <c r="Y42" i="1"/>
  <c r="Y48" i="1"/>
  <c r="Y54" i="1"/>
  <c r="X13" i="1"/>
  <c r="X23" i="1"/>
  <c r="X29" i="1"/>
  <c r="X36" i="1"/>
  <c r="X42" i="1"/>
  <c r="X48" i="1"/>
  <c r="X54" i="1"/>
  <c r="W13" i="1"/>
  <c r="W23" i="1"/>
  <c r="W29" i="1"/>
  <c r="W36" i="1"/>
  <c r="W42" i="1"/>
  <c r="W48" i="1"/>
  <c r="W54" i="1"/>
  <c r="V13" i="1"/>
  <c r="V23" i="1"/>
  <c r="V29" i="1"/>
  <c r="V36" i="1"/>
  <c r="V42" i="1"/>
  <c r="V48" i="1"/>
  <c r="V54" i="1"/>
  <c r="U13" i="1"/>
  <c r="U23" i="1"/>
  <c r="U29" i="1"/>
  <c r="U36" i="1"/>
  <c r="U42" i="1"/>
  <c r="U48" i="1"/>
  <c r="U54" i="1"/>
  <c r="T13" i="1"/>
  <c r="T23" i="1"/>
  <c r="T29" i="1"/>
  <c r="T36" i="1"/>
  <c r="T42" i="1"/>
  <c r="T48" i="1"/>
  <c r="T54" i="1"/>
  <c r="S13" i="1"/>
  <c r="S23" i="1"/>
  <c r="S29" i="1"/>
  <c r="S36" i="1"/>
  <c r="S42" i="1"/>
  <c r="S48" i="1"/>
  <c r="S54" i="1"/>
  <c r="S12" i="1"/>
  <c r="S22" i="1"/>
  <c r="S28" i="1"/>
  <c r="S35" i="1"/>
  <c r="S41" i="1"/>
  <c r="S47" i="1"/>
  <c r="S53" i="1"/>
  <c r="Q32" i="1"/>
  <c r="Q39" i="1"/>
  <c r="Q45" i="1"/>
  <c r="Q51" i="1"/>
  <c r="Q31" i="1"/>
  <c r="Q38" i="1"/>
  <c r="Q44" i="1"/>
  <c r="Q50" i="1"/>
  <c r="Q30" i="1"/>
  <c r="Q37" i="1"/>
  <c r="Q43" i="1"/>
  <c r="Q49" i="1"/>
  <c r="Q23" i="1"/>
  <c r="Q29" i="1"/>
  <c r="Q36" i="1"/>
  <c r="Q42" i="1"/>
  <c r="Q48" i="1"/>
  <c r="AN62" i="1"/>
  <c r="AM62" i="1"/>
  <c r="AL62" i="1"/>
  <c r="AK62" i="1"/>
  <c r="AJ62" i="1"/>
  <c r="AI62" i="1"/>
  <c r="AH62" i="1"/>
  <c r="AG62" i="1"/>
  <c r="AF62" i="1"/>
  <c r="AF61" i="1"/>
  <c r="AG61" i="1"/>
  <c r="AH61" i="1"/>
  <c r="AI61" i="1"/>
  <c r="AJ61" i="1"/>
  <c r="AK61" i="1"/>
  <c r="AL61" i="1"/>
  <c r="AM61" i="1"/>
  <c r="AN61" i="1"/>
  <c r="AN26" i="1"/>
  <c r="AM26" i="1"/>
  <c r="AL26" i="1"/>
  <c r="AK26" i="1"/>
  <c r="AJ26" i="1"/>
  <c r="AI26" i="1"/>
  <c r="AH26" i="1"/>
  <c r="AG26" i="1"/>
  <c r="AF26" i="1"/>
  <c r="AF25" i="1"/>
  <c r="AG25" i="1"/>
  <c r="AH25" i="1"/>
  <c r="AI25" i="1"/>
  <c r="AJ25" i="1"/>
  <c r="AK25" i="1"/>
  <c r="AL25" i="1"/>
  <c r="AM25" i="1"/>
  <c r="AN25" i="1"/>
  <c r="AM6" i="1"/>
  <c r="AL6" i="1"/>
  <c r="AK6" i="1"/>
  <c r="AJ6" i="1"/>
  <c r="AI6" i="1"/>
  <c r="AH6" i="1"/>
  <c r="AG6" i="1"/>
  <c r="AF6" i="1"/>
  <c r="AD6" i="1"/>
  <c r="AF5" i="1"/>
  <c r="AG5" i="1"/>
  <c r="AH5" i="1"/>
  <c r="AI5" i="1"/>
  <c r="AJ5" i="1"/>
  <c r="AK5" i="1"/>
  <c r="AL5" i="1"/>
  <c r="AM5" i="1"/>
  <c r="AN5" i="1"/>
  <c r="S162" i="1"/>
  <c r="S168" i="1"/>
  <c r="S160" i="1"/>
  <c r="S166" i="1"/>
  <c r="S161" i="1"/>
  <c r="S167" i="1"/>
  <c r="S149" i="1"/>
  <c r="S155" i="1"/>
  <c r="S148" i="1"/>
  <c r="S154" i="1"/>
  <c r="S150" i="1"/>
  <c r="S156" i="1"/>
  <c r="T7" i="1"/>
  <c r="T8" i="1"/>
  <c r="T149" i="1"/>
  <c r="T155" i="1"/>
  <c r="T162" i="1"/>
  <c r="T168" i="1"/>
  <c r="U7" i="1"/>
  <c r="U8" i="1"/>
  <c r="U149" i="1"/>
  <c r="U155" i="1"/>
  <c r="U162" i="1"/>
  <c r="U168" i="1"/>
  <c r="V149" i="1"/>
  <c r="V155" i="1"/>
  <c r="V162" i="1"/>
  <c r="V168" i="1"/>
  <c r="W149" i="1"/>
  <c r="W155" i="1"/>
  <c r="W162" i="1"/>
  <c r="W168" i="1"/>
  <c r="X148" i="1"/>
  <c r="X154" i="1"/>
  <c r="X149" i="1"/>
  <c r="X155" i="1"/>
  <c r="X162" i="1"/>
  <c r="X168" i="1"/>
  <c r="Y149" i="1"/>
  <c r="Y155" i="1"/>
  <c r="Y150" i="1"/>
  <c r="Y156" i="1"/>
  <c r="Y162" i="1"/>
  <c r="Y168" i="1"/>
  <c r="Z149" i="1"/>
  <c r="Z155" i="1"/>
  <c r="Z150" i="1"/>
  <c r="Z156" i="1"/>
  <c r="Z162" i="1"/>
  <c r="Z168" i="1"/>
  <c r="AA149" i="1"/>
  <c r="AA155" i="1"/>
  <c r="AA150" i="1"/>
  <c r="AA156" i="1"/>
  <c r="AA162" i="1"/>
  <c r="AA168" i="1"/>
  <c r="AB118" i="1"/>
  <c r="AB124" i="1"/>
  <c r="AB119" i="1"/>
  <c r="AB120" i="1"/>
  <c r="AB125" i="1"/>
  <c r="AB126" i="1"/>
  <c r="AF7" i="1"/>
  <c r="AG7" i="1"/>
  <c r="AH7" i="1"/>
  <c r="AI7" i="1"/>
  <c r="AJ7" i="1"/>
  <c r="AK7" i="1"/>
  <c r="AL7" i="1"/>
  <c r="AM7" i="1"/>
  <c r="AD7" i="1"/>
  <c r="AF8" i="1"/>
  <c r="AG8" i="1"/>
  <c r="AH8" i="1"/>
  <c r="AI8" i="1"/>
  <c r="AJ8" i="1"/>
  <c r="AK8" i="1"/>
  <c r="AL8" i="1"/>
  <c r="AM8" i="1"/>
  <c r="AD8" i="1"/>
  <c r="AB148" i="1"/>
  <c r="AB154" i="1"/>
  <c r="W148" i="1"/>
  <c r="W154" i="1"/>
  <c r="V148" i="1"/>
  <c r="V154" i="1"/>
  <c r="U148" i="1"/>
  <c r="U154" i="1"/>
  <c r="T148" i="1"/>
  <c r="T154" i="1"/>
  <c r="AB149" i="1"/>
  <c r="AB155" i="1"/>
  <c r="T150" i="1"/>
  <c r="T156" i="1"/>
  <c r="U150" i="1"/>
  <c r="U156" i="1"/>
  <c r="AB150" i="1"/>
  <c r="AB156" i="1"/>
  <c r="AB160" i="1"/>
  <c r="AA160" i="1"/>
  <c r="Z160" i="1"/>
  <c r="Y160" i="1"/>
  <c r="U160" i="1"/>
  <c r="T160" i="1"/>
  <c r="T166" i="1"/>
  <c r="U166" i="1"/>
  <c r="Y166" i="1"/>
  <c r="Z166" i="1"/>
  <c r="AA166" i="1"/>
  <c r="AB166" i="1"/>
  <c r="T161" i="1"/>
  <c r="T167" i="1"/>
  <c r="U161" i="1"/>
  <c r="U167" i="1"/>
  <c r="V161" i="1"/>
  <c r="V167" i="1"/>
  <c r="W161" i="1"/>
  <c r="W167" i="1"/>
  <c r="X161" i="1"/>
  <c r="X167" i="1"/>
  <c r="AB161" i="1"/>
  <c r="AB167" i="1"/>
  <c r="AB162" i="1"/>
  <c r="AB168" i="1"/>
  <c r="AA44" i="1"/>
  <c r="AA45" i="1"/>
  <c r="AA55" i="1"/>
  <c r="AA56" i="1"/>
  <c r="Q72" i="1"/>
  <c r="Q73" i="1"/>
  <c r="Q74" i="1"/>
  <c r="U72" i="1"/>
  <c r="U73" i="1"/>
  <c r="U74" i="1"/>
  <c r="Y72" i="1"/>
  <c r="Y73" i="1"/>
  <c r="Y74" i="1"/>
  <c r="AA74" i="1"/>
  <c r="Q63" i="1"/>
  <c r="AA57" i="1"/>
  <c r="Z57" i="1"/>
  <c r="Y57" i="1"/>
  <c r="X57" i="1"/>
  <c r="W57" i="1"/>
  <c r="V57" i="1"/>
  <c r="U57" i="1"/>
  <c r="T57" i="1"/>
  <c r="AA51" i="1"/>
  <c r="Z51" i="1"/>
  <c r="Y51" i="1"/>
  <c r="X51" i="1"/>
  <c r="W51" i="1"/>
  <c r="V51" i="1"/>
  <c r="U51" i="1"/>
  <c r="T51" i="1"/>
  <c r="AA50" i="1"/>
  <c r="Z50" i="1"/>
  <c r="Y50" i="1"/>
  <c r="X50" i="1"/>
  <c r="W50" i="1"/>
  <c r="V50" i="1"/>
  <c r="U50" i="1"/>
  <c r="T50" i="1"/>
  <c r="AN65" i="1"/>
  <c r="AM65" i="1"/>
  <c r="AL65" i="1"/>
  <c r="AK65" i="1"/>
  <c r="AJ65" i="1"/>
  <c r="AI65" i="1"/>
  <c r="AH65" i="1"/>
  <c r="AG65" i="1"/>
  <c r="AN64" i="1"/>
  <c r="AM64" i="1"/>
  <c r="AL64" i="1"/>
  <c r="AK64" i="1"/>
  <c r="AJ64" i="1"/>
  <c r="AI64" i="1"/>
  <c r="AH64" i="1"/>
  <c r="AG64" i="1"/>
  <c r="AF64" i="1"/>
  <c r="AN63" i="1"/>
  <c r="AM63" i="1"/>
  <c r="AL63" i="1"/>
  <c r="AK63" i="1"/>
  <c r="AJ63" i="1"/>
  <c r="AI63" i="1"/>
  <c r="AH63" i="1"/>
  <c r="AG63" i="1"/>
  <c r="AF63" i="1"/>
  <c r="AA18" i="1"/>
  <c r="Z18" i="1"/>
  <c r="Y18" i="1"/>
  <c r="X18" i="1"/>
  <c r="W18" i="1"/>
  <c r="V18" i="1"/>
  <c r="U18" i="1"/>
  <c r="T18" i="1"/>
  <c r="AN28" i="1"/>
  <c r="AM28" i="1"/>
  <c r="AL28" i="1"/>
  <c r="AK28" i="1"/>
  <c r="AJ28" i="1"/>
  <c r="AI28" i="1"/>
  <c r="AH28" i="1"/>
  <c r="AG28" i="1"/>
  <c r="AN27" i="1"/>
  <c r="AM27" i="1"/>
  <c r="AL27" i="1"/>
  <c r="AK27" i="1"/>
  <c r="AJ27" i="1"/>
  <c r="AI27" i="1"/>
  <c r="AH27" i="1"/>
  <c r="AG27" i="1"/>
  <c r="AF27" i="1"/>
  <c r="AE27" i="1"/>
  <c r="AF28" i="1"/>
  <c r="S18" i="1"/>
  <c r="AE63" i="1"/>
  <c r="AE64" i="1"/>
  <c r="AF65" i="1"/>
  <c r="S50" i="1"/>
  <c r="S51" i="1"/>
  <c r="S57" i="1"/>
</calcChain>
</file>

<file path=xl/sharedStrings.xml><?xml version="1.0" encoding="utf-8"?>
<sst xmlns="http://schemas.openxmlformats.org/spreadsheetml/2006/main" count="149" uniqueCount="72">
  <si>
    <t>learning coefficient, r</t>
  </si>
  <si>
    <t>j = 2</t>
  </si>
  <si>
    <t>j = 3</t>
  </si>
  <si>
    <t>j = 52</t>
  </si>
  <si>
    <t>Period</t>
  </si>
  <si>
    <t>Decide the station where each worker will be allocated on each period</t>
  </si>
  <si>
    <t>Number of worker reallocations</t>
  </si>
  <si>
    <t>k = 1</t>
  </si>
  <si>
    <t>k = 2</t>
  </si>
  <si>
    <t>k = 3</t>
  </si>
  <si>
    <t>Demand</t>
  </si>
  <si>
    <t>Production</t>
  </si>
  <si>
    <t>Lost sales</t>
  </si>
  <si>
    <t>forgetting coefficient, f</t>
  </si>
  <si>
    <t>Market demand forecast</t>
  </si>
  <si>
    <t>Actual number of units processed</t>
  </si>
  <si>
    <t>Station</t>
  </si>
  <si>
    <t>Smax</t>
  </si>
  <si>
    <t>bottleneck =</t>
  </si>
  <si>
    <t>average =</t>
  </si>
  <si>
    <t>Std.Dev =</t>
  </si>
  <si>
    <t>last station</t>
  </si>
  <si>
    <t>D(ell)</t>
  </si>
  <si>
    <t>Q(J,ell)</t>
  </si>
  <si>
    <t>Theoretical number of units processed</t>
  </si>
  <si>
    <t>end-of-day inventory</t>
  </si>
  <si>
    <t>Smin</t>
  </si>
  <si>
    <t>Production excess</t>
  </si>
  <si>
    <t>Sinitial</t>
  </si>
  <si>
    <t>Sinitial values were obtained randomly between 30 and 60 (except for station 12. For this station, I adjusted (increased) values manually.</t>
  </si>
  <si>
    <t>Total =</t>
  </si>
  <si>
    <t>Work-in-process inventory (at the beginning of each day)</t>
  </si>
  <si>
    <t>delta</t>
  </si>
  <si>
    <t>Work-in-process inventory (at the end of each day)</t>
  </si>
  <si>
    <t>epsilon</t>
  </si>
  <si>
    <t>Work-in-process inventory (average)</t>
  </si>
  <si>
    <t>Inventory of Finished Goods</t>
  </si>
  <si>
    <t>Beginning of day</t>
  </si>
  <si>
    <t>End of day</t>
  </si>
  <si>
    <t>Lost Sales</t>
  </si>
  <si>
    <t>Average</t>
  </si>
  <si>
    <t>Cost of inventory</t>
  </si>
  <si>
    <t>total production:</t>
  </si>
  <si>
    <t>total demand forecast:</t>
  </si>
  <si>
    <t>periods:</t>
  </si>
  <si>
    <t>stations:</t>
  </si>
  <si>
    <t>Satisfaction</t>
  </si>
  <si>
    <t>Standard</t>
  </si>
  <si>
    <t>Output</t>
  </si>
  <si>
    <t>Level</t>
  </si>
  <si>
    <t>Deviation</t>
  </si>
  <si>
    <t>Excess</t>
  </si>
  <si>
    <t>Z2 =</t>
  </si>
  <si>
    <t>Z3 =</t>
  </si>
  <si>
    <t>z1 = Z1/D =</t>
  </si>
  <si>
    <t>z2 = Z2/L =</t>
  </si>
  <si>
    <t>z3 = Z3/J/D</t>
  </si>
  <si>
    <t>Sat Lev 2 =</t>
  </si>
  <si>
    <t>Sat Lev 3 =</t>
  </si>
  <si>
    <t>Theoretical number of units that can be processed</t>
  </si>
  <si>
    <t>station</t>
  </si>
  <si>
    <t>Number of times that worker has been assigned to this station</t>
  </si>
  <si>
    <t>Skill level of worker</t>
  </si>
  <si>
    <t>S^UB</t>
  </si>
  <si>
    <t>S^LB</t>
  </si>
  <si>
    <t>r</t>
  </si>
  <si>
    <t>f</t>
  </si>
  <si>
    <t>Decision Variables</t>
  </si>
  <si>
    <t>worker</t>
  </si>
  <si>
    <t>Sat Lev 1 =</t>
  </si>
  <si>
    <t>Z1 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</si>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</sst>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[$$-409]* #,##0_ ;_-[$$-409]* \-#,##0\ ;_-[$$-409]* &quot;-&quot;_ ;_-@_ 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theme="7"/>
      <name val="Calibri"/>
      <scheme val="minor"/>
    </font>
    <font>
      <b/>
      <sz val="12"/>
      <color theme="7"/>
      <name val="Calibri"/>
      <scheme val="minor"/>
    </font>
    <font>
      <sz val="12"/>
      <color theme="0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3" fontId="0" fillId="0" borderId="11" xfId="0" applyNumberFormat="1" applyBorder="1"/>
    <xf numFmtId="0" fontId="2" fillId="0" borderId="0" xfId="0" applyFont="1"/>
    <xf numFmtId="0" fontId="0" fillId="2" borderId="0" xfId="0" applyFill="1" applyAlignment="1">
      <alignment horizontal="right"/>
    </xf>
    <xf numFmtId="0" fontId="0" fillId="2" borderId="11" xfId="0" applyFill="1" applyBorder="1"/>
    <xf numFmtId="0" fontId="0" fillId="2" borderId="0" xfId="0" applyFill="1"/>
    <xf numFmtId="0" fontId="0" fillId="4" borderId="4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0" fillId="0" borderId="9" xfId="0" applyBorder="1"/>
    <xf numFmtId="0" fontId="0" fillId="5" borderId="0" xfId="0" applyFill="1"/>
    <xf numFmtId="0" fontId="0" fillId="4" borderId="9" xfId="0" applyNumberFormat="1" applyFill="1" applyBorder="1" applyAlignment="1">
      <alignment horizontal="center"/>
    </xf>
    <xf numFmtId="0" fontId="0" fillId="4" borderId="1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0" fillId="0" borderId="9" xfId="0" applyNumberFormat="1" applyBorder="1"/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0" xfId="0" applyFill="1"/>
    <xf numFmtId="0" fontId="5" fillId="0" borderId="0" xfId="0" applyFont="1" applyAlignment="1">
      <alignment horizontal="center"/>
    </xf>
    <xf numFmtId="166" fontId="0" fillId="0" borderId="0" xfId="0" applyNumberFormat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</cellXfs>
  <cellStyles count="19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'1'!$AD$63</c:f>
              <c:strCache>
                <c:ptCount val="1"/>
                <c:pt idx="0">
                  <c:v>Q(J,ell)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'1'!$AE$63:$AN$63</c:f>
              <c:numCache>
                <c:formatCode>General</c:formatCode>
                <c:ptCount val="10"/>
                <c:pt idx="0">
                  <c:v>6.0</c:v>
                </c:pt>
                <c:pt idx="1">
                  <c:v>14.90887638984102</c:v>
                </c:pt>
                <c:pt idx="2">
                  <c:v>20.51074950762093</c:v>
                </c:pt>
                <c:pt idx="3">
                  <c:v>8.0</c:v>
                </c:pt>
                <c:pt idx="4">
                  <c:v>17.75893167870502</c:v>
                </c:pt>
                <c:pt idx="5">
                  <c:v>23.64863520280431</c:v>
                </c:pt>
                <c:pt idx="6">
                  <c:v>7.0</c:v>
                </c:pt>
                <c:pt idx="7">
                  <c:v>16.75167110641168</c:v>
                </c:pt>
                <c:pt idx="8">
                  <c:v>20.7720510790971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946824"/>
        <c:axId val="-2062855528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'1'!$AE$62:$AN$62</c:f>
              <c:numCache>
                <c:formatCode>General</c:formatCode>
                <c:ptCount val="10"/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7.0</c:v>
                </c:pt>
                <c:pt idx="5">
                  <c:v>25.0</c:v>
                </c:pt>
                <c:pt idx="6">
                  <c:v>18.0</c:v>
                </c:pt>
                <c:pt idx="7">
                  <c:v>35.0</c:v>
                </c:pt>
                <c:pt idx="8">
                  <c:v>29.0</c:v>
                </c:pt>
                <c:pt idx="9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46824"/>
        <c:axId val="-2062855528"/>
      </c:lineChart>
      <c:catAx>
        <c:axId val="-205694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55528"/>
        <c:crosses val="autoZero"/>
        <c:auto val="1"/>
        <c:lblAlgn val="ctr"/>
        <c:lblOffset val="100"/>
        <c:noMultiLvlLbl val="0"/>
      </c:catAx>
      <c:valAx>
        <c:axId val="-206285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946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'1'!$AD$64</c:f>
              <c:strCache>
                <c:ptCount val="1"/>
                <c:pt idx="0">
                  <c:v>end-of-day inventory</c:v>
                </c:pt>
              </c:strCache>
            </c:strRef>
          </c:tx>
          <c:invertIfNegative val="0"/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'1'!$AE$64:$AN$64</c:f>
              <c:numCache>
                <c:formatCode>General</c:formatCode>
                <c:ptCount val="10"/>
                <c:pt idx="0">
                  <c:v>6.0</c:v>
                </c:pt>
                <c:pt idx="1">
                  <c:v>15.90887638984102</c:v>
                </c:pt>
                <c:pt idx="2">
                  <c:v>28.41962589746195</c:v>
                </c:pt>
                <c:pt idx="3">
                  <c:v>23.41962589746195</c:v>
                </c:pt>
                <c:pt idx="4">
                  <c:v>34.17855757616697</c:v>
                </c:pt>
                <c:pt idx="5">
                  <c:v>32.82719277897128</c:v>
                </c:pt>
                <c:pt idx="6">
                  <c:v>21.82719277897128</c:v>
                </c:pt>
                <c:pt idx="7">
                  <c:v>16.75167110641168</c:v>
                </c:pt>
                <c:pt idx="8">
                  <c:v>20.7720510790971</c:v>
                </c:pt>
                <c:pt idx="9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'1'!$AD$65</c:f>
              <c:strCache>
                <c:ptCount val="1"/>
                <c:pt idx="0">
                  <c:v>Lost sales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'1'!$AE$65:$AN$65</c:f>
              <c:numCache>
                <c:formatCode>General</c:formatCode>
                <c:ptCount val="1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13.17280722102872</c:v>
                </c:pt>
                <c:pt idx="8">
                  <c:v>12.24832889358832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82664"/>
        <c:axId val="-2051468776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'1'!$AE$62:$AN$62</c:f>
              <c:numCache>
                <c:formatCode>General</c:formatCode>
                <c:ptCount val="10"/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7.0</c:v>
                </c:pt>
                <c:pt idx="5">
                  <c:v>25.0</c:v>
                </c:pt>
                <c:pt idx="6">
                  <c:v>18.0</c:v>
                </c:pt>
                <c:pt idx="7">
                  <c:v>35.0</c:v>
                </c:pt>
                <c:pt idx="8">
                  <c:v>29.0</c:v>
                </c:pt>
                <c:pt idx="9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82664"/>
        <c:axId val="-2051468776"/>
      </c:lineChart>
      <c:catAx>
        <c:axId val="-206238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468776"/>
        <c:crosses val="autoZero"/>
        <c:auto val="1"/>
        <c:lblAlgn val="ctr"/>
        <c:lblOffset val="100"/>
        <c:noMultiLvlLbl val="0"/>
      </c:catAx>
      <c:valAx>
        <c:axId val="-20514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3826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'1'!$AD$63</c:f>
              <c:strCache>
                <c:ptCount val="1"/>
                <c:pt idx="0">
                  <c:v>Q(J,ell)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'1'!$AE$63:$AN$63</c:f>
              <c:numCache>
                <c:formatCode>General</c:formatCode>
                <c:ptCount val="10"/>
                <c:pt idx="0">
                  <c:v>6.0</c:v>
                </c:pt>
                <c:pt idx="1">
                  <c:v>14.90887638984102</c:v>
                </c:pt>
                <c:pt idx="2">
                  <c:v>20.51074950762093</c:v>
                </c:pt>
                <c:pt idx="3">
                  <c:v>8.0</c:v>
                </c:pt>
                <c:pt idx="4">
                  <c:v>17.75893167870502</c:v>
                </c:pt>
                <c:pt idx="5">
                  <c:v>23.64863520280431</c:v>
                </c:pt>
                <c:pt idx="6">
                  <c:v>7.0</c:v>
                </c:pt>
                <c:pt idx="7">
                  <c:v>16.75167110641168</c:v>
                </c:pt>
                <c:pt idx="8">
                  <c:v>20.7720510790971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'1'!$AD$64</c:f>
              <c:strCache>
                <c:ptCount val="1"/>
                <c:pt idx="0">
                  <c:v>end-of-day inventory</c:v>
                </c:pt>
              </c:strCache>
            </c:strRef>
          </c:tx>
          <c:invertIfNegative val="0"/>
          <c:cat>
            <c:numRef>
              <c:f>'1'!$AE$61:$AN$61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'1'!$AE$64:$AN$64</c:f>
              <c:numCache>
                <c:formatCode>General</c:formatCode>
                <c:ptCount val="10"/>
                <c:pt idx="0">
                  <c:v>6.0</c:v>
                </c:pt>
                <c:pt idx="1">
                  <c:v>15.90887638984102</c:v>
                </c:pt>
                <c:pt idx="2">
                  <c:v>28.41962589746195</c:v>
                </c:pt>
                <c:pt idx="3">
                  <c:v>23.41962589746195</c:v>
                </c:pt>
                <c:pt idx="4">
                  <c:v>34.17855757616697</c:v>
                </c:pt>
                <c:pt idx="5">
                  <c:v>32.82719277897128</c:v>
                </c:pt>
                <c:pt idx="6">
                  <c:v>21.82719277897128</c:v>
                </c:pt>
                <c:pt idx="7">
                  <c:v>16.75167110641168</c:v>
                </c:pt>
                <c:pt idx="8">
                  <c:v>20.7720510790971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53480"/>
        <c:axId val="-2077061736"/>
      </c:barChart>
      <c:lineChart>
        <c:grouping val="standard"/>
        <c:varyColors val="0"/>
        <c:ser>
          <c:idx val="0"/>
          <c:order val="0"/>
          <c:tx>
            <c:strRef>
              <c:f>'1'!$AD$62</c:f>
              <c:strCache>
                <c:ptCount val="1"/>
                <c:pt idx="0">
                  <c:v>D(ell)</c:v>
                </c:pt>
              </c:strCache>
            </c:strRef>
          </c:tx>
          <c:val>
            <c:numRef>
              <c:f>'1'!$AE$62:$AN$62</c:f>
              <c:numCache>
                <c:formatCode>General</c:formatCode>
                <c:ptCount val="10"/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7.0</c:v>
                </c:pt>
                <c:pt idx="5">
                  <c:v>25.0</c:v>
                </c:pt>
                <c:pt idx="6">
                  <c:v>18.0</c:v>
                </c:pt>
                <c:pt idx="7">
                  <c:v>35.0</c:v>
                </c:pt>
                <c:pt idx="8">
                  <c:v>29.0</c:v>
                </c:pt>
                <c:pt idx="9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53480"/>
        <c:axId val="-2077061736"/>
      </c:lineChart>
      <c:catAx>
        <c:axId val="-20739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061736"/>
        <c:crosses val="autoZero"/>
        <c:auto val="1"/>
        <c:lblAlgn val="ctr"/>
        <c:lblOffset val="100"/>
        <c:noMultiLvlLbl val="0"/>
      </c:catAx>
      <c:valAx>
        <c:axId val="-207706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534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4.png"/><Relationship Id="rId8" Type="http://schemas.openxmlformats.org/officeDocument/2006/relationships/image" Target="../media/image5.png"/><Relationship Id="rId9" Type="http://schemas.openxmlformats.org/officeDocument/2006/relationships/image" Target="../media/image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440264</xdr:colOff>
      <xdr:row>44</xdr:row>
      <xdr:rowOff>143917</xdr:rowOff>
    </xdr:from>
    <xdr:to>
      <xdr:col>40</xdr:col>
      <xdr:colOff>186266</xdr:colOff>
      <xdr:row>59</xdr:row>
      <xdr:rowOff>93117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440269</xdr:colOff>
      <xdr:row>29</xdr:row>
      <xdr:rowOff>84667</xdr:rowOff>
    </xdr:from>
    <xdr:to>
      <xdr:col>40</xdr:col>
      <xdr:colOff>186267</xdr:colOff>
      <xdr:row>44</xdr:row>
      <xdr:rowOff>33867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474134</xdr:colOff>
      <xdr:row>8</xdr:row>
      <xdr:rowOff>33866</xdr:rowOff>
    </xdr:from>
    <xdr:to>
      <xdr:col>40</xdr:col>
      <xdr:colOff>169333</xdr:colOff>
      <xdr:row>22</xdr:row>
      <xdr:rowOff>169332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175</xdr:row>
      <xdr:rowOff>16944</xdr:rowOff>
    </xdr:from>
    <xdr:to>
      <xdr:col>35</xdr:col>
      <xdr:colOff>33868</xdr:colOff>
      <xdr:row>178</xdr:row>
      <xdr:rowOff>10</xdr:rowOff>
    </xdr:to>
    <xdr:sp macro="" textlink="">
      <xdr:nvSpPr>
        <xdr:cNvPr id="5" name="TextBox 6"/>
        <xdr:cNvSpPr txBox="1"/>
      </xdr:nvSpPr>
      <xdr:spPr>
        <a:xfrm>
          <a:off x="14935200" y="33731211"/>
          <a:ext cx="11768668" cy="541866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The</a:t>
          </a:r>
          <a:r>
            <a:rPr lang="en-US" sz="2800" baseline="0"/>
            <a:t> decision variable x_{jkl} = 1 if worker k is assigned to station j in period \ell.</a:t>
          </a:r>
          <a:endParaRPr lang="en-US" sz="2800"/>
        </a:p>
      </xdr:txBody>
    </xdr:sp>
    <xdr:clientData/>
  </xdr:twoCellAnchor>
  <xdr:twoCellAnchor>
    <xdr:from>
      <xdr:col>12</xdr:col>
      <xdr:colOff>42333</xdr:colOff>
      <xdr:row>177</xdr:row>
      <xdr:rowOff>8486</xdr:rowOff>
    </xdr:from>
    <xdr:to>
      <xdr:col>15</xdr:col>
      <xdr:colOff>482600</xdr:colOff>
      <xdr:row>184</xdr:row>
      <xdr:rowOff>93151</xdr:rowOff>
    </xdr:to>
    <xdr:sp macro="" textlink="">
      <xdr:nvSpPr>
        <xdr:cNvPr id="6" name="Rounded Rectangular Callout 7"/>
        <xdr:cNvSpPr/>
      </xdr:nvSpPr>
      <xdr:spPr>
        <a:xfrm>
          <a:off x="9999133" y="32977686"/>
          <a:ext cx="2929467" cy="1388532"/>
        </a:xfrm>
        <a:prstGeom prst="wedgeRoundRectCallout">
          <a:avLst>
            <a:gd name="adj1" fmla="val 129167"/>
            <a:gd name="adj2" fmla="val -31067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In each</a:t>
          </a:r>
          <a:r>
            <a:rPr lang="en-US" sz="2400" baseline="0">
              <a:solidFill>
                <a:sysClr val="windowText" lastClr="000000"/>
              </a:solidFill>
            </a:rPr>
            <a:t> period, each worker is assigned to one station.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206</xdr:row>
      <xdr:rowOff>67745</xdr:rowOff>
    </xdr:from>
    <xdr:to>
      <xdr:col>15</xdr:col>
      <xdr:colOff>440267</xdr:colOff>
      <xdr:row>213</xdr:row>
      <xdr:rowOff>152410</xdr:rowOff>
    </xdr:to>
    <xdr:sp macro="" textlink="">
      <xdr:nvSpPr>
        <xdr:cNvPr id="7" name="Rounded Rectangular Callout 8"/>
        <xdr:cNvSpPr/>
      </xdr:nvSpPr>
      <xdr:spPr>
        <a:xfrm>
          <a:off x="9956800" y="39556278"/>
          <a:ext cx="2929467" cy="1388532"/>
        </a:xfrm>
        <a:prstGeom prst="wedgeRoundRectCallout">
          <a:avLst>
            <a:gd name="adj1" fmla="val 80901"/>
            <a:gd name="adj2" fmla="val -21710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In each</a:t>
          </a:r>
          <a:r>
            <a:rPr lang="en-US" sz="2400" baseline="0">
              <a:solidFill>
                <a:sysClr val="windowText" lastClr="000000"/>
              </a:solidFill>
            </a:rPr>
            <a:t> period, each station receives one worker.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524933</xdr:colOff>
      <xdr:row>205</xdr:row>
      <xdr:rowOff>50798</xdr:rowOff>
    </xdr:from>
    <xdr:to>
      <xdr:col>17</xdr:col>
      <xdr:colOff>203199</xdr:colOff>
      <xdr:row>211</xdr:row>
      <xdr:rowOff>118532</xdr:rowOff>
    </xdr:to>
    <xdr:sp macro="" textlink="">
      <xdr:nvSpPr>
        <xdr:cNvPr id="8" name="Left Brace 9"/>
        <xdr:cNvSpPr/>
      </xdr:nvSpPr>
      <xdr:spPr>
        <a:xfrm>
          <a:off x="13800666" y="39353065"/>
          <a:ext cx="508000" cy="1185334"/>
        </a:xfrm>
        <a:prstGeom prst="leftBrace">
          <a:avLst/>
        </a:prstGeom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253995</xdr:colOff>
      <xdr:row>2</xdr:row>
      <xdr:rowOff>84662</xdr:rowOff>
    </xdr:from>
    <xdr:to>
      <xdr:col>10</xdr:col>
      <xdr:colOff>465661</xdr:colOff>
      <xdr:row>23</xdr:row>
      <xdr:rowOff>118528</xdr:rowOff>
    </xdr:to>
    <xdr:sp macro="" textlink="">
      <xdr:nvSpPr>
        <xdr:cNvPr id="9" name="TextBox 4"/>
        <xdr:cNvSpPr txBox="1"/>
      </xdr:nvSpPr>
      <xdr:spPr>
        <a:xfrm>
          <a:off x="3572928" y="457195"/>
          <a:ext cx="5190066" cy="3945466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Values in columns B,</a:t>
          </a:r>
          <a:r>
            <a:rPr lang="en-US" sz="2800" baseline="0"/>
            <a:t> C, and D are </a:t>
          </a:r>
          <a:r>
            <a:rPr lang="en-US" sz="2800"/>
            <a:t>input parameters:</a:t>
          </a:r>
        </a:p>
        <a:p>
          <a:r>
            <a:rPr lang="en-US" sz="2800"/>
            <a:t>- learning coefficients</a:t>
          </a:r>
        </a:p>
        <a:p>
          <a:r>
            <a:rPr lang="en-US" sz="2800"/>
            <a:t>- forgetting coefficients</a:t>
          </a:r>
        </a:p>
        <a:p>
          <a:r>
            <a:rPr lang="en-US" sz="2800"/>
            <a:t>- Smax values</a:t>
          </a:r>
        </a:p>
        <a:p>
          <a:r>
            <a:rPr lang="en-US" sz="2800"/>
            <a:t>- Smin values</a:t>
          </a:r>
        </a:p>
        <a:p>
          <a:r>
            <a:rPr lang="en-US" sz="2800"/>
            <a:t>- Sinitial values</a:t>
          </a:r>
        </a:p>
        <a:p>
          <a:r>
            <a:rPr lang="en-US" sz="2800"/>
            <a:t>- delta</a:t>
          </a:r>
        </a:p>
        <a:p>
          <a:r>
            <a:rPr lang="en-US" sz="2800"/>
            <a:t>- epsilon</a:t>
          </a:r>
        </a:p>
      </xdr:txBody>
    </xdr:sp>
    <xdr:clientData/>
  </xdr:twoCellAnchor>
  <xdr:twoCellAnchor>
    <xdr:from>
      <xdr:col>25</xdr:col>
      <xdr:colOff>177930</xdr:colOff>
      <xdr:row>78</xdr:row>
      <xdr:rowOff>33916</xdr:rowOff>
    </xdr:from>
    <xdr:to>
      <xdr:col>28</xdr:col>
      <xdr:colOff>618197</xdr:colOff>
      <xdr:row>85</xdr:row>
      <xdr:rowOff>118581</xdr:rowOff>
    </xdr:to>
    <xdr:sp macro="" textlink="">
      <xdr:nvSpPr>
        <xdr:cNvPr id="11" name="Rounded Rectangular Callout 10"/>
        <xdr:cNvSpPr/>
      </xdr:nvSpPr>
      <xdr:spPr>
        <a:xfrm>
          <a:off x="20921263" y="14562716"/>
          <a:ext cx="2929467" cy="1388532"/>
        </a:xfrm>
        <a:prstGeom prst="wedgeRoundRectCallout">
          <a:avLst>
            <a:gd name="adj1" fmla="val -13030"/>
            <a:gd name="adj2" fmla="val -109430"/>
            <a:gd name="adj3" fmla="val 16667"/>
          </a:avLst>
        </a:prstGeom>
        <a:solidFill>
          <a:srgbClr val="92D050">
            <a:alpha val="30000"/>
          </a:srgb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Maximize total</a:t>
          </a:r>
          <a:r>
            <a:rPr lang="en-US" sz="2400" baseline="0">
              <a:solidFill>
                <a:sysClr val="windowText" lastClr="000000"/>
              </a:solidFill>
            </a:rPr>
            <a:t> satisfaction level.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694271</xdr:colOff>
      <xdr:row>64</xdr:row>
      <xdr:rowOff>47</xdr:rowOff>
    </xdr:from>
    <xdr:to>
      <xdr:col>17</xdr:col>
      <xdr:colOff>203204</xdr:colOff>
      <xdr:row>75</xdr:row>
      <xdr:rowOff>25449</xdr:rowOff>
    </xdr:to>
    <xdr:sp macro="" textlink="">
      <xdr:nvSpPr>
        <xdr:cNvPr id="12" name="Frame 12"/>
        <xdr:cNvSpPr/>
      </xdr:nvSpPr>
      <xdr:spPr>
        <a:xfrm>
          <a:off x="11480804" y="11921114"/>
          <a:ext cx="2827867" cy="207433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702863</xdr:colOff>
      <xdr:row>64</xdr:row>
      <xdr:rowOff>42381</xdr:rowOff>
    </xdr:from>
    <xdr:to>
      <xdr:col>21</xdr:col>
      <xdr:colOff>211797</xdr:colOff>
      <xdr:row>75</xdr:row>
      <xdr:rowOff>67783</xdr:rowOff>
    </xdr:to>
    <xdr:sp macro="" textlink="">
      <xdr:nvSpPr>
        <xdr:cNvPr id="13" name="Frame 13"/>
        <xdr:cNvSpPr/>
      </xdr:nvSpPr>
      <xdr:spPr>
        <a:xfrm>
          <a:off x="14808330" y="11963448"/>
          <a:ext cx="2827867" cy="207433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584330</xdr:colOff>
      <xdr:row>64</xdr:row>
      <xdr:rowOff>25447</xdr:rowOff>
    </xdr:from>
    <xdr:to>
      <xdr:col>25</xdr:col>
      <xdr:colOff>93264</xdr:colOff>
      <xdr:row>75</xdr:row>
      <xdr:rowOff>50849</xdr:rowOff>
    </xdr:to>
    <xdr:sp macro="" textlink="">
      <xdr:nvSpPr>
        <xdr:cNvPr id="14" name="Frame 14"/>
        <xdr:cNvSpPr/>
      </xdr:nvSpPr>
      <xdr:spPr>
        <a:xfrm>
          <a:off x="18008730" y="11946514"/>
          <a:ext cx="2827867" cy="2074335"/>
        </a:xfrm>
        <a:prstGeom prst="frame">
          <a:avLst>
            <a:gd name="adj1" fmla="val 4117"/>
          </a:avLst>
        </a:prstGeom>
        <a:solidFill>
          <a:srgbClr val="92D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685929</xdr:colOff>
      <xdr:row>75</xdr:row>
      <xdr:rowOff>160914</xdr:rowOff>
    </xdr:from>
    <xdr:to>
      <xdr:col>21</xdr:col>
      <xdr:colOff>228730</xdr:colOff>
      <xdr:row>90</xdr:row>
      <xdr:rowOff>76250</xdr:rowOff>
    </xdr:to>
    <xdr:sp macro="" textlink="">
      <xdr:nvSpPr>
        <xdr:cNvPr id="16" name="TextBox 16"/>
        <xdr:cNvSpPr txBox="1"/>
      </xdr:nvSpPr>
      <xdr:spPr>
        <a:xfrm>
          <a:off x="14791396" y="15248514"/>
          <a:ext cx="2861734" cy="2709336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Objective function 2, Z2 (Capital Z): minimize total standard deviation of the number of units</a:t>
          </a:r>
          <a:r>
            <a:rPr lang="en-US" sz="1800" baseline="0"/>
            <a:t> processed by the stations</a:t>
          </a:r>
          <a:r>
            <a:rPr lang="en-US" sz="1800"/>
            <a:t>.</a:t>
          </a:r>
        </a:p>
        <a:p>
          <a:endParaRPr lang="en-US" sz="1800"/>
        </a:p>
        <a:p>
          <a:r>
            <a:rPr lang="en-US" sz="1800"/>
            <a:t>z2 (small case z) normalizes Z2</a:t>
          </a:r>
          <a:r>
            <a:rPr lang="en-US" sz="1800" baseline="0"/>
            <a:t> and obtains a value between 0 and 1.</a:t>
          </a:r>
          <a:endParaRPr lang="en-US" sz="1800"/>
        </a:p>
      </xdr:txBody>
    </xdr:sp>
    <xdr:clientData/>
  </xdr:twoCellAnchor>
  <xdr:twoCellAnchor>
    <xdr:from>
      <xdr:col>21</xdr:col>
      <xdr:colOff>584330</xdr:colOff>
      <xdr:row>75</xdr:row>
      <xdr:rowOff>160916</xdr:rowOff>
    </xdr:from>
    <xdr:to>
      <xdr:col>25</xdr:col>
      <xdr:colOff>127131</xdr:colOff>
      <xdr:row>87</xdr:row>
      <xdr:rowOff>33917</xdr:rowOff>
    </xdr:to>
    <xdr:sp macro="" textlink="">
      <xdr:nvSpPr>
        <xdr:cNvPr id="17" name="TextBox 17"/>
        <xdr:cNvSpPr txBox="1"/>
      </xdr:nvSpPr>
      <xdr:spPr>
        <a:xfrm>
          <a:off x="18008730" y="15248516"/>
          <a:ext cx="2861734" cy="2108201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Objective function 3, Z3 (Capital Z): minimize total production excess.</a:t>
          </a:r>
        </a:p>
        <a:p>
          <a:endParaRPr lang="en-US" sz="1800"/>
        </a:p>
        <a:p>
          <a:r>
            <a:rPr lang="en-US" sz="1800"/>
            <a:t>z3 (small case z) normalizes Z3</a:t>
          </a:r>
          <a:r>
            <a:rPr lang="en-US" sz="1800" baseline="0"/>
            <a:t> and obtains a value between 0 and 1.</a:t>
          </a:r>
          <a:endParaRPr lang="en-US" sz="1800"/>
        </a:p>
      </xdr:txBody>
    </xdr:sp>
    <xdr:clientData/>
  </xdr:twoCellAnchor>
  <xdr:twoCellAnchor>
    <xdr:from>
      <xdr:col>11</xdr:col>
      <xdr:colOff>0</xdr:colOff>
      <xdr:row>134</xdr:row>
      <xdr:rowOff>0</xdr:rowOff>
    </xdr:from>
    <xdr:to>
      <xdr:col>25</xdr:col>
      <xdr:colOff>626534</xdr:colOff>
      <xdr:row>161</xdr:row>
      <xdr:rowOff>0</xdr:rowOff>
    </xdr:to>
    <xdr:sp macro="" textlink="">
      <xdr:nvSpPr>
        <xdr:cNvPr id="18" name="TextBox 18"/>
        <xdr:cNvSpPr txBox="1"/>
      </xdr:nvSpPr>
      <xdr:spPr>
        <a:xfrm>
          <a:off x="9127067" y="26077333"/>
          <a:ext cx="12242800" cy="5029200"/>
        </a:xfrm>
        <a:prstGeom prst="rect">
          <a:avLst/>
        </a:prstGeom>
        <a:solidFill>
          <a:srgbClr val="92D050">
            <a:alpha val="3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If a worker remains on the same statioin, his/her skill improves according to the formula:</a:t>
          </a:r>
        </a:p>
        <a:p>
          <a:endParaRPr lang="en-US" sz="2800"/>
        </a:p>
        <a:p>
          <a:endParaRPr lang="en-US" sz="2800"/>
        </a:p>
        <a:p>
          <a:r>
            <a:rPr lang="en-US" sz="2800"/>
            <a:t>If a worker is changed to another station, the previously learnt</a:t>
          </a:r>
          <a:r>
            <a:rPr lang="en-US" sz="2800" baseline="0"/>
            <a:t> skill deteriorates according to the formula:</a:t>
          </a:r>
        </a:p>
        <a:p>
          <a:endParaRPr lang="en-US" sz="2800" baseline="0"/>
        </a:p>
        <a:p>
          <a:endParaRPr lang="en-US" sz="2800" baseline="0"/>
        </a:p>
        <a:p>
          <a:endParaRPr lang="en-US" sz="2800" baseline="0"/>
        </a:p>
        <a:p>
          <a:r>
            <a:rPr lang="en-US" sz="2800" baseline="0"/>
            <a:t>All parameters (Smax, Smin, learning coefficients, forgetting coefficients, delta, epsilon are in columns B, C, and D (top of spreadsheet).</a:t>
          </a:r>
          <a:endParaRPr lang="en-US" sz="2800"/>
        </a:p>
      </xdr:txBody>
    </xdr:sp>
    <xdr:clientData/>
  </xdr:twoCellAnchor>
  <xdr:twoCellAnchor editAs="oneCell">
    <xdr:from>
      <xdr:col>12</xdr:col>
      <xdr:colOff>795866</xdr:colOff>
      <xdr:row>137</xdr:row>
      <xdr:rowOff>16933</xdr:rowOff>
    </xdr:from>
    <xdr:to>
      <xdr:col>18</xdr:col>
      <xdr:colOff>21166</xdr:colOff>
      <xdr:row>140</xdr:row>
      <xdr:rowOff>143933</xdr:rowOff>
    </xdr:to>
    <xdr:pic>
      <xdr:nvPicPr>
        <xdr:cNvPr id="23" name="Imagen 22" descr="Screen Shot 2019-08-07 at 3.17.24 PM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2666" y="25535466"/>
          <a:ext cx="4203700" cy="68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795867</xdr:colOff>
      <xdr:row>140</xdr:row>
      <xdr:rowOff>135467</xdr:rowOff>
    </xdr:from>
    <xdr:to>
      <xdr:col>15</xdr:col>
      <xdr:colOff>325967</xdr:colOff>
      <xdr:row>143</xdr:row>
      <xdr:rowOff>160867</xdr:rowOff>
    </xdr:to>
    <xdr:pic>
      <xdr:nvPicPr>
        <xdr:cNvPr id="24" name="Imagen 23" descr="Screen Shot 2019-08-07 at 3.17.34 PM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2667" y="26212800"/>
          <a:ext cx="2019300" cy="5842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84667</xdr:colOff>
      <xdr:row>148</xdr:row>
      <xdr:rowOff>33866</xdr:rowOff>
    </xdr:from>
    <xdr:to>
      <xdr:col>18</xdr:col>
      <xdr:colOff>38100</xdr:colOff>
      <xdr:row>151</xdr:row>
      <xdr:rowOff>148166</xdr:rowOff>
    </xdr:to>
    <xdr:pic>
      <xdr:nvPicPr>
        <xdr:cNvPr id="25" name="Imagen 24" descr="Screen Shot 2019-08-07 at 3.17.41 PM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1200" y="27601333"/>
          <a:ext cx="4102100" cy="673100"/>
        </a:xfrm>
        <a:prstGeom prst="rect">
          <a:avLst/>
        </a:prstGeom>
      </xdr:spPr>
    </xdr:pic>
    <xdr:clientData/>
  </xdr:twoCellAnchor>
  <xdr:twoCellAnchor editAs="oneCell">
    <xdr:from>
      <xdr:col>13</xdr:col>
      <xdr:colOff>84668</xdr:colOff>
      <xdr:row>151</xdr:row>
      <xdr:rowOff>135467</xdr:rowOff>
    </xdr:from>
    <xdr:to>
      <xdr:col>15</xdr:col>
      <xdr:colOff>381001</xdr:colOff>
      <xdr:row>154</xdr:row>
      <xdr:rowOff>84667</xdr:rowOff>
    </xdr:to>
    <xdr:pic>
      <xdr:nvPicPr>
        <xdr:cNvPr id="26" name="Imagen 25" descr="Screen Shot 2019-08-07 at 3.17.52 PM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1201" y="28261734"/>
          <a:ext cx="1955800" cy="50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75</xdr:row>
      <xdr:rowOff>114300</xdr:rowOff>
    </xdr:from>
    <xdr:to>
      <xdr:col>17</xdr:col>
      <xdr:colOff>215900</xdr:colOff>
      <xdr:row>87</xdr:row>
      <xdr:rowOff>76200</xdr:rowOff>
    </xdr:to>
    <xdr:pic>
      <xdr:nvPicPr>
        <xdr:cNvPr id="1039" name="TextBox 15"/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9200" y="14401800"/>
          <a:ext cx="287020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317500</xdr:colOff>
      <xdr:row>6</xdr:row>
      <xdr:rowOff>177800</xdr:rowOff>
    </xdr:from>
    <xdr:to>
      <xdr:col>14</xdr:col>
      <xdr:colOff>698500</xdr:colOff>
      <xdr:row>11</xdr:row>
      <xdr:rowOff>139700</xdr:rowOff>
    </xdr:to>
    <xdr:pic>
      <xdr:nvPicPr>
        <xdr:cNvPr id="1070" name="TextBox 5"/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0" y="1320800"/>
          <a:ext cx="28575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211"/>
  <sheetViews>
    <sheetView tabSelected="1" topLeftCell="E167" zoomScale="75" zoomScaleNormal="75" zoomScalePageLayoutView="75" workbookViewId="0">
      <selection activeCell="X174" sqref="X174"/>
    </sheetView>
  </sheetViews>
  <sheetFormatPr baseColWidth="10" defaultRowHeight="15" x14ac:dyDescent="0"/>
  <cols>
    <col min="17" max="17" width="10.83203125" customWidth="1"/>
    <col min="31" max="43" width="4.6640625" customWidth="1"/>
  </cols>
  <sheetData>
    <row r="4" spans="1:40">
      <c r="A4" s="1" t="s">
        <v>0</v>
      </c>
      <c r="C4" s="2" t="s">
        <v>1</v>
      </c>
      <c r="D4" s="2" t="s">
        <v>2</v>
      </c>
      <c r="S4" t="s">
        <v>4</v>
      </c>
      <c r="U4" s="3" t="s">
        <v>5</v>
      </c>
      <c r="AD4" t="s">
        <v>6</v>
      </c>
    </row>
    <row r="5" spans="1:40">
      <c r="B5" s="2">
        <v>1</v>
      </c>
      <c r="C5" s="2">
        <f t="shared" ref="C5:D5" si="0">B5+1</f>
        <v>2</v>
      </c>
      <c r="D5" s="2">
        <f t="shared" si="0"/>
        <v>3</v>
      </c>
      <c r="S5" s="4">
        <v>0</v>
      </c>
      <c r="T5" s="5">
        <f>S5+1</f>
        <v>1</v>
      </c>
      <c r="U5" s="5">
        <f t="shared" ref="U5:AB5" si="1">T5+1</f>
        <v>2</v>
      </c>
      <c r="V5" s="5">
        <f t="shared" si="1"/>
        <v>3</v>
      </c>
      <c r="W5" s="5">
        <f t="shared" si="1"/>
        <v>4</v>
      </c>
      <c r="X5" s="5">
        <f t="shared" si="1"/>
        <v>5</v>
      </c>
      <c r="Y5" s="5">
        <f t="shared" si="1"/>
        <v>6</v>
      </c>
      <c r="Z5" s="5">
        <f t="shared" si="1"/>
        <v>7</v>
      </c>
      <c r="AA5" s="5">
        <f t="shared" si="1"/>
        <v>8</v>
      </c>
      <c r="AB5" s="5">
        <f t="shared" si="1"/>
        <v>9</v>
      </c>
      <c r="AE5" s="4">
        <v>0</v>
      </c>
      <c r="AF5" s="5">
        <f>AE5+1</f>
        <v>1</v>
      </c>
      <c r="AG5" s="5">
        <f t="shared" ref="AG5:AN5" si="2">AF5+1</f>
        <v>2</v>
      </c>
      <c r="AH5" s="5">
        <f t="shared" si="2"/>
        <v>3</v>
      </c>
      <c r="AI5" s="5">
        <f t="shared" si="2"/>
        <v>4</v>
      </c>
      <c r="AJ5" s="5">
        <f t="shared" si="2"/>
        <v>5</v>
      </c>
      <c r="AK5" s="5">
        <f t="shared" si="2"/>
        <v>6</v>
      </c>
      <c r="AL5" s="5">
        <f t="shared" si="2"/>
        <v>7</v>
      </c>
      <c r="AM5" s="5">
        <f t="shared" si="2"/>
        <v>8</v>
      </c>
      <c r="AN5" s="5">
        <f t="shared" si="2"/>
        <v>9</v>
      </c>
    </row>
    <row r="6" spans="1:40">
      <c r="A6" s="6" t="s">
        <v>7</v>
      </c>
      <c r="B6" s="7">
        <v>0.71</v>
      </c>
      <c r="C6" s="7">
        <f>B6</f>
        <v>0.71</v>
      </c>
      <c r="D6" s="8">
        <f>C6</f>
        <v>0.71</v>
      </c>
      <c r="P6">
        <v>1</v>
      </c>
      <c r="Q6" s="2" t="s">
        <v>7</v>
      </c>
      <c r="S6" s="35">
        <f t="shared" ref="S6:AA6" si="3">SUMPRODUCT(S176:S178,$R$176:$R$178)</f>
        <v>1</v>
      </c>
      <c r="T6" s="35">
        <f t="shared" si="3"/>
        <v>1</v>
      </c>
      <c r="U6" s="35">
        <f t="shared" si="3"/>
        <v>1</v>
      </c>
      <c r="V6" s="35">
        <f t="shared" si="3"/>
        <v>2</v>
      </c>
      <c r="W6" s="35">
        <f t="shared" si="3"/>
        <v>2</v>
      </c>
      <c r="X6" s="35">
        <f t="shared" si="3"/>
        <v>2</v>
      </c>
      <c r="Y6" s="35">
        <f t="shared" si="3"/>
        <v>3</v>
      </c>
      <c r="Z6" s="35">
        <f t="shared" si="3"/>
        <v>3</v>
      </c>
      <c r="AA6" s="35">
        <f t="shared" si="3"/>
        <v>3</v>
      </c>
      <c r="AB6" s="35"/>
      <c r="AD6">
        <f>SUM(AF6:AN6)</f>
        <v>2</v>
      </c>
      <c r="AF6">
        <f t="shared" ref="AF6:AM8" si="4">IF(T6=S6,0,1)</f>
        <v>0</v>
      </c>
      <c r="AG6">
        <f t="shared" si="4"/>
        <v>0</v>
      </c>
      <c r="AH6">
        <f t="shared" si="4"/>
        <v>1</v>
      </c>
      <c r="AI6">
        <f t="shared" si="4"/>
        <v>0</v>
      </c>
      <c r="AJ6">
        <f t="shared" si="4"/>
        <v>0</v>
      </c>
      <c r="AK6">
        <f t="shared" si="4"/>
        <v>1</v>
      </c>
      <c r="AL6">
        <f t="shared" si="4"/>
        <v>0</v>
      </c>
      <c r="AM6">
        <f t="shared" si="4"/>
        <v>0</v>
      </c>
    </row>
    <row r="7" spans="1:40">
      <c r="A7" s="10" t="s">
        <v>8</v>
      </c>
      <c r="B7" s="11">
        <v>0.72499999999999998</v>
      </c>
      <c r="C7" s="11">
        <f t="shared" ref="C7:D8" si="5">B7</f>
        <v>0.72499999999999998</v>
      </c>
      <c r="D7" s="12">
        <f t="shared" si="5"/>
        <v>0.72499999999999998</v>
      </c>
      <c r="P7">
        <f>P6+1</f>
        <v>2</v>
      </c>
      <c r="Q7" s="2" t="s">
        <v>8</v>
      </c>
      <c r="S7" s="35">
        <f t="shared" ref="S7:AA7" si="6">SUMPRODUCT(S185:S187,$R$185:$R$187)</f>
        <v>2</v>
      </c>
      <c r="T7" s="35">
        <f t="shared" si="6"/>
        <v>2</v>
      </c>
      <c r="U7" s="35">
        <f t="shared" si="6"/>
        <v>2</v>
      </c>
      <c r="V7" s="35">
        <f t="shared" si="6"/>
        <v>3</v>
      </c>
      <c r="W7" s="35">
        <f t="shared" si="6"/>
        <v>3</v>
      </c>
      <c r="X7" s="35">
        <f t="shared" si="6"/>
        <v>3</v>
      </c>
      <c r="Y7" s="35">
        <f t="shared" si="6"/>
        <v>1</v>
      </c>
      <c r="Z7" s="35">
        <f t="shared" si="6"/>
        <v>1</v>
      </c>
      <c r="AA7" s="35">
        <f t="shared" si="6"/>
        <v>1</v>
      </c>
      <c r="AB7" s="35"/>
      <c r="AD7">
        <f>SUM(AF7:AN7)</f>
        <v>2</v>
      </c>
      <c r="AF7">
        <f t="shared" si="4"/>
        <v>0</v>
      </c>
      <c r="AG7">
        <f t="shared" si="4"/>
        <v>0</v>
      </c>
      <c r="AH7">
        <f t="shared" si="4"/>
        <v>1</v>
      </c>
      <c r="AI7">
        <f t="shared" si="4"/>
        <v>0</v>
      </c>
      <c r="AJ7">
        <f t="shared" si="4"/>
        <v>0</v>
      </c>
      <c r="AK7">
        <f t="shared" si="4"/>
        <v>1</v>
      </c>
      <c r="AL7">
        <f t="shared" si="4"/>
        <v>0</v>
      </c>
      <c r="AM7">
        <f t="shared" si="4"/>
        <v>0</v>
      </c>
    </row>
    <row r="8" spans="1:40">
      <c r="A8" s="14" t="s">
        <v>9</v>
      </c>
      <c r="B8" s="15">
        <v>0.74</v>
      </c>
      <c r="C8" s="15">
        <f t="shared" si="5"/>
        <v>0.74</v>
      </c>
      <c r="D8" s="16">
        <f t="shared" si="5"/>
        <v>0.74</v>
      </c>
      <c r="P8">
        <f t="shared" ref="P8" si="7">P7+1</f>
        <v>3</v>
      </c>
      <c r="Q8" s="2" t="s">
        <v>9</v>
      </c>
      <c r="S8" s="35">
        <f t="shared" ref="S8:AA8" si="8">SUMPRODUCT(S194:S196,$R$194:$R$196)</f>
        <v>3</v>
      </c>
      <c r="T8" s="35">
        <f t="shared" si="8"/>
        <v>3</v>
      </c>
      <c r="U8" s="35">
        <f t="shared" si="8"/>
        <v>3</v>
      </c>
      <c r="V8" s="35">
        <f t="shared" si="8"/>
        <v>1</v>
      </c>
      <c r="W8" s="35">
        <f t="shared" si="8"/>
        <v>1</v>
      </c>
      <c r="X8" s="35">
        <f t="shared" si="8"/>
        <v>1</v>
      </c>
      <c r="Y8" s="35">
        <f t="shared" si="8"/>
        <v>2</v>
      </c>
      <c r="Z8" s="35">
        <f t="shared" si="8"/>
        <v>2</v>
      </c>
      <c r="AA8" s="35">
        <f t="shared" si="8"/>
        <v>2</v>
      </c>
      <c r="AB8" s="35"/>
      <c r="AD8">
        <f>SUM(AF8:AN8)</f>
        <v>2</v>
      </c>
      <c r="AF8">
        <f t="shared" si="4"/>
        <v>0</v>
      </c>
      <c r="AG8">
        <f t="shared" si="4"/>
        <v>0</v>
      </c>
      <c r="AH8">
        <f t="shared" si="4"/>
        <v>1</v>
      </c>
      <c r="AI8">
        <f t="shared" si="4"/>
        <v>0</v>
      </c>
      <c r="AJ8">
        <f t="shared" si="4"/>
        <v>0</v>
      </c>
      <c r="AK8">
        <f t="shared" si="4"/>
        <v>1</v>
      </c>
      <c r="AL8">
        <f t="shared" si="4"/>
        <v>0</v>
      </c>
      <c r="AM8">
        <f t="shared" si="4"/>
        <v>0</v>
      </c>
    </row>
    <row r="10" spans="1:40">
      <c r="Q10" s="13" t="s">
        <v>14</v>
      </c>
      <c r="R10" s="17">
        <f>SUM(T10:AB10)</f>
        <v>185</v>
      </c>
      <c r="T10" s="9">
        <v>5</v>
      </c>
      <c r="U10" s="9">
        <v>8</v>
      </c>
      <c r="V10" s="9">
        <v>13</v>
      </c>
      <c r="W10" s="9">
        <v>7</v>
      </c>
      <c r="X10" s="9">
        <v>25</v>
      </c>
      <c r="Y10" s="9">
        <v>18</v>
      </c>
      <c r="Z10" s="9">
        <v>35</v>
      </c>
      <c r="AA10" s="9">
        <v>29</v>
      </c>
      <c r="AB10" s="9">
        <v>45</v>
      </c>
    </row>
    <row r="12" spans="1:40">
      <c r="A12" s="1" t="s">
        <v>13</v>
      </c>
      <c r="C12" s="2" t="s">
        <v>1</v>
      </c>
      <c r="D12" s="2" t="s">
        <v>2</v>
      </c>
      <c r="S12" t="str">
        <f>S4</f>
        <v>Period</v>
      </c>
      <c r="U12" s="18" t="s">
        <v>15</v>
      </c>
    </row>
    <row r="13" spans="1:40">
      <c r="B13" s="2">
        <v>1</v>
      </c>
      <c r="C13" s="2">
        <f t="shared" ref="C13:D13" si="9">B13+1</f>
        <v>2</v>
      </c>
      <c r="D13" s="2">
        <f t="shared" si="9"/>
        <v>3</v>
      </c>
      <c r="Q13" s="2" t="s">
        <v>16</v>
      </c>
      <c r="S13" s="4">
        <f>S5</f>
        <v>0</v>
      </c>
      <c r="T13" s="5">
        <f t="shared" ref="T13:AB13" si="10">T5</f>
        <v>1</v>
      </c>
      <c r="U13" s="5">
        <f t="shared" si="10"/>
        <v>2</v>
      </c>
      <c r="V13" s="5">
        <f t="shared" si="10"/>
        <v>3</v>
      </c>
      <c r="W13" s="5">
        <f t="shared" si="10"/>
        <v>4</v>
      </c>
      <c r="X13" s="5">
        <f t="shared" si="10"/>
        <v>5</v>
      </c>
      <c r="Y13" s="5">
        <f t="shared" si="10"/>
        <v>6</v>
      </c>
      <c r="Z13" s="5">
        <f t="shared" si="10"/>
        <v>7</v>
      </c>
      <c r="AA13" s="5">
        <f t="shared" si="10"/>
        <v>8</v>
      </c>
      <c r="AB13" s="5">
        <f t="shared" si="10"/>
        <v>9</v>
      </c>
    </row>
    <row r="14" spans="1:40">
      <c r="A14" s="6" t="s">
        <v>7</v>
      </c>
      <c r="B14" s="7">
        <v>0.94</v>
      </c>
      <c r="C14" s="7">
        <f>B14</f>
        <v>0.94</v>
      </c>
      <c r="D14" s="8">
        <f>C14</f>
        <v>0.94</v>
      </c>
      <c r="Q14" s="2">
        <v>1</v>
      </c>
      <c r="S14">
        <f t="shared" ref="S14:AA14" si="11">S24</f>
        <v>9</v>
      </c>
      <c r="T14">
        <f t="shared" si="11"/>
        <v>17.18760108311848</v>
      </c>
      <c r="U14">
        <f t="shared" si="11"/>
        <v>22.182973047366346</v>
      </c>
      <c r="V14">
        <f t="shared" si="11"/>
        <v>7</v>
      </c>
      <c r="W14">
        <f t="shared" si="11"/>
        <v>15.104019793066758</v>
      </c>
      <c r="X14">
        <f t="shared" si="11"/>
        <v>20.3525988554197</v>
      </c>
      <c r="Y14">
        <f t="shared" si="11"/>
        <v>10</v>
      </c>
      <c r="Z14">
        <f t="shared" si="11"/>
        <v>17.424063658200851</v>
      </c>
      <c r="AA14">
        <f t="shared" si="11"/>
        <v>22.092291256350773</v>
      </c>
    </row>
    <row r="15" spans="1:40">
      <c r="A15" s="10" t="s">
        <v>8</v>
      </c>
      <c r="B15" s="11">
        <v>0.92500000000000004</v>
      </c>
      <c r="C15" s="11">
        <f t="shared" ref="C15:D16" si="12">B15</f>
        <v>0.92500000000000004</v>
      </c>
      <c r="D15" s="12">
        <f t="shared" si="12"/>
        <v>0.92500000000000004</v>
      </c>
      <c r="Q15" s="2">
        <f t="shared" ref="Q15:Q16" si="13">Q14+1</f>
        <v>2</v>
      </c>
      <c r="S15">
        <f>MIN(S25,S14)</f>
        <v>6</v>
      </c>
      <c r="T15">
        <f t="shared" ref="T15:AA16" si="14">MIN(T25,T14+T38)</f>
        <v>14.908876389841023</v>
      </c>
      <c r="U15">
        <f t="shared" si="14"/>
        <v>20.510749507620929</v>
      </c>
      <c r="V15">
        <f t="shared" si="14"/>
        <v>11</v>
      </c>
      <c r="W15">
        <f t="shared" si="14"/>
        <v>18.054968026089632</v>
      </c>
      <c r="X15">
        <f t="shared" si="14"/>
        <v>20.3525988554197</v>
      </c>
      <c r="Y15">
        <f t="shared" si="14"/>
        <v>8</v>
      </c>
      <c r="Z15">
        <f t="shared" si="14"/>
        <v>15.751671106411681</v>
      </c>
      <c r="AA15">
        <f t="shared" si="14"/>
        <v>20.772051079097103</v>
      </c>
    </row>
    <row r="16" spans="1:40">
      <c r="A16" s="14" t="s">
        <v>9</v>
      </c>
      <c r="B16" s="15">
        <v>0.91</v>
      </c>
      <c r="C16" s="15">
        <f t="shared" si="12"/>
        <v>0.91</v>
      </c>
      <c r="D16" s="16">
        <f t="shared" si="12"/>
        <v>0.91</v>
      </c>
      <c r="Q16" s="2">
        <f t="shared" si="13"/>
        <v>3</v>
      </c>
      <c r="S16">
        <f>MIN(S26,S15)</f>
        <v>6</v>
      </c>
      <c r="T16">
        <f t="shared" si="14"/>
        <v>14.908876389841023</v>
      </c>
      <c r="U16">
        <f t="shared" si="14"/>
        <v>20.510749507620929</v>
      </c>
      <c r="V16">
        <f t="shared" si="14"/>
        <v>8</v>
      </c>
      <c r="W16">
        <f t="shared" si="14"/>
        <v>17.758931678705022</v>
      </c>
      <c r="X16">
        <f t="shared" si="14"/>
        <v>23.648635202804311</v>
      </c>
      <c r="Y16">
        <f t="shared" si="14"/>
        <v>7</v>
      </c>
      <c r="Z16">
        <f t="shared" si="14"/>
        <v>16.751671106411681</v>
      </c>
      <c r="AA16">
        <f t="shared" si="14"/>
        <v>20.772051079097103</v>
      </c>
    </row>
    <row r="17" spans="1:40">
      <c r="Q17" s="19" t="s">
        <v>18</v>
      </c>
      <c r="R17" s="20"/>
      <c r="S17" s="21">
        <f t="shared" ref="S17:AA17" si="15">MIN(S14:S16)</f>
        <v>6</v>
      </c>
      <c r="T17" s="21">
        <f t="shared" si="15"/>
        <v>14.908876389841023</v>
      </c>
      <c r="U17" s="21">
        <f t="shared" si="15"/>
        <v>20.510749507620929</v>
      </c>
      <c r="V17" s="21">
        <f t="shared" si="15"/>
        <v>7</v>
      </c>
      <c r="W17" s="21">
        <f t="shared" si="15"/>
        <v>15.104019793066758</v>
      </c>
      <c r="X17" s="21">
        <f t="shared" si="15"/>
        <v>20.3525988554197</v>
      </c>
      <c r="Y17" s="21">
        <f t="shared" si="15"/>
        <v>7</v>
      </c>
      <c r="Z17" s="21">
        <f t="shared" si="15"/>
        <v>15.751671106411681</v>
      </c>
      <c r="AA17" s="21">
        <f t="shared" si="15"/>
        <v>20.772051079097103</v>
      </c>
      <c r="AB17" s="21"/>
    </row>
    <row r="18" spans="1:40">
      <c r="Q18" s="19" t="s">
        <v>19</v>
      </c>
      <c r="R18" s="20"/>
      <c r="S18" s="21">
        <f t="shared" ref="S18:AA18" si="16">AVERAGE(S14:S16)</f>
        <v>7</v>
      </c>
      <c r="T18" s="21">
        <f t="shared" si="16"/>
        <v>15.668451287600178</v>
      </c>
      <c r="U18" s="21">
        <f t="shared" si="16"/>
        <v>21.068157354202736</v>
      </c>
      <c r="V18" s="21">
        <f t="shared" si="16"/>
        <v>8.6666666666666661</v>
      </c>
      <c r="W18" s="21">
        <f t="shared" si="16"/>
        <v>16.972639832620473</v>
      </c>
      <c r="X18" s="21">
        <f t="shared" si="16"/>
        <v>21.451277637881237</v>
      </c>
      <c r="Y18" s="21">
        <f t="shared" si="16"/>
        <v>8.3333333333333339</v>
      </c>
      <c r="Z18" s="21">
        <f t="shared" si="16"/>
        <v>16.642468623674734</v>
      </c>
      <c r="AA18" s="21">
        <f t="shared" si="16"/>
        <v>21.212131138181658</v>
      </c>
      <c r="AB18" s="21"/>
    </row>
    <row r="19" spans="1:40">
      <c r="Q19" s="19" t="s">
        <v>20</v>
      </c>
      <c r="R19" s="20">
        <f>SUM(S19:AA19)</f>
        <v>10.413668018722479</v>
      </c>
      <c r="S19" s="21">
        <f t="shared" ref="S19:AA19" si="17">_xlfn.STDEV.P(S14:S16)</f>
        <v>1.4142135623730951</v>
      </c>
      <c r="T19" s="21">
        <f t="shared" si="17"/>
        <v>1.0742011220491503</v>
      </c>
      <c r="U19" s="21">
        <f t="shared" si="17"/>
        <v>0.788293736409171</v>
      </c>
      <c r="V19" s="21">
        <f t="shared" si="17"/>
        <v>1.699673171197595</v>
      </c>
      <c r="W19" s="21">
        <f t="shared" si="17"/>
        <v>1.3268295592399937</v>
      </c>
      <c r="X19" s="21">
        <f t="shared" si="17"/>
        <v>1.5537664348486651</v>
      </c>
      <c r="Y19" s="21">
        <f t="shared" si="17"/>
        <v>1.247219128924647</v>
      </c>
      <c r="Z19" s="21">
        <f t="shared" si="17"/>
        <v>0.68710411559282958</v>
      </c>
      <c r="AA19" s="21">
        <f t="shared" si="17"/>
        <v>0.62236718808733282</v>
      </c>
      <c r="AB19" s="21"/>
    </row>
    <row r="20" spans="1:40">
      <c r="Q20" s="27" t="s">
        <v>21</v>
      </c>
      <c r="R20" s="27">
        <f>SUM(S20:AA20)</f>
        <v>135.35091496448007</v>
      </c>
      <c r="S20" s="27">
        <f t="shared" ref="S20:AA20" si="18">S16</f>
        <v>6</v>
      </c>
      <c r="T20" s="27">
        <f t="shared" si="18"/>
        <v>14.908876389841023</v>
      </c>
      <c r="U20" s="27">
        <f t="shared" si="18"/>
        <v>20.510749507620929</v>
      </c>
      <c r="V20" s="27">
        <f t="shared" si="18"/>
        <v>8</v>
      </c>
      <c r="W20" s="27">
        <f t="shared" si="18"/>
        <v>17.758931678705022</v>
      </c>
      <c r="X20" s="27">
        <f t="shared" si="18"/>
        <v>23.648635202804311</v>
      </c>
      <c r="Y20" s="27">
        <f t="shared" si="18"/>
        <v>7</v>
      </c>
      <c r="Z20" s="27">
        <f t="shared" si="18"/>
        <v>16.751671106411681</v>
      </c>
      <c r="AA20" s="27">
        <f t="shared" si="18"/>
        <v>20.772051079097103</v>
      </c>
      <c r="AB20" s="27"/>
    </row>
    <row r="22" spans="1:40">
      <c r="A22" s="1" t="s">
        <v>17</v>
      </c>
      <c r="C22" s="2" t="s">
        <v>1</v>
      </c>
      <c r="D22" s="2" t="s">
        <v>2</v>
      </c>
      <c r="S22" t="str">
        <f>S12</f>
        <v>Period</v>
      </c>
      <c r="U22" s="18" t="s">
        <v>24</v>
      </c>
    </row>
    <row r="23" spans="1:40">
      <c r="B23" s="2">
        <v>1</v>
      </c>
      <c r="C23" s="2">
        <f t="shared" ref="C23:D23" si="19">B23+1</f>
        <v>2</v>
      </c>
      <c r="D23" s="2">
        <f t="shared" si="19"/>
        <v>3</v>
      </c>
      <c r="Q23" s="2" t="str">
        <f>Q13</f>
        <v>Station</v>
      </c>
      <c r="S23" s="4">
        <f>S13</f>
        <v>0</v>
      </c>
      <c r="T23" s="5">
        <f t="shared" ref="T23:AB23" si="20">T13</f>
        <v>1</v>
      </c>
      <c r="U23" s="5">
        <f t="shared" si="20"/>
        <v>2</v>
      </c>
      <c r="V23" s="5">
        <f t="shared" si="20"/>
        <v>3</v>
      </c>
      <c r="W23" s="5">
        <f t="shared" si="20"/>
        <v>4</v>
      </c>
      <c r="X23" s="5">
        <f t="shared" si="20"/>
        <v>5</v>
      </c>
      <c r="Y23" s="5">
        <f t="shared" si="20"/>
        <v>6</v>
      </c>
      <c r="Z23" s="5">
        <f t="shared" si="20"/>
        <v>7</v>
      </c>
      <c r="AA23" s="5">
        <f t="shared" si="20"/>
        <v>8</v>
      </c>
      <c r="AB23" s="5">
        <f t="shared" si="20"/>
        <v>9</v>
      </c>
    </row>
    <row r="24" spans="1:40">
      <c r="A24" s="6" t="s">
        <v>7</v>
      </c>
      <c r="B24" s="22">
        <v>30</v>
      </c>
      <c r="C24" s="22">
        <v>30</v>
      </c>
      <c r="D24" s="23">
        <v>34.29</v>
      </c>
      <c r="Q24" s="2">
        <f>Q14</f>
        <v>1</v>
      </c>
      <c r="S24">
        <f t="shared" ref="S24:AA26" si="21">SUMIF($Q$110:$Q$127,$Q24,S$110:S$127)</f>
        <v>9</v>
      </c>
      <c r="T24">
        <f t="shared" si="21"/>
        <v>17.18760108311848</v>
      </c>
      <c r="U24">
        <f t="shared" si="21"/>
        <v>22.182973047366346</v>
      </c>
      <c r="V24">
        <f t="shared" si="21"/>
        <v>7</v>
      </c>
      <c r="W24">
        <f t="shared" si="21"/>
        <v>15.104019793066758</v>
      </c>
      <c r="X24">
        <f t="shared" si="21"/>
        <v>20.3525988554197</v>
      </c>
      <c r="Y24">
        <f t="shared" si="21"/>
        <v>10</v>
      </c>
      <c r="Z24">
        <f t="shared" si="21"/>
        <v>17.424063658200851</v>
      </c>
      <c r="AA24">
        <f t="shared" si="21"/>
        <v>22.092291256350773</v>
      </c>
    </row>
    <row r="25" spans="1:40">
      <c r="A25" s="10" t="s">
        <v>8</v>
      </c>
      <c r="B25" s="24">
        <f>B24</f>
        <v>30</v>
      </c>
      <c r="C25" s="24">
        <f t="shared" ref="C25:D26" si="22">C24</f>
        <v>30</v>
      </c>
      <c r="D25" s="25">
        <f t="shared" si="22"/>
        <v>34.29</v>
      </c>
      <c r="Q25" s="2">
        <f>Q15</f>
        <v>2</v>
      </c>
      <c r="S25">
        <f t="shared" si="21"/>
        <v>6</v>
      </c>
      <c r="T25">
        <f t="shared" si="21"/>
        <v>14.908876389841023</v>
      </c>
      <c r="U25">
        <f t="shared" si="21"/>
        <v>20.510749507620929</v>
      </c>
      <c r="V25">
        <f t="shared" si="21"/>
        <v>11</v>
      </c>
      <c r="W25">
        <f t="shared" si="21"/>
        <v>18.407829551392908</v>
      </c>
      <c r="X25">
        <f t="shared" si="21"/>
        <v>22.927451804760025</v>
      </c>
      <c r="Y25">
        <f t="shared" si="21"/>
        <v>8</v>
      </c>
      <c r="Z25">
        <f t="shared" si="21"/>
        <v>15.751671106411681</v>
      </c>
      <c r="AA25">
        <f t="shared" si="21"/>
        <v>20.772051079097103</v>
      </c>
      <c r="AE25" s="4">
        <v>0</v>
      </c>
      <c r="AF25" s="5">
        <f>AE25+1</f>
        <v>1</v>
      </c>
      <c r="AG25" s="5">
        <f t="shared" ref="AG25:AN25" si="23">AF25+1</f>
        <v>2</v>
      </c>
      <c r="AH25" s="5">
        <f t="shared" si="23"/>
        <v>3</v>
      </c>
      <c r="AI25" s="5">
        <f t="shared" si="23"/>
        <v>4</v>
      </c>
      <c r="AJ25" s="5">
        <f t="shared" si="23"/>
        <v>5</v>
      </c>
      <c r="AK25" s="5">
        <f t="shared" si="23"/>
        <v>6</v>
      </c>
      <c r="AL25" s="5">
        <f t="shared" si="23"/>
        <v>7</v>
      </c>
      <c r="AM25" s="5">
        <f t="shared" si="23"/>
        <v>8</v>
      </c>
      <c r="AN25" s="5">
        <f t="shared" si="23"/>
        <v>9</v>
      </c>
    </row>
    <row r="26" spans="1:40">
      <c r="A26" s="14" t="s">
        <v>9</v>
      </c>
      <c r="B26" s="28">
        <f t="shared" ref="B26" si="24">B25</f>
        <v>30</v>
      </c>
      <c r="C26" s="28">
        <f t="shared" si="22"/>
        <v>30</v>
      </c>
      <c r="D26" s="29">
        <f t="shared" si="22"/>
        <v>34.29</v>
      </c>
      <c r="Q26" s="2">
        <f>Q16</f>
        <v>3</v>
      </c>
      <c r="S26">
        <f t="shared" si="21"/>
        <v>12</v>
      </c>
      <c r="T26">
        <f t="shared" si="21"/>
        <v>19.853852225541655</v>
      </c>
      <c r="U26">
        <f t="shared" si="21"/>
        <v>24.940409934230658</v>
      </c>
      <c r="V26">
        <f t="shared" si="21"/>
        <v>8</v>
      </c>
      <c r="W26">
        <f t="shared" si="21"/>
        <v>17.758931678705022</v>
      </c>
      <c r="X26">
        <f t="shared" si="21"/>
        <v>23.895316856473094</v>
      </c>
      <c r="Y26">
        <f t="shared" si="21"/>
        <v>7</v>
      </c>
      <c r="Z26">
        <f t="shared" si="21"/>
        <v>17.639982550395395</v>
      </c>
      <c r="AA26">
        <f t="shared" si="21"/>
        <v>24.131587355363216</v>
      </c>
      <c r="AD26" s="13" t="s">
        <v>10</v>
      </c>
      <c r="AF26">
        <f t="shared" ref="AF26:AN26" si="25">T10</f>
        <v>5</v>
      </c>
      <c r="AG26">
        <f t="shared" si="25"/>
        <v>8</v>
      </c>
      <c r="AH26">
        <f t="shared" si="25"/>
        <v>13</v>
      </c>
      <c r="AI26">
        <f t="shared" si="25"/>
        <v>7</v>
      </c>
      <c r="AJ26">
        <f t="shared" si="25"/>
        <v>25</v>
      </c>
      <c r="AK26">
        <f t="shared" si="25"/>
        <v>18</v>
      </c>
      <c r="AL26">
        <f t="shared" si="25"/>
        <v>35</v>
      </c>
      <c r="AM26">
        <f t="shared" si="25"/>
        <v>29</v>
      </c>
      <c r="AN26">
        <f t="shared" si="25"/>
        <v>45</v>
      </c>
    </row>
    <row r="27" spans="1:40">
      <c r="AD27" s="13" t="s">
        <v>11</v>
      </c>
      <c r="AE27">
        <f t="shared" ref="AE27:AN27" si="26">S20</f>
        <v>6</v>
      </c>
      <c r="AF27">
        <f t="shared" si="26"/>
        <v>14.908876389841023</v>
      </c>
      <c r="AG27">
        <f t="shared" si="26"/>
        <v>20.510749507620929</v>
      </c>
      <c r="AH27">
        <f t="shared" si="26"/>
        <v>8</v>
      </c>
      <c r="AI27">
        <f t="shared" si="26"/>
        <v>17.758931678705022</v>
      </c>
      <c r="AJ27">
        <f t="shared" si="26"/>
        <v>23.648635202804311</v>
      </c>
      <c r="AK27">
        <f t="shared" si="26"/>
        <v>7</v>
      </c>
      <c r="AL27">
        <f t="shared" si="26"/>
        <v>16.751671106411681</v>
      </c>
      <c r="AM27">
        <f t="shared" si="26"/>
        <v>20.772051079097103</v>
      </c>
      <c r="AN27">
        <f t="shared" si="26"/>
        <v>0</v>
      </c>
    </row>
    <row r="28" spans="1:40">
      <c r="A28" s="1" t="s">
        <v>26</v>
      </c>
      <c r="C28" s="2" t="s">
        <v>1</v>
      </c>
      <c r="D28" s="2" t="s">
        <v>2</v>
      </c>
      <c r="S28" t="str">
        <f>S22</f>
        <v>Period</v>
      </c>
      <c r="U28" s="18" t="s">
        <v>27</v>
      </c>
      <c r="AD28" s="13" t="s">
        <v>12</v>
      </c>
      <c r="AF28">
        <f t="shared" ref="AF28:AN28" si="27">T60</f>
        <v>0</v>
      </c>
      <c r="AG28">
        <f t="shared" si="27"/>
        <v>0</v>
      </c>
      <c r="AH28">
        <f t="shared" si="27"/>
        <v>0</v>
      </c>
      <c r="AI28">
        <f t="shared" si="27"/>
        <v>0</v>
      </c>
      <c r="AJ28">
        <f t="shared" si="27"/>
        <v>0</v>
      </c>
      <c r="AK28">
        <f t="shared" si="27"/>
        <v>0</v>
      </c>
      <c r="AL28">
        <f t="shared" si="27"/>
        <v>13.172807221028719</v>
      </c>
      <c r="AM28">
        <f t="shared" si="27"/>
        <v>12.248328893588319</v>
      </c>
      <c r="AN28">
        <f t="shared" si="27"/>
        <v>0</v>
      </c>
    </row>
    <row r="29" spans="1:40">
      <c r="B29" s="2">
        <v>1</v>
      </c>
      <c r="C29" s="2">
        <f t="shared" ref="C29:D29" si="28">B29+1</f>
        <v>2</v>
      </c>
      <c r="D29" s="2">
        <f t="shared" si="28"/>
        <v>3</v>
      </c>
      <c r="Q29" s="2" t="str">
        <f>Q23</f>
        <v>Station</v>
      </c>
      <c r="S29" s="4">
        <f>S23</f>
        <v>0</v>
      </c>
      <c r="T29" s="5">
        <f t="shared" ref="T29:AB29" si="29">T23</f>
        <v>1</v>
      </c>
      <c r="U29" s="5">
        <f t="shared" si="29"/>
        <v>2</v>
      </c>
      <c r="V29" s="5">
        <f t="shared" si="29"/>
        <v>3</v>
      </c>
      <c r="W29" s="5">
        <f t="shared" si="29"/>
        <v>4</v>
      </c>
      <c r="X29" s="5">
        <f t="shared" si="29"/>
        <v>5</v>
      </c>
      <c r="Y29" s="5">
        <f t="shared" si="29"/>
        <v>6</v>
      </c>
      <c r="Z29" s="5">
        <f t="shared" si="29"/>
        <v>7</v>
      </c>
      <c r="AA29" s="5">
        <f t="shared" si="29"/>
        <v>8</v>
      </c>
      <c r="AB29" s="5">
        <f t="shared" si="29"/>
        <v>9</v>
      </c>
    </row>
    <row r="30" spans="1:40">
      <c r="A30" s="6" t="s">
        <v>7</v>
      </c>
      <c r="B30" s="22">
        <v>0</v>
      </c>
      <c r="C30" s="22">
        <v>0</v>
      </c>
      <c r="D30" s="23">
        <v>0</v>
      </c>
      <c r="Q30" s="2">
        <f>Q24</f>
        <v>1</v>
      </c>
      <c r="S30">
        <f t="shared" ref="S30:AA30" si="30">S14-S$17</f>
        <v>3</v>
      </c>
      <c r="T30">
        <f t="shared" si="30"/>
        <v>2.2787246932774572</v>
      </c>
      <c r="U30">
        <f t="shared" si="30"/>
        <v>1.672223539745417</v>
      </c>
      <c r="V30">
        <f t="shared" si="30"/>
        <v>0</v>
      </c>
      <c r="W30">
        <f t="shared" si="30"/>
        <v>0</v>
      </c>
      <c r="X30">
        <f t="shared" si="30"/>
        <v>0</v>
      </c>
      <c r="Y30">
        <f t="shared" si="30"/>
        <v>3</v>
      </c>
      <c r="Z30">
        <f t="shared" si="30"/>
        <v>1.6723925517891693</v>
      </c>
      <c r="AA30">
        <f t="shared" si="30"/>
        <v>1.3202401772536696</v>
      </c>
    </row>
    <row r="31" spans="1:40">
      <c r="A31" s="10" t="s">
        <v>8</v>
      </c>
      <c r="B31" s="24">
        <f>B30</f>
        <v>0</v>
      </c>
      <c r="C31" s="24">
        <f t="shared" ref="C31:D32" si="31">C30</f>
        <v>0</v>
      </c>
      <c r="D31" s="25">
        <f t="shared" si="31"/>
        <v>0</v>
      </c>
      <c r="Q31" s="2">
        <f>Q25</f>
        <v>2</v>
      </c>
      <c r="S31">
        <f t="shared" ref="S31:AA31" si="32">S15-S$17</f>
        <v>0</v>
      </c>
      <c r="T31">
        <f t="shared" si="32"/>
        <v>0</v>
      </c>
      <c r="U31">
        <f t="shared" si="32"/>
        <v>0</v>
      </c>
      <c r="V31">
        <f t="shared" si="32"/>
        <v>4</v>
      </c>
      <c r="W31">
        <f t="shared" si="32"/>
        <v>2.9509482330228742</v>
      </c>
      <c r="X31">
        <f t="shared" si="32"/>
        <v>0</v>
      </c>
      <c r="Y31">
        <f t="shared" si="32"/>
        <v>1</v>
      </c>
      <c r="Z31">
        <f t="shared" si="32"/>
        <v>0</v>
      </c>
      <c r="AA31">
        <f t="shared" si="32"/>
        <v>0</v>
      </c>
    </row>
    <row r="32" spans="1:40">
      <c r="A32" s="14" t="s">
        <v>9</v>
      </c>
      <c r="B32" s="28">
        <f t="shared" ref="B32" si="33">B31</f>
        <v>0</v>
      </c>
      <c r="C32" s="28">
        <f t="shared" si="31"/>
        <v>0</v>
      </c>
      <c r="D32" s="29">
        <f t="shared" si="31"/>
        <v>0</v>
      </c>
      <c r="Q32" s="2">
        <f>Q26</f>
        <v>3</v>
      </c>
      <c r="S32">
        <f t="shared" ref="S32:AA32" si="34">S16-S$17</f>
        <v>0</v>
      </c>
      <c r="T32">
        <f t="shared" si="34"/>
        <v>0</v>
      </c>
      <c r="U32">
        <f t="shared" si="34"/>
        <v>0</v>
      </c>
      <c r="V32">
        <f t="shared" si="34"/>
        <v>1</v>
      </c>
      <c r="W32">
        <f t="shared" si="34"/>
        <v>2.6549118856382634</v>
      </c>
      <c r="X32">
        <f t="shared" si="34"/>
        <v>3.2960363473846108</v>
      </c>
      <c r="Y32">
        <f t="shared" si="34"/>
        <v>0</v>
      </c>
      <c r="Z32">
        <f t="shared" si="34"/>
        <v>1</v>
      </c>
      <c r="AA32">
        <f t="shared" si="34"/>
        <v>0</v>
      </c>
    </row>
    <row r="33" spans="1:28">
      <c r="Q33" s="30" t="s">
        <v>30</v>
      </c>
      <c r="R33" s="20">
        <f>SUM(S33:AA33)</f>
        <v>28.845477428111462</v>
      </c>
      <c r="S33" s="21">
        <f t="shared" ref="S33:AA33" si="35">SUM(S30:S32)</f>
        <v>3</v>
      </c>
      <c r="T33" s="21">
        <f t="shared" si="35"/>
        <v>2.2787246932774572</v>
      </c>
      <c r="U33" s="21">
        <f t="shared" si="35"/>
        <v>1.672223539745417</v>
      </c>
      <c r="V33" s="21">
        <f t="shared" si="35"/>
        <v>5</v>
      </c>
      <c r="W33" s="21">
        <f t="shared" si="35"/>
        <v>5.6058601186611376</v>
      </c>
      <c r="X33" s="21">
        <f t="shared" si="35"/>
        <v>3.2960363473846108</v>
      </c>
      <c r="Y33" s="21">
        <f t="shared" si="35"/>
        <v>4</v>
      </c>
      <c r="Z33" s="21">
        <f t="shared" si="35"/>
        <v>2.6723925517891693</v>
      </c>
      <c r="AA33" s="21">
        <f t="shared" si="35"/>
        <v>1.3202401772536696</v>
      </c>
      <c r="AB33" s="21"/>
    </row>
    <row r="35" spans="1:28">
      <c r="A35" s="1" t="s">
        <v>28</v>
      </c>
      <c r="B35" t="s">
        <v>29</v>
      </c>
      <c r="C35" s="2" t="s">
        <v>1</v>
      </c>
      <c r="D35" s="2" t="s">
        <v>2</v>
      </c>
      <c r="S35" t="str">
        <f>S28</f>
        <v>Period</v>
      </c>
      <c r="U35" s="18" t="s">
        <v>31</v>
      </c>
    </row>
    <row r="36" spans="1:28">
      <c r="B36" s="2">
        <v>1</v>
      </c>
      <c r="C36" s="2">
        <f t="shared" ref="C36:D36" si="36">B36+1</f>
        <v>2</v>
      </c>
      <c r="D36" s="2">
        <f t="shared" si="36"/>
        <v>3</v>
      </c>
      <c r="Q36" s="2" t="str">
        <f>Q29</f>
        <v>Station</v>
      </c>
      <c r="S36" s="4">
        <f>S29</f>
        <v>0</v>
      </c>
      <c r="T36" s="5">
        <f t="shared" ref="T36:AB36" si="37">T29</f>
        <v>1</v>
      </c>
      <c r="U36" s="5">
        <f t="shared" si="37"/>
        <v>2</v>
      </c>
      <c r="V36" s="5">
        <f t="shared" si="37"/>
        <v>3</v>
      </c>
      <c r="W36" s="5">
        <f t="shared" si="37"/>
        <v>4</v>
      </c>
      <c r="X36" s="5">
        <f t="shared" si="37"/>
        <v>5</v>
      </c>
      <c r="Y36" s="5">
        <f t="shared" si="37"/>
        <v>6</v>
      </c>
      <c r="Z36" s="5">
        <f t="shared" si="37"/>
        <v>7</v>
      </c>
      <c r="AA36" s="5">
        <f t="shared" si="37"/>
        <v>8</v>
      </c>
      <c r="AB36" s="5">
        <f t="shared" si="37"/>
        <v>9</v>
      </c>
    </row>
    <row r="37" spans="1:28">
      <c r="A37" s="6" t="s">
        <v>7</v>
      </c>
      <c r="B37" s="22">
        <v>9</v>
      </c>
      <c r="C37" s="22">
        <v>11</v>
      </c>
      <c r="D37" s="23">
        <v>7</v>
      </c>
      <c r="Q37" s="2">
        <f>Q30</f>
        <v>1</v>
      </c>
    </row>
    <row r="38" spans="1:28">
      <c r="A38" s="10" t="s">
        <v>8</v>
      </c>
      <c r="B38" s="24">
        <v>10</v>
      </c>
      <c r="C38" s="24">
        <v>6</v>
      </c>
      <c r="D38" s="25">
        <v>8</v>
      </c>
      <c r="Q38" s="2">
        <f>Q31</f>
        <v>2</v>
      </c>
      <c r="S38">
        <v>0</v>
      </c>
      <c r="T38">
        <f t="shared" ref="T38:AA39" si="38">S44</f>
        <v>3</v>
      </c>
      <c r="U38">
        <f t="shared" si="38"/>
        <v>5.2787246932774572</v>
      </c>
      <c r="V38">
        <f t="shared" si="38"/>
        <v>6.9509482330228742</v>
      </c>
      <c r="W38">
        <f t="shared" si="38"/>
        <v>2.9509482330228742</v>
      </c>
      <c r="X38">
        <f t="shared" si="38"/>
        <v>0</v>
      </c>
      <c r="Y38">
        <f t="shared" si="38"/>
        <v>0</v>
      </c>
      <c r="Z38">
        <f t="shared" si="38"/>
        <v>2</v>
      </c>
      <c r="AA38">
        <f t="shared" si="38"/>
        <v>3.6723925517891693</v>
      </c>
    </row>
    <row r="39" spans="1:28">
      <c r="A39" s="14" t="s">
        <v>9</v>
      </c>
      <c r="B39" s="28">
        <v>7</v>
      </c>
      <c r="C39" s="28">
        <v>8</v>
      </c>
      <c r="D39" s="29">
        <v>12</v>
      </c>
      <c r="Q39" s="2">
        <f>Q32</f>
        <v>3</v>
      </c>
      <c r="S39">
        <v>0</v>
      </c>
      <c r="T39">
        <f t="shared" si="38"/>
        <v>0</v>
      </c>
      <c r="U39">
        <f t="shared" si="38"/>
        <v>0</v>
      </c>
      <c r="V39">
        <f t="shared" si="38"/>
        <v>0</v>
      </c>
      <c r="W39">
        <f t="shared" si="38"/>
        <v>3</v>
      </c>
      <c r="X39">
        <f t="shared" si="38"/>
        <v>3.2960363473846108</v>
      </c>
      <c r="Y39">
        <f t="shared" si="38"/>
        <v>0</v>
      </c>
      <c r="Z39">
        <f t="shared" si="38"/>
        <v>1</v>
      </c>
      <c r="AA39">
        <f t="shared" si="38"/>
        <v>0</v>
      </c>
    </row>
    <row r="41" spans="1:28">
      <c r="A41" s="1" t="s">
        <v>32</v>
      </c>
      <c r="C41" s="2" t="s">
        <v>1</v>
      </c>
      <c r="D41" s="2" t="s">
        <v>3</v>
      </c>
      <c r="S41" t="str">
        <f>S35</f>
        <v>Period</v>
      </c>
      <c r="U41" s="18" t="s">
        <v>33</v>
      </c>
    </row>
    <row r="42" spans="1:28">
      <c r="B42" s="2">
        <v>1</v>
      </c>
      <c r="C42" s="2">
        <f t="shared" ref="C42:D42" si="39">B42+1</f>
        <v>2</v>
      </c>
      <c r="D42" s="2">
        <f t="shared" si="39"/>
        <v>3</v>
      </c>
      <c r="Q42" s="2" t="str">
        <f>Q36</f>
        <v>Station</v>
      </c>
      <c r="S42" s="4">
        <f>S36</f>
        <v>0</v>
      </c>
      <c r="T42" s="5">
        <f t="shared" ref="T42:AB42" si="40">T36</f>
        <v>1</v>
      </c>
      <c r="U42" s="5">
        <f t="shared" si="40"/>
        <v>2</v>
      </c>
      <c r="V42" s="5">
        <f t="shared" si="40"/>
        <v>3</v>
      </c>
      <c r="W42" s="5">
        <f t="shared" si="40"/>
        <v>4</v>
      </c>
      <c r="X42" s="5">
        <f t="shared" si="40"/>
        <v>5</v>
      </c>
      <c r="Y42" s="5">
        <f t="shared" si="40"/>
        <v>6</v>
      </c>
      <c r="Z42" s="5">
        <f t="shared" si="40"/>
        <v>7</v>
      </c>
      <c r="AA42" s="5">
        <f t="shared" si="40"/>
        <v>8</v>
      </c>
      <c r="AB42" s="5">
        <f t="shared" si="40"/>
        <v>9</v>
      </c>
    </row>
    <row r="43" spans="1:28">
      <c r="A43" s="6" t="s">
        <v>7</v>
      </c>
      <c r="B43" s="22">
        <v>1</v>
      </c>
      <c r="C43" s="22">
        <v>1</v>
      </c>
      <c r="D43" s="23">
        <v>2</v>
      </c>
      <c r="Q43" s="2">
        <f>Q37</f>
        <v>1</v>
      </c>
    </row>
    <row r="44" spans="1:28">
      <c r="A44" s="10" t="s">
        <v>8</v>
      </c>
      <c r="B44" s="24">
        <f>B43</f>
        <v>1</v>
      </c>
      <c r="C44" s="24">
        <f t="shared" ref="C44:D45" si="41">C43</f>
        <v>1</v>
      </c>
      <c r="D44" s="25">
        <f t="shared" si="41"/>
        <v>2</v>
      </c>
      <c r="Q44" s="2">
        <f>Q38</f>
        <v>2</v>
      </c>
      <c r="S44">
        <f>S14-S15</f>
        <v>3</v>
      </c>
      <c r="T44">
        <f t="shared" ref="T44:AA44" si="42">T38+T14-T15</f>
        <v>5.2787246932774572</v>
      </c>
      <c r="U44">
        <f t="shared" si="42"/>
        <v>6.9509482330228742</v>
      </c>
      <c r="V44">
        <f t="shared" si="42"/>
        <v>2.9509482330228742</v>
      </c>
      <c r="W44">
        <f t="shared" si="42"/>
        <v>0</v>
      </c>
      <c r="X44">
        <f t="shared" si="42"/>
        <v>0</v>
      </c>
      <c r="Y44">
        <f t="shared" si="42"/>
        <v>2</v>
      </c>
      <c r="Z44">
        <f t="shared" si="42"/>
        <v>3.6723925517891693</v>
      </c>
      <c r="AA44">
        <f t="shared" si="42"/>
        <v>4.9926327290428389</v>
      </c>
    </row>
    <row r="45" spans="1:28">
      <c r="A45" s="14" t="s">
        <v>9</v>
      </c>
      <c r="B45" s="28">
        <f t="shared" ref="B45" si="43">B44</f>
        <v>1</v>
      </c>
      <c r="C45" s="28">
        <f t="shared" si="41"/>
        <v>1</v>
      </c>
      <c r="D45" s="29">
        <f t="shared" si="41"/>
        <v>2</v>
      </c>
      <c r="Q45" s="2">
        <f>Q39</f>
        <v>3</v>
      </c>
      <c r="S45">
        <f>S15-S16</f>
        <v>0</v>
      </c>
      <c r="T45">
        <f t="shared" ref="T45:AA45" si="44">T39+T15-T16</f>
        <v>0</v>
      </c>
      <c r="U45">
        <f t="shared" si="44"/>
        <v>0</v>
      </c>
      <c r="V45">
        <f t="shared" si="44"/>
        <v>3</v>
      </c>
      <c r="W45">
        <f t="shared" si="44"/>
        <v>3.2960363473846108</v>
      </c>
      <c r="X45">
        <f t="shared" si="44"/>
        <v>0</v>
      </c>
      <c r="Y45">
        <f t="shared" si="44"/>
        <v>1</v>
      </c>
      <c r="Z45">
        <f t="shared" si="44"/>
        <v>0</v>
      </c>
      <c r="AA45">
        <f t="shared" si="44"/>
        <v>0</v>
      </c>
    </row>
    <row r="47" spans="1:28">
      <c r="A47" s="1" t="s">
        <v>34</v>
      </c>
      <c r="C47" s="2" t="s">
        <v>1</v>
      </c>
      <c r="D47" s="2" t="s">
        <v>2</v>
      </c>
      <c r="S47" t="str">
        <f>S41</f>
        <v>Period</v>
      </c>
      <c r="U47" s="18" t="s">
        <v>35</v>
      </c>
    </row>
    <row r="48" spans="1:28">
      <c r="B48" s="2">
        <v>1</v>
      </c>
      <c r="C48" s="2">
        <f t="shared" ref="C48:D48" si="45">B48+1</f>
        <v>2</v>
      </c>
      <c r="D48" s="2">
        <f t="shared" si="45"/>
        <v>3</v>
      </c>
      <c r="Q48" s="2" t="str">
        <f>Q42</f>
        <v>Station</v>
      </c>
      <c r="S48" s="4">
        <f>S42</f>
        <v>0</v>
      </c>
      <c r="T48" s="5">
        <f t="shared" ref="T48:AB48" si="46">T42</f>
        <v>1</v>
      </c>
      <c r="U48" s="5">
        <f t="shared" si="46"/>
        <v>2</v>
      </c>
      <c r="V48" s="5">
        <f t="shared" si="46"/>
        <v>3</v>
      </c>
      <c r="W48" s="5">
        <f t="shared" si="46"/>
        <v>4</v>
      </c>
      <c r="X48" s="5">
        <f t="shared" si="46"/>
        <v>5</v>
      </c>
      <c r="Y48" s="5">
        <f t="shared" si="46"/>
        <v>6</v>
      </c>
      <c r="Z48" s="5">
        <f t="shared" si="46"/>
        <v>7</v>
      </c>
      <c r="AA48" s="5">
        <f t="shared" si="46"/>
        <v>8</v>
      </c>
      <c r="AB48" s="5">
        <f t="shared" si="46"/>
        <v>9</v>
      </c>
    </row>
    <row r="49" spans="1:40">
      <c r="A49" s="6" t="s">
        <v>7</v>
      </c>
      <c r="B49" s="22">
        <v>3</v>
      </c>
      <c r="C49" s="22">
        <v>3</v>
      </c>
      <c r="D49" s="23">
        <v>3</v>
      </c>
      <c r="Q49" s="2">
        <f>Q43</f>
        <v>1</v>
      </c>
    </row>
    <row r="50" spans="1:40">
      <c r="A50" s="10" t="s">
        <v>8</v>
      </c>
      <c r="B50" s="24">
        <f>B49</f>
        <v>3</v>
      </c>
      <c r="C50" s="24">
        <f t="shared" ref="C50:D51" si="47">C49</f>
        <v>3</v>
      </c>
      <c r="D50" s="25">
        <f t="shared" si="47"/>
        <v>3</v>
      </c>
      <c r="Q50" s="2">
        <f>Q44</f>
        <v>2</v>
      </c>
      <c r="S50">
        <f t="shared" ref="S50:AA50" si="48">AVERAGE(S38,S44)</f>
        <v>1.5</v>
      </c>
      <c r="T50">
        <f t="shared" si="48"/>
        <v>4.1393623466387286</v>
      </c>
      <c r="U50">
        <f t="shared" si="48"/>
        <v>6.1148364631501657</v>
      </c>
      <c r="V50">
        <f t="shared" si="48"/>
        <v>4.9509482330228742</v>
      </c>
      <c r="W50">
        <f t="shared" si="48"/>
        <v>1.4754741165114371</v>
      </c>
      <c r="X50">
        <f t="shared" si="48"/>
        <v>0</v>
      </c>
      <c r="Y50">
        <f t="shared" si="48"/>
        <v>1</v>
      </c>
      <c r="Z50">
        <f t="shared" si="48"/>
        <v>2.8361962758945847</v>
      </c>
      <c r="AA50">
        <f t="shared" si="48"/>
        <v>4.3325126404160041</v>
      </c>
    </row>
    <row r="51" spans="1:40">
      <c r="A51" s="14" t="s">
        <v>9</v>
      </c>
      <c r="B51" s="28">
        <f t="shared" ref="B51" si="49">B50</f>
        <v>3</v>
      </c>
      <c r="C51" s="28">
        <f t="shared" si="47"/>
        <v>3</v>
      </c>
      <c r="D51" s="29">
        <f t="shared" si="47"/>
        <v>3</v>
      </c>
      <c r="Q51" s="2">
        <f>Q45</f>
        <v>3</v>
      </c>
      <c r="S51">
        <f t="shared" ref="S51:AA51" si="50">AVERAGE(S39,S45)</f>
        <v>0</v>
      </c>
      <c r="T51">
        <f t="shared" si="50"/>
        <v>0</v>
      </c>
      <c r="U51">
        <f t="shared" si="50"/>
        <v>0</v>
      </c>
      <c r="V51">
        <f t="shared" si="50"/>
        <v>1.5</v>
      </c>
      <c r="W51">
        <f t="shared" si="50"/>
        <v>3.1480181736923054</v>
      </c>
      <c r="X51">
        <f t="shared" si="50"/>
        <v>1.6480181736923054</v>
      </c>
      <c r="Y51">
        <f t="shared" si="50"/>
        <v>0.5</v>
      </c>
      <c r="Z51">
        <f t="shared" si="50"/>
        <v>0.5</v>
      </c>
      <c r="AA51">
        <f t="shared" si="50"/>
        <v>0</v>
      </c>
    </row>
    <row r="53" spans="1:40">
      <c r="S53" t="str">
        <f>S47</f>
        <v>Period</v>
      </c>
      <c r="U53" s="18" t="s">
        <v>36</v>
      </c>
    </row>
    <row r="54" spans="1:40">
      <c r="S54" s="4">
        <f>S48</f>
        <v>0</v>
      </c>
      <c r="T54" s="5">
        <f t="shared" ref="T54:AB54" si="51">T48</f>
        <v>1</v>
      </c>
      <c r="U54" s="5">
        <f t="shared" si="51"/>
        <v>2</v>
      </c>
      <c r="V54" s="5">
        <f t="shared" si="51"/>
        <v>3</v>
      </c>
      <c r="W54" s="5">
        <f t="shared" si="51"/>
        <v>4</v>
      </c>
      <c r="X54" s="5">
        <f t="shared" si="51"/>
        <v>5</v>
      </c>
      <c r="Y54" s="5">
        <f t="shared" si="51"/>
        <v>6</v>
      </c>
      <c r="Z54" s="5">
        <f t="shared" si="51"/>
        <v>7</v>
      </c>
      <c r="AA54" s="5">
        <f t="shared" si="51"/>
        <v>8</v>
      </c>
      <c r="AB54" s="5">
        <f t="shared" si="51"/>
        <v>9</v>
      </c>
    </row>
    <row r="55" spans="1:40">
      <c r="Q55" t="s">
        <v>37</v>
      </c>
      <c r="S55">
        <v>0</v>
      </c>
      <c r="T55">
        <f t="shared" ref="T55:AA55" si="52">MAX(0,S56-T10)</f>
        <v>1</v>
      </c>
      <c r="U55">
        <f t="shared" si="52"/>
        <v>7.9088763898410228</v>
      </c>
      <c r="V55">
        <f t="shared" si="52"/>
        <v>15.419625897461952</v>
      </c>
      <c r="W55">
        <f t="shared" si="52"/>
        <v>16.419625897461952</v>
      </c>
      <c r="X55">
        <f t="shared" si="52"/>
        <v>9.1785575761669733</v>
      </c>
      <c r="Y55">
        <f t="shared" si="52"/>
        <v>14.827192778971281</v>
      </c>
      <c r="Z55">
        <f t="shared" si="52"/>
        <v>0</v>
      </c>
      <c r="AA55">
        <f t="shared" si="52"/>
        <v>0</v>
      </c>
    </row>
    <row r="56" spans="1:40">
      <c r="Q56" t="s">
        <v>38</v>
      </c>
      <c r="S56" s="31">
        <f>S20</f>
        <v>6</v>
      </c>
      <c r="T56" s="31">
        <f t="shared" ref="T56:AA56" si="53">T55+T20</f>
        <v>15.908876389841023</v>
      </c>
      <c r="U56" s="31">
        <f t="shared" si="53"/>
        <v>28.419625897461952</v>
      </c>
      <c r="V56" s="31">
        <f t="shared" si="53"/>
        <v>23.419625897461952</v>
      </c>
      <c r="W56" s="31">
        <f t="shared" si="53"/>
        <v>34.178557576166973</v>
      </c>
      <c r="X56" s="31">
        <f t="shared" si="53"/>
        <v>32.827192778971281</v>
      </c>
      <c r="Y56" s="31">
        <f t="shared" si="53"/>
        <v>21.827192778971281</v>
      </c>
      <c r="Z56" s="31">
        <f t="shared" si="53"/>
        <v>16.751671106411681</v>
      </c>
      <c r="AA56" s="31">
        <f t="shared" si="53"/>
        <v>20.772051079097103</v>
      </c>
      <c r="AB56" s="31"/>
    </row>
    <row r="57" spans="1:40">
      <c r="Q57" t="s">
        <v>40</v>
      </c>
      <c r="S57">
        <f>AVERAGE(S55:S56)</f>
        <v>3</v>
      </c>
      <c r="T57">
        <f t="shared" ref="T57:AA57" si="54">AVERAGE(T55:T56)</f>
        <v>8.4544381949205114</v>
      </c>
      <c r="U57">
        <f t="shared" si="54"/>
        <v>18.164251143651487</v>
      </c>
      <c r="V57">
        <f t="shared" si="54"/>
        <v>19.419625897461952</v>
      </c>
      <c r="W57">
        <f t="shared" si="54"/>
        <v>25.299091736814461</v>
      </c>
      <c r="X57">
        <f t="shared" si="54"/>
        <v>21.002875177569127</v>
      </c>
      <c r="Y57">
        <f t="shared" si="54"/>
        <v>18.327192778971281</v>
      </c>
      <c r="Z57">
        <f t="shared" si="54"/>
        <v>8.3758355532058406</v>
      </c>
      <c r="AA57">
        <f t="shared" si="54"/>
        <v>10.386025539548552</v>
      </c>
    </row>
    <row r="58" spans="1:40">
      <c r="O58" s="26"/>
      <c r="P58" s="26"/>
      <c r="Q58" s="26" t="s">
        <v>41</v>
      </c>
      <c r="R58" s="26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60" spans="1:40">
      <c r="Q60" t="s">
        <v>39</v>
      </c>
      <c r="R60" s="17">
        <f>SUM(T60:AA60)</f>
        <v>25.421136114617038</v>
      </c>
      <c r="T60">
        <f t="shared" ref="T60:AA60" si="55">MAX(0,T10-S56)</f>
        <v>0</v>
      </c>
      <c r="U60">
        <f t="shared" si="55"/>
        <v>0</v>
      </c>
      <c r="V60">
        <f t="shared" si="55"/>
        <v>0</v>
      </c>
      <c r="W60">
        <f t="shared" si="55"/>
        <v>0</v>
      </c>
      <c r="X60">
        <f t="shared" si="55"/>
        <v>0</v>
      </c>
      <c r="Y60">
        <f t="shared" si="55"/>
        <v>0</v>
      </c>
      <c r="Z60">
        <f t="shared" si="55"/>
        <v>13.172807221028719</v>
      </c>
      <c r="AA60">
        <f t="shared" si="55"/>
        <v>12.248328893588319</v>
      </c>
    </row>
    <row r="61" spans="1:40">
      <c r="AD61" s="26"/>
      <c r="AE61" s="26">
        <v>0</v>
      </c>
      <c r="AF61" s="26">
        <f>AE61+1</f>
        <v>1</v>
      </c>
      <c r="AG61" s="26">
        <f t="shared" ref="AG61:AN61" si="56">AF61+1</f>
        <v>2</v>
      </c>
      <c r="AH61" s="26">
        <f t="shared" si="56"/>
        <v>3</v>
      </c>
      <c r="AI61" s="26">
        <f t="shared" si="56"/>
        <v>4</v>
      </c>
      <c r="AJ61" s="26">
        <f t="shared" si="56"/>
        <v>5</v>
      </c>
      <c r="AK61" s="26">
        <f t="shared" si="56"/>
        <v>6</v>
      </c>
      <c r="AL61" s="26">
        <f t="shared" si="56"/>
        <v>7</v>
      </c>
      <c r="AM61" s="26">
        <f t="shared" si="56"/>
        <v>8</v>
      </c>
      <c r="AN61" s="26">
        <f t="shared" si="56"/>
        <v>9</v>
      </c>
    </row>
    <row r="62" spans="1:40">
      <c r="AD62" t="s">
        <v>22</v>
      </c>
      <c r="AF62">
        <f t="shared" ref="AF62:AN62" si="57">T10</f>
        <v>5</v>
      </c>
      <c r="AG62">
        <f t="shared" si="57"/>
        <v>8</v>
      </c>
      <c r="AH62">
        <f t="shared" si="57"/>
        <v>13</v>
      </c>
      <c r="AI62">
        <f t="shared" si="57"/>
        <v>7</v>
      </c>
      <c r="AJ62">
        <f t="shared" si="57"/>
        <v>25</v>
      </c>
      <c r="AK62">
        <f t="shared" si="57"/>
        <v>18</v>
      </c>
      <c r="AL62">
        <f t="shared" si="57"/>
        <v>35</v>
      </c>
      <c r="AM62">
        <f t="shared" si="57"/>
        <v>29</v>
      </c>
      <c r="AN62">
        <f t="shared" si="57"/>
        <v>45</v>
      </c>
    </row>
    <row r="63" spans="1:40">
      <c r="P63" s="13" t="s">
        <v>42</v>
      </c>
      <c r="Q63" s="33">
        <f>R20</f>
        <v>135.35091496448007</v>
      </c>
      <c r="AD63" t="s">
        <v>23</v>
      </c>
      <c r="AE63">
        <f t="shared" ref="AE63:AN63" si="58">S20</f>
        <v>6</v>
      </c>
      <c r="AF63">
        <f t="shared" si="58"/>
        <v>14.908876389841023</v>
      </c>
      <c r="AG63">
        <f t="shared" si="58"/>
        <v>20.510749507620929</v>
      </c>
      <c r="AH63">
        <f t="shared" si="58"/>
        <v>8</v>
      </c>
      <c r="AI63">
        <f t="shared" si="58"/>
        <v>17.758931678705022</v>
      </c>
      <c r="AJ63">
        <f t="shared" si="58"/>
        <v>23.648635202804311</v>
      </c>
      <c r="AK63">
        <f t="shared" si="58"/>
        <v>7</v>
      </c>
      <c r="AL63">
        <f t="shared" si="58"/>
        <v>16.751671106411681</v>
      </c>
      <c r="AM63">
        <f t="shared" si="58"/>
        <v>20.772051079097103</v>
      </c>
      <c r="AN63">
        <f t="shared" si="58"/>
        <v>0</v>
      </c>
    </row>
    <row r="64" spans="1:40">
      <c r="P64" s="13" t="s">
        <v>43</v>
      </c>
      <c r="Q64" s="34">
        <f>R10</f>
        <v>185</v>
      </c>
      <c r="T64" s="2" t="s">
        <v>44</v>
      </c>
      <c r="U64" s="9">
        <v>52</v>
      </c>
      <c r="X64" s="2" t="s">
        <v>45</v>
      </c>
      <c r="Y64" s="9">
        <v>3</v>
      </c>
      <c r="AD64" t="s">
        <v>25</v>
      </c>
      <c r="AE64">
        <f t="shared" ref="AE64:AN64" si="59">S56</f>
        <v>6</v>
      </c>
      <c r="AF64">
        <f t="shared" si="59"/>
        <v>15.908876389841023</v>
      </c>
      <c r="AG64">
        <f t="shared" si="59"/>
        <v>28.419625897461952</v>
      </c>
      <c r="AH64">
        <f t="shared" si="59"/>
        <v>23.419625897461952</v>
      </c>
      <c r="AI64">
        <f t="shared" si="59"/>
        <v>34.178557576166973</v>
      </c>
      <c r="AJ64">
        <f t="shared" si="59"/>
        <v>32.827192778971281</v>
      </c>
      <c r="AK64">
        <f t="shared" si="59"/>
        <v>21.827192778971281</v>
      </c>
      <c r="AL64">
        <f t="shared" si="59"/>
        <v>16.751671106411681</v>
      </c>
      <c r="AM64">
        <f t="shared" si="59"/>
        <v>20.772051079097103</v>
      </c>
      <c r="AN64">
        <f t="shared" si="59"/>
        <v>0</v>
      </c>
    </row>
    <row r="65" spans="15:40">
      <c r="AD65" t="s">
        <v>12</v>
      </c>
      <c r="AF65">
        <f t="shared" ref="AF65:AN65" si="60">T60</f>
        <v>0</v>
      </c>
      <c r="AG65">
        <f t="shared" si="60"/>
        <v>0</v>
      </c>
      <c r="AH65">
        <f t="shared" si="60"/>
        <v>0</v>
      </c>
      <c r="AI65">
        <f t="shared" si="60"/>
        <v>0</v>
      </c>
      <c r="AJ65">
        <f t="shared" si="60"/>
        <v>0</v>
      </c>
      <c r="AK65">
        <f t="shared" si="60"/>
        <v>0</v>
      </c>
      <c r="AL65">
        <f t="shared" si="60"/>
        <v>13.172807221028719</v>
      </c>
      <c r="AM65">
        <f t="shared" si="60"/>
        <v>12.248328893588319</v>
      </c>
      <c r="AN65">
        <f t="shared" si="60"/>
        <v>0</v>
      </c>
    </row>
    <row r="66" spans="15:40">
      <c r="P66" s="6" t="s">
        <v>11</v>
      </c>
      <c r="Q66" s="36" t="s">
        <v>46</v>
      </c>
      <c r="T66" s="6" t="s">
        <v>47</v>
      </c>
      <c r="U66" s="36" t="s">
        <v>46</v>
      </c>
      <c r="X66" s="6" t="s">
        <v>11</v>
      </c>
      <c r="Y66" s="36" t="s">
        <v>46</v>
      </c>
    </row>
    <row r="67" spans="15:40">
      <c r="P67" s="14" t="s">
        <v>48</v>
      </c>
      <c r="Q67" s="37" t="s">
        <v>49</v>
      </c>
      <c r="T67" s="14" t="s">
        <v>50</v>
      </c>
      <c r="U67" s="37" t="s">
        <v>49</v>
      </c>
      <c r="X67" s="14" t="s">
        <v>51</v>
      </c>
      <c r="Y67" s="37" t="s">
        <v>49</v>
      </c>
    </row>
    <row r="68" spans="15:40">
      <c r="O68" t="str">
        <f>CONCATENATE("lower = ",P68)</f>
        <v>lower = 0</v>
      </c>
      <c r="P68" s="38">
        <v>0</v>
      </c>
      <c r="Q68" s="39">
        <v>1</v>
      </c>
      <c r="S68" t="str">
        <f>CONCATENATE("lower = ",T68)</f>
        <v>lower = 0</v>
      </c>
      <c r="T68" s="40">
        <v>0</v>
      </c>
      <c r="U68" s="39">
        <v>1</v>
      </c>
      <c r="W68" t="str">
        <f>CONCATENATE("lower = ",X68)</f>
        <v>lower = 0</v>
      </c>
      <c r="X68" s="38">
        <v>0</v>
      </c>
      <c r="Y68" s="39">
        <v>1</v>
      </c>
    </row>
    <row r="69" spans="15:40">
      <c r="O69" t="str">
        <f>CONCATENATE("upper = ",P69)</f>
        <v>upper = 0.3</v>
      </c>
      <c r="P69" s="41">
        <v>0.3</v>
      </c>
      <c r="Q69" s="37">
        <v>0</v>
      </c>
      <c r="S69" t="str">
        <f>CONCATENATE("upper = ",T69)</f>
        <v>upper = 1.31</v>
      </c>
      <c r="T69" s="42">
        <v>1.31</v>
      </c>
      <c r="U69" s="37">
        <v>0</v>
      </c>
      <c r="W69" t="str">
        <f>CONCATENATE("upper = ",X69)</f>
        <v>upper = 0.2</v>
      </c>
      <c r="X69" s="41">
        <v>0.2</v>
      </c>
      <c r="Y69" s="37">
        <v>0</v>
      </c>
    </row>
    <row r="72" spans="15:40">
      <c r="P72" s="2" t="s">
        <v>70</v>
      </c>
      <c r="Q72">
        <f>R60</f>
        <v>25.421136114617038</v>
      </c>
      <c r="T72" s="2" t="s">
        <v>52</v>
      </c>
      <c r="U72">
        <f>R19</f>
        <v>10.413668018722479</v>
      </c>
      <c r="X72" s="2" t="s">
        <v>53</v>
      </c>
      <c r="Y72">
        <f>R33</f>
        <v>28.845477428111462</v>
      </c>
    </row>
    <row r="73" spans="15:40">
      <c r="P73" s="2" t="s">
        <v>54</v>
      </c>
      <c r="Q73">
        <f>Q72/Q64</f>
        <v>0.13741154656549751</v>
      </c>
      <c r="T73" s="2" t="s">
        <v>55</v>
      </c>
      <c r="U73">
        <f>U72/U64</f>
        <v>0.20026284651389384</v>
      </c>
      <c r="X73" s="2" t="s">
        <v>56</v>
      </c>
      <c r="Y73">
        <f>Y72/Y64/Q64</f>
        <v>5.1973833203804436E-2</v>
      </c>
    </row>
    <row r="74" spans="15:40">
      <c r="P74" s="43" t="s">
        <v>69</v>
      </c>
      <c r="Q74" s="44">
        <f>IF(Q73&gt;=P69,0,IF(Q73&lt;=P68,1,1-(Q73-P68)/(P69-P68)))</f>
        <v>0.54196151144834159</v>
      </c>
      <c r="T74" s="43" t="s">
        <v>57</v>
      </c>
      <c r="U74" s="44">
        <f>IF(U73&gt;=T69,0,IF(U73&lt;=T68,1,1-(U73-T68)/(T69-T68)))</f>
        <v>0.84712759808099714</v>
      </c>
      <c r="X74" s="43" t="s">
        <v>58</v>
      </c>
      <c r="Y74" s="44">
        <f>IF(Y73&gt;=X69,0,IF(Y73&lt;=X68,1,1-(Y73-X68)/(X69-X68)))</f>
        <v>0.74013083398097779</v>
      </c>
      <c r="AA74" s="51">
        <f>Q74+U74+Y74</f>
        <v>2.1292199435103165</v>
      </c>
    </row>
    <row r="110" spans="17:28">
      <c r="Q110" s="45" t="s">
        <v>7</v>
      </c>
      <c r="S110" t="s">
        <v>4</v>
      </c>
      <c r="U110" t="s">
        <v>59</v>
      </c>
    </row>
    <row r="111" spans="17:28">
      <c r="Q111" s="2" t="s">
        <v>60</v>
      </c>
      <c r="S111" s="4">
        <v>0</v>
      </c>
      <c r="T111" s="5">
        <f>S111+1</f>
        <v>1</v>
      </c>
      <c r="U111" s="5">
        <f t="shared" ref="U111:AB111" si="61">T111+1</f>
        <v>2</v>
      </c>
      <c r="V111" s="5">
        <f t="shared" si="61"/>
        <v>3</v>
      </c>
      <c r="W111" s="5">
        <f t="shared" si="61"/>
        <v>4</v>
      </c>
      <c r="X111" s="5">
        <f t="shared" si="61"/>
        <v>5</v>
      </c>
      <c r="Y111" s="5">
        <f t="shared" si="61"/>
        <v>6</v>
      </c>
      <c r="Z111" s="5">
        <f t="shared" si="61"/>
        <v>7</v>
      </c>
      <c r="AA111" s="5">
        <f t="shared" si="61"/>
        <v>8</v>
      </c>
      <c r="AB111" s="5">
        <f t="shared" si="61"/>
        <v>9</v>
      </c>
    </row>
    <row r="112" spans="17:28">
      <c r="Q112" s="2">
        <v>1</v>
      </c>
      <c r="S112">
        <f t="shared" ref="S112:AB114" si="62">IF(S$6=$Q112,VLOOKUP($Q112,$Q$142:$AB$144,S$111+3,FALSE),0)</f>
        <v>9</v>
      </c>
      <c r="T112">
        <f t="shared" si="62"/>
        <v>17.18760108311848</v>
      </c>
      <c r="U112">
        <f t="shared" si="62"/>
        <v>22.182973047366346</v>
      </c>
      <c r="V112">
        <f t="shared" si="62"/>
        <v>0</v>
      </c>
      <c r="W112">
        <f t="shared" si="62"/>
        <v>0</v>
      </c>
      <c r="X112">
        <f t="shared" si="62"/>
        <v>0</v>
      </c>
      <c r="Y112">
        <f t="shared" si="62"/>
        <v>0</v>
      </c>
      <c r="Z112">
        <f t="shared" si="62"/>
        <v>0</v>
      </c>
      <c r="AA112">
        <f t="shared" si="62"/>
        <v>0</v>
      </c>
      <c r="AB112">
        <f t="shared" si="62"/>
        <v>0</v>
      </c>
    </row>
    <row r="113" spans="17:28">
      <c r="Q113" s="2">
        <f t="shared" ref="Q113:Q114" si="63">Q112+1</f>
        <v>2</v>
      </c>
      <c r="S113">
        <f t="shared" si="62"/>
        <v>0</v>
      </c>
      <c r="T113">
        <f t="shared" si="62"/>
        <v>0</v>
      </c>
      <c r="U113">
        <f t="shared" si="62"/>
        <v>0</v>
      </c>
      <c r="V113">
        <f t="shared" si="62"/>
        <v>11</v>
      </c>
      <c r="W113">
        <f t="shared" si="62"/>
        <v>18.407829551392908</v>
      </c>
      <c r="X113">
        <f t="shared" si="62"/>
        <v>22.927451804760025</v>
      </c>
      <c r="Y113">
        <f t="shared" si="62"/>
        <v>0</v>
      </c>
      <c r="Z113">
        <f t="shared" si="62"/>
        <v>0</v>
      </c>
      <c r="AA113">
        <f t="shared" si="62"/>
        <v>0</v>
      </c>
      <c r="AB113">
        <f t="shared" si="62"/>
        <v>0</v>
      </c>
    </row>
    <row r="114" spans="17:28">
      <c r="Q114" s="2">
        <f t="shared" si="63"/>
        <v>3</v>
      </c>
      <c r="S114">
        <f t="shared" si="62"/>
        <v>0</v>
      </c>
      <c r="T114">
        <f t="shared" si="62"/>
        <v>0</v>
      </c>
      <c r="U114">
        <f t="shared" si="62"/>
        <v>0</v>
      </c>
      <c r="V114">
        <f t="shared" si="62"/>
        <v>0</v>
      </c>
      <c r="W114">
        <f t="shared" si="62"/>
        <v>0</v>
      </c>
      <c r="X114">
        <f t="shared" si="62"/>
        <v>0</v>
      </c>
      <c r="Y114">
        <f t="shared" si="62"/>
        <v>7</v>
      </c>
      <c r="Z114">
        <f t="shared" si="62"/>
        <v>17.639982550395395</v>
      </c>
      <c r="AA114">
        <f t="shared" si="62"/>
        <v>24.131587355363216</v>
      </c>
      <c r="AB114">
        <f t="shared" si="62"/>
        <v>0</v>
      </c>
    </row>
    <row r="116" spans="17:28">
      <c r="Q116" s="45" t="str">
        <f>CONCATENATE(LEFT(Q110,4),RIGHT(Q110,1)+1)</f>
        <v>k = 2</v>
      </c>
      <c r="S116" t="str">
        <f>S110</f>
        <v>Period</v>
      </c>
      <c r="U116" t="str">
        <f>U110</f>
        <v>Theoretical number of units that can be processed</v>
      </c>
    </row>
    <row r="117" spans="17:28">
      <c r="Q117" s="2" t="str">
        <f>Q111</f>
        <v>station</v>
      </c>
      <c r="S117" s="4">
        <f>S111</f>
        <v>0</v>
      </c>
      <c r="T117" s="5">
        <f>T111</f>
        <v>1</v>
      </c>
      <c r="U117" s="5">
        <f>U111</f>
        <v>2</v>
      </c>
      <c r="V117" s="5">
        <f t="shared" ref="V117:AB117" si="64">V111</f>
        <v>3</v>
      </c>
      <c r="W117" s="5">
        <f t="shared" si="64"/>
        <v>4</v>
      </c>
      <c r="X117" s="5">
        <f t="shared" si="64"/>
        <v>5</v>
      </c>
      <c r="Y117" s="5">
        <f t="shared" si="64"/>
        <v>6</v>
      </c>
      <c r="Z117" s="5">
        <f t="shared" si="64"/>
        <v>7</v>
      </c>
      <c r="AA117" s="5">
        <f t="shared" si="64"/>
        <v>8</v>
      </c>
      <c r="AB117" s="5">
        <f t="shared" si="64"/>
        <v>9</v>
      </c>
    </row>
    <row r="118" spans="17:28">
      <c r="Q118" s="2">
        <f>Q112</f>
        <v>1</v>
      </c>
      <c r="S118">
        <f t="shared" ref="S118:AB120" si="65">IF(S$7=$Q118,VLOOKUP($Q118,$Q$154:$AB$156,S$117+3,FALSE),0)</f>
        <v>0</v>
      </c>
      <c r="T118">
        <f t="shared" si="65"/>
        <v>0</v>
      </c>
      <c r="U118">
        <f t="shared" si="65"/>
        <v>0</v>
      </c>
      <c r="V118">
        <f t="shared" si="65"/>
        <v>0</v>
      </c>
      <c r="W118">
        <f t="shared" si="65"/>
        <v>0</v>
      </c>
      <c r="X118">
        <f t="shared" si="65"/>
        <v>0</v>
      </c>
      <c r="Y118">
        <f t="shared" si="65"/>
        <v>10</v>
      </c>
      <c r="Z118">
        <f t="shared" si="65"/>
        <v>17.424063658200851</v>
      </c>
      <c r="AA118">
        <f t="shared" si="65"/>
        <v>22.092291256350773</v>
      </c>
      <c r="AB118">
        <f t="shared" si="65"/>
        <v>0</v>
      </c>
    </row>
    <row r="119" spans="17:28">
      <c r="Q119" s="2">
        <f>Q113</f>
        <v>2</v>
      </c>
      <c r="S119">
        <f t="shared" si="65"/>
        <v>6</v>
      </c>
      <c r="T119">
        <f t="shared" si="65"/>
        <v>14.908876389841023</v>
      </c>
      <c r="U119">
        <f t="shared" si="65"/>
        <v>20.510749507620929</v>
      </c>
      <c r="V119">
        <f t="shared" si="65"/>
        <v>0</v>
      </c>
      <c r="W119">
        <f t="shared" si="65"/>
        <v>0</v>
      </c>
      <c r="X119">
        <f t="shared" si="65"/>
        <v>0</v>
      </c>
      <c r="Y119">
        <f t="shared" si="65"/>
        <v>0</v>
      </c>
      <c r="Z119">
        <f t="shared" si="65"/>
        <v>0</v>
      </c>
      <c r="AA119">
        <f t="shared" si="65"/>
        <v>0</v>
      </c>
      <c r="AB119">
        <f t="shared" si="65"/>
        <v>0</v>
      </c>
    </row>
    <row r="120" spans="17:28">
      <c r="Q120" s="2">
        <f>Q114</f>
        <v>3</v>
      </c>
      <c r="S120">
        <f t="shared" si="65"/>
        <v>0</v>
      </c>
      <c r="T120">
        <f t="shared" si="65"/>
        <v>0</v>
      </c>
      <c r="U120">
        <f t="shared" si="65"/>
        <v>0</v>
      </c>
      <c r="V120">
        <f t="shared" si="65"/>
        <v>8</v>
      </c>
      <c r="W120">
        <f t="shared" si="65"/>
        <v>17.758931678705022</v>
      </c>
      <c r="X120">
        <f t="shared" si="65"/>
        <v>23.895316856473094</v>
      </c>
      <c r="Y120">
        <f t="shared" si="65"/>
        <v>0</v>
      </c>
      <c r="Z120">
        <f t="shared" si="65"/>
        <v>0</v>
      </c>
      <c r="AA120">
        <f t="shared" si="65"/>
        <v>0</v>
      </c>
      <c r="AB120">
        <f t="shared" si="65"/>
        <v>0</v>
      </c>
    </row>
    <row r="122" spans="17:28">
      <c r="Q122" s="45" t="str">
        <f>CONCATENATE(LEFT(Q116,4),RIGHT(Q116,1)+1)</f>
        <v>k = 3</v>
      </c>
      <c r="S122" t="str">
        <f>S116</f>
        <v>Period</v>
      </c>
      <c r="U122" t="str">
        <f>U116</f>
        <v>Theoretical number of units that can be processed</v>
      </c>
    </row>
    <row r="123" spans="17:28">
      <c r="Q123" s="2" t="str">
        <f>Q117</f>
        <v>station</v>
      </c>
      <c r="S123" s="4">
        <f>S117</f>
        <v>0</v>
      </c>
      <c r="T123" s="5">
        <f>T117</f>
        <v>1</v>
      </c>
      <c r="U123" s="5">
        <f>U117</f>
        <v>2</v>
      </c>
      <c r="V123" s="5">
        <f t="shared" ref="V123:AB123" si="66">V117</f>
        <v>3</v>
      </c>
      <c r="W123" s="5">
        <f t="shared" si="66"/>
        <v>4</v>
      </c>
      <c r="X123" s="5">
        <f t="shared" si="66"/>
        <v>5</v>
      </c>
      <c r="Y123" s="5">
        <f t="shared" si="66"/>
        <v>6</v>
      </c>
      <c r="Z123" s="5">
        <f t="shared" si="66"/>
        <v>7</v>
      </c>
      <c r="AA123" s="5">
        <f t="shared" si="66"/>
        <v>8</v>
      </c>
      <c r="AB123" s="5">
        <f t="shared" si="66"/>
        <v>9</v>
      </c>
    </row>
    <row r="124" spans="17:28">
      <c r="Q124" s="2">
        <f>Q118</f>
        <v>1</v>
      </c>
      <c r="S124">
        <f t="shared" ref="S124:AB126" si="67">IF(S$8=$Q124,VLOOKUP($Q124,$Q$166:$AB$168,S$123+3,FALSE),0)</f>
        <v>0</v>
      </c>
      <c r="T124">
        <f t="shared" si="67"/>
        <v>0</v>
      </c>
      <c r="U124">
        <f t="shared" si="67"/>
        <v>0</v>
      </c>
      <c r="V124">
        <f t="shared" si="67"/>
        <v>7</v>
      </c>
      <c r="W124">
        <f t="shared" si="67"/>
        <v>15.104019793066758</v>
      </c>
      <c r="X124">
        <f t="shared" si="67"/>
        <v>20.3525988554197</v>
      </c>
      <c r="Y124">
        <f t="shared" si="67"/>
        <v>0</v>
      </c>
      <c r="Z124">
        <f t="shared" si="67"/>
        <v>0</v>
      </c>
      <c r="AA124">
        <f t="shared" si="67"/>
        <v>0</v>
      </c>
      <c r="AB124">
        <f t="shared" si="67"/>
        <v>0</v>
      </c>
    </row>
    <row r="125" spans="17:28">
      <c r="Q125" s="2">
        <f>Q119</f>
        <v>2</v>
      </c>
      <c r="S125">
        <f t="shared" si="67"/>
        <v>0</v>
      </c>
      <c r="T125">
        <f t="shared" si="67"/>
        <v>0</v>
      </c>
      <c r="U125">
        <f t="shared" si="67"/>
        <v>0</v>
      </c>
      <c r="V125">
        <f t="shared" si="67"/>
        <v>0</v>
      </c>
      <c r="W125">
        <f t="shared" si="67"/>
        <v>0</v>
      </c>
      <c r="X125">
        <f t="shared" si="67"/>
        <v>0</v>
      </c>
      <c r="Y125">
        <f t="shared" si="67"/>
        <v>8</v>
      </c>
      <c r="Z125">
        <f t="shared" si="67"/>
        <v>15.751671106411681</v>
      </c>
      <c r="AA125">
        <f t="shared" si="67"/>
        <v>20.772051079097103</v>
      </c>
      <c r="AB125">
        <f t="shared" si="67"/>
        <v>0</v>
      </c>
    </row>
    <row r="126" spans="17:28">
      <c r="Q126" s="2">
        <f>Q120</f>
        <v>3</v>
      </c>
      <c r="S126">
        <f t="shared" si="67"/>
        <v>12</v>
      </c>
      <c r="T126">
        <f t="shared" si="67"/>
        <v>19.853852225541655</v>
      </c>
      <c r="U126">
        <f t="shared" si="67"/>
        <v>24.940409934230658</v>
      </c>
      <c r="V126">
        <f t="shared" si="67"/>
        <v>0</v>
      </c>
      <c r="W126">
        <f t="shared" si="67"/>
        <v>0</v>
      </c>
      <c r="X126">
        <f t="shared" si="67"/>
        <v>0</v>
      </c>
      <c r="Y126">
        <f t="shared" si="67"/>
        <v>0</v>
      </c>
      <c r="Z126">
        <f t="shared" si="67"/>
        <v>0</v>
      </c>
      <c r="AA126">
        <f t="shared" si="67"/>
        <v>0</v>
      </c>
      <c r="AB126">
        <f t="shared" si="67"/>
        <v>0</v>
      </c>
    </row>
    <row r="133" spans="7:29"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7:29">
      <c r="G134" s="46"/>
      <c r="Q134" s="45" t="s">
        <v>7</v>
      </c>
      <c r="S134" t="s">
        <v>4</v>
      </c>
      <c r="U134" t="s">
        <v>61</v>
      </c>
      <c r="AC134" s="46"/>
    </row>
    <row r="135" spans="7:29">
      <c r="G135" s="46"/>
      <c r="Q135" s="2" t="s">
        <v>60</v>
      </c>
      <c r="S135" s="4">
        <v>0</v>
      </c>
      <c r="T135" s="5">
        <f>S135+1</f>
        <v>1</v>
      </c>
      <c r="U135" s="5">
        <f t="shared" ref="U135:AB135" si="68">T135+1</f>
        <v>2</v>
      </c>
      <c r="V135" s="5">
        <f t="shared" si="68"/>
        <v>3</v>
      </c>
      <c r="W135" s="5">
        <f t="shared" si="68"/>
        <v>4</v>
      </c>
      <c r="X135" s="5">
        <f t="shared" si="68"/>
        <v>5</v>
      </c>
      <c r="Y135" s="5">
        <f t="shared" si="68"/>
        <v>6</v>
      </c>
      <c r="Z135" s="5">
        <f t="shared" si="68"/>
        <v>7</v>
      </c>
      <c r="AA135" s="5">
        <f t="shared" si="68"/>
        <v>8</v>
      </c>
      <c r="AB135" s="5">
        <f t="shared" si="68"/>
        <v>9</v>
      </c>
      <c r="AC135" s="46"/>
    </row>
    <row r="136" spans="7:29">
      <c r="G136" s="46"/>
      <c r="Q136" s="2">
        <v>1</v>
      </c>
      <c r="S136" s="47">
        <f>COUNTIF($S$6:S$6,$Q136)</f>
        <v>1</v>
      </c>
      <c r="T136" s="47">
        <f>COUNTIF($S$6:T$6,$Q136)</f>
        <v>2</v>
      </c>
      <c r="U136" s="47">
        <f>COUNTIF($S$6:U$6,$Q136)</f>
        <v>3</v>
      </c>
      <c r="V136" s="47">
        <f>COUNTIF($S$6:V$6,$Q136)</f>
        <v>3</v>
      </c>
      <c r="W136" s="47">
        <f>COUNTIF($S$6:W$6,$Q136)</f>
        <v>3</v>
      </c>
      <c r="X136" s="47">
        <f>COUNTIF($S$6:X$6,$Q136)</f>
        <v>3</v>
      </c>
      <c r="Y136" s="47">
        <f>COUNTIF($S$6:Y$6,$Q136)</f>
        <v>3</v>
      </c>
      <c r="Z136" s="47">
        <f>COUNTIF($S$6:Z$6,$Q136)</f>
        <v>3</v>
      </c>
      <c r="AA136" s="47">
        <f>COUNTIF($S$6:AA$6,$Q136)</f>
        <v>3</v>
      </c>
      <c r="AB136" s="47">
        <f>COUNTIF($S$6:AB$6,$Q136)</f>
        <v>3</v>
      </c>
      <c r="AC136" s="46"/>
    </row>
    <row r="137" spans="7:29">
      <c r="G137" s="46"/>
      <c r="Q137" s="2">
        <f t="shared" ref="Q137:Q138" si="69">Q136+1</f>
        <v>2</v>
      </c>
      <c r="S137" s="47">
        <f>COUNTIF($S$6:S$6,$Q137)</f>
        <v>0</v>
      </c>
      <c r="T137" s="47">
        <f>COUNTIF($S$6:T$6,$Q137)</f>
        <v>0</v>
      </c>
      <c r="U137" s="47">
        <f>COUNTIF($S$6:U$6,$Q137)</f>
        <v>0</v>
      </c>
      <c r="V137" s="47">
        <f>COUNTIF($S$6:V$6,$Q137)</f>
        <v>1</v>
      </c>
      <c r="W137" s="47">
        <f>COUNTIF($S$6:W$6,$Q137)</f>
        <v>2</v>
      </c>
      <c r="X137" s="47">
        <f>COUNTIF($S$6:X$6,$Q137)</f>
        <v>3</v>
      </c>
      <c r="Y137" s="47">
        <f>COUNTIF($S$6:Y$6,$Q137)</f>
        <v>3</v>
      </c>
      <c r="Z137" s="47">
        <f>COUNTIF($S$6:Z$6,$Q137)</f>
        <v>3</v>
      </c>
      <c r="AA137" s="47">
        <f>COUNTIF($S$6:AA$6,$Q137)</f>
        <v>3</v>
      </c>
      <c r="AB137" s="47">
        <f>COUNTIF($S$6:AB$6,$Q137)</f>
        <v>3</v>
      </c>
      <c r="AC137" s="46"/>
    </row>
    <row r="138" spans="7:29">
      <c r="G138" s="46"/>
      <c r="Q138" s="2">
        <f t="shared" si="69"/>
        <v>3</v>
      </c>
      <c r="S138" s="47">
        <f>COUNTIF($S$6:S$6,$Q138)</f>
        <v>0</v>
      </c>
      <c r="T138" s="47">
        <f>COUNTIF($S$6:T$6,$Q138)</f>
        <v>0</v>
      </c>
      <c r="U138" s="47">
        <f>COUNTIF($S$6:U$6,$Q138)</f>
        <v>0</v>
      </c>
      <c r="V138" s="47">
        <f>COUNTIF($S$6:V$6,$Q138)</f>
        <v>0</v>
      </c>
      <c r="W138" s="47">
        <f>COUNTIF($S$6:W$6,$Q138)</f>
        <v>0</v>
      </c>
      <c r="X138" s="47">
        <f>COUNTIF($S$6:X$6,$Q138)</f>
        <v>0</v>
      </c>
      <c r="Y138" s="47">
        <f>COUNTIF($S$6:Y$6,$Q138)</f>
        <v>1</v>
      </c>
      <c r="Z138" s="47">
        <f>COUNTIF($S$6:Z$6,$Q138)</f>
        <v>2</v>
      </c>
      <c r="AA138" s="47">
        <f>COUNTIF($S$6:AA$6,$Q138)</f>
        <v>3</v>
      </c>
      <c r="AB138" s="47">
        <f>COUNTIF($S$6:AB$6,$Q138)</f>
        <v>3</v>
      </c>
      <c r="AC138" s="46"/>
    </row>
    <row r="139" spans="7:29">
      <c r="G139" s="46"/>
      <c r="AC139" s="46"/>
    </row>
    <row r="140" spans="7:29">
      <c r="G140" s="46"/>
      <c r="Q140" s="45" t="str">
        <f>Q134</f>
        <v>k = 1</v>
      </c>
      <c r="S140" t="s">
        <v>4</v>
      </c>
      <c r="U140" s="3" t="s">
        <v>62</v>
      </c>
      <c r="AC140" s="46"/>
    </row>
    <row r="141" spans="7:29">
      <c r="G141" s="46"/>
      <c r="H141" s="2" t="s">
        <v>17</v>
      </c>
      <c r="I141" s="2" t="s">
        <v>26</v>
      </c>
      <c r="J141" s="2" t="s">
        <v>28</v>
      </c>
      <c r="K141" s="2" t="s">
        <v>63</v>
      </c>
      <c r="L141" s="2" t="s">
        <v>32</v>
      </c>
      <c r="M141" s="2" t="s">
        <v>64</v>
      </c>
      <c r="N141" s="2" t="s">
        <v>34</v>
      </c>
      <c r="O141" s="2" t="s">
        <v>65</v>
      </c>
      <c r="P141" s="2" t="s">
        <v>66</v>
      </c>
      <c r="Q141" s="2" t="str">
        <f>Q135</f>
        <v>station</v>
      </c>
      <c r="S141" s="4">
        <v>0</v>
      </c>
      <c r="T141" s="5">
        <f>S141+1</f>
        <v>1</v>
      </c>
      <c r="U141" s="5">
        <f t="shared" ref="U141:AB141" si="70">T141+1</f>
        <v>2</v>
      </c>
      <c r="V141" s="5">
        <f t="shared" si="70"/>
        <v>3</v>
      </c>
      <c r="W141" s="5">
        <f t="shared" si="70"/>
        <v>4</v>
      </c>
      <c r="X141" s="5">
        <f t="shared" si="70"/>
        <v>5</v>
      </c>
      <c r="Y141" s="5">
        <f t="shared" si="70"/>
        <v>6</v>
      </c>
      <c r="Z141" s="5">
        <f t="shared" si="70"/>
        <v>7</v>
      </c>
      <c r="AA141" s="5">
        <f t="shared" si="70"/>
        <v>8</v>
      </c>
      <c r="AB141" s="5">
        <f t="shared" si="70"/>
        <v>9</v>
      </c>
      <c r="AC141" s="46"/>
    </row>
    <row r="142" spans="7:29">
      <c r="G142" s="46"/>
      <c r="H142" s="2">
        <f>HLOOKUP($Q142,$A$23:$D$26,RIGHT($Q$140,1)+1,FALSE)</f>
        <v>30</v>
      </c>
      <c r="I142" s="2">
        <f>HLOOKUP($Q142,$A$29:$D$32,RIGHT($Q$140,1)+1,FALSE)</f>
        <v>0</v>
      </c>
      <c r="J142" s="2">
        <f>HLOOKUP($Q142,$A$36:$D$39,RIGHT($Q$140,1)+1,FALSE)</f>
        <v>9</v>
      </c>
      <c r="K142" s="2">
        <f t="shared" ref="K142:K144" si="71">H142-L142</f>
        <v>29</v>
      </c>
      <c r="L142" s="2">
        <f>HLOOKUP($Q142,$A$42:$D$45,RIGHT($Q$140,1)+1,FALSE)</f>
        <v>1</v>
      </c>
      <c r="M142" s="2">
        <f t="shared" ref="M142:M144" si="72">I142+N142</f>
        <v>3</v>
      </c>
      <c r="N142" s="2">
        <f>HLOOKUP($Q142,$A$48:$D$51,RIGHT($Q$140,1)+1,FALSE)</f>
        <v>3</v>
      </c>
      <c r="O142" s="2">
        <f>VLOOKUP($Q$140,$A$5:$D$8,MATCH($Q142,$A$5:$D$5,0),FALSE)</f>
        <v>0.71</v>
      </c>
      <c r="P142" s="2">
        <f>VLOOKUP($Q$140,$A$13:$D$16,MATCH($Q142,$A$13:$D$13,0),FALSE)</f>
        <v>0.94</v>
      </c>
      <c r="Q142" s="2">
        <f>Q136</f>
        <v>1</v>
      </c>
      <c r="R142">
        <f t="shared" ref="R142:R144" si="73">J142</f>
        <v>9</v>
      </c>
      <c r="S142" s="48">
        <f t="shared" ref="S142:AB142" si="74">IF(S$6="","",IF(S136&gt;1,IF(S$6=$Q142,MIN($K142,($H142-($H142-R142)*EXP(LOG($O142,2)))),MAX($M142,($I142+(R142-$I142)*EXP(LOG($P142,2))))),
IF(S136=1,IF(S$6=$Q142,$J142,MAX($M142,($I142+(R142-$I142)*EXP(LOG($P142,2))))),$J142)))</f>
        <v>9</v>
      </c>
      <c r="T142" s="48">
        <f t="shared" si="74"/>
        <v>17.18760108311848</v>
      </c>
      <c r="U142" s="48">
        <f t="shared" si="74"/>
        <v>22.182973047366346</v>
      </c>
      <c r="V142" s="48">
        <f t="shared" si="74"/>
        <v>20.288570068316591</v>
      </c>
      <c r="W142" s="48">
        <f t="shared" si="74"/>
        <v>18.555947146402083</v>
      </c>
      <c r="X142" s="48">
        <f t="shared" si="74"/>
        <v>16.971288431892788</v>
      </c>
      <c r="Y142" s="48">
        <f t="shared" si="74"/>
        <v>15.521957934351235</v>
      </c>
      <c r="Z142" s="48">
        <f t="shared" si="74"/>
        <v>14.196398763867952</v>
      </c>
      <c r="AA142" s="48">
        <f t="shared" si="74"/>
        <v>12.98404097699129</v>
      </c>
      <c r="AB142" s="48" t="str">
        <f t="shared" si="74"/>
        <v/>
      </c>
      <c r="AC142" s="46"/>
    </row>
    <row r="143" spans="7:29">
      <c r="G143" s="46"/>
      <c r="H143" s="2">
        <f>HLOOKUP($Q143,$A$23:$D$26,RIGHT($Q$140,1)+1,FALSE)</f>
        <v>30</v>
      </c>
      <c r="I143" s="2">
        <f>HLOOKUP($Q143,$A$29:$D$32,RIGHT($Q$140,1)+1,FALSE)</f>
        <v>0</v>
      </c>
      <c r="J143" s="2">
        <f>HLOOKUP($Q143,$A$36:$D$39,RIGHT($Q$140,1)+1,FALSE)</f>
        <v>11</v>
      </c>
      <c r="K143" s="2">
        <f t="shared" si="71"/>
        <v>29</v>
      </c>
      <c r="L143" s="2">
        <f>HLOOKUP($Q143,$A$42:$D$45,RIGHT($Q$140,1)+1,FALSE)</f>
        <v>1</v>
      </c>
      <c r="M143" s="2">
        <f t="shared" si="72"/>
        <v>3</v>
      </c>
      <c r="N143" s="2">
        <f>HLOOKUP($Q143,$A$48:$D$51,RIGHT($Q$140,1)+1,FALSE)</f>
        <v>3</v>
      </c>
      <c r="O143" s="2">
        <f>VLOOKUP($Q$140,$A$5:$D$8,MATCH($Q143,$A$5:$D$5,0),FALSE)</f>
        <v>0.71</v>
      </c>
      <c r="P143" s="2">
        <f>VLOOKUP($Q$140,$A$13:$D$16,MATCH($Q143,$A$13:$D$13,0),FALSE)</f>
        <v>0.94</v>
      </c>
      <c r="Q143" s="2">
        <f>Q137</f>
        <v>2</v>
      </c>
      <c r="R143">
        <f t="shared" si="73"/>
        <v>11</v>
      </c>
      <c r="S143" s="48">
        <f t="shared" ref="S143:AB143" si="75">IF(S$6="","",IF(S137&gt;1,IF(S$6=$Q143,MIN($K143,($H143-($H143-R143)*EXP(LOG($O143,2)))),MAX($M143,($I143+(R143-$I143)*EXP(LOG($P143,2))))),
IF(S137=1,IF(S$6=$Q143,$J143,MAX($M143,($I143+(R143-$I143)*EXP(LOG($P143,2))))),$J143)))</f>
        <v>11</v>
      </c>
      <c r="T143" s="48">
        <f t="shared" si="75"/>
        <v>11</v>
      </c>
      <c r="U143" s="48">
        <f t="shared" si="75"/>
        <v>11</v>
      </c>
      <c r="V143" s="48">
        <f t="shared" si="75"/>
        <v>11</v>
      </c>
      <c r="W143" s="48">
        <f t="shared" si="75"/>
        <v>18.407829551392908</v>
      </c>
      <c r="X143" s="48">
        <f t="shared" si="75"/>
        <v>22.927451804760025</v>
      </c>
      <c r="Y143" s="48">
        <f t="shared" si="75"/>
        <v>20.969471109015831</v>
      </c>
      <c r="Z143" s="48">
        <f t="shared" si="75"/>
        <v>19.178699941724815</v>
      </c>
      <c r="AA143" s="48">
        <f t="shared" si="75"/>
        <v>17.540858781916061</v>
      </c>
      <c r="AB143" s="48" t="str">
        <f t="shared" si="75"/>
        <v/>
      </c>
      <c r="AC143" s="46"/>
    </row>
    <row r="144" spans="7:29">
      <c r="G144" s="46"/>
      <c r="H144" s="2">
        <f>HLOOKUP($Q144,$A$23:$D$26,RIGHT($Q$140,1)+1,FALSE)</f>
        <v>34.29</v>
      </c>
      <c r="I144" s="2">
        <f>HLOOKUP($Q144,$A$29:$D$32,RIGHT($Q$140,1)+1,FALSE)</f>
        <v>0</v>
      </c>
      <c r="J144" s="2">
        <f>HLOOKUP($Q144,$A$36:$D$39,RIGHT($Q$140,1)+1,FALSE)</f>
        <v>7</v>
      </c>
      <c r="K144" s="2">
        <f t="shared" si="71"/>
        <v>32.29</v>
      </c>
      <c r="L144" s="2">
        <f>HLOOKUP($Q144,$A$42:$D$45,RIGHT($Q$140,1)+1,FALSE)</f>
        <v>2</v>
      </c>
      <c r="M144" s="2">
        <f t="shared" si="72"/>
        <v>3</v>
      </c>
      <c r="N144" s="2">
        <f>HLOOKUP($Q144,$A$48:$D$51,RIGHT($Q$140,1)+1,FALSE)</f>
        <v>3</v>
      </c>
      <c r="O144" s="2">
        <f>VLOOKUP($Q$140,$A$5:$D$8,MATCH($Q144,$A$5:$D$5,0),FALSE)</f>
        <v>0.71</v>
      </c>
      <c r="P144" s="2">
        <f>VLOOKUP($Q$140,$A$13:$D$16,MATCH($Q144,$A$13:$D$13,0),FALSE)</f>
        <v>0.94</v>
      </c>
      <c r="Q144" s="2">
        <f>Q138</f>
        <v>3</v>
      </c>
      <c r="R144">
        <f t="shared" si="73"/>
        <v>7</v>
      </c>
      <c r="S144" s="48">
        <f t="shared" ref="S144:AB144" si="76">IF(S$6="","",IF(S138&gt;1,IF(S$6=$Q144,MIN($K144,($H144-($H144-R144)*EXP(LOG($O144,2)))),MAX($M144,($I144+(R144-$I144)*EXP(LOG($P144,2))))),
IF(S138=1,IF(S$6=$Q144,$J144,MAX($M144,($I144+(R144-$I144)*EXP(LOG($P144,2))))),$J144)))</f>
        <v>7</v>
      </c>
      <c r="T144" s="48">
        <f t="shared" si="76"/>
        <v>7</v>
      </c>
      <c r="U144" s="48">
        <f t="shared" si="76"/>
        <v>7</v>
      </c>
      <c r="V144" s="48">
        <f t="shared" si="76"/>
        <v>7</v>
      </c>
      <c r="W144" s="48">
        <f t="shared" si="76"/>
        <v>7</v>
      </c>
      <c r="X144" s="48">
        <f t="shared" si="76"/>
        <v>7</v>
      </c>
      <c r="Y144" s="48">
        <f t="shared" si="76"/>
        <v>7</v>
      </c>
      <c r="Z144" s="48">
        <f t="shared" si="76"/>
        <v>17.639982550395395</v>
      </c>
      <c r="AA144" s="48">
        <f t="shared" si="76"/>
        <v>24.131587355363216</v>
      </c>
      <c r="AB144" s="48" t="str">
        <f t="shared" si="76"/>
        <v/>
      </c>
      <c r="AC144" s="46"/>
    </row>
    <row r="145" spans="7:29">
      <c r="G145" s="46"/>
      <c r="AC145" s="46"/>
    </row>
    <row r="146" spans="7:29">
      <c r="G146" s="46"/>
      <c r="Q146" s="45" t="str">
        <f>CONCATENATE(LEFT(Q140,4),RIGHT(Q140,1)+1)</f>
        <v>k = 2</v>
      </c>
      <c r="S146" t="str">
        <f>S134</f>
        <v>Period</v>
      </c>
      <c r="U146" t="str">
        <f>U134</f>
        <v>Number of times that worker has been assigned to this station</v>
      </c>
      <c r="AC146" s="46"/>
    </row>
    <row r="147" spans="7:29">
      <c r="G147" s="46"/>
      <c r="Q147" s="2" t="str">
        <f>Q141</f>
        <v>station</v>
      </c>
      <c r="S147" s="4">
        <f>S135</f>
        <v>0</v>
      </c>
      <c r="T147" s="5">
        <f>T135</f>
        <v>1</v>
      </c>
      <c r="U147" s="5">
        <f>U135</f>
        <v>2</v>
      </c>
      <c r="V147" s="5">
        <f t="shared" ref="V147:AB147" si="77">V135</f>
        <v>3</v>
      </c>
      <c r="W147" s="5">
        <f t="shared" si="77"/>
        <v>4</v>
      </c>
      <c r="X147" s="5">
        <f t="shared" si="77"/>
        <v>5</v>
      </c>
      <c r="Y147" s="5">
        <f t="shared" si="77"/>
        <v>6</v>
      </c>
      <c r="Z147" s="5">
        <f t="shared" si="77"/>
        <v>7</v>
      </c>
      <c r="AA147" s="5">
        <f t="shared" si="77"/>
        <v>8</v>
      </c>
      <c r="AB147" s="5">
        <f t="shared" si="77"/>
        <v>9</v>
      </c>
      <c r="AC147" s="46"/>
    </row>
    <row r="148" spans="7:29">
      <c r="G148" s="46"/>
      <c r="Q148" s="2">
        <f>Q142</f>
        <v>1</v>
      </c>
      <c r="S148" s="47">
        <f>COUNTIF($S$7:S$7,$Q148)</f>
        <v>0</v>
      </c>
      <c r="T148" s="47">
        <f>COUNTIF($S$7:T$7,$Q148)</f>
        <v>0</v>
      </c>
      <c r="U148" s="47">
        <f>COUNTIF($S$7:U$7,$Q148)</f>
        <v>0</v>
      </c>
      <c r="V148" s="47">
        <f>COUNTIF($S$7:V$7,$Q148)</f>
        <v>0</v>
      </c>
      <c r="W148" s="47">
        <f>COUNTIF($S$7:W$7,$Q148)</f>
        <v>0</v>
      </c>
      <c r="X148" s="47">
        <f>COUNTIF($S$7:X$7,$Q148)</f>
        <v>0</v>
      </c>
      <c r="Y148" s="47">
        <f>COUNTIF($S$7:Y$7,$Q148)</f>
        <v>1</v>
      </c>
      <c r="Z148" s="47">
        <f>COUNTIF($S$7:Z$7,$Q148)</f>
        <v>2</v>
      </c>
      <c r="AA148" s="47">
        <f>COUNTIF($S$7:AA$7,$Q148)</f>
        <v>3</v>
      </c>
      <c r="AB148" s="47">
        <f>COUNTIF($S$7:AB$7,$Q148)</f>
        <v>3</v>
      </c>
      <c r="AC148" s="46"/>
    </row>
    <row r="149" spans="7:29">
      <c r="G149" s="46"/>
      <c r="Q149" s="2">
        <f>Q143</f>
        <v>2</v>
      </c>
      <c r="S149" s="47">
        <f>COUNTIF($S$7:S$7,$Q149)</f>
        <v>1</v>
      </c>
      <c r="T149" s="47">
        <f>COUNTIF($S$7:T$7,$Q149)</f>
        <v>2</v>
      </c>
      <c r="U149" s="47">
        <f>COUNTIF($S$7:U$7,$Q149)</f>
        <v>3</v>
      </c>
      <c r="V149" s="47">
        <f>COUNTIF($S$7:V$7,$Q149)</f>
        <v>3</v>
      </c>
      <c r="W149" s="47">
        <f>COUNTIF($S$7:W$7,$Q149)</f>
        <v>3</v>
      </c>
      <c r="X149" s="47">
        <f>COUNTIF($S$7:X$7,$Q149)</f>
        <v>3</v>
      </c>
      <c r="Y149" s="47">
        <f>COUNTIF($S$7:Y$7,$Q149)</f>
        <v>3</v>
      </c>
      <c r="Z149" s="47">
        <f>COUNTIF($S$7:Z$7,$Q149)</f>
        <v>3</v>
      </c>
      <c r="AA149" s="47">
        <f>COUNTIF($S$7:AA$7,$Q149)</f>
        <v>3</v>
      </c>
      <c r="AB149" s="47">
        <f>COUNTIF($S$7:AB$7,$Q149)</f>
        <v>3</v>
      </c>
      <c r="AC149" s="46"/>
    </row>
    <row r="150" spans="7:29">
      <c r="G150" s="46"/>
      <c r="Q150" s="2">
        <f>Q144</f>
        <v>3</v>
      </c>
      <c r="S150" s="47">
        <f>COUNTIF($S$7:S$7,$Q150)</f>
        <v>0</v>
      </c>
      <c r="T150" s="47">
        <f>COUNTIF($S$7:T$7,$Q150)</f>
        <v>0</v>
      </c>
      <c r="U150" s="47">
        <f>COUNTIF($S$7:U$7,$Q150)</f>
        <v>0</v>
      </c>
      <c r="V150" s="47">
        <f>COUNTIF($S$7:V$7,$Q150)</f>
        <v>1</v>
      </c>
      <c r="W150" s="47">
        <f>COUNTIF($S$7:W$7,$Q150)</f>
        <v>2</v>
      </c>
      <c r="X150" s="47">
        <f>COUNTIF($S$7:X$7,$Q150)</f>
        <v>3</v>
      </c>
      <c r="Y150" s="47">
        <f>COUNTIF($S$7:Y$7,$Q150)</f>
        <v>3</v>
      </c>
      <c r="Z150" s="47">
        <f>COUNTIF($S$7:Z$7,$Q150)</f>
        <v>3</v>
      </c>
      <c r="AA150" s="47">
        <f>COUNTIF($S$7:AA$7,$Q150)</f>
        <v>3</v>
      </c>
      <c r="AB150" s="47">
        <f>COUNTIF($S$7:AB$7,$Q150)</f>
        <v>3</v>
      </c>
      <c r="AC150" s="46"/>
    </row>
    <row r="151" spans="7:29">
      <c r="G151" s="46"/>
      <c r="AC151" s="46"/>
    </row>
    <row r="152" spans="7:29">
      <c r="G152" s="46"/>
      <c r="Q152" s="45" t="str">
        <f>Q146</f>
        <v>k = 2</v>
      </c>
      <c r="S152" t="str">
        <f>S140</f>
        <v>Period</v>
      </c>
      <c r="U152" s="3" t="str">
        <f>U140</f>
        <v>Skill level of worker</v>
      </c>
      <c r="AC152" s="46"/>
    </row>
    <row r="153" spans="7:29">
      <c r="G153" s="46"/>
      <c r="H153" s="2" t="str">
        <f t="shared" ref="H153:P153" si="78">H141</f>
        <v>Smax</v>
      </c>
      <c r="I153" s="2" t="str">
        <f t="shared" si="78"/>
        <v>Smin</v>
      </c>
      <c r="J153" s="2" t="str">
        <f t="shared" si="78"/>
        <v>Sinitial</v>
      </c>
      <c r="K153" s="2" t="str">
        <f t="shared" si="78"/>
        <v>S^UB</v>
      </c>
      <c r="L153" s="2" t="str">
        <f t="shared" si="78"/>
        <v>delta</v>
      </c>
      <c r="M153" s="2" t="str">
        <f t="shared" si="78"/>
        <v>S^LB</v>
      </c>
      <c r="N153" s="2" t="str">
        <f t="shared" si="78"/>
        <v>epsilon</v>
      </c>
      <c r="O153" s="2" t="str">
        <f t="shared" si="78"/>
        <v>r</v>
      </c>
      <c r="P153" s="2" t="str">
        <f t="shared" si="78"/>
        <v>f</v>
      </c>
      <c r="Q153" s="2" t="str">
        <f>Q147</f>
        <v>station</v>
      </c>
      <c r="S153" s="4">
        <f>S141</f>
        <v>0</v>
      </c>
      <c r="T153" s="5">
        <f>T141</f>
        <v>1</v>
      </c>
      <c r="U153" s="5">
        <f>U141</f>
        <v>2</v>
      </c>
      <c r="V153" s="5">
        <f t="shared" ref="V153:AB153" si="79">V141</f>
        <v>3</v>
      </c>
      <c r="W153" s="5">
        <f t="shared" si="79"/>
        <v>4</v>
      </c>
      <c r="X153" s="5">
        <f t="shared" si="79"/>
        <v>5</v>
      </c>
      <c r="Y153" s="5">
        <f t="shared" si="79"/>
        <v>6</v>
      </c>
      <c r="Z153" s="5">
        <f t="shared" si="79"/>
        <v>7</v>
      </c>
      <c r="AA153" s="5">
        <f t="shared" si="79"/>
        <v>8</v>
      </c>
      <c r="AB153" s="5">
        <f t="shared" si="79"/>
        <v>9</v>
      </c>
      <c r="AC153" s="46"/>
    </row>
    <row r="154" spans="7:29">
      <c r="G154" s="46"/>
      <c r="H154" s="2">
        <f>HLOOKUP($Q154,$A$23:$D$26,RIGHT($Q$152,1)+1,FALSE)</f>
        <v>30</v>
      </c>
      <c r="I154" s="2">
        <f>HLOOKUP($Q154,$A$29:$D$32,RIGHT($Q$152,1)+1,FALSE)</f>
        <v>0</v>
      </c>
      <c r="J154" s="2">
        <f>HLOOKUP($Q154,$A$36:$D$39,RIGHT($Q$152,1)+1,FALSE)</f>
        <v>10</v>
      </c>
      <c r="K154" s="2">
        <f t="shared" ref="K154:K156" si="80">H154-L154</f>
        <v>29</v>
      </c>
      <c r="L154" s="2">
        <f>HLOOKUP($Q154,$A$42:$D$45,RIGHT($Q$152,1)+1,FALSE)</f>
        <v>1</v>
      </c>
      <c r="M154" s="2">
        <f t="shared" ref="M154:M156" si="81">I154+N154</f>
        <v>3</v>
      </c>
      <c r="N154" s="2">
        <f>HLOOKUP($Q154,$A$48:$D$51,RIGHT($Q$152,1)+1,FALSE)</f>
        <v>3</v>
      </c>
      <c r="O154" s="2">
        <f>VLOOKUP($Q$152,$A$5:$D$8,MATCH($Q154,$A$5:$D$5,0),FALSE)</f>
        <v>0.72499999999999998</v>
      </c>
      <c r="P154" s="2">
        <f>VLOOKUP($Q$152,$A$13:$D$16,MATCH($Q154,$A$13:$D$13,0),FALSE)</f>
        <v>0.92500000000000004</v>
      </c>
      <c r="Q154" s="2">
        <f>Q148</f>
        <v>1</v>
      </c>
      <c r="R154">
        <f t="shared" ref="R154:R156" si="82">J154</f>
        <v>10</v>
      </c>
      <c r="S154" s="48">
        <f t="shared" ref="S154:AB154" si="83">IF(S$7="","",IF(S148&gt;1,IF(S$7=$Q154,MIN($K154,($H154-($H154-R154)*EXP(LOG($O154,2)))),MAX($M154,($I154+(R154-$I154)*EXP(LOG($P154,2))))),
IF(S148=1,IF(S$7=$Q154,$J154,MAX($M154,($I154+(R154-$I154)*EXP(LOG($P154,2))))),$J154)))</f>
        <v>10</v>
      </c>
      <c r="T154" s="48">
        <f t="shared" si="83"/>
        <v>10</v>
      </c>
      <c r="U154" s="48">
        <f t="shared" si="83"/>
        <v>10</v>
      </c>
      <c r="V154" s="48">
        <f t="shared" si="83"/>
        <v>10</v>
      </c>
      <c r="W154" s="48">
        <f t="shared" si="83"/>
        <v>10</v>
      </c>
      <c r="X154" s="48">
        <f t="shared" si="83"/>
        <v>10</v>
      </c>
      <c r="Y154" s="48">
        <f t="shared" si="83"/>
        <v>10</v>
      </c>
      <c r="Z154" s="48">
        <f t="shared" si="83"/>
        <v>17.424063658200851</v>
      </c>
      <c r="AA154" s="48">
        <f t="shared" si="83"/>
        <v>22.092291256350773</v>
      </c>
      <c r="AB154" s="48" t="str">
        <f t="shared" si="83"/>
        <v/>
      </c>
      <c r="AC154" s="46"/>
    </row>
    <row r="155" spans="7:29">
      <c r="G155" s="46"/>
      <c r="H155" s="2">
        <f>HLOOKUP($Q155,$A$23:$D$26,RIGHT($Q$152,1)+1,FALSE)</f>
        <v>30</v>
      </c>
      <c r="I155" s="2">
        <f>HLOOKUP($Q155,$A$29:$D$32,RIGHT($Q$152,1)+1,FALSE)</f>
        <v>0</v>
      </c>
      <c r="J155" s="2">
        <f>HLOOKUP($Q155,$A$36:$D$39,RIGHT($Q$152,1)+1,FALSE)</f>
        <v>6</v>
      </c>
      <c r="K155" s="2">
        <f t="shared" si="80"/>
        <v>29</v>
      </c>
      <c r="L155" s="2">
        <f>HLOOKUP($Q155,$A$42:$D$45,RIGHT($Q$152,1)+1,FALSE)</f>
        <v>1</v>
      </c>
      <c r="M155" s="2">
        <f t="shared" si="81"/>
        <v>3</v>
      </c>
      <c r="N155" s="2">
        <f>HLOOKUP($Q155,$A$48:$D$51,RIGHT($Q$152,1)+1,FALSE)</f>
        <v>3</v>
      </c>
      <c r="O155" s="2">
        <f>VLOOKUP($Q$152,$A$5:$D$8,MATCH($Q155,$A$5:$D$5,0),FALSE)</f>
        <v>0.72499999999999998</v>
      </c>
      <c r="P155" s="2">
        <f>VLOOKUP($Q$152,$A$13:$D$16,MATCH($Q155,$A$13:$D$13,0),FALSE)</f>
        <v>0.92500000000000004</v>
      </c>
      <c r="Q155" s="2">
        <f>Q149</f>
        <v>2</v>
      </c>
      <c r="R155">
        <f t="shared" si="82"/>
        <v>6</v>
      </c>
      <c r="S155" s="48">
        <f t="shared" ref="S155:AB155" si="84">IF(S$7="","",IF(S149&gt;1,IF(S$7=$Q155,MIN($K155,($H155-($H155-R155)*EXP(LOG($O155,2)))),MAX($M155,($I155+(R155-$I155)*EXP(LOG($P155,2))))),
IF(S149=1,IF(S$7=$Q155,$J155,MAX($M155,($I155+(R155-$I155)*EXP(LOG($P155,2))))),$J155)))</f>
        <v>6</v>
      </c>
      <c r="T155" s="48">
        <f t="shared" si="84"/>
        <v>14.908876389841023</v>
      </c>
      <c r="U155" s="48">
        <f t="shared" si="84"/>
        <v>20.510749507620929</v>
      </c>
      <c r="V155" s="48">
        <f t="shared" si="84"/>
        <v>18.328814524100363</v>
      </c>
      <c r="W155" s="48">
        <f t="shared" si="84"/>
        <v>16.378993938473542</v>
      </c>
      <c r="X155" s="48">
        <f t="shared" si="84"/>
        <v>14.636595404673105</v>
      </c>
      <c r="Y155" s="48">
        <f t="shared" si="84"/>
        <v>13.079553350153036</v>
      </c>
      <c r="Z155" s="48">
        <f t="shared" si="84"/>
        <v>11.688149539535646</v>
      </c>
      <c r="AA155" s="48">
        <f t="shared" si="84"/>
        <v>10.444763364717565</v>
      </c>
      <c r="AB155" s="48" t="str">
        <f t="shared" si="84"/>
        <v/>
      </c>
      <c r="AC155" s="46"/>
    </row>
    <row r="156" spans="7:29">
      <c r="G156" s="46"/>
      <c r="H156" s="2">
        <f>HLOOKUP($Q156,$A$23:$D$26,RIGHT($Q$152,1)+1,FALSE)</f>
        <v>34.29</v>
      </c>
      <c r="I156" s="2">
        <f>HLOOKUP($Q156,$A$29:$D$32,RIGHT($Q$152,1)+1,FALSE)</f>
        <v>0</v>
      </c>
      <c r="J156" s="2">
        <f>HLOOKUP($Q156,$A$36:$D$39,RIGHT($Q$152,1)+1,FALSE)</f>
        <v>8</v>
      </c>
      <c r="K156" s="2">
        <f t="shared" si="80"/>
        <v>32.29</v>
      </c>
      <c r="L156" s="2">
        <f>HLOOKUP($Q156,$A$42:$D$45,RIGHT($Q$152,1)+1,FALSE)</f>
        <v>2</v>
      </c>
      <c r="M156" s="2">
        <f t="shared" si="81"/>
        <v>3</v>
      </c>
      <c r="N156" s="2">
        <f>HLOOKUP($Q156,$A$48:$D$51,RIGHT($Q$152,1)+1,FALSE)</f>
        <v>3</v>
      </c>
      <c r="O156" s="2">
        <f>VLOOKUP($Q$152,$A$5:$D$8,MATCH($Q156,$A$5:$D$5,0),FALSE)</f>
        <v>0.72499999999999998</v>
      </c>
      <c r="P156" s="2">
        <f>VLOOKUP($Q$152,$A$13:$D$16,MATCH($Q156,$A$13:$D$13,0),FALSE)</f>
        <v>0.92500000000000004</v>
      </c>
      <c r="Q156" s="2">
        <f>Q150</f>
        <v>3</v>
      </c>
      <c r="R156">
        <f t="shared" si="82"/>
        <v>8</v>
      </c>
      <c r="S156" s="48">
        <f t="shared" ref="S156:AB156" si="85">IF(S$7="","",IF(S150&gt;1,IF(S$7=$Q156,MIN($K156,($H156-($H156-R156)*EXP(LOG($O156,2)))),MAX($M156,($I156+(R156-$I156)*EXP(LOG($P156,2))))),
IF(S150=1,IF(S$7=$Q156,$J156,MAX($M156,($I156+(R156-$I156)*EXP(LOG($P156,2))))),$J156)))</f>
        <v>8</v>
      </c>
      <c r="T156" s="48">
        <f t="shared" si="85"/>
        <v>8</v>
      </c>
      <c r="U156" s="48">
        <f t="shared" si="85"/>
        <v>8</v>
      </c>
      <c r="V156" s="48">
        <f t="shared" si="85"/>
        <v>8</v>
      </c>
      <c r="W156" s="48">
        <f t="shared" si="85"/>
        <v>17.758931678705022</v>
      </c>
      <c r="X156" s="48">
        <f t="shared" si="85"/>
        <v>23.895316856473094</v>
      </c>
      <c r="Y156" s="48">
        <f t="shared" si="85"/>
        <v>21.353331358962386</v>
      </c>
      <c r="Z156" s="48">
        <f t="shared" si="85"/>
        <v>19.081762458493131</v>
      </c>
      <c r="AA156" s="48">
        <f t="shared" si="85"/>
        <v>17.051843218343194</v>
      </c>
      <c r="AB156" s="48" t="str">
        <f t="shared" si="85"/>
        <v/>
      </c>
      <c r="AC156" s="46"/>
    </row>
    <row r="157" spans="7:29">
      <c r="G157" s="46"/>
      <c r="AC157" s="46"/>
    </row>
    <row r="158" spans="7:29">
      <c r="G158" s="46"/>
      <c r="Q158" s="45" t="str">
        <f>CONCATENATE(LEFT(Q152,4),RIGHT(Q152,1)+1)</f>
        <v>k = 3</v>
      </c>
      <c r="S158" t="str">
        <f>S146</f>
        <v>Period</v>
      </c>
      <c r="U158" t="str">
        <f>U146</f>
        <v>Number of times that worker has been assigned to this station</v>
      </c>
      <c r="AC158" s="46"/>
    </row>
    <row r="159" spans="7:29">
      <c r="G159" s="46"/>
      <c r="Q159" s="2" t="str">
        <f>Q153</f>
        <v>station</v>
      </c>
      <c r="S159" s="4">
        <f>S147</f>
        <v>0</v>
      </c>
      <c r="T159" s="5">
        <f>T147</f>
        <v>1</v>
      </c>
      <c r="U159" s="5">
        <f>U147</f>
        <v>2</v>
      </c>
      <c r="V159" s="5">
        <f t="shared" ref="V159:AB159" si="86">V147</f>
        <v>3</v>
      </c>
      <c r="W159" s="5">
        <f t="shared" si="86"/>
        <v>4</v>
      </c>
      <c r="X159" s="5">
        <f t="shared" si="86"/>
        <v>5</v>
      </c>
      <c r="Y159" s="5">
        <f t="shared" si="86"/>
        <v>6</v>
      </c>
      <c r="Z159" s="5">
        <f t="shared" si="86"/>
        <v>7</v>
      </c>
      <c r="AA159" s="5">
        <f t="shared" si="86"/>
        <v>8</v>
      </c>
      <c r="AB159" s="5">
        <f t="shared" si="86"/>
        <v>9</v>
      </c>
      <c r="AC159" s="46"/>
    </row>
    <row r="160" spans="7:29">
      <c r="G160" s="46"/>
      <c r="Q160" s="2">
        <f>Q154</f>
        <v>1</v>
      </c>
      <c r="S160" s="47">
        <f>COUNTIF($S$8:S$8,$Q160)</f>
        <v>0</v>
      </c>
      <c r="T160" s="47">
        <f>COUNTIF($S$8:T$8,$Q160)</f>
        <v>0</v>
      </c>
      <c r="U160" s="47">
        <f>COUNTIF($S$8:U$8,$Q160)</f>
        <v>0</v>
      </c>
      <c r="V160" s="47">
        <f>COUNTIF($S$8:V$8,$Q160)</f>
        <v>1</v>
      </c>
      <c r="W160" s="47">
        <f>COUNTIF($S$8:W$8,$Q160)</f>
        <v>2</v>
      </c>
      <c r="X160" s="47">
        <f>COUNTIF($S$8:X$8,$Q160)</f>
        <v>3</v>
      </c>
      <c r="Y160" s="47">
        <f>COUNTIF($S$8:Y$8,$Q160)</f>
        <v>3</v>
      </c>
      <c r="Z160" s="47">
        <f>COUNTIF($S$8:Z$8,$Q160)</f>
        <v>3</v>
      </c>
      <c r="AA160" s="47">
        <f>COUNTIF($S$8:AA$8,$Q160)</f>
        <v>3</v>
      </c>
      <c r="AB160" s="47">
        <f>COUNTIF($S$8:AB$8,$Q160)</f>
        <v>3</v>
      </c>
      <c r="AC160" s="46"/>
    </row>
    <row r="161" spans="7:29">
      <c r="G161" s="46"/>
      <c r="Q161" s="2">
        <f>Q155</f>
        <v>2</v>
      </c>
      <c r="S161" s="47">
        <f>COUNTIF($S$8:S$8,$Q161)</f>
        <v>0</v>
      </c>
      <c r="T161" s="47">
        <f>COUNTIF($S$8:T$8,$Q161)</f>
        <v>0</v>
      </c>
      <c r="U161" s="47">
        <f>COUNTIF($S$8:U$8,$Q161)</f>
        <v>0</v>
      </c>
      <c r="V161" s="47">
        <f>COUNTIF($S$8:V$8,$Q161)</f>
        <v>0</v>
      </c>
      <c r="W161" s="47">
        <f>COUNTIF($S$8:W$8,$Q161)</f>
        <v>0</v>
      </c>
      <c r="X161" s="47">
        <f>COUNTIF($S$8:X$8,$Q161)</f>
        <v>0</v>
      </c>
      <c r="Y161" s="47">
        <f>COUNTIF($S$8:Y$8,$Q161)</f>
        <v>1</v>
      </c>
      <c r="Z161" s="47">
        <f>COUNTIF($S$8:Z$8,$Q161)</f>
        <v>2</v>
      </c>
      <c r="AA161" s="47">
        <f>COUNTIF($S$8:AA$8,$Q161)</f>
        <v>3</v>
      </c>
      <c r="AB161" s="47">
        <f>COUNTIF($S$8:AB$8,$Q161)</f>
        <v>3</v>
      </c>
      <c r="AC161" s="46"/>
    </row>
    <row r="162" spans="7:29">
      <c r="G162" s="46"/>
      <c r="Q162" s="2">
        <f>Q156</f>
        <v>3</v>
      </c>
      <c r="S162" s="47">
        <f>COUNTIF($S$8:S$8,$Q162)</f>
        <v>1</v>
      </c>
      <c r="T162" s="47">
        <f>COUNTIF($S$8:T$8,$Q162)</f>
        <v>2</v>
      </c>
      <c r="U162" s="47">
        <f>COUNTIF($S$8:U$8,$Q162)</f>
        <v>3</v>
      </c>
      <c r="V162" s="47">
        <f>COUNTIF($S$8:V$8,$Q162)</f>
        <v>3</v>
      </c>
      <c r="W162" s="47">
        <f>COUNTIF($S$8:W$8,$Q162)</f>
        <v>3</v>
      </c>
      <c r="X162" s="47">
        <f>COUNTIF($S$8:X$8,$Q162)</f>
        <v>3</v>
      </c>
      <c r="Y162" s="47">
        <f>COUNTIF($S$8:Y$8,$Q162)</f>
        <v>3</v>
      </c>
      <c r="Z162" s="47">
        <f>COUNTIF($S$8:Z$8,$Q162)</f>
        <v>3</v>
      </c>
      <c r="AA162" s="47">
        <f>COUNTIF($S$8:AA$8,$Q162)</f>
        <v>3</v>
      </c>
      <c r="AB162" s="47">
        <f>COUNTIF($S$8:AB$8,$Q162)</f>
        <v>3</v>
      </c>
      <c r="AC162" s="46"/>
    </row>
    <row r="163" spans="7:29">
      <c r="G163" s="46"/>
      <c r="AC163" s="46"/>
    </row>
    <row r="164" spans="7:29">
      <c r="G164" s="46"/>
      <c r="Q164" s="45" t="str">
        <f>Q158</f>
        <v>k = 3</v>
      </c>
      <c r="S164" t="str">
        <f>S152</f>
        <v>Period</v>
      </c>
      <c r="U164" s="3" t="str">
        <f>U152</f>
        <v>Skill level of worker</v>
      </c>
      <c r="AC164" s="46"/>
    </row>
    <row r="165" spans="7:29">
      <c r="G165" s="46"/>
      <c r="H165" s="2" t="str">
        <f t="shared" ref="H165:P165" si="87">H153</f>
        <v>Smax</v>
      </c>
      <c r="I165" s="2" t="str">
        <f t="shared" si="87"/>
        <v>Smin</v>
      </c>
      <c r="J165" s="2" t="str">
        <f t="shared" si="87"/>
        <v>Sinitial</v>
      </c>
      <c r="K165" s="2" t="str">
        <f t="shared" si="87"/>
        <v>S^UB</v>
      </c>
      <c r="L165" s="2" t="str">
        <f t="shared" si="87"/>
        <v>delta</v>
      </c>
      <c r="M165" s="2" t="str">
        <f t="shared" si="87"/>
        <v>S^LB</v>
      </c>
      <c r="N165" s="2" t="str">
        <f t="shared" si="87"/>
        <v>epsilon</v>
      </c>
      <c r="O165" s="2" t="str">
        <f t="shared" si="87"/>
        <v>r</v>
      </c>
      <c r="P165" s="2" t="str">
        <f t="shared" si="87"/>
        <v>f</v>
      </c>
      <c r="Q165" s="2" t="str">
        <f>Q159</f>
        <v>station</v>
      </c>
      <c r="S165" s="4">
        <f>S153</f>
        <v>0</v>
      </c>
      <c r="T165" s="5">
        <f>T153</f>
        <v>1</v>
      </c>
      <c r="U165" s="5">
        <f>U153</f>
        <v>2</v>
      </c>
      <c r="V165" s="5">
        <f t="shared" ref="V165:AB165" si="88">V153</f>
        <v>3</v>
      </c>
      <c r="W165" s="5">
        <f t="shared" si="88"/>
        <v>4</v>
      </c>
      <c r="X165" s="5">
        <f t="shared" si="88"/>
        <v>5</v>
      </c>
      <c r="Y165" s="5">
        <f t="shared" si="88"/>
        <v>6</v>
      </c>
      <c r="Z165" s="5">
        <f t="shared" si="88"/>
        <v>7</v>
      </c>
      <c r="AA165" s="5">
        <f t="shared" si="88"/>
        <v>8</v>
      </c>
      <c r="AB165" s="5">
        <f t="shared" si="88"/>
        <v>9</v>
      </c>
      <c r="AC165" s="46"/>
    </row>
    <row r="166" spans="7:29">
      <c r="G166" s="46"/>
      <c r="H166" s="2">
        <f>HLOOKUP($Q166,$A$23:$D$26,RIGHT($Q$164,1)+1,FALSE)</f>
        <v>30</v>
      </c>
      <c r="I166" s="2">
        <f>HLOOKUP($Q166,$A$29:$D$32,RIGHT($Q$164,1)+1,FALSE)</f>
        <v>0</v>
      </c>
      <c r="J166" s="2">
        <f>HLOOKUP($Q166,$A$36:$D$39,RIGHT($Q$164,1)+1,FALSE)</f>
        <v>7</v>
      </c>
      <c r="K166" s="2">
        <f t="shared" ref="K166:K168" si="89">H166-L166</f>
        <v>29</v>
      </c>
      <c r="L166" s="2">
        <f>HLOOKUP($Q166,$A$42:$D$45,RIGHT($Q$164,1)+1,FALSE)</f>
        <v>1</v>
      </c>
      <c r="M166" s="2">
        <f t="shared" ref="M166:M168" si="90">I166+N166</f>
        <v>3</v>
      </c>
      <c r="N166" s="2">
        <f>HLOOKUP($Q166,$A$48:$D$51,RIGHT($Q$164,1)+1,FALSE)</f>
        <v>3</v>
      </c>
      <c r="O166" s="2">
        <f>VLOOKUP($Q$164,$A$5:$D$8,MATCH($Q166,$A$5:$D$5,0),FALSE)</f>
        <v>0.74</v>
      </c>
      <c r="P166" s="2">
        <f>VLOOKUP($Q$164,$A$13:$D$16,MATCH($Q166,$A$13:$D$13,0),FALSE)</f>
        <v>0.91</v>
      </c>
      <c r="Q166" s="2">
        <f>Q160</f>
        <v>1</v>
      </c>
      <c r="R166">
        <f t="shared" ref="R166:R168" si="91">J166</f>
        <v>7</v>
      </c>
      <c r="S166" s="48">
        <f t="shared" ref="S166:AB166" si="92">IF(S$8="","",IF(S160&gt;1,IF(S$8=$Q166,MIN($K166,($H166-($H166-R166)*EXP(LOG($O166,2)))),MAX($M166,($I166+(R166-$I166)*EXP(LOG($P166,2))))),
IF(S160=1,IF(S$8=$Q166,$J166,MAX($M166,($I166+(R166-$I166)*EXP(LOG($P166,2))))),$J166)))</f>
        <v>7</v>
      </c>
      <c r="T166" s="48">
        <f t="shared" si="92"/>
        <v>7</v>
      </c>
      <c r="U166" s="48">
        <f t="shared" si="92"/>
        <v>7</v>
      </c>
      <c r="V166" s="48">
        <f t="shared" si="92"/>
        <v>7</v>
      </c>
      <c r="W166" s="48">
        <f t="shared" si="92"/>
        <v>15.104019793066758</v>
      </c>
      <c r="X166" s="48">
        <f t="shared" si="92"/>
        <v>20.3525988554197</v>
      </c>
      <c r="Y166" s="48">
        <f t="shared" si="92"/>
        <v>17.763522592019203</v>
      </c>
      <c r="Z166" s="48">
        <f t="shared" si="92"/>
        <v>15.503805539465574</v>
      </c>
      <c r="AA166" s="48">
        <f t="shared" si="92"/>
        <v>13.531549553890621</v>
      </c>
      <c r="AB166" s="48" t="str">
        <f t="shared" si="92"/>
        <v/>
      </c>
      <c r="AC166" s="46"/>
    </row>
    <row r="167" spans="7:29">
      <c r="G167" s="46"/>
      <c r="H167" s="2">
        <f>HLOOKUP($Q167,$A$23:$D$26,RIGHT($Q$164,1)+1,FALSE)</f>
        <v>30</v>
      </c>
      <c r="I167" s="2">
        <f>HLOOKUP($Q167,$A$29:$D$32,RIGHT($Q$164,1)+1,FALSE)</f>
        <v>0</v>
      </c>
      <c r="J167" s="2">
        <f>HLOOKUP($Q167,$A$36:$D$39,RIGHT($Q$164,1)+1,FALSE)</f>
        <v>8</v>
      </c>
      <c r="K167" s="2">
        <f t="shared" si="89"/>
        <v>29</v>
      </c>
      <c r="L167" s="2">
        <f>HLOOKUP($Q167,$A$42:$D$45,RIGHT($Q$164,1)+1,FALSE)</f>
        <v>1</v>
      </c>
      <c r="M167" s="2">
        <f t="shared" si="90"/>
        <v>3</v>
      </c>
      <c r="N167" s="2">
        <f>HLOOKUP($Q167,$A$48:$D$51,RIGHT($Q$164,1)+1,FALSE)</f>
        <v>3</v>
      </c>
      <c r="O167" s="2">
        <f>VLOOKUP($Q$164,$A$5:$D$8,MATCH($Q167,$A$5:$D$5,0),FALSE)</f>
        <v>0.74</v>
      </c>
      <c r="P167" s="2">
        <f>VLOOKUP($Q$164,$A$13:$D$16,MATCH($Q167,$A$13:$D$13,0),FALSE)</f>
        <v>0.91</v>
      </c>
      <c r="Q167" s="2">
        <f>Q161</f>
        <v>2</v>
      </c>
      <c r="R167">
        <f t="shared" si="91"/>
        <v>8</v>
      </c>
      <c r="S167" s="48">
        <f t="shared" ref="S167:AB167" si="93">IF(S$8="","",IF(S161&gt;1,IF(S$8=$Q167,MIN($K167,($H167-($H167-R167)*EXP(LOG($O167,2)))),MAX($M167,($I167+(R167-$I167)*EXP(LOG($P167,2))))),
IF(S161=1,IF(S$8=$Q167,$J167,MAX($M167,($I167+(R167-$I167)*EXP(LOG($P167,2))))),$J167)))</f>
        <v>8</v>
      </c>
      <c r="T167" s="48">
        <f t="shared" si="93"/>
        <v>8</v>
      </c>
      <c r="U167" s="48">
        <f t="shared" si="93"/>
        <v>8</v>
      </c>
      <c r="V167" s="48">
        <f t="shared" si="93"/>
        <v>8</v>
      </c>
      <c r="W167" s="48">
        <f t="shared" si="93"/>
        <v>8</v>
      </c>
      <c r="X167" s="48">
        <f t="shared" si="93"/>
        <v>8</v>
      </c>
      <c r="Y167" s="48">
        <f t="shared" si="93"/>
        <v>8</v>
      </c>
      <c r="Z167" s="48">
        <f t="shared" si="93"/>
        <v>15.751671106411681</v>
      </c>
      <c r="AA167" s="48">
        <f t="shared" si="93"/>
        <v>20.772051079097103</v>
      </c>
      <c r="AB167" s="48" t="str">
        <f t="shared" si="93"/>
        <v/>
      </c>
      <c r="AC167" s="46"/>
    </row>
    <row r="168" spans="7:29">
      <c r="G168" s="46"/>
      <c r="H168" s="2">
        <f>HLOOKUP($Q168,$A$23:$D$26,RIGHT($Q$164,1)+1,FALSE)</f>
        <v>34.29</v>
      </c>
      <c r="I168" s="2">
        <f>HLOOKUP($Q168,$A$29:$D$32,RIGHT($Q$164,1)+1,FALSE)</f>
        <v>0</v>
      </c>
      <c r="J168" s="2">
        <f>HLOOKUP($Q168,$A$36:$D$39,RIGHT($Q$164,1)+1,FALSE)</f>
        <v>12</v>
      </c>
      <c r="K168" s="2">
        <f t="shared" si="89"/>
        <v>32.29</v>
      </c>
      <c r="L168" s="2">
        <f>HLOOKUP($Q168,$A$42:$D$45,RIGHT($Q$164,1)+1,FALSE)</f>
        <v>2</v>
      </c>
      <c r="M168" s="2">
        <f t="shared" si="90"/>
        <v>3</v>
      </c>
      <c r="N168" s="2">
        <f>HLOOKUP($Q168,$A$48:$D$51,RIGHT($Q$164,1)+1,FALSE)</f>
        <v>3</v>
      </c>
      <c r="O168" s="2">
        <f>VLOOKUP($Q$164,$A$5:$D$8,MATCH($Q168,$A$5:$D$5,0),FALSE)</f>
        <v>0.74</v>
      </c>
      <c r="P168" s="2">
        <f>VLOOKUP($Q$164,$A$13:$D$16,MATCH($Q168,$A$13:$D$13,0),FALSE)</f>
        <v>0.91</v>
      </c>
      <c r="Q168" s="2">
        <f>Q162</f>
        <v>3</v>
      </c>
      <c r="R168">
        <f t="shared" si="91"/>
        <v>12</v>
      </c>
      <c r="S168" s="48">
        <f t="shared" ref="S168:AB168" si="94">IF(S$8="","",IF(S162&gt;1,IF(S$8=$Q168,MIN($K168,($H168-($H168-R168)*EXP(LOG($O168,2)))),MAX($M168,($I168+(R168-$I168)*EXP(LOG($P168,2))))),
IF(S162=1,IF(S$8=$Q168,$J168,MAX($M168,($I168+(R168-$I168)*EXP(LOG($P168,2))))),$J168)))</f>
        <v>12</v>
      </c>
      <c r="T168" s="48">
        <f t="shared" si="94"/>
        <v>19.853852225541655</v>
      </c>
      <c r="U168" s="48">
        <f t="shared" si="94"/>
        <v>24.940409934230658</v>
      </c>
      <c r="V168" s="48">
        <f t="shared" si="94"/>
        <v>21.767713227588722</v>
      </c>
      <c r="W168" s="48">
        <f t="shared" si="94"/>
        <v>18.998618723913026</v>
      </c>
      <c r="X168" s="48">
        <f t="shared" si="94"/>
        <v>16.581783747460822</v>
      </c>
      <c r="Y168" s="48">
        <f t="shared" si="94"/>
        <v>14.472396980180303</v>
      </c>
      <c r="Z168" s="48">
        <f t="shared" si="94"/>
        <v>12.631347600586409</v>
      </c>
      <c r="AA168" s="48">
        <f t="shared" si="94"/>
        <v>11.024500117384997</v>
      </c>
      <c r="AB168" s="48" t="str">
        <f t="shared" si="94"/>
        <v/>
      </c>
      <c r="AC168" s="46"/>
    </row>
    <row r="169" spans="7:29">
      <c r="G169" s="46"/>
      <c r="AC169" s="46"/>
    </row>
    <row r="170" spans="7:29">
      <c r="G170" s="46"/>
      <c r="AC170" s="46"/>
    </row>
    <row r="171" spans="7:29"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4" spans="7:29">
      <c r="S174" t="str">
        <f>S164</f>
        <v>Period</v>
      </c>
      <c r="U174" t="s">
        <v>67</v>
      </c>
    </row>
    <row r="175" spans="7:29">
      <c r="Q175" s="2" t="s">
        <v>68</v>
      </c>
      <c r="R175" s="2" t="s">
        <v>60</v>
      </c>
      <c r="S175" s="4">
        <f>S165</f>
        <v>0</v>
      </c>
      <c r="T175" s="5">
        <f t="shared" ref="T175:AA175" si="95">T165</f>
        <v>1</v>
      </c>
      <c r="U175" s="5">
        <f t="shared" si="95"/>
        <v>2</v>
      </c>
      <c r="V175" s="5">
        <f t="shared" si="95"/>
        <v>3</v>
      </c>
      <c r="W175" s="5">
        <f t="shared" si="95"/>
        <v>4</v>
      </c>
      <c r="X175" s="5">
        <f t="shared" si="95"/>
        <v>5</v>
      </c>
      <c r="Y175" s="5">
        <f t="shared" si="95"/>
        <v>6</v>
      </c>
      <c r="Z175" s="5">
        <f t="shared" si="95"/>
        <v>7</v>
      </c>
      <c r="AA175" s="5">
        <f t="shared" si="95"/>
        <v>8</v>
      </c>
      <c r="AB175" s="52"/>
    </row>
    <row r="176" spans="7:29">
      <c r="P176">
        <v>1</v>
      </c>
      <c r="Q176" s="2" t="str">
        <f>VLOOKUP(P176,$P$6:$Q$8,2,FALSE)</f>
        <v>k = 1</v>
      </c>
      <c r="R176" s="2">
        <v>1</v>
      </c>
      <c r="S176" s="9">
        <v>1</v>
      </c>
      <c r="T176" s="9">
        <v>1</v>
      </c>
      <c r="U176" s="9">
        <v>1</v>
      </c>
      <c r="V176" s="9"/>
      <c r="W176" s="9"/>
      <c r="X176" s="9"/>
      <c r="Y176" s="9"/>
      <c r="Z176" s="9"/>
      <c r="AA176" s="9"/>
      <c r="AB176" s="53"/>
    </row>
    <row r="177" spans="16:28">
      <c r="R177" s="2">
        <f>R176+1</f>
        <v>2</v>
      </c>
      <c r="S177" s="9"/>
      <c r="T177" s="9"/>
      <c r="U177" s="9"/>
      <c r="V177" s="9">
        <v>1</v>
      </c>
      <c r="W177" s="9">
        <v>1</v>
      </c>
      <c r="X177" s="9">
        <v>1</v>
      </c>
      <c r="Y177" s="9"/>
      <c r="Z177" s="9"/>
      <c r="AA177" s="9"/>
      <c r="AB177" s="53"/>
    </row>
    <row r="178" spans="16:28">
      <c r="R178" s="2">
        <f t="shared" ref="R178" si="96">R177+1</f>
        <v>3</v>
      </c>
      <c r="S178" s="9"/>
      <c r="T178" s="9"/>
      <c r="U178" s="9"/>
      <c r="V178" s="9"/>
      <c r="W178" s="9"/>
      <c r="X178" s="9"/>
      <c r="Y178" s="9">
        <v>1</v>
      </c>
      <c r="Z178" s="9">
        <v>1</v>
      </c>
      <c r="AA178" s="9">
        <v>1</v>
      </c>
      <c r="AB178" s="53"/>
    </row>
    <row r="179" spans="16:28">
      <c r="R179" s="2"/>
      <c r="S179" s="49">
        <f t="shared" ref="S179:AA179" si="97">SUM(S176:S178)</f>
        <v>1</v>
      </c>
      <c r="T179" s="50">
        <f t="shared" si="97"/>
        <v>1</v>
      </c>
      <c r="U179" s="50">
        <f t="shared" si="97"/>
        <v>1</v>
      </c>
      <c r="V179" s="50">
        <f t="shared" si="97"/>
        <v>1</v>
      </c>
      <c r="W179" s="50">
        <f t="shared" si="97"/>
        <v>1</v>
      </c>
      <c r="X179" s="50">
        <f t="shared" si="97"/>
        <v>1</v>
      </c>
      <c r="Y179" s="50">
        <f t="shared" si="97"/>
        <v>1</v>
      </c>
      <c r="Z179" s="50">
        <f t="shared" si="97"/>
        <v>1</v>
      </c>
      <c r="AA179" s="50">
        <f t="shared" si="97"/>
        <v>1</v>
      </c>
      <c r="AB179" s="52"/>
    </row>
    <row r="180" spans="16:28" ht="15" customHeight="1">
      <c r="S180" s="2" t="s">
        <v>71</v>
      </c>
      <c r="T180" s="2" t="s">
        <v>71</v>
      </c>
      <c r="U180" s="2" t="s">
        <v>71</v>
      </c>
      <c r="V180" s="2" t="s">
        <v>71</v>
      </c>
      <c r="W180" s="2" t="s">
        <v>71</v>
      </c>
      <c r="X180" s="2" t="s">
        <v>71</v>
      </c>
      <c r="Y180" s="2" t="s">
        <v>71</v>
      </c>
      <c r="Z180" s="2" t="s">
        <v>71</v>
      </c>
      <c r="AA180" s="2" t="s">
        <v>71</v>
      </c>
      <c r="AB180" s="53"/>
    </row>
    <row r="181" spans="16:28" ht="15" customHeight="1"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53"/>
    </row>
    <row r="182" spans="16:28" ht="15" customHeight="1">
      <c r="AB182" s="54"/>
    </row>
    <row r="183" spans="16:28" ht="15" customHeight="1">
      <c r="S183" t="str">
        <f>S174</f>
        <v>Period</v>
      </c>
      <c r="U183" t="str">
        <f>U174</f>
        <v>Decision Variables</v>
      </c>
      <c r="AB183" s="54"/>
    </row>
    <row r="184" spans="16:28" ht="15" customHeight="1">
      <c r="Q184" s="2" t="str">
        <f>Q175</f>
        <v>worker</v>
      </c>
      <c r="R184" s="2" t="str">
        <f>R175</f>
        <v>station</v>
      </c>
      <c r="S184" s="4">
        <f>S175</f>
        <v>0</v>
      </c>
      <c r="T184" s="5">
        <f>T175</f>
        <v>1</v>
      </c>
      <c r="U184" s="5">
        <f>U175</f>
        <v>2</v>
      </c>
      <c r="V184" s="5">
        <f t="shared" ref="V184:AA184" si="98">V175</f>
        <v>3</v>
      </c>
      <c r="W184" s="5">
        <f t="shared" si="98"/>
        <v>4</v>
      </c>
      <c r="X184" s="5">
        <f t="shared" si="98"/>
        <v>5</v>
      </c>
      <c r="Y184" s="5">
        <f t="shared" si="98"/>
        <v>6</v>
      </c>
      <c r="Z184" s="5">
        <f t="shared" si="98"/>
        <v>7</v>
      </c>
      <c r="AA184" s="5">
        <f t="shared" si="98"/>
        <v>8</v>
      </c>
      <c r="AB184" s="52"/>
    </row>
    <row r="185" spans="16:28" ht="15" customHeight="1">
      <c r="P185">
        <f>P176+1</f>
        <v>2</v>
      </c>
      <c r="Q185" s="2" t="str">
        <f>VLOOKUP(P185,$P$6:$Q$8,2,FALSE)</f>
        <v>k = 2</v>
      </c>
      <c r="R185" s="2">
        <f>R176</f>
        <v>1</v>
      </c>
      <c r="S185" s="9"/>
      <c r="T185" s="9"/>
      <c r="U185" s="9"/>
      <c r="V185" s="9"/>
      <c r="W185" s="9"/>
      <c r="X185" s="9"/>
      <c r="Y185" s="9">
        <v>1</v>
      </c>
      <c r="Z185" s="9">
        <v>1</v>
      </c>
      <c r="AA185" s="9">
        <v>1</v>
      </c>
      <c r="AB185" s="53"/>
    </row>
    <row r="186" spans="16:28" ht="15" customHeight="1">
      <c r="R186" s="2">
        <f>R177</f>
        <v>2</v>
      </c>
      <c r="S186" s="9">
        <v>1</v>
      </c>
      <c r="T186" s="9">
        <v>1</v>
      </c>
      <c r="U186" s="9">
        <v>1</v>
      </c>
      <c r="V186" s="9"/>
      <c r="W186" s="9"/>
      <c r="X186" s="9"/>
      <c r="Y186" s="9"/>
      <c r="Z186" s="9"/>
      <c r="AA186" s="9"/>
      <c r="AB186" s="53"/>
    </row>
    <row r="187" spans="16:28" ht="15" customHeight="1">
      <c r="R187" s="2">
        <f>R178</f>
        <v>3</v>
      </c>
      <c r="S187" s="9"/>
      <c r="T187" s="9"/>
      <c r="U187" s="9"/>
      <c r="V187" s="9">
        <v>1</v>
      </c>
      <c r="W187" s="9">
        <v>1</v>
      </c>
      <c r="X187" s="9">
        <v>1</v>
      </c>
      <c r="Y187" s="9"/>
      <c r="Z187" s="9"/>
      <c r="AA187" s="9"/>
      <c r="AB187" s="53"/>
    </row>
    <row r="188" spans="16:28" ht="15" customHeight="1">
      <c r="R188" s="2"/>
      <c r="S188" s="49">
        <f t="shared" ref="S188:AA188" si="99">SUM(S185:S187)</f>
        <v>1</v>
      </c>
      <c r="T188" s="50">
        <f t="shared" si="99"/>
        <v>1</v>
      </c>
      <c r="U188" s="50">
        <f t="shared" si="99"/>
        <v>1</v>
      </c>
      <c r="V188" s="50">
        <f t="shared" si="99"/>
        <v>1</v>
      </c>
      <c r="W188" s="50">
        <f t="shared" si="99"/>
        <v>1</v>
      </c>
      <c r="X188" s="50">
        <f t="shared" si="99"/>
        <v>1</v>
      </c>
      <c r="Y188" s="50">
        <f t="shared" si="99"/>
        <v>1</v>
      </c>
      <c r="Z188" s="50">
        <f t="shared" si="99"/>
        <v>1</v>
      </c>
      <c r="AA188" s="50">
        <f t="shared" si="99"/>
        <v>1</v>
      </c>
      <c r="AB188" s="52"/>
    </row>
    <row r="189" spans="16:28" ht="15" customHeight="1">
      <c r="S189" s="2" t="s">
        <v>71</v>
      </c>
      <c r="T189" s="2" t="s">
        <v>71</v>
      </c>
      <c r="U189" s="2" t="s">
        <v>71</v>
      </c>
      <c r="V189" s="2" t="s">
        <v>71</v>
      </c>
      <c r="W189" s="2" t="s">
        <v>71</v>
      </c>
      <c r="X189" s="2" t="s">
        <v>71</v>
      </c>
      <c r="Y189" s="2" t="s">
        <v>71</v>
      </c>
      <c r="Z189" s="2" t="s">
        <v>71</v>
      </c>
      <c r="AA189" s="2" t="s">
        <v>71</v>
      </c>
      <c r="AB189" s="53"/>
    </row>
    <row r="190" spans="16:28" ht="15" customHeight="1"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53"/>
    </row>
    <row r="191" spans="16:28" ht="15" customHeight="1">
      <c r="AB191" s="54"/>
    </row>
    <row r="192" spans="16:28" ht="15" customHeight="1">
      <c r="S192" t="str">
        <f>S183</f>
        <v>Period</v>
      </c>
      <c r="U192" t="str">
        <f>U183</f>
        <v>Decision Variables</v>
      </c>
      <c r="AB192" s="54"/>
    </row>
    <row r="193" spans="16:28" ht="15" customHeight="1">
      <c r="Q193" s="2" t="str">
        <f>Q184</f>
        <v>worker</v>
      </c>
      <c r="R193" s="2" t="str">
        <f>R184</f>
        <v>station</v>
      </c>
      <c r="S193" s="4">
        <f>S184</f>
        <v>0</v>
      </c>
      <c r="T193" s="5">
        <f>T184</f>
        <v>1</v>
      </c>
      <c r="U193" s="5">
        <f>U184</f>
        <v>2</v>
      </c>
      <c r="V193" s="5">
        <f t="shared" ref="V193:AA193" si="100">V184</f>
        <v>3</v>
      </c>
      <c r="W193" s="5">
        <f t="shared" si="100"/>
        <v>4</v>
      </c>
      <c r="X193" s="5">
        <f t="shared" si="100"/>
        <v>5</v>
      </c>
      <c r="Y193" s="5">
        <f t="shared" si="100"/>
        <v>6</v>
      </c>
      <c r="Z193" s="5">
        <f t="shared" si="100"/>
        <v>7</v>
      </c>
      <c r="AA193" s="5">
        <f t="shared" si="100"/>
        <v>8</v>
      </c>
      <c r="AB193" s="52"/>
    </row>
    <row r="194" spans="16:28" ht="15" customHeight="1">
      <c r="P194">
        <f>P185+1</f>
        <v>3</v>
      </c>
      <c r="Q194" s="2" t="str">
        <f>VLOOKUP(P194,$P$6:$Q$8,2,FALSE)</f>
        <v>k = 3</v>
      </c>
      <c r="R194" s="2">
        <f>R185</f>
        <v>1</v>
      </c>
      <c r="S194" s="9"/>
      <c r="T194" s="9"/>
      <c r="U194" s="9"/>
      <c r="V194" s="9">
        <v>1</v>
      </c>
      <c r="W194" s="9">
        <v>1</v>
      </c>
      <c r="X194" s="9">
        <v>1</v>
      </c>
      <c r="Y194" s="9"/>
      <c r="Z194" s="9"/>
      <c r="AA194" s="9"/>
      <c r="AB194" s="53"/>
    </row>
    <row r="195" spans="16:28" ht="15" customHeight="1">
      <c r="R195" s="2">
        <f>R186</f>
        <v>2</v>
      </c>
      <c r="S195" s="9"/>
      <c r="T195" s="9"/>
      <c r="U195" s="9"/>
      <c r="V195" s="9"/>
      <c r="W195" s="9"/>
      <c r="X195" s="9"/>
      <c r="Y195" s="9">
        <v>1</v>
      </c>
      <c r="Z195" s="9">
        <v>1</v>
      </c>
      <c r="AA195" s="9">
        <v>1</v>
      </c>
      <c r="AB195" s="53"/>
    </row>
    <row r="196" spans="16:28" ht="15" customHeight="1">
      <c r="R196" s="2">
        <f>R187</f>
        <v>3</v>
      </c>
      <c r="S196" s="9">
        <v>1</v>
      </c>
      <c r="T196" s="9">
        <v>1</v>
      </c>
      <c r="U196" s="9">
        <v>1</v>
      </c>
      <c r="V196" s="9"/>
      <c r="W196" s="9"/>
      <c r="X196" s="9"/>
      <c r="Y196" s="9"/>
      <c r="Z196" s="9"/>
      <c r="AA196" s="9"/>
      <c r="AB196" s="53"/>
    </row>
    <row r="197" spans="16:28" ht="15" customHeight="1">
      <c r="R197" s="2"/>
      <c r="S197" s="49">
        <f t="shared" ref="S197:AA197" si="101">SUM(S194:S196)</f>
        <v>1</v>
      </c>
      <c r="T197" s="50">
        <f t="shared" si="101"/>
        <v>1</v>
      </c>
      <c r="U197" s="50">
        <f t="shared" si="101"/>
        <v>1</v>
      </c>
      <c r="V197" s="50">
        <f t="shared" si="101"/>
        <v>1</v>
      </c>
      <c r="W197" s="50">
        <f t="shared" si="101"/>
        <v>1</v>
      </c>
      <c r="X197" s="50">
        <f t="shared" si="101"/>
        <v>1</v>
      </c>
      <c r="Y197" s="50">
        <f t="shared" si="101"/>
        <v>1</v>
      </c>
      <c r="Z197" s="50">
        <f t="shared" si="101"/>
        <v>1</v>
      </c>
      <c r="AA197" s="50">
        <f t="shared" si="101"/>
        <v>1</v>
      </c>
      <c r="AB197" s="52"/>
    </row>
    <row r="198" spans="16:28" ht="15" customHeight="1">
      <c r="S198" s="2" t="s">
        <v>71</v>
      </c>
      <c r="T198" s="2" t="s">
        <v>71</v>
      </c>
      <c r="U198" s="2" t="s">
        <v>71</v>
      </c>
      <c r="V198" s="2" t="s">
        <v>71</v>
      </c>
      <c r="W198" s="2" t="s">
        <v>71</v>
      </c>
      <c r="X198" s="2" t="s">
        <v>71</v>
      </c>
      <c r="Y198" s="2" t="s">
        <v>71</v>
      </c>
      <c r="Z198" s="2" t="s">
        <v>71</v>
      </c>
      <c r="AA198" s="2" t="s">
        <v>71</v>
      </c>
      <c r="AB198" s="53"/>
    </row>
    <row r="199" spans="16:28" ht="15" customHeight="1"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53"/>
    </row>
    <row r="200" spans="16:28" ht="15" customHeight="1">
      <c r="AB200" s="54"/>
    </row>
    <row r="201" spans="16:28">
      <c r="AB201" s="54"/>
    </row>
    <row r="202" spans="16:28">
      <c r="AB202" s="54"/>
    </row>
    <row r="203" spans="16:28">
      <c r="AB203" s="54"/>
    </row>
    <row r="204" spans="16:28">
      <c r="AB204" s="54"/>
    </row>
    <row r="205" spans="16:28">
      <c r="AB205" s="54"/>
    </row>
    <row r="206" spans="16:28">
      <c r="AB206" s="54"/>
    </row>
    <row r="207" spans="16:28">
      <c r="S207" t="str">
        <f>S192</f>
        <v>Period</v>
      </c>
      <c r="AB207" s="54"/>
    </row>
    <row r="208" spans="16:28">
      <c r="R208" s="2" t="str">
        <f>R193</f>
        <v>station</v>
      </c>
      <c r="S208" s="4">
        <f t="shared" ref="S208:AA208" si="102">S193</f>
        <v>0</v>
      </c>
      <c r="T208" s="5">
        <f t="shared" si="102"/>
        <v>1</v>
      </c>
      <c r="U208" s="5">
        <f t="shared" si="102"/>
        <v>2</v>
      </c>
      <c r="V208" s="5">
        <f t="shared" si="102"/>
        <v>3</v>
      </c>
      <c r="W208" s="5">
        <f t="shared" si="102"/>
        <v>4</v>
      </c>
      <c r="X208" s="5">
        <f t="shared" si="102"/>
        <v>5</v>
      </c>
      <c r="Y208" s="5">
        <f t="shared" si="102"/>
        <v>6</v>
      </c>
      <c r="Z208" s="5">
        <f t="shared" si="102"/>
        <v>7</v>
      </c>
      <c r="AA208" s="5">
        <f t="shared" si="102"/>
        <v>8</v>
      </c>
      <c r="AB208" s="52"/>
    </row>
    <row r="209" spans="18:28">
      <c r="R209" s="2">
        <f t="shared" ref="R209:R211" si="103">R194</f>
        <v>1</v>
      </c>
      <c r="S209" s="2">
        <f t="shared" ref="S209:AA211" si="104">SUMIF($R$175:$R$202,$R209,S$175:S$202)</f>
        <v>1</v>
      </c>
      <c r="T209" s="2">
        <f t="shared" si="104"/>
        <v>1</v>
      </c>
      <c r="U209" s="2">
        <f t="shared" si="104"/>
        <v>1</v>
      </c>
      <c r="V209" s="2">
        <f t="shared" si="104"/>
        <v>1</v>
      </c>
      <c r="W209" s="2">
        <f t="shared" si="104"/>
        <v>1</v>
      </c>
      <c r="X209" s="2">
        <f t="shared" si="104"/>
        <v>1</v>
      </c>
      <c r="Y209" s="2">
        <f t="shared" si="104"/>
        <v>1</v>
      </c>
      <c r="Z209" s="2">
        <f t="shared" si="104"/>
        <v>1</v>
      </c>
      <c r="AA209" s="2">
        <f t="shared" si="104"/>
        <v>1</v>
      </c>
      <c r="AB209" s="53"/>
    </row>
    <row r="210" spans="18:28">
      <c r="R210" s="2">
        <f t="shared" si="103"/>
        <v>2</v>
      </c>
      <c r="S210" s="2">
        <f t="shared" si="104"/>
        <v>1</v>
      </c>
      <c r="T210" s="2">
        <f t="shared" si="104"/>
        <v>1</v>
      </c>
      <c r="U210" s="2">
        <f t="shared" si="104"/>
        <v>1</v>
      </c>
      <c r="V210" s="2">
        <f t="shared" si="104"/>
        <v>1</v>
      </c>
      <c r="W210" s="2">
        <f t="shared" si="104"/>
        <v>1</v>
      </c>
      <c r="X210" s="2">
        <f t="shared" si="104"/>
        <v>1</v>
      </c>
      <c r="Y210" s="2">
        <f t="shared" si="104"/>
        <v>1</v>
      </c>
      <c r="Z210" s="2">
        <f t="shared" si="104"/>
        <v>1</v>
      </c>
      <c r="AA210" s="2">
        <f t="shared" si="104"/>
        <v>1</v>
      </c>
      <c r="AB210" s="53"/>
    </row>
    <row r="211" spans="18:28">
      <c r="R211" s="2">
        <f t="shared" si="103"/>
        <v>3</v>
      </c>
      <c r="S211" s="2">
        <f t="shared" si="104"/>
        <v>1</v>
      </c>
      <c r="T211" s="2">
        <f t="shared" si="104"/>
        <v>1</v>
      </c>
      <c r="U211" s="2">
        <f t="shared" si="104"/>
        <v>1</v>
      </c>
      <c r="V211" s="2">
        <f t="shared" si="104"/>
        <v>1</v>
      </c>
      <c r="W211" s="2">
        <f t="shared" si="104"/>
        <v>1</v>
      </c>
      <c r="X211" s="2">
        <f t="shared" si="104"/>
        <v>1</v>
      </c>
      <c r="Y211" s="2">
        <f t="shared" si="104"/>
        <v>1</v>
      </c>
      <c r="Z211" s="2">
        <f t="shared" si="104"/>
        <v>1</v>
      </c>
      <c r="AA211" s="2">
        <f t="shared" si="104"/>
        <v>1</v>
      </c>
      <c r="AB211" s="5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Pérez</dc:creator>
  <cp:lastModifiedBy>Randall Pérez</cp:lastModifiedBy>
  <dcterms:created xsi:type="dcterms:W3CDTF">2019-06-05T00:49:51Z</dcterms:created>
  <dcterms:modified xsi:type="dcterms:W3CDTF">2019-08-07T06:32:17Z</dcterms:modified>
</cp:coreProperties>
</file>