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 tabRatio="500"/>
  </bookViews>
  <sheets>
    <sheet name="1" sheetId="1" r:id="rId1"/>
  </sheets>
  <calcPr calcId="144525" concurrentCalc="0"/>
</workbook>
</file>

<file path=xl/sharedStrings.xml><?xml version="1.0" encoding="utf-8"?>
<sst xmlns="http://schemas.openxmlformats.org/spreadsheetml/2006/main" count="149" uniqueCount="72">
  <si>
    <t>learning coefficient, r</t>
  </si>
  <si>
    <t>j = 2</t>
  </si>
  <si>
    <t>j = 3</t>
  </si>
  <si>
    <t>Period</t>
  </si>
  <si>
    <t>Decide the station where each worker will be allocated on each period</t>
  </si>
  <si>
    <t>Number of worker reallocations</t>
  </si>
  <si>
    <t>k = 1</t>
  </si>
  <si>
    <t>k = 2</t>
  </si>
  <si>
    <t>k = 3</t>
  </si>
  <si>
    <t>Market demand forecast</t>
  </si>
  <si>
    <t>forgetting coefficient, f</t>
  </si>
  <si>
    <t>Actual number of units processed</t>
  </si>
  <si>
    <t>Station</t>
  </si>
  <si>
    <t>bottleneck =</t>
  </si>
  <si>
    <t>average =</t>
  </si>
  <si>
    <t>Std.Dev =</t>
  </si>
  <si>
    <t>last station</t>
  </si>
  <si>
    <t>Smax</t>
  </si>
  <si>
    <t>Theoretical number of units processed</t>
  </si>
  <si>
    <t>Demand</t>
  </si>
  <si>
    <t>Production</t>
  </si>
  <si>
    <t>Smin</t>
  </si>
  <si>
    <t>Production excess</t>
  </si>
  <si>
    <t>Lost sales</t>
  </si>
  <si>
    <t>Total =</t>
  </si>
  <si>
    <t>Sinitial</t>
  </si>
  <si>
    <t>Sinitial values were obtained randomly between 30 and 60 (except for station 12. For this station, I adjusted (increased) values manually.</t>
  </si>
  <si>
    <t>Work-in-process inventory (at the beginning of each day)</t>
  </si>
  <si>
    <t>delta</t>
  </si>
  <si>
    <t>j = 52</t>
  </si>
  <si>
    <t>Work-in-process inventory (at the end of each day)</t>
  </si>
  <si>
    <t>epsilon</t>
  </si>
  <si>
    <t>Work-in-process inventory (average)</t>
  </si>
  <si>
    <t>Inventory of Finished Goods</t>
  </si>
  <si>
    <t>Beginning of day</t>
  </si>
  <si>
    <t>End of day</t>
  </si>
  <si>
    <t>Average</t>
  </si>
  <si>
    <t>Cost of inventory</t>
  </si>
  <si>
    <t>Lost Sales</t>
  </si>
  <si>
    <t>D(ell)</t>
  </si>
  <si>
    <t>total production:</t>
  </si>
  <si>
    <t>Q(J,ell)</t>
  </si>
  <si>
    <t>total demand forecast:</t>
  </si>
  <si>
    <t>periods:</t>
  </si>
  <si>
    <t>stations:</t>
  </si>
  <si>
    <t>end-of-day inventory</t>
  </si>
  <si>
    <t>Satisfaction</t>
  </si>
  <si>
    <t>Standard</t>
  </si>
  <si>
    <t>Output</t>
  </si>
  <si>
    <t>Level</t>
  </si>
  <si>
    <t>Deviation</t>
  </si>
  <si>
    <t>Excess</t>
  </si>
  <si>
    <t>Z1 =</t>
  </si>
  <si>
    <t>Z2 =</t>
  </si>
  <si>
    <t>Z3 =</t>
  </si>
  <si>
    <t>z1 = Z1/D =</t>
  </si>
  <si>
    <t>z2 = Z2/L =</t>
  </si>
  <si>
    <t>z3 = Z3/J/D</t>
  </si>
  <si>
    <t>Sat Lev 1 =</t>
  </si>
  <si>
    <t>Sat Lev 2 =</t>
  </si>
  <si>
    <t>Sat Lev 3 =</t>
  </si>
  <si>
    <t>Theoretical number of units that can be processed</t>
  </si>
  <si>
    <t>station</t>
  </si>
  <si>
    <t>Number of times that worker has been assigned to this station</t>
  </si>
  <si>
    <t>Skill level of worker</t>
  </si>
  <si>
    <t>S^UB</t>
  </si>
  <si>
    <t>S^LB</t>
  </si>
  <si>
    <t>r</t>
  </si>
  <si>
    <t>f</t>
  </si>
  <si>
    <t>Decision Variables</t>
  </si>
  <si>
    <t>worker</t>
  </si>
  <si>
    <t>=</t>
  </si>
</sst>
</file>

<file path=xl/styles.xml><?xml version="1.0" encoding="utf-8"?>
<styleSheet xmlns="http://schemas.openxmlformats.org/spreadsheetml/2006/main">
  <numFmts count="7">
    <numFmt numFmtId="176" formatCode="0.000"/>
    <numFmt numFmtId="41" formatCode="_-* #,##0_-;\-* #,##0_-;_-* &quot;-&quot;_-;_-@_-"/>
    <numFmt numFmtId="177" formatCode="0.0"/>
    <numFmt numFmtId="178" formatCode="_-[$$-409]* #,##0_ ;_-[$$-409]* \-#,##0\ ;_-[$$-409]* &quot;-&quot;_ ;_-@_ 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5">
    <font>
      <sz val="12"/>
      <color theme="1"/>
      <name val="Calibri"/>
      <charset val="134"/>
      <scheme val="minor"/>
    </font>
    <font>
      <sz val="12"/>
      <color rgb="FF0000FF"/>
      <name val="Calibri"/>
      <charset val="134"/>
      <scheme val="minor"/>
    </font>
    <font>
      <sz val="12"/>
      <color theme="7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color theme="7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0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0" fontId="8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5" fillId="14" borderId="1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5" borderId="14" applyNumberFormat="0" applyFont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6" borderId="1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76" fontId="0" fillId="2" borderId="0" xfId="0" applyNumberFormat="1" applyFill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76" fontId="0" fillId="2" borderId="7" xfId="0" applyNumberForma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right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1" xfId="0" applyNumberFormat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11" xfId="0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178" fontId="0" fillId="0" borderId="7" xfId="0" applyNumberFormat="1" applyBorder="1"/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0" fontId="2" fillId="0" borderId="0" xfId="0" applyFont="1"/>
    <xf numFmtId="0" fontId="1" fillId="0" borderId="0" xfId="0" applyFont="1"/>
    <xf numFmtId="0" fontId="0" fillId="6" borderId="4" xfId="0" applyNumberFormat="1" applyFill="1" applyBorder="1" applyAlignment="1">
      <alignment horizontal="center"/>
    </xf>
    <xf numFmtId="0" fontId="0" fillId="6" borderId="6" xfId="0" applyNumberForma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8" borderId="0" xfId="0" applyFont="1" applyFill="1" applyAlignment="1">
      <alignment horizontal="center"/>
    </xf>
    <xf numFmtId="0" fontId="0" fillId="9" borderId="0" xfId="0" applyFill="1"/>
    <xf numFmtId="0" fontId="6" fillId="0" borderId="0" xfId="0" applyFont="1" applyAlignment="1">
      <alignment horizontal="center"/>
    </xf>
    <xf numFmtId="177" fontId="0" fillId="0" borderId="0" xfId="0" applyNumberFormat="1"/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'1'!$AD$63</c:f>
              <c:strCache>
                <c:ptCount val="1"/>
                <c:pt idx="0">
                  <c:v>Q(J,ell)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elete val="1"/>
          </c:dLbls>
          <c:val>
            <c:numRef>
              <c:f>'1'!$AE$63:$AN$63</c:f>
              <c:numCache>
                <c:formatCode>General</c:formatCode>
                <c:ptCount val="10"/>
                <c:pt idx="0">
                  <c:v>6</c:v>
                </c:pt>
                <c:pt idx="1">
                  <c:v>14.908876389841</c:v>
                </c:pt>
                <c:pt idx="2">
                  <c:v>20.5107495076209</c:v>
                </c:pt>
                <c:pt idx="3">
                  <c:v>8</c:v>
                </c:pt>
                <c:pt idx="4">
                  <c:v>17.758931678705</c:v>
                </c:pt>
                <c:pt idx="5">
                  <c:v>23.6486352028043</c:v>
                </c:pt>
                <c:pt idx="6">
                  <c:v>7</c:v>
                </c:pt>
                <c:pt idx="7">
                  <c:v>16.7516711064117</c:v>
                </c:pt>
                <c:pt idx="8">
                  <c:v>20.7720510790971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946824"/>
        <c:axId val="-2062855528"/>
      </c:barChart>
      <c:lineChart>
        <c:grouping val="standard"/>
        <c:varyColors val="0"/>
        <c:ser>
          <c:idx val="0"/>
          <c:order val="0"/>
          <c:tx>
            <c:strRef>
              <c:f>'1'!$AD$62</c:f>
              <c:strCache>
                <c:ptCount val="1"/>
                <c:pt idx="0">
                  <c:v>D(ell)</c:v>
                </c:pt>
              </c:strCache>
            </c:strRef>
          </c:tx>
          <c:dLbls>
            <c:delete val="1"/>
          </c:dLbls>
          <c:cat>
            <c:numRef>
              <c:f>'1'!$AE$61:$AN$61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'1'!$AE$62:$AN$62</c:f>
              <c:numCache>
                <c:formatCode>General</c:formatCode>
                <c:ptCount val="10"/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  <c:pt idx="5">
                  <c:v>25</c:v>
                </c:pt>
                <c:pt idx="6">
                  <c:v>18</c:v>
                </c:pt>
                <c:pt idx="7">
                  <c:v>35</c:v>
                </c:pt>
                <c:pt idx="8">
                  <c:v>29</c:v>
                </c:pt>
                <c:pt idx="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46824"/>
        <c:axId val="-2062855528"/>
      </c:lineChart>
      <c:catAx>
        <c:axId val="-2056946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62855528"/>
        <c:crosses val="autoZero"/>
        <c:auto val="1"/>
        <c:lblAlgn val="ctr"/>
        <c:lblOffset val="100"/>
        <c:noMultiLvlLbl val="0"/>
      </c:catAx>
      <c:valAx>
        <c:axId val="-206285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56946824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'1'!$AD$64</c:f>
              <c:strCache>
                <c:ptCount val="1"/>
                <c:pt idx="0">
                  <c:v>end-of-day inventory</c:v>
                </c:pt>
              </c:strCache>
            </c:strRef>
          </c:tx>
          <c:invertIfNegative val="0"/>
          <c:dLbls>
            <c:delete val="1"/>
          </c:dLbls>
          <c:cat>
            <c:numRef>
              <c:f>'1'!$AE$61:$AN$61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'1'!$AE$64:$AN$64</c:f>
              <c:numCache>
                <c:formatCode>General</c:formatCode>
                <c:ptCount val="10"/>
                <c:pt idx="0">
                  <c:v>6</c:v>
                </c:pt>
                <c:pt idx="1">
                  <c:v>15.908876389841</c:v>
                </c:pt>
                <c:pt idx="2">
                  <c:v>28.4196258974619</c:v>
                </c:pt>
                <c:pt idx="3">
                  <c:v>23.4196258974619</c:v>
                </c:pt>
                <c:pt idx="4">
                  <c:v>34.178557576167</c:v>
                </c:pt>
                <c:pt idx="5">
                  <c:v>32.8271927789713</c:v>
                </c:pt>
                <c:pt idx="6">
                  <c:v>21.8271927789713</c:v>
                </c:pt>
                <c:pt idx="7">
                  <c:v>16.7516711064117</c:v>
                </c:pt>
                <c:pt idx="8">
                  <c:v>20.7720510790971</c:v>
                </c:pt>
                <c:pt idx="9">
                  <c:v>0</c:v>
                </c:pt>
              </c:numCache>
            </c:numRef>
          </c:val>
        </c:ser>
        <c:ser>
          <c:idx val="3"/>
          <c:order val="2"/>
          <c:tx>
            <c:strRef>
              <c:f>'1'!$AD$65</c:f>
              <c:strCache>
                <c:ptCount val="1"/>
                <c:pt idx="0">
                  <c:v>Lost sales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elete val="1"/>
          </c:dLbls>
          <c:cat>
            <c:numRef>
              <c:f>'1'!$AE$61:$AN$61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'1'!$AE$65:$AN$65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13.1728072210287</c:v>
                </c:pt>
                <c:pt idx="8">
                  <c:v>12.2483288935883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382664"/>
        <c:axId val="-2051468776"/>
      </c:barChart>
      <c:lineChart>
        <c:grouping val="standard"/>
        <c:varyColors val="0"/>
        <c:ser>
          <c:idx val="0"/>
          <c:order val="0"/>
          <c:tx>
            <c:strRef>
              <c:f>'1'!$AD$62</c:f>
              <c:strCache>
                <c:ptCount val="1"/>
                <c:pt idx="0">
                  <c:v>D(ell)</c:v>
                </c:pt>
              </c:strCache>
            </c:strRef>
          </c:tx>
          <c:dLbls>
            <c:delete val="1"/>
          </c:dLbls>
          <c:cat>
            <c:numRef>
              <c:f>'1'!$AE$61:$AN$61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'1'!$AE$62:$AN$62</c:f>
              <c:numCache>
                <c:formatCode>General</c:formatCode>
                <c:ptCount val="10"/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  <c:pt idx="5">
                  <c:v>25</c:v>
                </c:pt>
                <c:pt idx="6">
                  <c:v>18</c:v>
                </c:pt>
                <c:pt idx="7">
                  <c:v>35</c:v>
                </c:pt>
                <c:pt idx="8">
                  <c:v>29</c:v>
                </c:pt>
                <c:pt idx="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82664"/>
        <c:axId val="-2051468776"/>
      </c:lineChart>
      <c:catAx>
        <c:axId val="-206238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51468776"/>
        <c:crosses val="autoZero"/>
        <c:auto val="1"/>
        <c:lblAlgn val="ctr"/>
        <c:lblOffset val="100"/>
        <c:noMultiLvlLbl val="0"/>
      </c:catAx>
      <c:valAx>
        <c:axId val="-205146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62382664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'1'!$AD$63</c:f>
              <c:strCache>
                <c:ptCount val="1"/>
                <c:pt idx="0">
                  <c:v>Q(J,ell)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elete val="1"/>
          </c:dLbls>
          <c:cat>
            <c:numRef>
              <c:f>'1'!$AE$61:$AN$61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'1'!$AE$63:$AN$63</c:f>
              <c:numCache>
                <c:formatCode>General</c:formatCode>
                <c:ptCount val="10"/>
                <c:pt idx="0">
                  <c:v>6</c:v>
                </c:pt>
                <c:pt idx="1">
                  <c:v>14.908876389841</c:v>
                </c:pt>
                <c:pt idx="2">
                  <c:v>20.5107495076209</c:v>
                </c:pt>
                <c:pt idx="3">
                  <c:v>8</c:v>
                </c:pt>
                <c:pt idx="4">
                  <c:v>17.758931678705</c:v>
                </c:pt>
                <c:pt idx="5">
                  <c:v>23.6486352028043</c:v>
                </c:pt>
                <c:pt idx="6">
                  <c:v>7</c:v>
                </c:pt>
                <c:pt idx="7">
                  <c:v>16.7516711064117</c:v>
                </c:pt>
                <c:pt idx="8">
                  <c:v>20.7720510790971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'1'!$AD$64</c:f>
              <c:strCache>
                <c:ptCount val="1"/>
                <c:pt idx="0">
                  <c:v>end-of-day inventory</c:v>
                </c:pt>
              </c:strCache>
            </c:strRef>
          </c:tx>
          <c:invertIfNegative val="0"/>
          <c:dLbls>
            <c:delete val="1"/>
          </c:dLbls>
          <c:cat>
            <c:numRef>
              <c:f>'1'!$AE$61:$AN$61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'1'!$AE$64:$AN$64</c:f>
              <c:numCache>
                <c:formatCode>General</c:formatCode>
                <c:ptCount val="10"/>
                <c:pt idx="0">
                  <c:v>6</c:v>
                </c:pt>
                <c:pt idx="1">
                  <c:v>15.908876389841</c:v>
                </c:pt>
                <c:pt idx="2">
                  <c:v>28.4196258974619</c:v>
                </c:pt>
                <c:pt idx="3">
                  <c:v>23.4196258974619</c:v>
                </c:pt>
                <c:pt idx="4">
                  <c:v>34.178557576167</c:v>
                </c:pt>
                <c:pt idx="5">
                  <c:v>32.8271927789713</c:v>
                </c:pt>
                <c:pt idx="6">
                  <c:v>21.8271927789713</c:v>
                </c:pt>
                <c:pt idx="7">
                  <c:v>16.7516711064117</c:v>
                </c:pt>
                <c:pt idx="8">
                  <c:v>20.7720510790971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53480"/>
        <c:axId val="-2077061736"/>
      </c:barChart>
      <c:lineChart>
        <c:grouping val="standard"/>
        <c:varyColors val="0"/>
        <c:ser>
          <c:idx val="0"/>
          <c:order val="0"/>
          <c:tx>
            <c:strRef>
              <c:f>'1'!$AD$62</c:f>
              <c:strCache>
                <c:ptCount val="1"/>
                <c:pt idx="0">
                  <c:v>D(ell)</c:v>
                </c:pt>
              </c:strCache>
            </c:strRef>
          </c:tx>
          <c:dLbls>
            <c:delete val="1"/>
          </c:dLbls>
          <c:val>
            <c:numRef>
              <c:f>'1'!$AE$62:$AN$62</c:f>
              <c:numCache>
                <c:formatCode>General</c:formatCode>
                <c:ptCount val="10"/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  <c:pt idx="5">
                  <c:v>25</c:v>
                </c:pt>
                <c:pt idx="6">
                  <c:v>18</c:v>
                </c:pt>
                <c:pt idx="7">
                  <c:v>35</c:v>
                </c:pt>
                <c:pt idx="8">
                  <c:v>29</c:v>
                </c:pt>
                <c:pt idx="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53480"/>
        <c:axId val="-2077061736"/>
      </c:lineChart>
      <c:catAx>
        <c:axId val="-20739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77061736"/>
        <c:crosses val="autoZero"/>
        <c:auto val="1"/>
        <c:lblAlgn val="ctr"/>
        <c:lblOffset val="100"/>
        <c:noMultiLvlLbl val="0"/>
      </c:catAx>
      <c:valAx>
        <c:axId val="-207706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73953480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png"/><Relationship Id="rId8" Type="http://schemas.openxmlformats.org/officeDocument/2006/relationships/image" Target="../media/image5.png"/><Relationship Id="rId7" Type="http://schemas.openxmlformats.org/officeDocument/2006/relationships/image" Target="../media/image4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440264</xdr:colOff>
      <xdr:row>44</xdr:row>
      <xdr:rowOff>143917</xdr:rowOff>
    </xdr:from>
    <xdr:to>
      <xdr:col>40</xdr:col>
      <xdr:colOff>186266</xdr:colOff>
      <xdr:row>59</xdr:row>
      <xdr:rowOff>93117</xdr:rowOff>
    </xdr:to>
    <xdr:graphicFrame>
      <xdr:nvGraphicFramePr>
        <xdr:cNvPr id="2" name="Gráfico 1"/>
        <xdr:cNvGraphicFramePr/>
      </xdr:nvGraphicFramePr>
      <xdr:xfrm>
        <a:off x="30808930" y="8944610"/>
        <a:ext cx="5238750" cy="294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440269</xdr:colOff>
      <xdr:row>29</xdr:row>
      <xdr:rowOff>84667</xdr:rowOff>
    </xdr:from>
    <xdr:to>
      <xdr:col>40</xdr:col>
      <xdr:colOff>186267</xdr:colOff>
      <xdr:row>44</xdr:row>
      <xdr:rowOff>33867</xdr:rowOff>
    </xdr:to>
    <xdr:graphicFrame>
      <xdr:nvGraphicFramePr>
        <xdr:cNvPr id="3" name="Gráfico 2"/>
        <xdr:cNvGraphicFramePr/>
      </xdr:nvGraphicFramePr>
      <xdr:xfrm>
        <a:off x="30808930" y="5885180"/>
        <a:ext cx="5238750" cy="294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474134</xdr:colOff>
      <xdr:row>8</xdr:row>
      <xdr:rowOff>33866</xdr:rowOff>
    </xdr:from>
    <xdr:to>
      <xdr:col>40</xdr:col>
      <xdr:colOff>169333</xdr:colOff>
      <xdr:row>22</xdr:row>
      <xdr:rowOff>169332</xdr:rowOff>
    </xdr:to>
    <xdr:graphicFrame>
      <xdr:nvGraphicFramePr>
        <xdr:cNvPr id="4" name="Gráfico 3"/>
        <xdr:cNvGraphicFramePr/>
      </xdr:nvGraphicFramePr>
      <xdr:xfrm>
        <a:off x="30842585" y="1633855"/>
        <a:ext cx="5187950" cy="2935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175</xdr:row>
      <xdr:rowOff>16944</xdr:rowOff>
    </xdr:from>
    <xdr:to>
      <xdr:col>35</xdr:col>
      <xdr:colOff>33868</xdr:colOff>
      <xdr:row>178</xdr:row>
      <xdr:rowOff>10</xdr:rowOff>
    </xdr:to>
    <xdr:sp>
      <xdr:nvSpPr>
        <xdr:cNvPr id="5" name="TextBox 6"/>
        <xdr:cNvSpPr txBox="1"/>
      </xdr:nvSpPr>
      <xdr:spPr>
        <a:xfrm>
          <a:off x="18843625" y="35020885"/>
          <a:ext cx="14829155" cy="583565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The</a:t>
          </a:r>
          <a:r>
            <a:rPr lang="en-US" sz="2800" baseline="0"/>
            <a:t> decision variable x_{jkl} = 1 if worker k is assigned to station j in period \ell.</a:t>
          </a:r>
          <a:endParaRPr lang="en-US" sz="2800"/>
        </a:p>
      </xdr:txBody>
    </xdr:sp>
    <xdr:clientData/>
  </xdr:twoCellAnchor>
  <xdr:twoCellAnchor>
    <xdr:from>
      <xdr:col>12</xdr:col>
      <xdr:colOff>42333</xdr:colOff>
      <xdr:row>177</xdr:row>
      <xdr:rowOff>8486</xdr:rowOff>
    </xdr:from>
    <xdr:to>
      <xdr:col>15</xdr:col>
      <xdr:colOff>482600</xdr:colOff>
      <xdr:row>184</xdr:row>
      <xdr:rowOff>93151</xdr:rowOff>
    </xdr:to>
    <xdr:sp>
      <xdr:nvSpPr>
        <xdr:cNvPr id="6" name="Rounded Rectangular Callout 7"/>
        <xdr:cNvSpPr/>
      </xdr:nvSpPr>
      <xdr:spPr>
        <a:xfrm>
          <a:off x="12614910" y="35412680"/>
          <a:ext cx="3583940" cy="1437005"/>
        </a:xfrm>
        <a:prstGeom prst="wedgeRoundRectCallout">
          <a:avLst>
            <a:gd name="adj1" fmla="val 129167"/>
            <a:gd name="adj2" fmla="val -31067"/>
            <a:gd name="adj3" fmla="val 16667"/>
          </a:avLst>
        </a:prstGeom>
        <a:solidFill>
          <a:srgbClr val="92D050">
            <a:alpha val="30000"/>
          </a:srgb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In each</a:t>
          </a:r>
          <a:r>
            <a:rPr lang="en-US" sz="2400" baseline="0">
              <a:solidFill>
                <a:sysClr val="windowText" lastClr="000000"/>
              </a:solidFill>
            </a:rPr>
            <a:t> period, each worker is assigned to one station.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0</xdr:colOff>
      <xdr:row>206</xdr:row>
      <xdr:rowOff>67745</xdr:rowOff>
    </xdr:from>
    <xdr:to>
      <xdr:col>15</xdr:col>
      <xdr:colOff>440267</xdr:colOff>
      <xdr:row>213</xdr:row>
      <xdr:rowOff>152410</xdr:rowOff>
    </xdr:to>
    <xdr:sp>
      <xdr:nvSpPr>
        <xdr:cNvPr id="7" name="Rounded Rectangular Callout 8"/>
        <xdr:cNvSpPr/>
      </xdr:nvSpPr>
      <xdr:spPr>
        <a:xfrm>
          <a:off x="12573000" y="41072435"/>
          <a:ext cx="3583305" cy="1485265"/>
        </a:xfrm>
        <a:prstGeom prst="wedgeRoundRectCallout">
          <a:avLst>
            <a:gd name="adj1" fmla="val 80901"/>
            <a:gd name="adj2" fmla="val -21710"/>
            <a:gd name="adj3" fmla="val 16667"/>
          </a:avLst>
        </a:prstGeom>
        <a:solidFill>
          <a:srgbClr val="92D050">
            <a:alpha val="30000"/>
          </a:srgb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In each</a:t>
          </a:r>
          <a:r>
            <a:rPr lang="en-US" sz="2400" baseline="0">
              <a:solidFill>
                <a:sysClr val="windowText" lastClr="000000"/>
              </a:solidFill>
            </a:rPr>
            <a:t> period, each station receives one worker.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524933</xdr:colOff>
      <xdr:row>205</xdr:row>
      <xdr:rowOff>50798</xdr:rowOff>
    </xdr:from>
    <xdr:to>
      <xdr:col>17</xdr:col>
      <xdr:colOff>203199</xdr:colOff>
      <xdr:row>211</xdr:row>
      <xdr:rowOff>118532</xdr:rowOff>
    </xdr:to>
    <xdr:sp>
      <xdr:nvSpPr>
        <xdr:cNvPr id="8" name="Left Brace 9"/>
        <xdr:cNvSpPr/>
      </xdr:nvSpPr>
      <xdr:spPr>
        <a:xfrm>
          <a:off x="17288510" y="40855265"/>
          <a:ext cx="709930" cy="1268095"/>
        </a:xfrm>
        <a:prstGeom prst="leftBrace">
          <a:avLst/>
        </a:prstGeom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253995</xdr:colOff>
      <xdr:row>2</xdr:row>
      <xdr:rowOff>84662</xdr:rowOff>
    </xdr:from>
    <xdr:to>
      <xdr:col>10</xdr:col>
      <xdr:colOff>465661</xdr:colOff>
      <xdr:row>23</xdr:row>
      <xdr:rowOff>118528</xdr:rowOff>
    </xdr:to>
    <xdr:sp>
      <xdr:nvSpPr>
        <xdr:cNvPr id="9" name="TextBox 4"/>
        <xdr:cNvSpPr txBox="1"/>
      </xdr:nvSpPr>
      <xdr:spPr>
        <a:xfrm>
          <a:off x="4444365" y="484505"/>
          <a:ext cx="6498590" cy="4234180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Values in columns B,</a:t>
          </a:r>
          <a:r>
            <a:rPr lang="en-US" sz="2800" baseline="0"/>
            <a:t> C, and D are </a:t>
          </a:r>
          <a:r>
            <a:rPr lang="en-US" sz="2800"/>
            <a:t>input parameters:</a:t>
          </a:r>
          <a:endParaRPr lang="en-US" sz="2800"/>
        </a:p>
        <a:p>
          <a:r>
            <a:rPr lang="en-US" sz="2800"/>
            <a:t>- learning coefficients</a:t>
          </a:r>
          <a:endParaRPr lang="en-US" sz="2800"/>
        </a:p>
        <a:p>
          <a:r>
            <a:rPr lang="en-US" sz="2800"/>
            <a:t>- forgetting coefficients</a:t>
          </a:r>
          <a:endParaRPr lang="en-US" sz="2800"/>
        </a:p>
        <a:p>
          <a:r>
            <a:rPr lang="en-US" sz="2800"/>
            <a:t>- Smax values</a:t>
          </a:r>
          <a:endParaRPr lang="en-US" sz="2800"/>
        </a:p>
        <a:p>
          <a:r>
            <a:rPr lang="en-US" sz="2800"/>
            <a:t>- Smin values</a:t>
          </a:r>
          <a:endParaRPr lang="en-US" sz="2800"/>
        </a:p>
        <a:p>
          <a:r>
            <a:rPr lang="en-US" sz="2800"/>
            <a:t>- Sinitial values</a:t>
          </a:r>
          <a:endParaRPr lang="en-US" sz="2800"/>
        </a:p>
        <a:p>
          <a:r>
            <a:rPr lang="en-US" sz="2800"/>
            <a:t>- delta</a:t>
          </a:r>
          <a:endParaRPr lang="en-US" sz="2800"/>
        </a:p>
        <a:p>
          <a:r>
            <a:rPr lang="en-US" sz="2800"/>
            <a:t>- epsilon</a:t>
          </a:r>
          <a:endParaRPr lang="en-US" sz="2800"/>
        </a:p>
      </xdr:txBody>
    </xdr:sp>
    <xdr:clientData/>
  </xdr:twoCellAnchor>
  <xdr:twoCellAnchor>
    <xdr:from>
      <xdr:col>25</xdr:col>
      <xdr:colOff>177930</xdr:colOff>
      <xdr:row>78</xdr:row>
      <xdr:rowOff>33916</xdr:rowOff>
    </xdr:from>
    <xdr:to>
      <xdr:col>28</xdr:col>
      <xdr:colOff>618197</xdr:colOff>
      <xdr:row>85</xdr:row>
      <xdr:rowOff>118581</xdr:rowOff>
    </xdr:to>
    <xdr:sp>
      <xdr:nvSpPr>
        <xdr:cNvPr id="11" name="Rounded Rectangular Callout 10"/>
        <xdr:cNvSpPr/>
      </xdr:nvSpPr>
      <xdr:spPr>
        <a:xfrm>
          <a:off x="26355675" y="15635605"/>
          <a:ext cx="3583305" cy="1484630"/>
        </a:xfrm>
        <a:prstGeom prst="wedgeRoundRectCallout">
          <a:avLst>
            <a:gd name="adj1" fmla="val -13030"/>
            <a:gd name="adj2" fmla="val -109430"/>
            <a:gd name="adj3" fmla="val 16667"/>
          </a:avLst>
        </a:prstGeom>
        <a:solidFill>
          <a:srgbClr val="92D050">
            <a:alpha val="30000"/>
          </a:srgb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Maximize total</a:t>
          </a:r>
          <a:r>
            <a:rPr lang="en-US" sz="2400" baseline="0">
              <a:solidFill>
                <a:sysClr val="windowText" lastClr="000000"/>
              </a:solidFill>
            </a:rPr>
            <a:t> satisfaction level.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694271</xdr:colOff>
      <xdr:row>64</xdr:row>
      <xdr:rowOff>47</xdr:rowOff>
    </xdr:from>
    <xdr:to>
      <xdr:col>17</xdr:col>
      <xdr:colOff>203204</xdr:colOff>
      <xdr:row>75</xdr:row>
      <xdr:rowOff>25449</xdr:rowOff>
    </xdr:to>
    <xdr:sp>
      <xdr:nvSpPr>
        <xdr:cNvPr id="12" name="Frame 12"/>
        <xdr:cNvSpPr/>
      </xdr:nvSpPr>
      <xdr:spPr>
        <a:xfrm>
          <a:off x="14314805" y="12801600"/>
          <a:ext cx="3684270" cy="2225675"/>
        </a:xfrm>
        <a:prstGeom prst="frame">
          <a:avLst>
            <a:gd name="adj1" fmla="val 4117"/>
          </a:avLst>
        </a:prstGeom>
        <a:solidFill>
          <a:srgbClr val="92D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702863</xdr:colOff>
      <xdr:row>64</xdr:row>
      <xdr:rowOff>42381</xdr:rowOff>
    </xdr:from>
    <xdr:to>
      <xdr:col>21</xdr:col>
      <xdr:colOff>211797</xdr:colOff>
      <xdr:row>75</xdr:row>
      <xdr:rowOff>67783</xdr:rowOff>
    </xdr:to>
    <xdr:sp>
      <xdr:nvSpPr>
        <xdr:cNvPr id="13" name="Frame 13"/>
        <xdr:cNvSpPr/>
      </xdr:nvSpPr>
      <xdr:spPr>
        <a:xfrm>
          <a:off x="18498185" y="12843510"/>
          <a:ext cx="3700145" cy="2225675"/>
        </a:xfrm>
        <a:prstGeom prst="frame">
          <a:avLst>
            <a:gd name="adj1" fmla="val 4117"/>
          </a:avLst>
        </a:prstGeom>
        <a:solidFill>
          <a:srgbClr val="92D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584330</xdr:colOff>
      <xdr:row>64</xdr:row>
      <xdr:rowOff>25447</xdr:rowOff>
    </xdr:from>
    <xdr:to>
      <xdr:col>25</xdr:col>
      <xdr:colOff>93264</xdr:colOff>
      <xdr:row>75</xdr:row>
      <xdr:rowOff>50849</xdr:rowOff>
    </xdr:to>
    <xdr:sp>
      <xdr:nvSpPr>
        <xdr:cNvPr id="14" name="Frame 14"/>
        <xdr:cNvSpPr/>
      </xdr:nvSpPr>
      <xdr:spPr>
        <a:xfrm>
          <a:off x="22571075" y="12827000"/>
          <a:ext cx="3699510" cy="2225675"/>
        </a:xfrm>
        <a:prstGeom prst="frame">
          <a:avLst>
            <a:gd name="adj1" fmla="val 4117"/>
          </a:avLst>
        </a:prstGeom>
        <a:solidFill>
          <a:srgbClr val="92D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685929</xdr:colOff>
      <xdr:row>75</xdr:row>
      <xdr:rowOff>160914</xdr:rowOff>
    </xdr:from>
    <xdr:to>
      <xdr:col>21</xdr:col>
      <xdr:colOff>228730</xdr:colOff>
      <xdr:row>90</xdr:row>
      <xdr:rowOff>76250</xdr:rowOff>
    </xdr:to>
    <xdr:sp>
      <xdr:nvSpPr>
        <xdr:cNvPr id="16" name="TextBox 16"/>
        <xdr:cNvSpPr txBox="1"/>
      </xdr:nvSpPr>
      <xdr:spPr>
        <a:xfrm>
          <a:off x="18481675" y="15162530"/>
          <a:ext cx="3733800" cy="2915920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Objective function 2, Z2 (Capital Z): minimize total standard deviation of the number of units</a:t>
          </a:r>
          <a:r>
            <a:rPr lang="en-US" sz="1800" baseline="0"/>
            <a:t> processed by the stations</a:t>
          </a:r>
          <a:r>
            <a:rPr lang="en-US" sz="1800"/>
            <a:t>.</a:t>
          </a:r>
          <a:endParaRPr lang="en-US" sz="1800"/>
        </a:p>
        <a:p>
          <a:endParaRPr lang="en-US" sz="1800"/>
        </a:p>
        <a:p>
          <a:r>
            <a:rPr lang="en-US" sz="1800"/>
            <a:t>z2 (small case z) normalizes Z2</a:t>
          </a:r>
          <a:r>
            <a:rPr lang="en-US" sz="1800" baseline="0"/>
            <a:t> and obtains a value between 0 and 1.</a:t>
          </a:r>
          <a:endParaRPr lang="en-US" sz="1800"/>
        </a:p>
      </xdr:txBody>
    </xdr:sp>
    <xdr:clientData/>
  </xdr:twoCellAnchor>
  <xdr:twoCellAnchor>
    <xdr:from>
      <xdr:col>21</xdr:col>
      <xdr:colOff>584330</xdr:colOff>
      <xdr:row>75</xdr:row>
      <xdr:rowOff>160916</xdr:rowOff>
    </xdr:from>
    <xdr:to>
      <xdr:col>25</xdr:col>
      <xdr:colOff>127131</xdr:colOff>
      <xdr:row>87</xdr:row>
      <xdr:rowOff>33917</xdr:rowOff>
    </xdr:to>
    <xdr:sp>
      <xdr:nvSpPr>
        <xdr:cNvPr id="17" name="TextBox 17"/>
        <xdr:cNvSpPr txBox="1"/>
      </xdr:nvSpPr>
      <xdr:spPr>
        <a:xfrm>
          <a:off x="22571075" y="15162530"/>
          <a:ext cx="3733800" cy="2273300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Objective function 3, Z3 (Capital Z): minimize total production excess.</a:t>
          </a:r>
          <a:endParaRPr lang="en-US" sz="1800"/>
        </a:p>
        <a:p>
          <a:endParaRPr lang="en-US" sz="1800"/>
        </a:p>
        <a:p>
          <a:r>
            <a:rPr lang="en-US" sz="1800"/>
            <a:t>z3 (small case z) normalizes Z3</a:t>
          </a:r>
          <a:r>
            <a:rPr lang="en-US" sz="1800" baseline="0"/>
            <a:t> and obtains a value between 0 and 1.</a:t>
          </a:r>
          <a:endParaRPr lang="en-US" sz="1800"/>
        </a:p>
      </xdr:txBody>
    </xdr:sp>
    <xdr:clientData/>
  </xdr:twoCellAnchor>
  <xdr:twoCellAnchor>
    <xdr:from>
      <xdr:col>11</xdr:col>
      <xdr:colOff>0</xdr:colOff>
      <xdr:row>134</xdr:row>
      <xdr:rowOff>0</xdr:rowOff>
    </xdr:from>
    <xdr:to>
      <xdr:col>25</xdr:col>
      <xdr:colOff>626534</xdr:colOff>
      <xdr:row>161</xdr:row>
      <xdr:rowOff>0</xdr:rowOff>
    </xdr:to>
    <xdr:sp>
      <xdr:nvSpPr>
        <xdr:cNvPr id="18" name="TextBox 18"/>
        <xdr:cNvSpPr txBox="1"/>
      </xdr:nvSpPr>
      <xdr:spPr>
        <a:xfrm>
          <a:off x="11525250" y="26803350"/>
          <a:ext cx="15278735" cy="5400675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If a worker remains on the same statioin, his/her skill improves according to the formula:</a:t>
          </a:r>
          <a:endParaRPr lang="en-US" sz="2800"/>
        </a:p>
        <a:p>
          <a:endParaRPr lang="en-US" sz="2800"/>
        </a:p>
        <a:p>
          <a:endParaRPr lang="en-US" sz="2800"/>
        </a:p>
        <a:p>
          <a:r>
            <a:rPr lang="en-US" sz="2800"/>
            <a:t>If a worker is changed to another station, the previously learnt</a:t>
          </a:r>
          <a:r>
            <a:rPr lang="en-US" sz="2800" baseline="0"/>
            <a:t> skill deteriorates according to the formula:</a:t>
          </a:r>
          <a:endParaRPr lang="en-US" sz="2800" baseline="0"/>
        </a:p>
        <a:p>
          <a:endParaRPr lang="en-US" sz="2800" baseline="0"/>
        </a:p>
        <a:p>
          <a:endParaRPr lang="en-US" sz="2800" baseline="0"/>
        </a:p>
        <a:p>
          <a:endParaRPr lang="en-US" sz="2800" baseline="0"/>
        </a:p>
        <a:p>
          <a:r>
            <a:rPr lang="en-US" sz="2800" baseline="0"/>
            <a:t>All parameters (Smax, Smin, learning coefficients, forgetting coefficients, delta, epsilon are in columns B, C, and D (top of spreadsheet).</a:t>
          </a:r>
          <a:endParaRPr lang="en-US" sz="2800"/>
        </a:p>
      </xdr:txBody>
    </xdr:sp>
    <xdr:clientData/>
  </xdr:twoCellAnchor>
  <xdr:twoCellAnchor editAs="oneCell">
    <xdr:from>
      <xdr:col>12</xdr:col>
      <xdr:colOff>795866</xdr:colOff>
      <xdr:row>137</xdr:row>
      <xdr:rowOff>16933</xdr:rowOff>
    </xdr:from>
    <xdr:to>
      <xdr:col>18</xdr:col>
      <xdr:colOff>21166</xdr:colOff>
      <xdr:row>140</xdr:row>
      <xdr:rowOff>143933</xdr:rowOff>
    </xdr:to>
    <xdr:pic>
      <xdr:nvPicPr>
        <xdr:cNvPr id="23" name="Imagen 22" descr="Screen Shot 2019-08-07 at 3.17.24 PM.png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8655" y="27419935"/>
          <a:ext cx="5495925" cy="727075"/>
        </a:xfrm>
        <a:prstGeom prst="rect">
          <a:avLst/>
        </a:prstGeom>
      </xdr:spPr>
    </xdr:pic>
    <xdr:clientData/>
  </xdr:twoCellAnchor>
  <xdr:twoCellAnchor editAs="oneCell">
    <xdr:from>
      <xdr:col>12</xdr:col>
      <xdr:colOff>795867</xdr:colOff>
      <xdr:row>140</xdr:row>
      <xdr:rowOff>135467</xdr:rowOff>
    </xdr:from>
    <xdr:to>
      <xdr:col>15</xdr:col>
      <xdr:colOff>325967</xdr:colOff>
      <xdr:row>143</xdr:row>
      <xdr:rowOff>160867</xdr:rowOff>
    </xdr:to>
    <xdr:pic>
      <xdr:nvPicPr>
        <xdr:cNvPr id="24" name="Imagen 23" descr="Screen Shot 2019-08-07 at 3.17.34 PM.png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8655" y="28138755"/>
          <a:ext cx="2673350" cy="625475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148</xdr:row>
      <xdr:rowOff>33866</xdr:rowOff>
    </xdr:from>
    <xdr:to>
      <xdr:col>18</xdr:col>
      <xdr:colOff>38100</xdr:colOff>
      <xdr:row>151</xdr:row>
      <xdr:rowOff>148166</xdr:rowOff>
    </xdr:to>
    <xdr:pic>
      <xdr:nvPicPr>
        <xdr:cNvPr id="25" name="Imagen 24" descr="Screen Shot 2019-08-07 at 3.17.41 PM.png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5205" y="29637355"/>
          <a:ext cx="5176520" cy="714375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84668</xdr:colOff>
      <xdr:row>151</xdr:row>
      <xdr:rowOff>135467</xdr:rowOff>
    </xdr:from>
    <xdr:to>
      <xdr:col>15</xdr:col>
      <xdr:colOff>381001</xdr:colOff>
      <xdr:row>154</xdr:row>
      <xdr:rowOff>84667</xdr:rowOff>
    </xdr:to>
    <xdr:pic>
      <xdr:nvPicPr>
        <xdr:cNvPr id="26" name="Imagen 25" descr="Screen Shot 2019-08-07 at 3.17.52 PM.png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5205" y="30339030"/>
          <a:ext cx="2392045" cy="549275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75</xdr:row>
      <xdr:rowOff>114300</xdr:rowOff>
    </xdr:from>
    <xdr:to>
      <xdr:col>17</xdr:col>
      <xdr:colOff>215900</xdr:colOff>
      <xdr:row>87</xdr:row>
      <xdr:rowOff>76200</xdr:rowOff>
    </xdr:to>
    <xdr:pic>
      <xdr:nvPicPr>
        <xdr:cNvPr id="1039" name="TextBox 15"/>
        <xdr:cNvPicPr>
          <a:picLocks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8450" y="15116175"/>
          <a:ext cx="3743325" cy="2362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317500</xdr:colOff>
      <xdr:row>6</xdr:row>
      <xdr:rowOff>177800</xdr:rowOff>
    </xdr:from>
    <xdr:to>
      <xdr:col>14</xdr:col>
      <xdr:colOff>698500</xdr:colOff>
      <xdr:row>11</xdr:row>
      <xdr:rowOff>139700</xdr:rowOff>
    </xdr:to>
    <xdr:pic>
      <xdr:nvPicPr>
        <xdr:cNvPr id="1070" name="TextBox 5"/>
        <xdr:cNvPicPr>
          <a:picLocks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42750" y="1377950"/>
          <a:ext cx="3524250" cy="9620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N211"/>
  <sheetViews>
    <sheetView tabSelected="1" zoomScale="75" zoomScaleNormal="75" topLeftCell="O17" workbookViewId="0">
      <selection activeCell="AQ34" sqref="AQ34"/>
    </sheetView>
  </sheetViews>
  <sheetFormatPr defaultColWidth="11" defaultRowHeight="15.75"/>
  <cols>
    <col min="17" max="17" width="10.8333333333333" customWidth="1"/>
    <col min="31" max="43" width="4.66666666666667" customWidth="1"/>
  </cols>
  <sheetData>
    <row r="4" spans="1:30">
      <c r="A4" s="1" t="s">
        <v>0</v>
      </c>
      <c r="C4" s="2" t="s">
        <v>1</v>
      </c>
      <c r="D4" s="2" t="s">
        <v>2</v>
      </c>
      <c r="S4" t="s">
        <v>3</v>
      </c>
      <c r="U4" s="34" t="s">
        <v>4</v>
      </c>
      <c r="AD4" t="s">
        <v>5</v>
      </c>
    </row>
    <row r="5" spans="2:40">
      <c r="B5" s="2">
        <v>1</v>
      </c>
      <c r="C5" s="2">
        <f t="shared" ref="C5:D5" si="0">B5+1</f>
        <v>2</v>
      </c>
      <c r="D5" s="2">
        <f t="shared" si="0"/>
        <v>3</v>
      </c>
      <c r="S5" s="20">
        <v>0</v>
      </c>
      <c r="T5" s="21">
        <f>S5+1</f>
        <v>1</v>
      </c>
      <c r="U5" s="21">
        <f t="shared" ref="U5:AB5" si="1">T5+1</f>
        <v>2</v>
      </c>
      <c r="V5" s="21">
        <f t="shared" si="1"/>
        <v>3</v>
      </c>
      <c r="W5" s="21">
        <f t="shared" si="1"/>
        <v>4</v>
      </c>
      <c r="X5" s="21">
        <f t="shared" si="1"/>
        <v>5</v>
      </c>
      <c r="Y5" s="21">
        <f t="shared" si="1"/>
        <v>6</v>
      </c>
      <c r="Z5" s="21">
        <f t="shared" si="1"/>
        <v>7</v>
      </c>
      <c r="AA5" s="21">
        <f t="shared" si="1"/>
        <v>8</v>
      </c>
      <c r="AB5" s="21">
        <f t="shared" si="1"/>
        <v>9</v>
      </c>
      <c r="AE5" s="20">
        <v>0</v>
      </c>
      <c r="AF5" s="21">
        <f>AE5+1</f>
        <v>1</v>
      </c>
      <c r="AG5" s="21">
        <f t="shared" ref="AG5:AN5" si="2">AF5+1</f>
        <v>2</v>
      </c>
      <c r="AH5" s="21">
        <f t="shared" si="2"/>
        <v>3</v>
      </c>
      <c r="AI5" s="21">
        <f t="shared" si="2"/>
        <v>4</v>
      </c>
      <c r="AJ5" s="21">
        <f t="shared" si="2"/>
        <v>5</v>
      </c>
      <c r="AK5" s="21">
        <f t="shared" si="2"/>
        <v>6</v>
      </c>
      <c r="AL5" s="21">
        <f t="shared" si="2"/>
        <v>7</v>
      </c>
      <c r="AM5" s="21">
        <f t="shared" si="2"/>
        <v>8</v>
      </c>
      <c r="AN5" s="21">
        <f t="shared" si="2"/>
        <v>9</v>
      </c>
    </row>
    <row r="6" spans="1:39">
      <c r="A6" s="3" t="s">
        <v>6</v>
      </c>
      <c r="B6" s="4">
        <v>0.71</v>
      </c>
      <c r="C6" s="4">
        <f>B6</f>
        <v>0.71</v>
      </c>
      <c r="D6" s="5">
        <f>C6</f>
        <v>0.71</v>
      </c>
      <c r="P6">
        <v>1</v>
      </c>
      <c r="Q6" s="2" t="s">
        <v>6</v>
      </c>
      <c r="S6" s="22">
        <f t="shared" ref="S6:AA6" si="3">SUMPRODUCT(S176:S178,$R$176:$R$178)</f>
        <v>1</v>
      </c>
      <c r="T6" s="22">
        <f t="shared" si="3"/>
        <v>1</v>
      </c>
      <c r="U6" s="22">
        <f t="shared" si="3"/>
        <v>1</v>
      </c>
      <c r="V6" s="22">
        <f t="shared" si="3"/>
        <v>2</v>
      </c>
      <c r="W6" s="22">
        <f t="shared" si="3"/>
        <v>2</v>
      </c>
      <c r="X6" s="22">
        <f t="shared" si="3"/>
        <v>2</v>
      </c>
      <c r="Y6" s="22">
        <f t="shared" si="3"/>
        <v>3</v>
      </c>
      <c r="Z6" s="22">
        <f t="shared" si="3"/>
        <v>3</v>
      </c>
      <c r="AA6" s="22">
        <f t="shared" si="3"/>
        <v>3</v>
      </c>
      <c r="AB6" s="22"/>
      <c r="AD6">
        <f>SUM(AF6:AN6)</f>
        <v>2</v>
      </c>
      <c r="AF6">
        <f t="shared" ref="AF6:AM8" si="4">IF(T6=S6,0,1)</f>
        <v>0</v>
      </c>
      <c r="AG6">
        <f t="shared" si="4"/>
        <v>0</v>
      </c>
      <c r="AH6">
        <f t="shared" si="4"/>
        <v>1</v>
      </c>
      <c r="AI6">
        <f t="shared" si="4"/>
        <v>0</v>
      </c>
      <c r="AJ6">
        <f t="shared" si="4"/>
        <v>0</v>
      </c>
      <c r="AK6">
        <f t="shared" si="4"/>
        <v>1</v>
      </c>
      <c r="AL6">
        <f t="shared" si="4"/>
        <v>0</v>
      </c>
      <c r="AM6">
        <f t="shared" si="4"/>
        <v>0</v>
      </c>
    </row>
    <row r="7" spans="1:39">
      <c r="A7" s="6" t="s">
        <v>7</v>
      </c>
      <c r="B7" s="7">
        <v>0.725</v>
      </c>
      <c r="C7" s="7">
        <f t="shared" ref="C7:D8" si="5">B7</f>
        <v>0.725</v>
      </c>
      <c r="D7" s="8">
        <f t="shared" si="5"/>
        <v>0.725</v>
      </c>
      <c r="P7">
        <f>P6+1</f>
        <v>2</v>
      </c>
      <c r="Q7" s="2" t="s">
        <v>7</v>
      </c>
      <c r="S7" s="22">
        <f t="shared" ref="S7:AA7" si="6">SUMPRODUCT(S185:S187,$R$185:$R$187)</f>
        <v>2</v>
      </c>
      <c r="T7" s="22">
        <f t="shared" si="6"/>
        <v>2</v>
      </c>
      <c r="U7" s="22">
        <f t="shared" si="6"/>
        <v>2</v>
      </c>
      <c r="V7" s="22">
        <f t="shared" si="6"/>
        <v>3</v>
      </c>
      <c r="W7" s="22">
        <f t="shared" si="6"/>
        <v>3</v>
      </c>
      <c r="X7" s="22">
        <f t="shared" si="6"/>
        <v>3</v>
      </c>
      <c r="Y7" s="22">
        <f t="shared" si="6"/>
        <v>1</v>
      </c>
      <c r="Z7" s="22">
        <f t="shared" si="6"/>
        <v>1</v>
      </c>
      <c r="AA7" s="22">
        <f t="shared" si="6"/>
        <v>1</v>
      </c>
      <c r="AB7" s="22"/>
      <c r="AD7">
        <f>SUM(AF7:AN7)</f>
        <v>2</v>
      </c>
      <c r="AF7">
        <f t="shared" si="4"/>
        <v>0</v>
      </c>
      <c r="AG7">
        <f t="shared" si="4"/>
        <v>0</v>
      </c>
      <c r="AH7">
        <f t="shared" si="4"/>
        <v>1</v>
      </c>
      <c r="AI7">
        <f t="shared" si="4"/>
        <v>0</v>
      </c>
      <c r="AJ7">
        <f t="shared" si="4"/>
        <v>0</v>
      </c>
      <c r="AK7">
        <f t="shared" si="4"/>
        <v>1</v>
      </c>
      <c r="AL7">
        <f t="shared" si="4"/>
        <v>0</v>
      </c>
      <c r="AM7">
        <f t="shared" si="4"/>
        <v>0</v>
      </c>
    </row>
    <row r="8" spans="1:39">
      <c r="A8" s="9" t="s">
        <v>8</v>
      </c>
      <c r="B8" s="10">
        <v>0.74</v>
      </c>
      <c r="C8" s="10">
        <f t="shared" si="5"/>
        <v>0.74</v>
      </c>
      <c r="D8" s="11">
        <f t="shared" si="5"/>
        <v>0.74</v>
      </c>
      <c r="P8">
        <f t="shared" ref="P8" si="7">P7+1</f>
        <v>3</v>
      </c>
      <c r="Q8" s="2" t="s">
        <v>8</v>
      </c>
      <c r="S8" s="22">
        <f t="shared" ref="S8:AA8" si="8">SUMPRODUCT(S194:S196,$R$194:$R$196)</f>
        <v>3</v>
      </c>
      <c r="T8" s="22">
        <f t="shared" si="8"/>
        <v>3</v>
      </c>
      <c r="U8" s="22">
        <f t="shared" si="8"/>
        <v>3</v>
      </c>
      <c r="V8" s="22">
        <f t="shared" si="8"/>
        <v>1</v>
      </c>
      <c r="W8" s="22">
        <f t="shared" si="8"/>
        <v>1</v>
      </c>
      <c r="X8" s="22">
        <f t="shared" si="8"/>
        <v>1</v>
      </c>
      <c r="Y8" s="22">
        <f t="shared" si="8"/>
        <v>2</v>
      </c>
      <c r="Z8" s="22">
        <f t="shared" si="8"/>
        <v>2</v>
      </c>
      <c r="AA8" s="22">
        <f t="shared" si="8"/>
        <v>2</v>
      </c>
      <c r="AB8" s="22"/>
      <c r="AD8">
        <f>SUM(AF8:AN8)</f>
        <v>2</v>
      </c>
      <c r="AF8">
        <f t="shared" si="4"/>
        <v>0</v>
      </c>
      <c r="AG8">
        <f t="shared" si="4"/>
        <v>0</v>
      </c>
      <c r="AH8">
        <f t="shared" si="4"/>
        <v>1</v>
      </c>
      <c r="AI8">
        <f t="shared" si="4"/>
        <v>0</v>
      </c>
      <c r="AJ8">
        <f t="shared" si="4"/>
        <v>0</v>
      </c>
      <c r="AK8">
        <f t="shared" si="4"/>
        <v>1</v>
      </c>
      <c r="AL8">
        <f t="shared" si="4"/>
        <v>0</v>
      </c>
      <c r="AM8">
        <f t="shared" si="4"/>
        <v>0</v>
      </c>
    </row>
    <row r="10" spans="17:28">
      <c r="Q10" s="19" t="s">
        <v>9</v>
      </c>
      <c r="R10" s="23">
        <f>SUM(T10:AB10)</f>
        <v>185</v>
      </c>
      <c r="T10" s="24">
        <v>5</v>
      </c>
      <c r="U10" s="24">
        <v>8</v>
      </c>
      <c r="V10" s="24">
        <v>13</v>
      </c>
      <c r="W10" s="24">
        <v>7</v>
      </c>
      <c r="X10" s="24">
        <v>25</v>
      </c>
      <c r="Y10" s="24">
        <v>18</v>
      </c>
      <c r="Z10" s="24">
        <v>35</v>
      </c>
      <c r="AA10" s="24">
        <v>29</v>
      </c>
      <c r="AB10" s="24">
        <v>45</v>
      </c>
    </row>
    <row r="12" spans="1:21">
      <c r="A12" s="1" t="s">
        <v>10</v>
      </c>
      <c r="C12" s="2" t="s">
        <v>1</v>
      </c>
      <c r="D12" s="2" t="s">
        <v>2</v>
      </c>
      <c r="S12" t="str">
        <f>S4</f>
        <v>Period</v>
      </c>
      <c r="U12" s="35" t="s">
        <v>11</v>
      </c>
    </row>
    <row r="13" spans="2:28">
      <c r="B13" s="2">
        <v>1</v>
      </c>
      <c r="C13" s="2">
        <f t="shared" ref="C13:D13" si="9">B13+1</f>
        <v>2</v>
      </c>
      <c r="D13" s="2">
        <f t="shared" si="9"/>
        <v>3</v>
      </c>
      <c r="Q13" s="2" t="s">
        <v>12</v>
      </c>
      <c r="S13" s="20">
        <f>S5</f>
        <v>0</v>
      </c>
      <c r="T13" s="21">
        <f t="shared" ref="T13:AB13" si="10">T5</f>
        <v>1</v>
      </c>
      <c r="U13" s="21">
        <f t="shared" si="10"/>
        <v>2</v>
      </c>
      <c r="V13" s="21">
        <f t="shared" si="10"/>
        <v>3</v>
      </c>
      <c r="W13" s="21">
        <f t="shared" si="10"/>
        <v>4</v>
      </c>
      <c r="X13" s="21">
        <f t="shared" si="10"/>
        <v>5</v>
      </c>
      <c r="Y13" s="21">
        <f t="shared" si="10"/>
        <v>6</v>
      </c>
      <c r="Z13" s="21">
        <f t="shared" si="10"/>
        <v>7</v>
      </c>
      <c r="AA13" s="21">
        <f t="shared" si="10"/>
        <v>8</v>
      </c>
      <c r="AB13" s="21">
        <f t="shared" si="10"/>
        <v>9</v>
      </c>
    </row>
    <row r="14" spans="1:27">
      <c r="A14" s="3" t="s">
        <v>6</v>
      </c>
      <c r="B14" s="4">
        <v>0.94</v>
      </c>
      <c r="C14" s="4">
        <f>B14</f>
        <v>0.94</v>
      </c>
      <c r="D14" s="5">
        <f>C14</f>
        <v>0.94</v>
      </c>
      <c r="Q14" s="2">
        <v>1</v>
      </c>
      <c r="S14">
        <f t="shared" ref="S14:AA14" si="11">S24</f>
        <v>9</v>
      </c>
      <c r="T14">
        <f t="shared" si="11"/>
        <v>17.1876010831185</v>
      </c>
      <c r="U14">
        <f t="shared" si="11"/>
        <v>22.1829730473663</v>
      </c>
      <c r="V14">
        <f t="shared" si="11"/>
        <v>7</v>
      </c>
      <c r="W14">
        <f t="shared" si="11"/>
        <v>15.1040197930668</v>
      </c>
      <c r="X14">
        <f t="shared" si="11"/>
        <v>20.3525988554197</v>
      </c>
      <c r="Y14">
        <f t="shared" si="11"/>
        <v>10</v>
      </c>
      <c r="Z14">
        <f t="shared" si="11"/>
        <v>17.4240636582009</v>
      </c>
      <c r="AA14">
        <f t="shared" si="11"/>
        <v>22.0922912563508</v>
      </c>
    </row>
    <row r="15" spans="1:27">
      <c r="A15" s="6" t="s">
        <v>7</v>
      </c>
      <c r="B15" s="7">
        <v>0.925</v>
      </c>
      <c r="C15" s="7">
        <f t="shared" ref="C15:D16" si="12">B15</f>
        <v>0.925</v>
      </c>
      <c r="D15" s="8">
        <f t="shared" si="12"/>
        <v>0.925</v>
      </c>
      <c r="Q15" s="2">
        <f t="shared" ref="Q15:Q16" si="13">Q14+1</f>
        <v>2</v>
      </c>
      <c r="S15">
        <f>MIN(S25,S14)</f>
        <v>6</v>
      </c>
      <c r="T15">
        <f t="shared" ref="T15:AA16" si="14">MIN(T25,T14+T38)</f>
        <v>14.908876389841</v>
      </c>
      <c r="U15">
        <f t="shared" si="14"/>
        <v>20.5107495076209</v>
      </c>
      <c r="V15">
        <f t="shared" si="14"/>
        <v>11</v>
      </c>
      <c r="W15">
        <f t="shared" si="14"/>
        <v>18.0549680260896</v>
      </c>
      <c r="X15">
        <f t="shared" si="14"/>
        <v>20.3525988554197</v>
      </c>
      <c r="Y15">
        <f t="shared" si="14"/>
        <v>8</v>
      </c>
      <c r="Z15">
        <f t="shared" si="14"/>
        <v>15.7516711064117</v>
      </c>
      <c r="AA15">
        <f t="shared" si="14"/>
        <v>20.7720510790971</v>
      </c>
    </row>
    <row r="16" spans="1:27">
      <c r="A16" s="9" t="s">
        <v>8</v>
      </c>
      <c r="B16" s="10">
        <v>0.91</v>
      </c>
      <c r="C16" s="10">
        <f t="shared" si="12"/>
        <v>0.91</v>
      </c>
      <c r="D16" s="11">
        <f t="shared" si="12"/>
        <v>0.91</v>
      </c>
      <c r="Q16" s="2">
        <f t="shared" si="13"/>
        <v>3</v>
      </c>
      <c r="S16">
        <f>MIN(S26,S15)</f>
        <v>6</v>
      </c>
      <c r="T16">
        <f t="shared" si="14"/>
        <v>14.908876389841</v>
      </c>
      <c r="U16">
        <f t="shared" si="14"/>
        <v>20.5107495076209</v>
      </c>
      <c r="V16">
        <f t="shared" si="14"/>
        <v>8</v>
      </c>
      <c r="W16">
        <f t="shared" si="14"/>
        <v>17.758931678705</v>
      </c>
      <c r="X16">
        <f t="shared" si="14"/>
        <v>23.6486352028043</v>
      </c>
      <c r="Y16">
        <f t="shared" si="14"/>
        <v>7</v>
      </c>
      <c r="Z16">
        <f t="shared" si="14"/>
        <v>16.7516711064117</v>
      </c>
      <c r="AA16">
        <f t="shared" si="14"/>
        <v>20.7720510790971</v>
      </c>
    </row>
    <row r="17" spans="17:28">
      <c r="Q17" s="25" t="s">
        <v>13</v>
      </c>
      <c r="R17" s="26"/>
      <c r="S17" s="27">
        <f t="shared" ref="S17:AA17" si="15">MIN(S14:S16)</f>
        <v>6</v>
      </c>
      <c r="T17" s="27">
        <f t="shared" si="15"/>
        <v>14.908876389841</v>
      </c>
      <c r="U17" s="27">
        <f t="shared" si="15"/>
        <v>20.5107495076209</v>
      </c>
      <c r="V17" s="27">
        <f t="shared" si="15"/>
        <v>7</v>
      </c>
      <c r="W17" s="27">
        <f t="shared" si="15"/>
        <v>15.1040197930668</v>
      </c>
      <c r="X17" s="27">
        <f t="shared" si="15"/>
        <v>20.3525988554197</v>
      </c>
      <c r="Y17" s="27">
        <f t="shared" si="15"/>
        <v>7</v>
      </c>
      <c r="Z17" s="27">
        <f t="shared" si="15"/>
        <v>15.7516711064117</v>
      </c>
      <c r="AA17" s="27">
        <f t="shared" si="15"/>
        <v>20.7720510790971</v>
      </c>
      <c r="AB17" s="27"/>
    </row>
    <row r="18" spans="17:28">
      <c r="Q18" s="25" t="s">
        <v>14</v>
      </c>
      <c r="R18" s="26"/>
      <c r="S18" s="27">
        <f t="shared" ref="S18:AA18" si="16">AVERAGE(S14:S16)</f>
        <v>7</v>
      </c>
      <c r="T18" s="27">
        <f t="shared" si="16"/>
        <v>15.6684512876002</v>
      </c>
      <c r="U18" s="27">
        <f t="shared" si="16"/>
        <v>21.0681573542027</v>
      </c>
      <c r="V18" s="27">
        <f t="shared" si="16"/>
        <v>8.66666666666667</v>
      </c>
      <c r="W18" s="27">
        <f t="shared" si="16"/>
        <v>16.9726398326205</v>
      </c>
      <c r="X18" s="27">
        <f t="shared" si="16"/>
        <v>21.4512776378812</v>
      </c>
      <c r="Y18" s="27">
        <f t="shared" si="16"/>
        <v>8.33333333333333</v>
      </c>
      <c r="Z18" s="27">
        <f t="shared" si="16"/>
        <v>16.6424686236747</v>
      </c>
      <c r="AA18" s="27">
        <f t="shared" si="16"/>
        <v>21.2121311381817</v>
      </c>
      <c r="AB18" s="27"/>
    </row>
    <row r="19" spans="17:28">
      <c r="Q19" s="25" t="s">
        <v>15</v>
      </c>
      <c r="R19" s="26" t="e">
        <f>SUM(S19:AA19)</f>
        <v>#NAME?</v>
      </c>
      <c r="S19" s="27" t="e">
        <f>_xlfn.STDEV.P(S14:S16)</f>
        <v>#NAME?</v>
      </c>
      <c r="T19" s="27" t="e">
        <f>_xlfn.STDEV.P(T14:T16)</f>
        <v>#NAME?</v>
      </c>
      <c r="U19" s="27" t="e">
        <f>_xlfn.STDEV.P(U14:U16)</f>
        <v>#NAME?</v>
      </c>
      <c r="V19" s="27" t="e">
        <f>_xlfn.STDEV.P(V14:V16)</f>
        <v>#NAME?</v>
      </c>
      <c r="W19" s="27" t="e">
        <f>_xlfn.STDEV.P(W14:W16)</f>
        <v>#NAME?</v>
      </c>
      <c r="X19" s="27" t="e">
        <f>_xlfn.STDEV.P(X14:X16)</f>
        <v>#NAME?</v>
      </c>
      <c r="Y19" s="27" t="e">
        <f>_xlfn.STDEV.P(Y14:Y16)</f>
        <v>#NAME?</v>
      </c>
      <c r="Z19" s="27" t="e">
        <f>_xlfn.STDEV.P(Z14:Z16)</f>
        <v>#NAME?</v>
      </c>
      <c r="AA19" s="27" t="e">
        <f>_xlfn.STDEV.P(AA14:AA16)</f>
        <v>#NAME?</v>
      </c>
      <c r="AB19" s="27"/>
    </row>
    <row r="20" spans="17:28">
      <c r="Q20" s="28" t="s">
        <v>16</v>
      </c>
      <c r="R20" s="28">
        <f>SUM(S20:AA20)</f>
        <v>135.35091496448</v>
      </c>
      <c r="S20" s="28">
        <f t="shared" ref="S20:AA20" si="17">S16</f>
        <v>6</v>
      </c>
      <c r="T20" s="28">
        <f t="shared" si="17"/>
        <v>14.908876389841</v>
      </c>
      <c r="U20" s="28">
        <f t="shared" si="17"/>
        <v>20.5107495076209</v>
      </c>
      <c r="V20" s="28">
        <f t="shared" si="17"/>
        <v>8</v>
      </c>
      <c r="W20" s="28">
        <f t="shared" si="17"/>
        <v>17.758931678705</v>
      </c>
      <c r="X20" s="28">
        <f t="shared" si="17"/>
        <v>23.6486352028043</v>
      </c>
      <c r="Y20" s="28">
        <f t="shared" si="17"/>
        <v>7</v>
      </c>
      <c r="Z20" s="28">
        <f t="shared" si="17"/>
        <v>16.7516711064117</v>
      </c>
      <c r="AA20" s="28">
        <f t="shared" si="17"/>
        <v>20.7720510790971</v>
      </c>
      <c r="AB20" s="28"/>
    </row>
    <row r="22" spans="1:21">
      <c r="A22" s="1" t="s">
        <v>17</v>
      </c>
      <c r="C22" s="2" t="s">
        <v>1</v>
      </c>
      <c r="D22" s="2" t="s">
        <v>2</v>
      </c>
      <c r="S22" t="str">
        <f>S12</f>
        <v>Period</v>
      </c>
      <c r="U22" s="35" t="s">
        <v>18</v>
      </c>
    </row>
    <row r="23" spans="2:28">
      <c r="B23" s="2">
        <v>1</v>
      </c>
      <c r="C23" s="2">
        <f t="shared" ref="C23:D23" si="18">B23+1</f>
        <v>2</v>
      </c>
      <c r="D23" s="2">
        <f t="shared" si="18"/>
        <v>3</v>
      </c>
      <c r="Q23" s="2" t="str">
        <f>Q13</f>
        <v>Station</v>
      </c>
      <c r="S23" s="20">
        <f>S13</f>
        <v>0</v>
      </c>
      <c r="T23" s="21">
        <f t="shared" ref="T23:AB23" si="19">T13</f>
        <v>1</v>
      </c>
      <c r="U23" s="21">
        <f t="shared" si="19"/>
        <v>2</v>
      </c>
      <c r="V23" s="21">
        <f t="shared" si="19"/>
        <v>3</v>
      </c>
      <c r="W23" s="21">
        <f t="shared" si="19"/>
        <v>4</v>
      </c>
      <c r="X23" s="21">
        <f t="shared" si="19"/>
        <v>5</v>
      </c>
      <c r="Y23" s="21">
        <f t="shared" si="19"/>
        <v>6</v>
      </c>
      <c r="Z23" s="21">
        <f t="shared" si="19"/>
        <v>7</v>
      </c>
      <c r="AA23" s="21">
        <f t="shared" si="19"/>
        <v>8</v>
      </c>
      <c r="AB23" s="21">
        <f t="shared" si="19"/>
        <v>9</v>
      </c>
    </row>
    <row r="24" spans="1:27">
      <c r="A24" s="3" t="s">
        <v>6</v>
      </c>
      <c r="B24" s="12">
        <v>30</v>
      </c>
      <c r="C24" s="12">
        <v>30</v>
      </c>
      <c r="D24" s="13">
        <v>34.29</v>
      </c>
      <c r="Q24" s="2">
        <f>Q14</f>
        <v>1</v>
      </c>
      <c r="S24">
        <f t="shared" ref="S24:AA26" si="20">SUMIF($Q$110:$Q$127,$Q24,S$110:S$127)</f>
        <v>9</v>
      </c>
      <c r="T24">
        <f t="shared" si="20"/>
        <v>17.1876010831185</v>
      </c>
      <c r="U24">
        <f t="shared" si="20"/>
        <v>22.1829730473663</v>
      </c>
      <c r="V24">
        <f t="shared" si="20"/>
        <v>7</v>
      </c>
      <c r="W24">
        <f t="shared" si="20"/>
        <v>15.1040197930668</v>
      </c>
      <c r="X24">
        <f t="shared" si="20"/>
        <v>20.3525988554197</v>
      </c>
      <c r="Y24">
        <f t="shared" si="20"/>
        <v>10</v>
      </c>
      <c r="Z24">
        <f t="shared" si="20"/>
        <v>17.4240636582009</v>
      </c>
      <c r="AA24">
        <f t="shared" si="20"/>
        <v>22.0922912563508</v>
      </c>
    </row>
    <row r="25" spans="1:40">
      <c r="A25" s="6" t="s">
        <v>7</v>
      </c>
      <c r="B25" s="14">
        <f>B24</f>
        <v>30</v>
      </c>
      <c r="C25" s="14">
        <f t="shared" ref="C25:D26" si="21">C24</f>
        <v>30</v>
      </c>
      <c r="D25" s="15">
        <f t="shared" si="21"/>
        <v>34.29</v>
      </c>
      <c r="Q25" s="2">
        <f>Q15</f>
        <v>2</v>
      </c>
      <c r="S25">
        <f t="shared" si="20"/>
        <v>6</v>
      </c>
      <c r="T25">
        <f t="shared" si="20"/>
        <v>14.908876389841</v>
      </c>
      <c r="U25">
        <f t="shared" si="20"/>
        <v>20.5107495076209</v>
      </c>
      <c r="V25">
        <f t="shared" si="20"/>
        <v>11</v>
      </c>
      <c r="W25">
        <f t="shared" si="20"/>
        <v>18.4078295513929</v>
      </c>
      <c r="X25">
        <f t="shared" si="20"/>
        <v>22.92745180476</v>
      </c>
      <c r="Y25">
        <f t="shared" si="20"/>
        <v>8</v>
      </c>
      <c r="Z25">
        <f t="shared" si="20"/>
        <v>15.7516711064117</v>
      </c>
      <c r="AA25">
        <f t="shared" si="20"/>
        <v>20.7720510790971</v>
      </c>
      <c r="AE25" s="20">
        <v>0</v>
      </c>
      <c r="AF25" s="21">
        <f>AE25+1</f>
        <v>1</v>
      </c>
      <c r="AG25" s="21">
        <f t="shared" ref="AG25:AN25" si="22">AF25+1</f>
        <v>2</v>
      </c>
      <c r="AH25" s="21">
        <f t="shared" si="22"/>
        <v>3</v>
      </c>
      <c r="AI25" s="21">
        <f t="shared" si="22"/>
        <v>4</v>
      </c>
      <c r="AJ25" s="21">
        <f t="shared" si="22"/>
        <v>5</v>
      </c>
      <c r="AK25" s="21">
        <f t="shared" si="22"/>
        <v>6</v>
      </c>
      <c r="AL25" s="21">
        <f t="shared" si="22"/>
        <v>7</v>
      </c>
      <c r="AM25" s="21">
        <f t="shared" si="22"/>
        <v>8</v>
      </c>
      <c r="AN25" s="21">
        <f t="shared" si="22"/>
        <v>9</v>
      </c>
    </row>
    <row r="26" spans="1:40">
      <c r="A26" s="9" t="s">
        <v>8</v>
      </c>
      <c r="B26" s="16">
        <f t="shared" ref="B26" si="23">B25</f>
        <v>30</v>
      </c>
      <c r="C26" s="16">
        <f t="shared" si="21"/>
        <v>30</v>
      </c>
      <c r="D26" s="17">
        <f t="shared" si="21"/>
        <v>34.29</v>
      </c>
      <c r="Q26" s="2">
        <f>Q16</f>
        <v>3</v>
      </c>
      <c r="S26">
        <f t="shared" si="20"/>
        <v>12</v>
      </c>
      <c r="T26">
        <f t="shared" si="20"/>
        <v>19.8538522255417</v>
      </c>
      <c r="U26">
        <f t="shared" si="20"/>
        <v>24.9404099342307</v>
      </c>
      <c r="V26">
        <f t="shared" si="20"/>
        <v>8</v>
      </c>
      <c r="W26">
        <f t="shared" si="20"/>
        <v>17.758931678705</v>
      </c>
      <c r="X26">
        <f t="shared" si="20"/>
        <v>23.8953168564731</v>
      </c>
      <c r="Y26">
        <f t="shared" si="20"/>
        <v>7</v>
      </c>
      <c r="Z26">
        <f t="shared" si="20"/>
        <v>17.6399825503954</v>
      </c>
      <c r="AA26">
        <f t="shared" si="20"/>
        <v>24.1315873553632</v>
      </c>
      <c r="AD26" s="19" t="s">
        <v>19</v>
      </c>
      <c r="AF26">
        <f t="shared" ref="AF26:AN26" si="24">T10</f>
        <v>5</v>
      </c>
      <c r="AG26">
        <f t="shared" si="24"/>
        <v>8</v>
      </c>
      <c r="AH26">
        <f t="shared" si="24"/>
        <v>13</v>
      </c>
      <c r="AI26">
        <f t="shared" si="24"/>
        <v>7</v>
      </c>
      <c r="AJ26">
        <f t="shared" si="24"/>
        <v>25</v>
      </c>
      <c r="AK26">
        <f t="shared" si="24"/>
        <v>18</v>
      </c>
      <c r="AL26">
        <f t="shared" si="24"/>
        <v>35</v>
      </c>
      <c r="AM26">
        <f t="shared" si="24"/>
        <v>29</v>
      </c>
      <c r="AN26">
        <f t="shared" si="24"/>
        <v>45</v>
      </c>
    </row>
    <row r="27" spans="30:40">
      <c r="AD27" s="19" t="s">
        <v>20</v>
      </c>
      <c r="AE27">
        <f t="shared" ref="AE27:AN27" si="25">S20</f>
        <v>6</v>
      </c>
      <c r="AF27">
        <f t="shared" si="25"/>
        <v>14.908876389841</v>
      </c>
      <c r="AG27">
        <f t="shared" si="25"/>
        <v>20.5107495076209</v>
      </c>
      <c r="AH27">
        <f t="shared" si="25"/>
        <v>8</v>
      </c>
      <c r="AI27">
        <f t="shared" si="25"/>
        <v>17.758931678705</v>
      </c>
      <c r="AJ27">
        <f t="shared" si="25"/>
        <v>23.6486352028043</v>
      </c>
      <c r="AK27">
        <f t="shared" si="25"/>
        <v>7</v>
      </c>
      <c r="AL27">
        <f t="shared" si="25"/>
        <v>16.7516711064117</v>
      </c>
      <c r="AM27">
        <f t="shared" si="25"/>
        <v>20.7720510790971</v>
      </c>
      <c r="AN27">
        <f t="shared" si="25"/>
        <v>0</v>
      </c>
    </row>
    <row r="28" spans="1:40">
      <c r="A28" s="1" t="s">
        <v>21</v>
      </c>
      <c r="C28" s="2" t="s">
        <v>1</v>
      </c>
      <c r="D28" s="2" t="s">
        <v>2</v>
      </c>
      <c r="S28" t="str">
        <f>S22</f>
        <v>Period</v>
      </c>
      <c r="U28" s="35" t="s">
        <v>22</v>
      </c>
      <c r="AD28" s="19" t="s">
        <v>23</v>
      </c>
      <c r="AF28">
        <f t="shared" ref="AF28:AN28" si="26">T60</f>
        <v>0</v>
      </c>
      <c r="AG28">
        <f t="shared" si="26"/>
        <v>0</v>
      </c>
      <c r="AH28">
        <f t="shared" si="26"/>
        <v>0</v>
      </c>
      <c r="AI28">
        <f t="shared" si="26"/>
        <v>0</v>
      </c>
      <c r="AJ28">
        <f t="shared" si="26"/>
        <v>0</v>
      </c>
      <c r="AK28">
        <f t="shared" si="26"/>
        <v>0</v>
      </c>
      <c r="AL28">
        <f t="shared" si="26"/>
        <v>13.1728072210287</v>
      </c>
      <c r="AM28">
        <f t="shared" si="26"/>
        <v>12.2483288935883</v>
      </c>
      <c r="AN28">
        <f t="shared" si="26"/>
        <v>0</v>
      </c>
    </row>
    <row r="29" spans="2:28">
      <c r="B29" s="2">
        <v>1</v>
      </c>
      <c r="C29" s="2">
        <f t="shared" ref="C29:D29" si="27">B29+1</f>
        <v>2</v>
      </c>
      <c r="D29" s="2">
        <f t="shared" si="27"/>
        <v>3</v>
      </c>
      <c r="Q29" s="2" t="str">
        <f>Q23</f>
        <v>Station</v>
      </c>
      <c r="S29" s="20">
        <f>S23</f>
        <v>0</v>
      </c>
      <c r="T29" s="21">
        <f t="shared" ref="T29:AB29" si="28">T23</f>
        <v>1</v>
      </c>
      <c r="U29" s="21">
        <f t="shared" si="28"/>
        <v>2</v>
      </c>
      <c r="V29" s="21">
        <f t="shared" si="28"/>
        <v>3</v>
      </c>
      <c r="W29" s="21">
        <f t="shared" si="28"/>
        <v>4</v>
      </c>
      <c r="X29" s="21">
        <f t="shared" si="28"/>
        <v>5</v>
      </c>
      <c r="Y29" s="21">
        <f t="shared" si="28"/>
        <v>6</v>
      </c>
      <c r="Z29" s="21">
        <f t="shared" si="28"/>
        <v>7</v>
      </c>
      <c r="AA29" s="21">
        <f t="shared" si="28"/>
        <v>8</v>
      </c>
      <c r="AB29" s="21">
        <f t="shared" si="28"/>
        <v>9</v>
      </c>
    </row>
    <row r="30" spans="1:27">
      <c r="A30" s="3" t="s">
        <v>6</v>
      </c>
      <c r="B30" s="12">
        <v>0</v>
      </c>
      <c r="C30" s="12">
        <v>0</v>
      </c>
      <c r="D30" s="13">
        <v>0</v>
      </c>
      <c r="Q30" s="2">
        <f>Q24</f>
        <v>1</v>
      </c>
      <c r="S30">
        <f t="shared" ref="S30:AA30" si="29">S14-S$17</f>
        <v>3</v>
      </c>
      <c r="T30">
        <f t="shared" si="29"/>
        <v>2.27872469327746</v>
      </c>
      <c r="U30">
        <f t="shared" si="29"/>
        <v>1.67222353974542</v>
      </c>
      <c r="V30">
        <f t="shared" si="29"/>
        <v>0</v>
      </c>
      <c r="W30">
        <f t="shared" si="29"/>
        <v>0</v>
      </c>
      <c r="X30">
        <f t="shared" si="29"/>
        <v>0</v>
      </c>
      <c r="Y30">
        <f t="shared" si="29"/>
        <v>3</v>
      </c>
      <c r="Z30">
        <f t="shared" si="29"/>
        <v>1.67239255178917</v>
      </c>
      <c r="AA30">
        <f t="shared" si="29"/>
        <v>1.32024017725367</v>
      </c>
    </row>
    <row r="31" spans="1:27">
      <c r="A31" s="6" t="s">
        <v>7</v>
      </c>
      <c r="B31" s="14">
        <f>B30</f>
        <v>0</v>
      </c>
      <c r="C31" s="14">
        <f t="shared" ref="C31:D32" si="30">C30</f>
        <v>0</v>
      </c>
      <c r="D31" s="15">
        <f t="shared" si="30"/>
        <v>0</v>
      </c>
      <c r="Q31" s="2">
        <f>Q25</f>
        <v>2</v>
      </c>
      <c r="S31">
        <f t="shared" ref="S31:AA31" si="31">S15-S$17</f>
        <v>0</v>
      </c>
      <c r="T31">
        <f t="shared" si="31"/>
        <v>0</v>
      </c>
      <c r="U31">
        <f t="shared" si="31"/>
        <v>0</v>
      </c>
      <c r="V31">
        <f t="shared" si="31"/>
        <v>4</v>
      </c>
      <c r="W31">
        <f t="shared" si="31"/>
        <v>2.95094823302288</v>
      </c>
      <c r="X31">
        <f t="shared" si="31"/>
        <v>0</v>
      </c>
      <c r="Y31">
        <f t="shared" si="31"/>
        <v>1</v>
      </c>
      <c r="Z31">
        <f t="shared" si="31"/>
        <v>0</v>
      </c>
      <c r="AA31">
        <f t="shared" si="31"/>
        <v>0</v>
      </c>
    </row>
    <row r="32" spans="1:27">
      <c r="A32" s="9" t="s">
        <v>8</v>
      </c>
      <c r="B32" s="16">
        <f t="shared" ref="B32" si="32">B31</f>
        <v>0</v>
      </c>
      <c r="C32" s="16">
        <f t="shared" si="30"/>
        <v>0</v>
      </c>
      <c r="D32" s="17">
        <f t="shared" si="30"/>
        <v>0</v>
      </c>
      <c r="Q32" s="2">
        <f>Q26</f>
        <v>3</v>
      </c>
      <c r="S32">
        <f t="shared" ref="S32:AA32" si="33">S16-S$17</f>
        <v>0</v>
      </c>
      <c r="T32">
        <f t="shared" si="33"/>
        <v>0</v>
      </c>
      <c r="U32">
        <f t="shared" si="33"/>
        <v>0</v>
      </c>
      <c r="V32">
        <f t="shared" si="33"/>
        <v>1</v>
      </c>
      <c r="W32">
        <f t="shared" si="33"/>
        <v>2.65491188563826</v>
      </c>
      <c r="X32">
        <f t="shared" si="33"/>
        <v>3.29603634738462</v>
      </c>
      <c r="Y32">
        <f t="shared" si="33"/>
        <v>0</v>
      </c>
      <c r="Z32">
        <f t="shared" si="33"/>
        <v>1</v>
      </c>
      <c r="AA32">
        <f t="shared" si="33"/>
        <v>0</v>
      </c>
    </row>
    <row r="33" spans="17:28">
      <c r="Q33" s="29" t="s">
        <v>24</v>
      </c>
      <c r="R33" s="26">
        <f>SUM(S33:AA33)</f>
        <v>28.8454774281115</v>
      </c>
      <c r="S33" s="27">
        <f t="shared" ref="S33:AA33" si="34">SUM(S30:S32)</f>
        <v>3</v>
      </c>
      <c r="T33" s="27">
        <f t="shared" si="34"/>
        <v>2.27872469327746</v>
      </c>
      <c r="U33" s="27">
        <f t="shared" si="34"/>
        <v>1.67222353974542</v>
      </c>
      <c r="V33" s="27">
        <f t="shared" si="34"/>
        <v>5</v>
      </c>
      <c r="W33" s="27">
        <f t="shared" si="34"/>
        <v>5.60586011866114</v>
      </c>
      <c r="X33" s="27">
        <f t="shared" si="34"/>
        <v>3.29603634738462</v>
      </c>
      <c r="Y33" s="27">
        <f t="shared" si="34"/>
        <v>4</v>
      </c>
      <c r="Z33" s="27">
        <f t="shared" si="34"/>
        <v>2.67239255178917</v>
      </c>
      <c r="AA33" s="27">
        <f t="shared" si="34"/>
        <v>1.32024017725367</v>
      </c>
      <c r="AB33" s="27"/>
    </row>
    <row r="35" spans="1:21">
      <c r="A35" s="1" t="s">
        <v>25</v>
      </c>
      <c r="B35" t="s">
        <v>26</v>
      </c>
      <c r="C35" s="2" t="s">
        <v>1</v>
      </c>
      <c r="D35" s="2" t="s">
        <v>2</v>
      </c>
      <c r="S35" t="str">
        <f>S28</f>
        <v>Period</v>
      </c>
      <c r="U35" s="35" t="s">
        <v>27</v>
      </c>
    </row>
    <row r="36" spans="2:28">
      <c r="B36" s="2">
        <v>1</v>
      </c>
      <c r="C36" s="2">
        <f t="shared" ref="C36:D36" si="35">B36+1</f>
        <v>2</v>
      </c>
      <c r="D36" s="2">
        <f t="shared" si="35"/>
        <v>3</v>
      </c>
      <c r="Q36" s="2" t="str">
        <f>Q29</f>
        <v>Station</v>
      </c>
      <c r="S36" s="20">
        <f>S29</f>
        <v>0</v>
      </c>
      <c r="T36" s="21">
        <f t="shared" ref="T36:AB36" si="36">T29</f>
        <v>1</v>
      </c>
      <c r="U36" s="21">
        <f t="shared" si="36"/>
        <v>2</v>
      </c>
      <c r="V36" s="21">
        <f t="shared" si="36"/>
        <v>3</v>
      </c>
      <c r="W36" s="21">
        <f t="shared" si="36"/>
        <v>4</v>
      </c>
      <c r="X36" s="21">
        <f t="shared" si="36"/>
        <v>5</v>
      </c>
      <c r="Y36" s="21">
        <f t="shared" si="36"/>
        <v>6</v>
      </c>
      <c r="Z36" s="21">
        <f t="shared" si="36"/>
        <v>7</v>
      </c>
      <c r="AA36" s="21">
        <f t="shared" si="36"/>
        <v>8</v>
      </c>
      <c r="AB36" s="21">
        <f t="shared" si="36"/>
        <v>9</v>
      </c>
    </row>
    <row r="37" spans="1:17">
      <c r="A37" s="3" t="s">
        <v>6</v>
      </c>
      <c r="B37" s="12">
        <v>9</v>
      </c>
      <c r="C37" s="12">
        <v>11</v>
      </c>
      <c r="D37" s="13">
        <v>7</v>
      </c>
      <c r="Q37" s="2">
        <f>Q30</f>
        <v>1</v>
      </c>
    </row>
    <row r="38" spans="1:27">
      <c r="A38" s="6" t="s">
        <v>7</v>
      </c>
      <c r="B38" s="14">
        <v>10</v>
      </c>
      <c r="C38" s="14">
        <v>6</v>
      </c>
      <c r="D38" s="15">
        <v>8</v>
      </c>
      <c r="Q38" s="2">
        <f>Q31</f>
        <v>2</v>
      </c>
      <c r="S38">
        <v>0</v>
      </c>
      <c r="T38">
        <f t="shared" ref="T38:AA39" si="37">S44</f>
        <v>3</v>
      </c>
      <c r="U38">
        <f t="shared" si="37"/>
        <v>5.27872469327746</v>
      </c>
      <c r="V38">
        <f t="shared" si="37"/>
        <v>6.95094823302288</v>
      </c>
      <c r="W38">
        <f t="shared" si="37"/>
        <v>2.95094823302288</v>
      </c>
      <c r="X38">
        <f t="shared" si="37"/>
        <v>0</v>
      </c>
      <c r="Y38">
        <f t="shared" si="37"/>
        <v>0</v>
      </c>
      <c r="Z38">
        <f t="shared" si="37"/>
        <v>2</v>
      </c>
      <c r="AA38">
        <f t="shared" si="37"/>
        <v>3.67239255178917</v>
      </c>
    </row>
    <row r="39" spans="1:27">
      <c r="A39" s="9" t="s">
        <v>8</v>
      </c>
      <c r="B39" s="16">
        <v>7</v>
      </c>
      <c r="C39" s="16">
        <v>8</v>
      </c>
      <c r="D39" s="17">
        <v>12</v>
      </c>
      <c r="Q39" s="2">
        <f>Q32</f>
        <v>3</v>
      </c>
      <c r="S39">
        <v>0</v>
      </c>
      <c r="T39">
        <f t="shared" si="37"/>
        <v>0</v>
      </c>
      <c r="U39">
        <f t="shared" si="37"/>
        <v>0</v>
      </c>
      <c r="V39">
        <f t="shared" si="37"/>
        <v>0</v>
      </c>
      <c r="W39">
        <f t="shared" si="37"/>
        <v>3</v>
      </c>
      <c r="X39">
        <f t="shared" si="37"/>
        <v>3.29603634738462</v>
      </c>
      <c r="Y39">
        <f t="shared" si="37"/>
        <v>0</v>
      </c>
      <c r="Z39">
        <f t="shared" si="37"/>
        <v>1</v>
      </c>
      <c r="AA39">
        <f t="shared" si="37"/>
        <v>0</v>
      </c>
    </row>
    <row r="41" spans="1:21">
      <c r="A41" s="1" t="s">
        <v>28</v>
      </c>
      <c r="C41" s="2" t="s">
        <v>1</v>
      </c>
      <c r="D41" s="2" t="s">
        <v>29</v>
      </c>
      <c r="S41" t="str">
        <f>S35</f>
        <v>Period</v>
      </c>
      <c r="U41" s="35" t="s">
        <v>30</v>
      </c>
    </row>
    <row r="42" spans="2:28">
      <c r="B42" s="2">
        <v>1</v>
      </c>
      <c r="C42" s="2">
        <f t="shared" ref="C42:D42" si="38">B42+1</f>
        <v>2</v>
      </c>
      <c r="D42" s="2">
        <f t="shared" si="38"/>
        <v>3</v>
      </c>
      <c r="Q42" s="2" t="str">
        <f>Q36</f>
        <v>Station</v>
      </c>
      <c r="S42" s="20">
        <f>S36</f>
        <v>0</v>
      </c>
      <c r="T42" s="21">
        <f t="shared" ref="T42:AB42" si="39">T36</f>
        <v>1</v>
      </c>
      <c r="U42" s="21">
        <f t="shared" si="39"/>
        <v>2</v>
      </c>
      <c r="V42" s="21">
        <f t="shared" si="39"/>
        <v>3</v>
      </c>
      <c r="W42" s="21">
        <f t="shared" si="39"/>
        <v>4</v>
      </c>
      <c r="X42" s="21">
        <f t="shared" si="39"/>
        <v>5</v>
      </c>
      <c r="Y42" s="21">
        <f t="shared" si="39"/>
        <v>6</v>
      </c>
      <c r="Z42" s="21">
        <f t="shared" si="39"/>
        <v>7</v>
      </c>
      <c r="AA42" s="21">
        <f t="shared" si="39"/>
        <v>8</v>
      </c>
      <c r="AB42" s="21">
        <f t="shared" si="39"/>
        <v>9</v>
      </c>
    </row>
    <row r="43" spans="1:17">
      <c r="A43" s="3" t="s">
        <v>6</v>
      </c>
      <c r="B43" s="12">
        <v>1</v>
      </c>
      <c r="C43" s="12">
        <v>1</v>
      </c>
      <c r="D43" s="13">
        <v>2</v>
      </c>
      <c r="Q43" s="2">
        <f>Q37</f>
        <v>1</v>
      </c>
    </row>
    <row r="44" spans="1:27">
      <c r="A44" s="6" t="s">
        <v>7</v>
      </c>
      <c r="B44" s="14">
        <f>B43</f>
        <v>1</v>
      </c>
      <c r="C44" s="14">
        <f t="shared" ref="C44:D45" si="40">C43</f>
        <v>1</v>
      </c>
      <c r="D44" s="15">
        <f t="shared" si="40"/>
        <v>2</v>
      </c>
      <c r="Q44" s="2">
        <f>Q38</f>
        <v>2</v>
      </c>
      <c r="S44">
        <f>S14-S15</f>
        <v>3</v>
      </c>
      <c r="T44">
        <f t="shared" ref="T44:AA44" si="41">T38+T14-T15</f>
        <v>5.27872469327746</v>
      </c>
      <c r="U44">
        <f t="shared" si="41"/>
        <v>6.95094823302288</v>
      </c>
      <c r="V44">
        <f t="shared" si="41"/>
        <v>2.95094823302288</v>
      </c>
      <c r="W44">
        <f t="shared" si="41"/>
        <v>0</v>
      </c>
      <c r="X44">
        <f t="shared" si="41"/>
        <v>0</v>
      </c>
      <c r="Y44">
        <f t="shared" si="41"/>
        <v>2</v>
      </c>
      <c r="Z44">
        <f t="shared" si="41"/>
        <v>3.67239255178917</v>
      </c>
      <c r="AA44">
        <f t="shared" si="41"/>
        <v>4.99263272904284</v>
      </c>
    </row>
    <row r="45" spans="1:27">
      <c r="A45" s="9" t="s">
        <v>8</v>
      </c>
      <c r="B45" s="16">
        <f t="shared" ref="B45" si="42">B44</f>
        <v>1</v>
      </c>
      <c r="C45" s="16">
        <f t="shared" si="40"/>
        <v>1</v>
      </c>
      <c r="D45" s="17">
        <f t="shared" si="40"/>
        <v>2</v>
      </c>
      <c r="Q45" s="2">
        <f>Q39</f>
        <v>3</v>
      </c>
      <c r="S45">
        <f>S15-S16</f>
        <v>0</v>
      </c>
      <c r="T45">
        <f t="shared" ref="T45:AA45" si="43">T39+T15-T16</f>
        <v>0</v>
      </c>
      <c r="U45">
        <f t="shared" si="43"/>
        <v>0</v>
      </c>
      <c r="V45">
        <f t="shared" si="43"/>
        <v>3</v>
      </c>
      <c r="W45">
        <f t="shared" si="43"/>
        <v>3.29603634738462</v>
      </c>
      <c r="X45">
        <f t="shared" si="43"/>
        <v>0</v>
      </c>
      <c r="Y45">
        <f t="shared" si="43"/>
        <v>1</v>
      </c>
      <c r="Z45">
        <f t="shared" si="43"/>
        <v>0</v>
      </c>
      <c r="AA45">
        <f t="shared" si="43"/>
        <v>0</v>
      </c>
    </row>
    <row r="47" spans="1:21">
      <c r="A47" s="1" t="s">
        <v>31</v>
      </c>
      <c r="C47" s="2" t="s">
        <v>1</v>
      </c>
      <c r="D47" s="2" t="s">
        <v>2</v>
      </c>
      <c r="S47" t="str">
        <f>S41</f>
        <v>Period</v>
      </c>
      <c r="U47" s="35" t="s">
        <v>32</v>
      </c>
    </row>
    <row r="48" spans="2:28">
      <c r="B48" s="2">
        <v>1</v>
      </c>
      <c r="C48" s="2">
        <f t="shared" ref="C48:D48" si="44">B48+1</f>
        <v>2</v>
      </c>
      <c r="D48" s="2">
        <f t="shared" si="44"/>
        <v>3</v>
      </c>
      <c r="Q48" s="2" t="str">
        <f>Q42</f>
        <v>Station</v>
      </c>
      <c r="S48" s="20">
        <f>S42</f>
        <v>0</v>
      </c>
      <c r="T48" s="21">
        <f t="shared" ref="T48:AB48" si="45">T42</f>
        <v>1</v>
      </c>
      <c r="U48" s="21">
        <f t="shared" si="45"/>
        <v>2</v>
      </c>
      <c r="V48" s="21">
        <f t="shared" si="45"/>
        <v>3</v>
      </c>
      <c r="W48" s="21">
        <f t="shared" si="45"/>
        <v>4</v>
      </c>
      <c r="X48" s="21">
        <f t="shared" si="45"/>
        <v>5</v>
      </c>
      <c r="Y48" s="21">
        <f t="shared" si="45"/>
        <v>6</v>
      </c>
      <c r="Z48" s="21">
        <f t="shared" si="45"/>
        <v>7</v>
      </c>
      <c r="AA48" s="21">
        <f t="shared" si="45"/>
        <v>8</v>
      </c>
      <c r="AB48" s="21">
        <f t="shared" si="45"/>
        <v>9</v>
      </c>
    </row>
    <row r="49" spans="1:17">
      <c r="A49" s="3" t="s">
        <v>6</v>
      </c>
      <c r="B49" s="12">
        <v>3</v>
      </c>
      <c r="C49" s="12">
        <v>3</v>
      </c>
      <c r="D49" s="13">
        <v>3</v>
      </c>
      <c r="Q49" s="2">
        <f>Q43</f>
        <v>1</v>
      </c>
    </row>
    <row r="50" spans="1:27">
      <c r="A50" s="6" t="s">
        <v>7</v>
      </c>
      <c r="B50" s="14">
        <f>B49</f>
        <v>3</v>
      </c>
      <c r="C50" s="14">
        <f t="shared" ref="C50:D51" si="46">C49</f>
        <v>3</v>
      </c>
      <c r="D50" s="15">
        <f t="shared" si="46"/>
        <v>3</v>
      </c>
      <c r="Q50" s="2">
        <f>Q44</f>
        <v>2</v>
      </c>
      <c r="S50">
        <f t="shared" ref="S50:AA50" si="47">AVERAGE(S38,S44)</f>
        <v>1.5</v>
      </c>
      <c r="T50">
        <f t="shared" si="47"/>
        <v>4.13936234663873</v>
      </c>
      <c r="U50">
        <f t="shared" si="47"/>
        <v>6.11483646315017</v>
      </c>
      <c r="V50">
        <f t="shared" si="47"/>
        <v>4.95094823302288</v>
      </c>
      <c r="W50">
        <f t="shared" si="47"/>
        <v>1.47547411651144</v>
      </c>
      <c r="X50">
        <f t="shared" si="47"/>
        <v>0</v>
      </c>
      <c r="Y50">
        <f t="shared" si="47"/>
        <v>1</v>
      </c>
      <c r="Z50">
        <f t="shared" si="47"/>
        <v>2.83619627589458</v>
      </c>
      <c r="AA50">
        <f t="shared" si="47"/>
        <v>4.332512640416</v>
      </c>
    </row>
    <row r="51" spans="1:27">
      <c r="A51" s="9" t="s">
        <v>8</v>
      </c>
      <c r="B51" s="16">
        <f t="shared" ref="B51" si="48">B50</f>
        <v>3</v>
      </c>
      <c r="C51" s="16">
        <f t="shared" si="46"/>
        <v>3</v>
      </c>
      <c r="D51" s="17">
        <f t="shared" si="46"/>
        <v>3</v>
      </c>
      <c r="Q51" s="2">
        <f>Q45</f>
        <v>3</v>
      </c>
      <c r="S51">
        <f t="shared" ref="S51:AA51" si="49">AVERAGE(S39,S45)</f>
        <v>0</v>
      </c>
      <c r="T51">
        <f t="shared" si="49"/>
        <v>0</v>
      </c>
      <c r="U51">
        <f t="shared" si="49"/>
        <v>0</v>
      </c>
      <c r="V51">
        <f t="shared" si="49"/>
        <v>1.5</v>
      </c>
      <c r="W51">
        <f t="shared" si="49"/>
        <v>3.14801817369231</v>
      </c>
      <c r="X51">
        <f t="shared" si="49"/>
        <v>1.64801817369231</v>
      </c>
      <c r="Y51">
        <f t="shared" si="49"/>
        <v>0.5</v>
      </c>
      <c r="Z51">
        <f t="shared" si="49"/>
        <v>0.5</v>
      </c>
      <c r="AA51">
        <f t="shared" si="49"/>
        <v>0</v>
      </c>
    </row>
    <row r="53" spans="19:21">
      <c r="S53" t="str">
        <f>S47</f>
        <v>Period</v>
      </c>
      <c r="U53" s="35" t="s">
        <v>33</v>
      </c>
    </row>
    <row r="54" spans="19:28">
      <c r="S54" s="20">
        <f>S48</f>
        <v>0</v>
      </c>
      <c r="T54" s="21">
        <f t="shared" ref="T54:AB54" si="50">T48</f>
        <v>1</v>
      </c>
      <c r="U54" s="21">
        <f t="shared" si="50"/>
        <v>2</v>
      </c>
      <c r="V54" s="21">
        <f t="shared" si="50"/>
        <v>3</v>
      </c>
      <c r="W54" s="21">
        <f t="shared" si="50"/>
        <v>4</v>
      </c>
      <c r="X54" s="21">
        <f t="shared" si="50"/>
        <v>5</v>
      </c>
      <c r="Y54" s="21">
        <f t="shared" si="50"/>
        <v>6</v>
      </c>
      <c r="Z54" s="21">
        <f t="shared" si="50"/>
        <v>7</v>
      </c>
      <c r="AA54" s="21">
        <f t="shared" si="50"/>
        <v>8</v>
      </c>
      <c r="AB54" s="21">
        <f t="shared" si="50"/>
        <v>9</v>
      </c>
    </row>
    <row r="55" spans="17:27">
      <c r="Q55" t="s">
        <v>34</v>
      </c>
      <c r="S55">
        <v>0</v>
      </c>
      <c r="T55">
        <f t="shared" ref="T55:AA55" si="51">MAX(0,S56-T10)</f>
        <v>1</v>
      </c>
      <c r="U55">
        <f t="shared" si="51"/>
        <v>7.90887638984102</v>
      </c>
      <c r="V55">
        <f t="shared" si="51"/>
        <v>15.4196258974619</v>
      </c>
      <c r="W55">
        <f t="shared" si="51"/>
        <v>16.4196258974619</v>
      </c>
      <c r="X55">
        <f t="shared" si="51"/>
        <v>9.17855757616696</v>
      </c>
      <c r="Y55">
        <f t="shared" si="51"/>
        <v>14.8271927789713</v>
      </c>
      <c r="Z55">
        <f t="shared" si="51"/>
        <v>0</v>
      </c>
      <c r="AA55">
        <f t="shared" si="51"/>
        <v>0</v>
      </c>
    </row>
    <row r="56" spans="17:28">
      <c r="Q56" t="s">
        <v>35</v>
      </c>
      <c r="S56" s="30">
        <f>S20</f>
        <v>6</v>
      </c>
      <c r="T56" s="30">
        <f t="shared" ref="T56:AA56" si="52">T55+T20</f>
        <v>15.908876389841</v>
      </c>
      <c r="U56" s="30">
        <f t="shared" si="52"/>
        <v>28.4196258974619</v>
      </c>
      <c r="V56" s="30">
        <f t="shared" si="52"/>
        <v>23.4196258974619</v>
      </c>
      <c r="W56" s="30">
        <f t="shared" si="52"/>
        <v>34.178557576167</v>
      </c>
      <c r="X56" s="30">
        <f t="shared" si="52"/>
        <v>32.8271927789713</v>
      </c>
      <c r="Y56" s="30">
        <f t="shared" si="52"/>
        <v>21.8271927789713</v>
      </c>
      <c r="Z56" s="30">
        <f t="shared" si="52"/>
        <v>16.7516711064117</v>
      </c>
      <c r="AA56" s="30">
        <f t="shared" si="52"/>
        <v>20.7720510790971</v>
      </c>
      <c r="AB56" s="30"/>
    </row>
    <row r="57" spans="17:27">
      <c r="Q57" t="s">
        <v>36</v>
      </c>
      <c r="S57">
        <f>AVERAGE(S55:S56)</f>
        <v>3</v>
      </c>
      <c r="T57">
        <f t="shared" ref="T57:AA57" si="53">AVERAGE(T55:T56)</f>
        <v>8.45443819492051</v>
      </c>
      <c r="U57">
        <f t="shared" si="53"/>
        <v>18.1642511436515</v>
      </c>
      <c r="V57">
        <f t="shared" si="53"/>
        <v>19.4196258974619</v>
      </c>
      <c r="W57">
        <f t="shared" si="53"/>
        <v>25.2990917368145</v>
      </c>
      <c r="X57">
        <f t="shared" si="53"/>
        <v>21.0028751775691</v>
      </c>
      <c r="Y57">
        <f t="shared" si="53"/>
        <v>18.3271927789713</v>
      </c>
      <c r="Z57">
        <f t="shared" si="53"/>
        <v>8.37583555320584</v>
      </c>
      <c r="AA57">
        <f t="shared" si="53"/>
        <v>10.3860255395486</v>
      </c>
    </row>
    <row r="58" spans="15:28">
      <c r="O58" s="18"/>
      <c r="P58" s="18"/>
      <c r="Q58" s="18" t="s">
        <v>37</v>
      </c>
      <c r="R58" s="18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60" spans="17:27">
      <c r="Q60" t="s">
        <v>38</v>
      </c>
      <c r="R60" s="23">
        <f>SUM(T60:AA60)</f>
        <v>25.421136114617</v>
      </c>
      <c r="T60">
        <f t="shared" ref="T60:AA60" si="54">MAX(0,T10-S56)</f>
        <v>0</v>
      </c>
      <c r="U60">
        <f t="shared" si="54"/>
        <v>0</v>
      </c>
      <c r="V60">
        <f t="shared" si="54"/>
        <v>0</v>
      </c>
      <c r="W60">
        <f t="shared" si="54"/>
        <v>0</v>
      </c>
      <c r="X60">
        <f t="shared" si="54"/>
        <v>0</v>
      </c>
      <c r="Y60">
        <f t="shared" si="54"/>
        <v>0</v>
      </c>
      <c r="Z60">
        <f t="shared" si="54"/>
        <v>13.1728072210287</v>
      </c>
      <c r="AA60">
        <f t="shared" si="54"/>
        <v>12.2483288935883</v>
      </c>
    </row>
    <row r="61" spans="30:40">
      <c r="AD61" s="18"/>
      <c r="AE61" s="18">
        <v>0</v>
      </c>
      <c r="AF61" s="18">
        <f>AE61+1</f>
        <v>1</v>
      </c>
      <c r="AG61" s="18">
        <f t="shared" ref="AG61:AN61" si="55">AF61+1</f>
        <v>2</v>
      </c>
      <c r="AH61" s="18">
        <f t="shared" si="55"/>
        <v>3</v>
      </c>
      <c r="AI61" s="18">
        <f t="shared" si="55"/>
        <v>4</v>
      </c>
      <c r="AJ61" s="18">
        <f t="shared" si="55"/>
        <v>5</v>
      </c>
      <c r="AK61" s="18">
        <f t="shared" si="55"/>
        <v>6</v>
      </c>
      <c r="AL61" s="18">
        <f t="shared" si="55"/>
        <v>7</v>
      </c>
      <c r="AM61" s="18">
        <f t="shared" si="55"/>
        <v>8</v>
      </c>
      <c r="AN61" s="18">
        <f t="shared" si="55"/>
        <v>9</v>
      </c>
    </row>
    <row r="62" spans="30:40">
      <c r="AD62" t="s">
        <v>39</v>
      </c>
      <c r="AF62">
        <f t="shared" ref="AF62:AN62" si="56">T10</f>
        <v>5</v>
      </c>
      <c r="AG62">
        <f t="shared" si="56"/>
        <v>8</v>
      </c>
      <c r="AH62">
        <f t="shared" si="56"/>
        <v>13</v>
      </c>
      <c r="AI62">
        <f t="shared" si="56"/>
        <v>7</v>
      </c>
      <c r="AJ62">
        <f t="shared" si="56"/>
        <v>25</v>
      </c>
      <c r="AK62">
        <f t="shared" si="56"/>
        <v>18</v>
      </c>
      <c r="AL62">
        <f t="shared" si="56"/>
        <v>35</v>
      </c>
      <c r="AM62">
        <f t="shared" si="56"/>
        <v>29</v>
      </c>
      <c r="AN62">
        <f t="shared" si="56"/>
        <v>45</v>
      </c>
    </row>
    <row r="63" spans="16:40">
      <c r="P63" s="19" t="s">
        <v>40</v>
      </c>
      <c r="Q63" s="32">
        <f>R20</f>
        <v>135.35091496448</v>
      </c>
      <c r="AD63" t="s">
        <v>41</v>
      </c>
      <c r="AE63">
        <f t="shared" ref="AE63:AN63" si="57">S20</f>
        <v>6</v>
      </c>
      <c r="AF63">
        <f t="shared" si="57"/>
        <v>14.908876389841</v>
      </c>
      <c r="AG63">
        <f t="shared" si="57"/>
        <v>20.5107495076209</v>
      </c>
      <c r="AH63">
        <f t="shared" si="57"/>
        <v>8</v>
      </c>
      <c r="AI63">
        <f t="shared" si="57"/>
        <v>17.758931678705</v>
      </c>
      <c r="AJ63">
        <f t="shared" si="57"/>
        <v>23.6486352028043</v>
      </c>
      <c r="AK63">
        <f t="shared" si="57"/>
        <v>7</v>
      </c>
      <c r="AL63">
        <f t="shared" si="57"/>
        <v>16.7516711064117</v>
      </c>
      <c r="AM63">
        <f t="shared" si="57"/>
        <v>20.7720510790971</v>
      </c>
      <c r="AN63">
        <f t="shared" si="57"/>
        <v>0</v>
      </c>
    </row>
    <row r="64" spans="16:40">
      <c r="P64" s="19" t="s">
        <v>42</v>
      </c>
      <c r="Q64" s="33">
        <f>R10</f>
        <v>185</v>
      </c>
      <c r="T64" s="2" t="s">
        <v>43</v>
      </c>
      <c r="U64" s="24">
        <v>52</v>
      </c>
      <c r="X64" s="2" t="s">
        <v>44</v>
      </c>
      <c r="Y64" s="24">
        <v>3</v>
      </c>
      <c r="AD64" t="s">
        <v>45</v>
      </c>
      <c r="AE64">
        <f t="shared" ref="AE64:AN64" si="58">S56</f>
        <v>6</v>
      </c>
      <c r="AF64">
        <f t="shared" si="58"/>
        <v>15.908876389841</v>
      </c>
      <c r="AG64">
        <f t="shared" si="58"/>
        <v>28.4196258974619</v>
      </c>
      <c r="AH64">
        <f t="shared" si="58"/>
        <v>23.4196258974619</v>
      </c>
      <c r="AI64">
        <f t="shared" si="58"/>
        <v>34.178557576167</v>
      </c>
      <c r="AJ64">
        <f t="shared" si="58"/>
        <v>32.8271927789713</v>
      </c>
      <c r="AK64">
        <f t="shared" si="58"/>
        <v>21.8271927789713</v>
      </c>
      <c r="AL64">
        <f t="shared" si="58"/>
        <v>16.7516711064117</v>
      </c>
      <c r="AM64">
        <f t="shared" si="58"/>
        <v>20.7720510790971</v>
      </c>
      <c r="AN64">
        <f t="shared" si="58"/>
        <v>0</v>
      </c>
    </row>
    <row r="65" spans="30:40">
      <c r="AD65" t="s">
        <v>23</v>
      </c>
      <c r="AF65">
        <f t="shared" ref="AF65:AN65" si="59">T60</f>
        <v>0</v>
      </c>
      <c r="AG65">
        <f t="shared" si="59"/>
        <v>0</v>
      </c>
      <c r="AH65">
        <f t="shared" si="59"/>
        <v>0</v>
      </c>
      <c r="AI65">
        <f t="shared" si="59"/>
        <v>0</v>
      </c>
      <c r="AJ65">
        <f t="shared" si="59"/>
        <v>0</v>
      </c>
      <c r="AK65">
        <f t="shared" si="59"/>
        <v>0</v>
      </c>
      <c r="AL65">
        <f t="shared" si="59"/>
        <v>13.1728072210287</v>
      </c>
      <c r="AM65">
        <f t="shared" si="59"/>
        <v>12.2483288935883</v>
      </c>
      <c r="AN65">
        <f t="shared" si="59"/>
        <v>0</v>
      </c>
    </row>
    <row r="66" spans="16:25">
      <c r="P66" s="3" t="s">
        <v>20</v>
      </c>
      <c r="Q66" s="39" t="s">
        <v>46</v>
      </c>
      <c r="T66" s="3" t="s">
        <v>47</v>
      </c>
      <c r="U66" s="39" t="s">
        <v>46</v>
      </c>
      <c r="X66" s="3" t="s">
        <v>20</v>
      </c>
      <c r="Y66" s="39" t="s">
        <v>46</v>
      </c>
    </row>
    <row r="67" spans="16:25">
      <c r="P67" s="9" t="s">
        <v>48</v>
      </c>
      <c r="Q67" s="40" t="s">
        <v>49</v>
      </c>
      <c r="T67" s="9" t="s">
        <v>50</v>
      </c>
      <c r="U67" s="40" t="s">
        <v>49</v>
      </c>
      <c r="X67" s="9" t="s">
        <v>51</v>
      </c>
      <c r="Y67" s="40" t="s">
        <v>49</v>
      </c>
    </row>
    <row r="68" spans="15:25">
      <c r="O68" t="str">
        <f>CONCATENATE("lower = ",P68)</f>
        <v>lower = 0</v>
      </c>
      <c r="P68" s="36">
        <v>0</v>
      </c>
      <c r="Q68" s="41">
        <v>1</v>
      </c>
      <c r="S68" t="str">
        <f>CONCATENATE("lower = ",T68)</f>
        <v>lower = 0</v>
      </c>
      <c r="T68" s="42">
        <v>0</v>
      </c>
      <c r="U68" s="41">
        <v>1</v>
      </c>
      <c r="W68" t="str">
        <f>CONCATENATE("lower = ",X68)</f>
        <v>lower = 0</v>
      </c>
      <c r="X68" s="36">
        <v>0</v>
      </c>
      <c r="Y68" s="41">
        <v>1</v>
      </c>
    </row>
    <row r="69" spans="15:25">
      <c r="O69" t="str">
        <f>CONCATENATE("upper = ",P69)</f>
        <v>upper = 0.3</v>
      </c>
      <c r="P69" s="37">
        <v>0.3</v>
      </c>
      <c r="Q69" s="40">
        <v>0</v>
      </c>
      <c r="S69" t="str">
        <f>CONCATENATE("upper = ",T69)</f>
        <v>upper = 1.31</v>
      </c>
      <c r="T69" s="43">
        <v>1.31</v>
      </c>
      <c r="U69" s="40">
        <v>0</v>
      </c>
      <c r="W69" t="str">
        <f>CONCATENATE("upper = ",X69)</f>
        <v>upper = 0.2</v>
      </c>
      <c r="X69" s="37">
        <v>0.2</v>
      </c>
      <c r="Y69" s="40">
        <v>0</v>
      </c>
    </row>
    <row r="72" spans="16:25">
      <c r="P72" s="2" t="s">
        <v>52</v>
      </c>
      <c r="Q72">
        <f>R60</f>
        <v>25.421136114617</v>
      </c>
      <c r="T72" s="2" t="s">
        <v>53</v>
      </c>
      <c r="U72" t="e">
        <f>R19</f>
        <v>#NAME?</v>
      </c>
      <c r="X72" s="2" t="s">
        <v>54</v>
      </c>
      <c r="Y72">
        <f>R33</f>
        <v>28.8454774281115</v>
      </c>
    </row>
    <row r="73" spans="16:25">
      <c r="P73" s="2" t="s">
        <v>55</v>
      </c>
      <c r="Q73">
        <f>Q72/Q64</f>
        <v>0.137411546565498</v>
      </c>
      <c r="T73" s="2" t="s">
        <v>56</v>
      </c>
      <c r="U73" t="e">
        <f>U72/U64</f>
        <v>#NAME?</v>
      </c>
      <c r="X73" s="2" t="s">
        <v>57</v>
      </c>
      <c r="Y73">
        <f>Y72/Y64/Q64</f>
        <v>0.0519738332038045</v>
      </c>
    </row>
    <row r="74" spans="16:27">
      <c r="P74" s="38" t="s">
        <v>58</v>
      </c>
      <c r="Q74" s="44">
        <f>IF(Q73&gt;=P69,0,IF(Q73&lt;=P68,1,1-(Q73-P68)/(P69-P68)))</f>
        <v>0.541961511448342</v>
      </c>
      <c r="T74" s="38" t="s">
        <v>59</v>
      </c>
      <c r="U74" s="44" t="e">
        <f>IF(U73&gt;=T69,0,IF(U73&lt;=T68,1,1-(U73-T68)/(T69-T68)))</f>
        <v>#NAME?</v>
      </c>
      <c r="X74" s="38" t="s">
        <v>60</v>
      </c>
      <c r="Y74" s="44">
        <f>IF(Y73&gt;=X69,0,IF(Y73&lt;=X68,1,1-(Y73-X68)/(X69-X68)))</f>
        <v>0.740130833980978</v>
      </c>
      <c r="AA74" s="46" t="e">
        <f>Q74+U74+Y74</f>
        <v>#NAME?</v>
      </c>
    </row>
    <row r="110" spans="17:21">
      <c r="Q110" s="45" t="s">
        <v>6</v>
      </c>
      <c r="S110" t="s">
        <v>3</v>
      </c>
      <c r="U110" t="s">
        <v>61</v>
      </c>
    </row>
    <row r="111" spans="17:28">
      <c r="Q111" s="2" t="s">
        <v>62</v>
      </c>
      <c r="S111" s="20">
        <v>0</v>
      </c>
      <c r="T111" s="21">
        <f>S111+1</f>
        <v>1</v>
      </c>
      <c r="U111" s="21">
        <f t="shared" ref="U111:AB111" si="60">T111+1</f>
        <v>2</v>
      </c>
      <c r="V111" s="21">
        <f t="shared" si="60"/>
        <v>3</v>
      </c>
      <c r="W111" s="21">
        <f t="shared" si="60"/>
        <v>4</v>
      </c>
      <c r="X111" s="21">
        <f t="shared" si="60"/>
        <v>5</v>
      </c>
      <c r="Y111" s="21">
        <f t="shared" si="60"/>
        <v>6</v>
      </c>
      <c r="Z111" s="21">
        <f t="shared" si="60"/>
        <v>7</v>
      </c>
      <c r="AA111" s="21">
        <f t="shared" si="60"/>
        <v>8</v>
      </c>
      <c r="AB111" s="21">
        <f t="shared" si="60"/>
        <v>9</v>
      </c>
    </row>
    <row r="112" spans="17:28">
      <c r="Q112" s="2">
        <v>1</v>
      </c>
      <c r="S112">
        <f t="shared" ref="S112:AB114" si="61">IF(S$6=$Q112,VLOOKUP($Q112,$Q$142:$AB$144,S$111+3,FALSE),0)</f>
        <v>9</v>
      </c>
      <c r="T112">
        <f t="shared" si="61"/>
        <v>17.1876010831185</v>
      </c>
      <c r="U112">
        <f t="shared" si="61"/>
        <v>22.1829730473663</v>
      </c>
      <c r="V112">
        <f t="shared" si="61"/>
        <v>0</v>
      </c>
      <c r="W112">
        <f t="shared" si="61"/>
        <v>0</v>
      </c>
      <c r="X112">
        <f t="shared" si="61"/>
        <v>0</v>
      </c>
      <c r="Y112">
        <f t="shared" si="61"/>
        <v>0</v>
      </c>
      <c r="Z112">
        <f t="shared" si="61"/>
        <v>0</v>
      </c>
      <c r="AA112">
        <f t="shared" si="61"/>
        <v>0</v>
      </c>
      <c r="AB112">
        <f t="shared" si="61"/>
        <v>0</v>
      </c>
    </row>
    <row r="113" spans="17:28">
      <c r="Q113" s="2">
        <f t="shared" ref="Q113:Q114" si="62">Q112+1</f>
        <v>2</v>
      </c>
      <c r="S113">
        <f t="shared" si="61"/>
        <v>0</v>
      </c>
      <c r="T113">
        <f t="shared" si="61"/>
        <v>0</v>
      </c>
      <c r="U113">
        <f t="shared" si="61"/>
        <v>0</v>
      </c>
      <c r="V113">
        <f t="shared" si="61"/>
        <v>11</v>
      </c>
      <c r="W113">
        <f t="shared" si="61"/>
        <v>18.4078295513929</v>
      </c>
      <c r="X113">
        <f t="shared" si="61"/>
        <v>22.92745180476</v>
      </c>
      <c r="Y113">
        <f t="shared" si="61"/>
        <v>0</v>
      </c>
      <c r="Z113">
        <f t="shared" si="61"/>
        <v>0</v>
      </c>
      <c r="AA113">
        <f t="shared" si="61"/>
        <v>0</v>
      </c>
      <c r="AB113">
        <f t="shared" si="61"/>
        <v>0</v>
      </c>
    </row>
    <row r="114" spans="17:28">
      <c r="Q114" s="2">
        <f t="shared" si="62"/>
        <v>3</v>
      </c>
      <c r="S114">
        <f t="shared" si="61"/>
        <v>0</v>
      </c>
      <c r="T114">
        <f t="shared" si="61"/>
        <v>0</v>
      </c>
      <c r="U114">
        <f t="shared" si="61"/>
        <v>0</v>
      </c>
      <c r="V114">
        <f t="shared" si="61"/>
        <v>0</v>
      </c>
      <c r="W114">
        <f t="shared" si="61"/>
        <v>0</v>
      </c>
      <c r="X114">
        <f t="shared" si="61"/>
        <v>0</v>
      </c>
      <c r="Y114">
        <f t="shared" si="61"/>
        <v>7</v>
      </c>
      <c r="Z114">
        <f t="shared" si="61"/>
        <v>17.6399825503954</v>
      </c>
      <c r="AA114">
        <f t="shared" si="61"/>
        <v>24.1315873553632</v>
      </c>
      <c r="AB114">
        <f t="shared" si="61"/>
        <v>0</v>
      </c>
    </row>
    <row r="116" spans="17:21">
      <c r="Q116" s="45" t="str">
        <f>CONCATENATE(LEFT(Q110,4),RIGHT(Q110,1)+1)</f>
        <v>k = 2</v>
      </c>
      <c r="S116" t="str">
        <f>S110</f>
        <v>Period</v>
      </c>
      <c r="U116" t="str">
        <f>U110</f>
        <v>Theoretical number of units that can be processed</v>
      </c>
    </row>
    <row r="117" spans="17:28">
      <c r="Q117" s="2" t="str">
        <f>Q111</f>
        <v>station</v>
      </c>
      <c r="S117" s="20">
        <f>S111</f>
        <v>0</v>
      </c>
      <c r="T117" s="21">
        <f>T111</f>
        <v>1</v>
      </c>
      <c r="U117" s="21">
        <f>U111</f>
        <v>2</v>
      </c>
      <c r="V117" s="21">
        <f t="shared" ref="V117:AB117" si="63">V111</f>
        <v>3</v>
      </c>
      <c r="W117" s="21">
        <f t="shared" si="63"/>
        <v>4</v>
      </c>
      <c r="X117" s="21">
        <f t="shared" si="63"/>
        <v>5</v>
      </c>
      <c r="Y117" s="21">
        <f t="shared" si="63"/>
        <v>6</v>
      </c>
      <c r="Z117" s="21">
        <f t="shared" si="63"/>
        <v>7</v>
      </c>
      <c r="AA117" s="21">
        <f t="shared" si="63"/>
        <v>8</v>
      </c>
      <c r="AB117" s="21">
        <f t="shared" si="63"/>
        <v>9</v>
      </c>
    </row>
    <row r="118" spans="17:28">
      <c r="Q118" s="2">
        <f>Q112</f>
        <v>1</v>
      </c>
      <c r="S118">
        <f t="shared" ref="S118:AB120" si="64">IF(S$7=$Q118,VLOOKUP($Q118,$Q$154:$AB$156,S$117+3,FALSE),0)</f>
        <v>0</v>
      </c>
      <c r="T118">
        <f t="shared" si="64"/>
        <v>0</v>
      </c>
      <c r="U118">
        <f t="shared" si="64"/>
        <v>0</v>
      </c>
      <c r="V118">
        <f t="shared" si="64"/>
        <v>0</v>
      </c>
      <c r="W118">
        <f t="shared" si="64"/>
        <v>0</v>
      </c>
      <c r="X118">
        <f t="shared" si="64"/>
        <v>0</v>
      </c>
      <c r="Y118">
        <f t="shared" si="64"/>
        <v>10</v>
      </c>
      <c r="Z118">
        <f t="shared" si="64"/>
        <v>17.4240636582009</v>
      </c>
      <c r="AA118">
        <f t="shared" si="64"/>
        <v>22.0922912563508</v>
      </c>
      <c r="AB118">
        <f t="shared" si="64"/>
        <v>0</v>
      </c>
    </row>
    <row r="119" spans="17:28">
      <c r="Q119" s="2">
        <f>Q113</f>
        <v>2</v>
      </c>
      <c r="S119">
        <f t="shared" si="64"/>
        <v>6</v>
      </c>
      <c r="T119">
        <f t="shared" si="64"/>
        <v>14.908876389841</v>
      </c>
      <c r="U119">
        <f t="shared" si="64"/>
        <v>20.5107495076209</v>
      </c>
      <c r="V119">
        <f t="shared" si="64"/>
        <v>0</v>
      </c>
      <c r="W119">
        <f t="shared" si="64"/>
        <v>0</v>
      </c>
      <c r="X119">
        <f t="shared" si="64"/>
        <v>0</v>
      </c>
      <c r="Y119">
        <f t="shared" si="64"/>
        <v>0</v>
      </c>
      <c r="Z119">
        <f t="shared" si="64"/>
        <v>0</v>
      </c>
      <c r="AA119">
        <f t="shared" si="64"/>
        <v>0</v>
      </c>
      <c r="AB119">
        <f t="shared" si="64"/>
        <v>0</v>
      </c>
    </row>
    <row r="120" spans="17:28">
      <c r="Q120" s="2">
        <f>Q114</f>
        <v>3</v>
      </c>
      <c r="S120">
        <f t="shared" si="64"/>
        <v>0</v>
      </c>
      <c r="T120">
        <f t="shared" si="64"/>
        <v>0</v>
      </c>
      <c r="U120">
        <f t="shared" si="64"/>
        <v>0</v>
      </c>
      <c r="V120">
        <f t="shared" si="64"/>
        <v>8</v>
      </c>
      <c r="W120">
        <f t="shared" si="64"/>
        <v>17.758931678705</v>
      </c>
      <c r="X120">
        <f t="shared" si="64"/>
        <v>23.8953168564731</v>
      </c>
      <c r="Y120">
        <f t="shared" si="64"/>
        <v>0</v>
      </c>
      <c r="Z120">
        <f t="shared" si="64"/>
        <v>0</v>
      </c>
      <c r="AA120">
        <f t="shared" si="64"/>
        <v>0</v>
      </c>
      <c r="AB120">
        <f t="shared" si="64"/>
        <v>0</v>
      </c>
    </row>
    <row r="122" spans="17:21">
      <c r="Q122" s="45" t="str">
        <f>CONCATENATE(LEFT(Q116,4),RIGHT(Q116,1)+1)</f>
        <v>k = 3</v>
      </c>
      <c r="S122" t="str">
        <f>S116</f>
        <v>Period</v>
      </c>
      <c r="U122" t="str">
        <f>U116</f>
        <v>Theoretical number of units that can be processed</v>
      </c>
    </row>
    <row r="123" spans="17:28">
      <c r="Q123" s="2" t="str">
        <f>Q117</f>
        <v>station</v>
      </c>
      <c r="S123" s="20">
        <f>S117</f>
        <v>0</v>
      </c>
      <c r="T123" s="21">
        <f>T117</f>
        <v>1</v>
      </c>
      <c r="U123" s="21">
        <f>U117</f>
        <v>2</v>
      </c>
      <c r="V123" s="21">
        <f t="shared" ref="V123:AB123" si="65">V117</f>
        <v>3</v>
      </c>
      <c r="W123" s="21">
        <f t="shared" si="65"/>
        <v>4</v>
      </c>
      <c r="X123" s="21">
        <f t="shared" si="65"/>
        <v>5</v>
      </c>
      <c r="Y123" s="21">
        <f t="shared" si="65"/>
        <v>6</v>
      </c>
      <c r="Z123" s="21">
        <f t="shared" si="65"/>
        <v>7</v>
      </c>
      <c r="AA123" s="21">
        <f t="shared" si="65"/>
        <v>8</v>
      </c>
      <c r="AB123" s="21">
        <f t="shared" si="65"/>
        <v>9</v>
      </c>
    </row>
    <row r="124" spans="17:28">
      <c r="Q124" s="2">
        <f>Q118</f>
        <v>1</v>
      </c>
      <c r="S124">
        <f t="shared" ref="S124:AB126" si="66">IF(S$8=$Q124,VLOOKUP($Q124,$Q$166:$AB$168,S$123+3,FALSE),0)</f>
        <v>0</v>
      </c>
      <c r="T124">
        <f t="shared" si="66"/>
        <v>0</v>
      </c>
      <c r="U124">
        <f t="shared" si="66"/>
        <v>0</v>
      </c>
      <c r="V124">
        <f t="shared" si="66"/>
        <v>7</v>
      </c>
      <c r="W124">
        <f t="shared" si="66"/>
        <v>15.1040197930668</v>
      </c>
      <c r="X124">
        <f t="shared" si="66"/>
        <v>20.3525988554197</v>
      </c>
      <c r="Y124">
        <f t="shared" si="66"/>
        <v>0</v>
      </c>
      <c r="Z124">
        <f t="shared" si="66"/>
        <v>0</v>
      </c>
      <c r="AA124">
        <f t="shared" si="66"/>
        <v>0</v>
      </c>
      <c r="AB124">
        <f t="shared" si="66"/>
        <v>0</v>
      </c>
    </row>
    <row r="125" spans="17:28">
      <c r="Q125" s="2">
        <f>Q119</f>
        <v>2</v>
      </c>
      <c r="S125">
        <f t="shared" si="66"/>
        <v>0</v>
      </c>
      <c r="T125">
        <f t="shared" si="66"/>
        <v>0</v>
      </c>
      <c r="U125">
        <f t="shared" si="66"/>
        <v>0</v>
      </c>
      <c r="V125">
        <f t="shared" si="66"/>
        <v>0</v>
      </c>
      <c r="W125">
        <f t="shared" si="66"/>
        <v>0</v>
      </c>
      <c r="X125">
        <f t="shared" si="66"/>
        <v>0</v>
      </c>
      <c r="Y125">
        <f t="shared" si="66"/>
        <v>8</v>
      </c>
      <c r="Z125">
        <f t="shared" si="66"/>
        <v>15.7516711064117</v>
      </c>
      <c r="AA125">
        <f t="shared" si="66"/>
        <v>20.7720510790971</v>
      </c>
      <c r="AB125">
        <f t="shared" si="66"/>
        <v>0</v>
      </c>
    </row>
    <row r="126" spans="17:28">
      <c r="Q126" s="2">
        <f>Q120</f>
        <v>3</v>
      </c>
      <c r="S126">
        <f t="shared" si="66"/>
        <v>12</v>
      </c>
      <c r="T126">
        <f t="shared" si="66"/>
        <v>19.8538522255417</v>
      </c>
      <c r="U126">
        <f t="shared" si="66"/>
        <v>24.9404099342307</v>
      </c>
      <c r="V126">
        <f t="shared" si="66"/>
        <v>0</v>
      </c>
      <c r="W126">
        <f t="shared" si="66"/>
        <v>0</v>
      </c>
      <c r="X126">
        <f t="shared" si="66"/>
        <v>0</v>
      </c>
      <c r="Y126">
        <f t="shared" si="66"/>
        <v>0</v>
      </c>
      <c r="Z126">
        <f t="shared" si="66"/>
        <v>0</v>
      </c>
      <c r="AA126">
        <f t="shared" si="66"/>
        <v>0</v>
      </c>
      <c r="AB126">
        <f t="shared" si="66"/>
        <v>0</v>
      </c>
    </row>
    <row r="133" spans="7:29"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7:29">
      <c r="G134" s="47"/>
      <c r="Q134" s="45" t="s">
        <v>6</v>
      </c>
      <c r="S134" t="s">
        <v>3</v>
      </c>
      <c r="U134" t="s">
        <v>63</v>
      </c>
      <c r="AC134" s="47"/>
    </row>
    <row r="135" spans="7:29">
      <c r="G135" s="47"/>
      <c r="Q135" s="2" t="s">
        <v>62</v>
      </c>
      <c r="S135" s="20">
        <v>0</v>
      </c>
      <c r="T135" s="21">
        <f>S135+1</f>
        <v>1</v>
      </c>
      <c r="U135" s="21">
        <f t="shared" ref="U135:AB135" si="67">T135+1</f>
        <v>2</v>
      </c>
      <c r="V135" s="21">
        <f t="shared" si="67"/>
        <v>3</v>
      </c>
      <c r="W135" s="21">
        <f t="shared" si="67"/>
        <v>4</v>
      </c>
      <c r="X135" s="21">
        <f t="shared" si="67"/>
        <v>5</v>
      </c>
      <c r="Y135" s="21">
        <f t="shared" si="67"/>
        <v>6</v>
      </c>
      <c r="Z135" s="21">
        <f t="shared" si="67"/>
        <v>7</v>
      </c>
      <c r="AA135" s="21">
        <f t="shared" si="67"/>
        <v>8</v>
      </c>
      <c r="AB135" s="21">
        <f t="shared" si="67"/>
        <v>9</v>
      </c>
      <c r="AC135" s="47"/>
    </row>
    <row r="136" spans="7:29">
      <c r="G136" s="47"/>
      <c r="Q136" s="2">
        <v>1</v>
      </c>
      <c r="S136" s="48">
        <f>COUNTIF($S$6:S$6,$Q136)</f>
        <v>1</v>
      </c>
      <c r="T136" s="48">
        <f>COUNTIF($S$6:T$6,$Q136)</f>
        <v>2</v>
      </c>
      <c r="U136" s="48">
        <f>COUNTIF($S$6:U$6,$Q136)</f>
        <v>3</v>
      </c>
      <c r="V136" s="48">
        <f>COUNTIF($S$6:V$6,$Q136)</f>
        <v>3</v>
      </c>
      <c r="W136" s="48">
        <f>COUNTIF($S$6:W$6,$Q136)</f>
        <v>3</v>
      </c>
      <c r="X136" s="48">
        <f>COUNTIF($S$6:X$6,$Q136)</f>
        <v>3</v>
      </c>
      <c r="Y136" s="48">
        <f>COUNTIF($S$6:Y$6,$Q136)</f>
        <v>3</v>
      </c>
      <c r="Z136" s="48">
        <f>COUNTIF($S$6:Z$6,$Q136)</f>
        <v>3</v>
      </c>
      <c r="AA136" s="48">
        <f>COUNTIF($S$6:AA$6,$Q136)</f>
        <v>3</v>
      </c>
      <c r="AB136" s="48">
        <f>COUNTIF($S$6:AB$6,$Q136)</f>
        <v>3</v>
      </c>
      <c r="AC136" s="47"/>
    </row>
    <row r="137" spans="7:29">
      <c r="G137" s="47"/>
      <c r="Q137" s="2">
        <f t="shared" ref="Q137:Q138" si="68">Q136+1</f>
        <v>2</v>
      </c>
      <c r="S137" s="48">
        <f>COUNTIF($S$6:S$6,$Q137)</f>
        <v>0</v>
      </c>
      <c r="T137" s="48">
        <f>COUNTIF($S$6:T$6,$Q137)</f>
        <v>0</v>
      </c>
      <c r="U137" s="48">
        <f>COUNTIF($S$6:U$6,$Q137)</f>
        <v>0</v>
      </c>
      <c r="V137" s="48">
        <f>COUNTIF($S$6:V$6,$Q137)</f>
        <v>1</v>
      </c>
      <c r="W137" s="48">
        <f>COUNTIF($S$6:W$6,$Q137)</f>
        <v>2</v>
      </c>
      <c r="X137" s="48">
        <f>COUNTIF($S$6:X$6,$Q137)</f>
        <v>3</v>
      </c>
      <c r="Y137" s="48">
        <f>COUNTIF($S$6:Y$6,$Q137)</f>
        <v>3</v>
      </c>
      <c r="Z137" s="48">
        <f>COUNTIF($S$6:Z$6,$Q137)</f>
        <v>3</v>
      </c>
      <c r="AA137" s="48">
        <f>COUNTIF($S$6:AA$6,$Q137)</f>
        <v>3</v>
      </c>
      <c r="AB137" s="48">
        <f>COUNTIF($S$6:AB$6,$Q137)</f>
        <v>3</v>
      </c>
      <c r="AC137" s="47"/>
    </row>
    <row r="138" spans="7:29">
      <c r="G138" s="47"/>
      <c r="Q138" s="2">
        <f t="shared" si="68"/>
        <v>3</v>
      </c>
      <c r="S138" s="48">
        <f>COUNTIF($S$6:S$6,$Q138)</f>
        <v>0</v>
      </c>
      <c r="T138" s="48">
        <f>COUNTIF($S$6:T$6,$Q138)</f>
        <v>0</v>
      </c>
      <c r="U138" s="48">
        <f>COUNTIF($S$6:U$6,$Q138)</f>
        <v>0</v>
      </c>
      <c r="V138" s="48">
        <f>COUNTIF($S$6:V$6,$Q138)</f>
        <v>0</v>
      </c>
      <c r="W138" s="48">
        <f>COUNTIF($S$6:W$6,$Q138)</f>
        <v>0</v>
      </c>
      <c r="X138" s="48">
        <f>COUNTIF($S$6:X$6,$Q138)</f>
        <v>0</v>
      </c>
      <c r="Y138" s="48">
        <f>COUNTIF($S$6:Y$6,$Q138)</f>
        <v>1</v>
      </c>
      <c r="Z138" s="48">
        <f>COUNTIF($S$6:Z$6,$Q138)</f>
        <v>2</v>
      </c>
      <c r="AA138" s="48">
        <f>COUNTIF($S$6:AA$6,$Q138)</f>
        <v>3</v>
      </c>
      <c r="AB138" s="48">
        <f>COUNTIF($S$6:AB$6,$Q138)</f>
        <v>3</v>
      </c>
      <c r="AC138" s="47"/>
    </row>
    <row r="139" spans="7:29">
      <c r="G139" s="47"/>
      <c r="AC139" s="47"/>
    </row>
    <row r="140" spans="7:29">
      <c r="G140" s="47"/>
      <c r="Q140" s="45" t="str">
        <f>Q134</f>
        <v>k = 1</v>
      </c>
      <c r="S140" t="s">
        <v>3</v>
      </c>
      <c r="U140" s="34" t="s">
        <v>64</v>
      </c>
      <c r="AC140" s="47"/>
    </row>
    <row r="141" spans="7:29">
      <c r="G141" s="47"/>
      <c r="H141" s="2" t="s">
        <v>17</v>
      </c>
      <c r="I141" s="2" t="s">
        <v>21</v>
      </c>
      <c r="J141" s="2" t="s">
        <v>25</v>
      </c>
      <c r="K141" s="2" t="s">
        <v>65</v>
      </c>
      <c r="L141" s="2" t="s">
        <v>28</v>
      </c>
      <c r="M141" s="2" t="s">
        <v>66</v>
      </c>
      <c r="N141" s="2" t="s">
        <v>31</v>
      </c>
      <c r="O141" s="2" t="s">
        <v>67</v>
      </c>
      <c r="P141" s="2" t="s">
        <v>68</v>
      </c>
      <c r="Q141" s="2" t="str">
        <f>Q135</f>
        <v>station</v>
      </c>
      <c r="S141" s="20">
        <v>0</v>
      </c>
      <c r="T141" s="21">
        <f>S141+1</f>
        <v>1</v>
      </c>
      <c r="U141" s="21">
        <f t="shared" ref="U141:AB141" si="69">T141+1</f>
        <v>2</v>
      </c>
      <c r="V141" s="21">
        <f t="shared" si="69"/>
        <v>3</v>
      </c>
      <c r="W141" s="21">
        <f t="shared" si="69"/>
        <v>4</v>
      </c>
      <c r="X141" s="21">
        <f t="shared" si="69"/>
        <v>5</v>
      </c>
      <c r="Y141" s="21">
        <f t="shared" si="69"/>
        <v>6</v>
      </c>
      <c r="Z141" s="21">
        <f t="shared" si="69"/>
        <v>7</v>
      </c>
      <c r="AA141" s="21">
        <f t="shared" si="69"/>
        <v>8</v>
      </c>
      <c r="AB141" s="21">
        <f t="shared" si="69"/>
        <v>9</v>
      </c>
      <c r="AC141" s="47"/>
    </row>
    <row r="142" spans="7:29">
      <c r="G142" s="47"/>
      <c r="H142" s="2">
        <f>HLOOKUP($Q142,$A$23:$D$26,RIGHT($Q$140,1)+1,FALSE)</f>
        <v>30</v>
      </c>
      <c r="I142" s="2">
        <f>HLOOKUP($Q142,$A$29:$D$32,RIGHT($Q$140,1)+1,FALSE)</f>
        <v>0</v>
      </c>
      <c r="J142" s="2">
        <f>HLOOKUP($Q142,$A$36:$D$39,RIGHT($Q$140,1)+1,FALSE)</f>
        <v>9</v>
      </c>
      <c r="K142" s="2">
        <f t="shared" ref="K142:K144" si="70">H142-L142</f>
        <v>29</v>
      </c>
      <c r="L142" s="2">
        <f>HLOOKUP($Q142,$A$42:$D$45,RIGHT($Q$140,1)+1,FALSE)</f>
        <v>1</v>
      </c>
      <c r="M142" s="2">
        <f t="shared" ref="M142:M144" si="71">I142+N142</f>
        <v>3</v>
      </c>
      <c r="N142" s="2">
        <f>HLOOKUP($Q142,$A$48:$D$51,RIGHT($Q$140,1)+1,FALSE)</f>
        <v>3</v>
      </c>
      <c r="O142" s="2">
        <f>VLOOKUP($Q$140,$A$5:$D$8,MATCH($Q142,$A$5:$D$5,0),FALSE)</f>
        <v>0.71</v>
      </c>
      <c r="P142" s="2">
        <f>VLOOKUP($Q$140,$A$13:$D$16,MATCH($Q142,$A$13:$D$13,0),FALSE)</f>
        <v>0.94</v>
      </c>
      <c r="Q142" s="2">
        <f>Q136</f>
        <v>1</v>
      </c>
      <c r="R142">
        <f t="shared" ref="R142:R144" si="72">J142</f>
        <v>9</v>
      </c>
      <c r="S142" s="49">
        <f t="shared" ref="S142:AB142" si="73">IF(S$6="","",IF(S136&gt;1,IF(S$6=$Q142,MIN($K142,($H142-($H142-R142)*EXP(LOG($O142,2)))),MAX($M142,($I142+(R142-$I142)*EXP(LOG($P142,2))))),IF(S136=1,IF(S$6=$Q142,$J142,MAX($M142,($I142+(R142-$I142)*EXP(LOG($P142,2))))),$J142)))</f>
        <v>9</v>
      </c>
      <c r="T142" s="49">
        <f t="shared" si="73"/>
        <v>17.1876010831185</v>
      </c>
      <c r="U142" s="49">
        <f t="shared" si="73"/>
        <v>22.1829730473663</v>
      </c>
      <c r="V142" s="49">
        <f t="shared" si="73"/>
        <v>20.2885700683166</v>
      </c>
      <c r="W142" s="49">
        <f t="shared" si="73"/>
        <v>18.5559471464021</v>
      </c>
      <c r="X142" s="49">
        <f t="shared" si="73"/>
        <v>16.9712884318928</v>
      </c>
      <c r="Y142" s="49">
        <f t="shared" si="73"/>
        <v>15.5219579343512</v>
      </c>
      <c r="Z142" s="49">
        <f t="shared" si="73"/>
        <v>14.196398763868</v>
      </c>
      <c r="AA142" s="49">
        <f t="shared" si="73"/>
        <v>12.9840409769913</v>
      </c>
      <c r="AB142" s="49" t="str">
        <f t="shared" si="73"/>
        <v/>
      </c>
      <c r="AC142" s="47"/>
    </row>
    <row r="143" spans="7:29">
      <c r="G143" s="47"/>
      <c r="H143" s="2">
        <f>HLOOKUP($Q143,$A$23:$D$26,RIGHT($Q$140,1)+1,FALSE)</f>
        <v>30</v>
      </c>
      <c r="I143" s="2">
        <f>HLOOKUP($Q143,$A$29:$D$32,RIGHT($Q$140,1)+1,FALSE)</f>
        <v>0</v>
      </c>
      <c r="J143" s="2">
        <f>HLOOKUP($Q143,$A$36:$D$39,RIGHT($Q$140,1)+1,FALSE)</f>
        <v>11</v>
      </c>
      <c r="K143" s="2">
        <f t="shared" si="70"/>
        <v>29</v>
      </c>
      <c r="L143" s="2">
        <f>HLOOKUP($Q143,$A$42:$D$45,RIGHT($Q$140,1)+1,FALSE)</f>
        <v>1</v>
      </c>
      <c r="M143" s="2">
        <f t="shared" si="71"/>
        <v>3</v>
      </c>
      <c r="N143" s="2">
        <f>HLOOKUP($Q143,$A$48:$D$51,RIGHT($Q$140,1)+1,FALSE)</f>
        <v>3</v>
      </c>
      <c r="O143" s="2">
        <f>VLOOKUP($Q$140,$A$5:$D$8,MATCH($Q143,$A$5:$D$5,0),FALSE)</f>
        <v>0.71</v>
      </c>
      <c r="P143" s="2">
        <f>VLOOKUP($Q$140,$A$13:$D$16,MATCH($Q143,$A$13:$D$13,0),FALSE)</f>
        <v>0.94</v>
      </c>
      <c r="Q143" s="2">
        <f>Q137</f>
        <v>2</v>
      </c>
      <c r="R143">
        <f t="shared" si="72"/>
        <v>11</v>
      </c>
      <c r="S143" s="49">
        <f t="shared" ref="S143:AB143" si="74">IF(S$6="","",IF(S137&gt;1,IF(S$6=$Q143,MIN($K143,($H143-($H143-R143)*EXP(LOG($O143,2)))),MAX($M143,($I143+(R143-$I143)*EXP(LOG($P143,2))))),IF(S137=1,IF(S$6=$Q143,$J143,MAX($M143,($I143+(R143-$I143)*EXP(LOG($P143,2))))),$J143)))</f>
        <v>11</v>
      </c>
      <c r="T143" s="49">
        <f t="shared" si="74"/>
        <v>11</v>
      </c>
      <c r="U143" s="49">
        <f t="shared" si="74"/>
        <v>11</v>
      </c>
      <c r="V143" s="49">
        <f t="shared" si="74"/>
        <v>11</v>
      </c>
      <c r="W143" s="49">
        <f t="shared" si="74"/>
        <v>18.4078295513929</v>
      </c>
      <c r="X143" s="49">
        <f t="shared" si="74"/>
        <v>22.92745180476</v>
      </c>
      <c r="Y143" s="49">
        <f t="shared" si="74"/>
        <v>20.9694711090158</v>
      </c>
      <c r="Z143" s="49">
        <f t="shared" si="74"/>
        <v>19.1786999417248</v>
      </c>
      <c r="AA143" s="49">
        <f t="shared" si="74"/>
        <v>17.5408587819161</v>
      </c>
      <c r="AB143" s="49" t="str">
        <f t="shared" si="74"/>
        <v/>
      </c>
      <c r="AC143" s="47"/>
    </row>
    <row r="144" spans="7:29">
      <c r="G144" s="47"/>
      <c r="H144" s="2">
        <f>HLOOKUP($Q144,$A$23:$D$26,RIGHT($Q$140,1)+1,FALSE)</f>
        <v>34.29</v>
      </c>
      <c r="I144" s="2">
        <f>HLOOKUP($Q144,$A$29:$D$32,RIGHT($Q$140,1)+1,FALSE)</f>
        <v>0</v>
      </c>
      <c r="J144" s="2">
        <f>HLOOKUP($Q144,$A$36:$D$39,RIGHT($Q$140,1)+1,FALSE)</f>
        <v>7</v>
      </c>
      <c r="K144" s="2">
        <f t="shared" si="70"/>
        <v>32.29</v>
      </c>
      <c r="L144" s="2">
        <f>HLOOKUP($Q144,$A$42:$D$45,RIGHT($Q$140,1)+1,FALSE)</f>
        <v>2</v>
      </c>
      <c r="M144" s="2">
        <f t="shared" si="71"/>
        <v>3</v>
      </c>
      <c r="N144" s="2">
        <f>HLOOKUP($Q144,$A$48:$D$51,RIGHT($Q$140,1)+1,FALSE)</f>
        <v>3</v>
      </c>
      <c r="O144" s="2">
        <f>VLOOKUP($Q$140,$A$5:$D$8,MATCH($Q144,$A$5:$D$5,0),FALSE)</f>
        <v>0.71</v>
      </c>
      <c r="P144" s="2">
        <f>VLOOKUP($Q$140,$A$13:$D$16,MATCH($Q144,$A$13:$D$13,0),FALSE)</f>
        <v>0.94</v>
      </c>
      <c r="Q144" s="2">
        <f>Q138</f>
        <v>3</v>
      </c>
      <c r="R144">
        <f t="shared" si="72"/>
        <v>7</v>
      </c>
      <c r="S144" s="49">
        <f t="shared" ref="S144:AB144" si="75">IF(S$6="","",IF(S138&gt;1,IF(S$6=$Q144,MIN($K144,($H144-($H144-R144)*EXP(LOG($O144,2)))),MAX($M144,($I144+(R144-$I144)*EXP(LOG($P144,2))))),IF(S138=1,IF(S$6=$Q144,$J144,MAX($M144,($I144+(R144-$I144)*EXP(LOG($P144,2))))),$J144)))</f>
        <v>7</v>
      </c>
      <c r="T144" s="49">
        <f t="shared" si="75"/>
        <v>7</v>
      </c>
      <c r="U144" s="49">
        <f t="shared" si="75"/>
        <v>7</v>
      </c>
      <c r="V144" s="49">
        <f t="shared" si="75"/>
        <v>7</v>
      </c>
      <c r="W144" s="49">
        <f t="shared" si="75"/>
        <v>7</v>
      </c>
      <c r="X144" s="49">
        <f t="shared" si="75"/>
        <v>7</v>
      </c>
      <c r="Y144" s="49">
        <f t="shared" si="75"/>
        <v>7</v>
      </c>
      <c r="Z144" s="49">
        <f t="shared" si="75"/>
        <v>17.6399825503954</v>
      </c>
      <c r="AA144" s="49">
        <f t="shared" si="75"/>
        <v>24.1315873553632</v>
      </c>
      <c r="AB144" s="49" t="str">
        <f t="shared" si="75"/>
        <v/>
      </c>
      <c r="AC144" s="47"/>
    </row>
    <row r="145" spans="7:29">
      <c r="G145" s="47"/>
      <c r="AC145" s="47"/>
    </row>
    <row r="146" spans="7:29">
      <c r="G146" s="47"/>
      <c r="Q146" s="45" t="str">
        <f>CONCATENATE(LEFT(Q140,4),RIGHT(Q140,1)+1)</f>
        <v>k = 2</v>
      </c>
      <c r="S146" t="str">
        <f>S134</f>
        <v>Period</v>
      </c>
      <c r="U146" t="str">
        <f>U134</f>
        <v>Number of times that worker has been assigned to this station</v>
      </c>
      <c r="AC146" s="47"/>
    </row>
    <row r="147" spans="7:29">
      <c r="G147" s="47"/>
      <c r="Q147" s="2" t="str">
        <f>Q141</f>
        <v>station</v>
      </c>
      <c r="S147" s="20">
        <f>S135</f>
        <v>0</v>
      </c>
      <c r="T147" s="21">
        <f>T135</f>
        <v>1</v>
      </c>
      <c r="U147" s="21">
        <f>U135</f>
        <v>2</v>
      </c>
      <c r="V147" s="21">
        <f t="shared" ref="V147:AB147" si="76">V135</f>
        <v>3</v>
      </c>
      <c r="W147" s="21">
        <f t="shared" si="76"/>
        <v>4</v>
      </c>
      <c r="X147" s="21">
        <f t="shared" si="76"/>
        <v>5</v>
      </c>
      <c r="Y147" s="21">
        <f t="shared" si="76"/>
        <v>6</v>
      </c>
      <c r="Z147" s="21">
        <f t="shared" si="76"/>
        <v>7</v>
      </c>
      <c r="AA147" s="21">
        <f t="shared" si="76"/>
        <v>8</v>
      </c>
      <c r="AB147" s="21">
        <f t="shared" si="76"/>
        <v>9</v>
      </c>
      <c r="AC147" s="47"/>
    </row>
    <row r="148" spans="7:29">
      <c r="G148" s="47"/>
      <c r="Q148" s="2">
        <f>Q142</f>
        <v>1</v>
      </c>
      <c r="S148" s="48">
        <f>COUNTIF($S$7:S$7,$Q148)</f>
        <v>0</v>
      </c>
      <c r="T148" s="48">
        <f>COUNTIF($S$7:T$7,$Q148)</f>
        <v>0</v>
      </c>
      <c r="U148" s="48">
        <f>COUNTIF($S$7:U$7,$Q148)</f>
        <v>0</v>
      </c>
      <c r="V148" s="48">
        <f>COUNTIF($S$7:V$7,$Q148)</f>
        <v>0</v>
      </c>
      <c r="W148" s="48">
        <f>COUNTIF($S$7:W$7,$Q148)</f>
        <v>0</v>
      </c>
      <c r="X148" s="48">
        <f>COUNTIF($S$7:X$7,$Q148)</f>
        <v>0</v>
      </c>
      <c r="Y148" s="48">
        <f>COUNTIF($S$7:Y$7,$Q148)</f>
        <v>1</v>
      </c>
      <c r="Z148" s="48">
        <f>COUNTIF($S$7:Z$7,$Q148)</f>
        <v>2</v>
      </c>
      <c r="AA148" s="48">
        <f>COUNTIF($S$7:AA$7,$Q148)</f>
        <v>3</v>
      </c>
      <c r="AB148" s="48">
        <f>COUNTIF($S$7:AB$7,$Q148)</f>
        <v>3</v>
      </c>
      <c r="AC148" s="47"/>
    </row>
    <row r="149" spans="7:29">
      <c r="G149" s="47"/>
      <c r="Q149" s="2">
        <f>Q143</f>
        <v>2</v>
      </c>
      <c r="S149" s="48">
        <f>COUNTIF($S$7:S$7,$Q149)</f>
        <v>1</v>
      </c>
      <c r="T149" s="48">
        <f>COUNTIF($S$7:T$7,$Q149)</f>
        <v>2</v>
      </c>
      <c r="U149" s="48">
        <f>COUNTIF($S$7:U$7,$Q149)</f>
        <v>3</v>
      </c>
      <c r="V149" s="48">
        <f>COUNTIF($S$7:V$7,$Q149)</f>
        <v>3</v>
      </c>
      <c r="W149" s="48">
        <f>COUNTIF($S$7:W$7,$Q149)</f>
        <v>3</v>
      </c>
      <c r="X149" s="48">
        <f>COUNTIF($S$7:X$7,$Q149)</f>
        <v>3</v>
      </c>
      <c r="Y149" s="48">
        <f>COUNTIF($S$7:Y$7,$Q149)</f>
        <v>3</v>
      </c>
      <c r="Z149" s="48">
        <f>COUNTIF($S$7:Z$7,$Q149)</f>
        <v>3</v>
      </c>
      <c r="AA149" s="48">
        <f>COUNTIF($S$7:AA$7,$Q149)</f>
        <v>3</v>
      </c>
      <c r="AB149" s="48">
        <f>COUNTIF($S$7:AB$7,$Q149)</f>
        <v>3</v>
      </c>
      <c r="AC149" s="47"/>
    </row>
    <row r="150" spans="7:29">
      <c r="G150" s="47"/>
      <c r="Q150" s="2">
        <f>Q144</f>
        <v>3</v>
      </c>
      <c r="S150" s="48">
        <f>COUNTIF($S$7:S$7,$Q150)</f>
        <v>0</v>
      </c>
      <c r="T150" s="48">
        <f>COUNTIF($S$7:T$7,$Q150)</f>
        <v>0</v>
      </c>
      <c r="U150" s="48">
        <f>COUNTIF($S$7:U$7,$Q150)</f>
        <v>0</v>
      </c>
      <c r="V150" s="48">
        <f>COUNTIF($S$7:V$7,$Q150)</f>
        <v>1</v>
      </c>
      <c r="W150" s="48">
        <f>COUNTIF($S$7:W$7,$Q150)</f>
        <v>2</v>
      </c>
      <c r="X150" s="48">
        <f>COUNTIF($S$7:X$7,$Q150)</f>
        <v>3</v>
      </c>
      <c r="Y150" s="48">
        <f>COUNTIF($S$7:Y$7,$Q150)</f>
        <v>3</v>
      </c>
      <c r="Z150" s="48">
        <f>COUNTIF($S$7:Z$7,$Q150)</f>
        <v>3</v>
      </c>
      <c r="AA150" s="48">
        <f>COUNTIF($S$7:AA$7,$Q150)</f>
        <v>3</v>
      </c>
      <c r="AB150" s="48">
        <f>COUNTIF($S$7:AB$7,$Q150)</f>
        <v>3</v>
      </c>
      <c r="AC150" s="47"/>
    </row>
    <row r="151" spans="7:29">
      <c r="G151" s="47"/>
      <c r="AC151" s="47"/>
    </row>
    <row r="152" spans="7:29">
      <c r="G152" s="47"/>
      <c r="Q152" s="45" t="str">
        <f>Q146</f>
        <v>k = 2</v>
      </c>
      <c r="S152" t="str">
        <f>S140</f>
        <v>Period</v>
      </c>
      <c r="U152" s="34" t="str">
        <f>U140</f>
        <v>Skill level of worker</v>
      </c>
      <c r="AC152" s="47"/>
    </row>
    <row r="153" spans="7:29">
      <c r="G153" s="47"/>
      <c r="H153" s="2" t="str">
        <f t="shared" ref="H153:P153" si="77">H141</f>
        <v>Smax</v>
      </c>
      <c r="I153" s="2" t="str">
        <f t="shared" si="77"/>
        <v>Smin</v>
      </c>
      <c r="J153" s="2" t="str">
        <f t="shared" si="77"/>
        <v>Sinitial</v>
      </c>
      <c r="K153" s="2" t="str">
        <f t="shared" si="77"/>
        <v>S^UB</v>
      </c>
      <c r="L153" s="2" t="str">
        <f t="shared" si="77"/>
        <v>delta</v>
      </c>
      <c r="M153" s="2" t="str">
        <f t="shared" si="77"/>
        <v>S^LB</v>
      </c>
      <c r="N153" s="2" t="str">
        <f t="shared" si="77"/>
        <v>epsilon</v>
      </c>
      <c r="O153" s="2" t="str">
        <f t="shared" si="77"/>
        <v>r</v>
      </c>
      <c r="P153" s="2" t="str">
        <f t="shared" si="77"/>
        <v>f</v>
      </c>
      <c r="Q153" s="2" t="str">
        <f>Q147</f>
        <v>station</v>
      </c>
      <c r="S153" s="20">
        <f>S141</f>
        <v>0</v>
      </c>
      <c r="T153" s="21">
        <f>T141</f>
        <v>1</v>
      </c>
      <c r="U153" s="21">
        <f>U141</f>
        <v>2</v>
      </c>
      <c r="V153" s="21">
        <f t="shared" ref="V153:AB153" si="78">V141</f>
        <v>3</v>
      </c>
      <c r="W153" s="21">
        <f t="shared" si="78"/>
        <v>4</v>
      </c>
      <c r="X153" s="21">
        <f t="shared" si="78"/>
        <v>5</v>
      </c>
      <c r="Y153" s="21">
        <f t="shared" si="78"/>
        <v>6</v>
      </c>
      <c r="Z153" s="21">
        <f t="shared" si="78"/>
        <v>7</v>
      </c>
      <c r="AA153" s="21">
        <f t="shared" si="78"/>
        <v>8</v>
      </c>
      <c r="AB153" s="21">
        <f t="shared" si="78"/>
        <v>9</v>
      </c>
      <c r="AC153" s="47"/>
    </row>
    <row r="154" spans="7:29">
      <c r="G154" s="47"/>
      <c r="H154" s="2">
        <f>HLOOKUP($Q154,$A$23:$D$26,RIGHT($Q$152,1)+1,FALSE)</f>
        <v>30</v>
      </c>
      <c r="I154" s="2">
        <f>HLOOKUP($Q154,$A$29:$D$32,RIGHT($Q$152,1)+1,FALSE)</f>
        <v>0</v>
      </c>
      <c r="J154" s="2">
        <f>HLOOKUP($Q154,$A$36:$D$39,RIGHT($Q$152,1)+1,FALSE)</f>
        <v>10</v>
      </c>
      <c r="K154" s="2">
        <f t="shared" ref="K154:K156" si="79">H154-L154</f>
        <v>29</v>
      </c>
      <c r="L154" s="2">
        <f>HLOOKUP($Q154,$A$42:$D$45,RIGHT($Q$152,1)+1,FALSE)</f>
        <v>1</v>
      </c>
      <c r="M154" s="2">
        <f t="shared" ref="M154:M156" si="80">I154+N154</f>
        <v>3</v>
      </c>
      <c r="N154" s="2">
        <f>HLOOKUP($Q154,$A$48:$D$51,RIGHT($Q$152,1)+1,FALSE)</f>
        <v>3</v>
      </c>
      <c r="O154" s="2">
        <f>VLOOKUP($Q$152,$A$5:$D$8,MATCH($Q154,$A$5:$D$5,0),FALSE)</f>
        <v>0.725</v>
      </c>
      <c r="P154" s="2">
        <f>VLOOKUP($Q$152,$A$13:$D$16,MATCH($Q154,$A$13:$D$13,0),FALSE)</f>
        <v>0.925</v>
      </c>
      <c r="Q154" s="2">
        <f>Q148</f>
        <v>1</v>
      </c>
      <c r="R154">
        <f t="shared" ref="R154:R156" si="81">J154</f>
        <v>10</v>
      </c>
      <c r="S154" s="49">
        <f t="shared" ref="S154:AB154" si="82">IF(S$7="","",IF(S148&gt;1,IF(S$7=$Q154,MIN($K154,($H154-($H154-R154)*EXP(LOG($O154,2)))),MAX($M154,($I154+(R154-$I154)*EXP(LOG($P154,2))))),IF(S148=1,IF(S$7=$Q154,$J154,MAX($M154,($I154+(R154-$I154)*EXP(LOG($P154,2))))),$J154)))</f>
        <v>10</v>
      </c>
      <c r="T154" s="49">
        <f t="shared" si="82"/>
        <v>10</v>
      </c>
      <c r="U154" s="49">
        <f t="shared" si="82"/>
        <v>10</v>
      </c>
      <c r="V154" s="49">
        <f t="shared" si="82"/>
        <v>10</v>
      </c>
      <c r="W154" s="49">
        <f t="shared" si="82"/>
        <v>10</v>
      </c>
      <c r="X154" s="49">
        <f t="shared" si="82"/>
        <v>10</v>
      </c>
      <c r="Y154" s="49">
        <f t="shared" si="82"/>
        <v>10</v>
      </c>
      <c r="Z154" s="49">
        <f t="shared" si="82"/>
        <v>17.4240636582009</v>
      </c>
      <c r="AA154" s="49">
        <f t="shared" si="82"/>
        <v>22.0922912563508</v>
      </c>
      <c r="AB154" s="49" t="str">
        <f t="shared" si="82"/>
        <v/>
      </c>
      <c r="AC154" s="47"/>
    </row>
    <row r="155" spans="7:29">
      <c r="G155" s="47"/>
      <c r="H155" s="2">
        <f>HLOOKUP($Q155,$A$23:$D$26,RIGHT($Q$152,1)+1,FALSE)</f>
        <v>30</v>
      </c>
      <c r="I155" s="2">
        <f>HLOOKUP($Q155,$A$29:$D$32,RIGHT($Q$152,1)+1,FALSE)</f>
        <v>0</v>
      </c>
      <c r="J155" s="2">
        <f>HLOOKUP($Q155,$A$36:$D$39,RIGHT($Q$152,1)+1,FALSE)</f>
        <v>6</v>
      </c>
      <c r="K155" s="2">
        <f t="shared" si="79"/>
        <v>29</v>
      </c>
      <c r="L155" s="2">
        <f>HLOOKUP($Q155,$A$42:$D$45,RIGHT($Q$152,1)+1,FALSE)</f>
        <v>1</v>
      </c>
      <c r="M155" s="2">
        <f t="shared" si="80"/>
        <v>3</v>
      </c>
      <c r="N155" s="2">
        <f>HLOOKUP($Q155,$A$48:$D$51,RIGHT($Q$152,1)+1,FALSE)</f>
        <v>3</v>
      </c>
      <c r="O155" s="2">
        <f>VLOOKUP($Q$152,$A$5:$D$8,MATCH($Q155,$A$5:$D$5,0),FALSE)</f>
        <v>0.725</v>
      </c>
      <c r="P155" s="2">
        <f>VLOOKUP($Q$152,$A$13:$D$16,MATCH($Q155,$A$13:$D$13,0),FALSE)</f>
        <v>0.925</v>
      </c>
      <c r="Q155" s="2">
        <f>Q149</f>
        <v>2</v>
      </c>
      <c r="R155">
        <f t="shared" si="81"/>
        <v>6</v>
      </c>
      <c r="S155" s="49">
        <f t="shared" ref="S155:AB155" si="83">IF(S$7="","",IF(S149&gt;1,IF(S$7=$Q155,MIN($K155,($H155-($H155-R155)*EXP(LOG($O155,2)))),MAX($M155,($I155+(R155-$I155)*EXP(LOG($P155,2))))),IF(S149=1,IF(S$7=$Q155,$J155,MAX($M155,($I155+(R155-$I155)*EXP(LOG($P155,2))))),$J155)))</f>
        <v>6</v>
      </c>
      <c r="T155" s="49">
        <f t="shared" si="83"/>
        <v>14.908876389841</v>
      </c>
      <c r="U155" s="49">
        <f t="shared" si="83"/>
        <v>20.5107495076209</v>
      </c>
      <c r="V155" s="49">
        <f t="shared" si="83"/>
        <v>18.3288145241004</v>
      </c>
      <c r="W155" s="49">
        <f t="shared" si="83"/>
        <v>16.3789939384735</v>
      </c>
      <c r="X155" s="49">
        <f t="shared" si="83"/>
        <v>14.6365954046731</v>
      </c>
      <c r="Y155" s="49">
        <f t="shared" si="83"/>
        <v>13.079553350153</v>
      </c>
      <c r="Z155" s="49">
        <f t="shared" si="83"/>
        <v>11.6881495395356</v>
      </c>
      <c r="AA155" s="49">
        <f t="shared" si="83"/>
        <v>10.4447633647176</v>
      </c>
      <c r="AB155" s="49" t="str">
        <f t="shared" si="83"/>
        <v/>
      </c>
      <c r="AC155" s="47"/>
    </row>
    <row r="156" spans="7:29">
      <c r="G156" s="47"/>
      <c r="H156" s="2">
        <f>HLOOKUP($Q156,$A$23:$D$26,RIGHT($Q$152,1)+1,FALSE)</f>
        <v>34.29</v>
      </c>
      <c r="I156" s="2">
        <f>HLOOKUP($Q156,$A$29:$D$32,RIGHT($Q$152,1)+1,FALSE)</f>
        <v>0</v>
      </c>
      <c r="J156" s="2">
        <f>HLOOKUP($Q156,$A$36:$D$39,RIGHT($Q$152,1)+1,FALSE)</f>
        <v>8</v>
      </c>
      <c r="K156" s="2">
        <f t="shared" si="79"/>
        <v>32.29</v>
      </c>
      <c r="L156" s="2">
        <f>HLOOKUP($Q156,$A$42:$D$45,RIGHT($Q$152,1)+1,FALSE)</f>
        <v>2</v>
      </c>
      <c r="M156" s="2">
        <f t="shared" si="80"/>
        <v>3</v>
      </c>
      <c r="N156" s="2">
        <f>HLOOKUP($Q156,$A$48:$D$51,RIGHT($Q$152,1)+1,FALSE)</f>
        <v>3</v>
      </c>
      <c r="O156" s="2">
        <f>VLOOKUP($Q$152,$A$5:$D$8,MATCH($Q156,$A$5:$D$5,0),FALSE)</f>
        <v>0.725</v>
      </c>
      <c r="P156" s="2">
        <f>VLOOKUP($Q$152,$A$13:$D$16,MATCH($Q156,$A$13:$D$13,0),FALSE)</f>
        <v>0.925</v>
      </c>
      <c r="Q156" s="2">
        <f>Q150</f>
        <v>3</v>
      </c>
      <c r="R156">
        <f t="shared" si="81"/>
        <v>8</v>
      </c>
      <c r="S156" s="49">
        <f t="shared" ref="S156:AB156" si="84">IF(S$7="","",IF(S150&gt;1,IF(S$7=$Q156,MIN($K156,($H156-($H156-R156)*EXP(LOG($O156,2)))),MAX($M156,($I156+(R156-$I156)*EXP(LOG($P156,2))))),IF(S150=1,IF(S$7=$Q156,$J156,MAX($M156,($I156+(R156-$I156)*EXP(LOG($P156,2))))),$J156)))</f>
        <v>8</v>
      </c>
      <c r="T156" s="49">
        <f t="shared" si="84"/>
        <v>8</v>
      </c>
      <c r="U156" s="49">
        <f t="shared" si="84"/>
        <v>8</v>
      </c>
      <c r="V156" s="49">
        <f t="shared" si="84"/>
        <v>8</v>
      </c>
      <c r="W156" s="49">
        <f t="shared" si="84"/>
        <v>17.758931678705</v>
      </c>
      <c r="X156" s="49">
        <f t="shared" si="84"/>
        <v>23.8953168564731</v>
      </c>
      <c r="Y156" s="49">
        <f t="shared" si="84"/>
        <v>21.3533313589624</v>
      </c>
      <c r="Z156" s="49">
        <f t="shared" si="84"/>
        <v>19.0817624584931</v>
      </c>
      <c r="AA156" s="49">
        <f t="shared" si="84"/>
        <v>17.0518432183432</v>
      </c>
      <c r="AB156" s="49" t="str">
        <f t="shared" si="84"/>
        <v/>
      </c>
      <c r="AC156" s="47"/>
    </row>
    <row r="157" spans="7:29">
      <c r="G157" s="47"/>
      <c r="AC157" s="47"/>
    </row>
    <row r="158" spans="7:29">
      <c r="G158" s="47"/>
      <c r="Q158" s="45" t="str">
        <f>CONCATENATE(LEFT(Q152,4),RIGHT(Q152,1)+1)</f>
        <v>k = 3</v>
      </c>
      <c r="S158" t="str">
        <f>S146</f>
        <v>Period</v>
      </c>
      <c r="U158" t="str">
        <f>U146</f>
        <v>Number of times that worker has been assigned to this station</v>
      </c>
      <c r="AC158" s="47"/>
    </row>
    <row r="159" spans="7:29">
      <c r="G159" s="47"/>
      <c r="Q159" s="2" t="str">
        <f>Q153</f>
        <v>station</v>
      </c>
      <c r="S159" s="20">
        <f>S147</f>
        <v>0</v>
      </c>
      <c r="T159" s="21">
        <f>T147</f>
        <v>1</v>
      </c>
      <c r="U159" s="21">
        <f>U147</f>
        <v>2</v>
      </c>
      <c r="V159" s="21">
        <f t="shared" ref="V159:AB159" si="85">V147</f>
        <v>3</v>
      </c>
      <c r="W159" s="21">
        <f t="shared" si="85"/>
        <v>4</v>
      </c>
      <c r="X159" s="21">
        <f t="shared" si="85"/>
        <v>5</v>
      </c>
      <c r="Y159" s="21">
        <f t="shared" si="85"/>
        <v>6</v>
      </c>
      <c r="Z159" s="21">
        <f t="shared" si="85"/>
        <v>7</v>
      </c>
      <c r="AA159" s="21">
        <f t="shared" si="85"/>
        <v>8</v>
      </c>
      <c r="AB159" s="21">
        <f t="shared" si="85"/>
        <v>9</v>
      </c>
      <c r="AC159" s="47"/>
    </row>
    <row r="160" spans="7:29">
      <c r="G160" s="47"/>
      <c r="Q160" s="2">
        <f>Q154</f>
        <v>1</v>
      </c>
      <c r="S160" s="48">
        <f>COUNTIF($S$8:S$8,$Q160)</f>
        <v>0</v>
      </c>
      <c r="T160" s="48">
        <f>COUNTIF($S$8:T$8,$Q160)</f>
        <v>0</v>
      </c>
      <c r="U160" s="48">
        <f>COUNTIF($S$8:U$8,$Q160)</f>
        <v>0</v>
      </c>
      <c r="V160" s="48">
        <f>COUNTIF($S$8:V$8,$Q160)</f>
        <v>1</v>
      </c>
      <c r="W160" s="48">
        <f>COUNTIF($S$8:W$8,$Q160)</f>
        <v>2</v>
      </c>
      <c r="X160" s="48">
        <f>COUNTIF($S$8:X$8,$Q160)</f>
        <v>3</v>
      </c>
      <c r="Y160" s="48">
        <f>COUNTIF($S$8:Y$8,$Q160)</f>
        <v>3</v>
      </c>
      <c r="Z160" s="48">
        <f>COUNTIF($S$8:Z$8,$Q160)</f>
        <v>3</v>
      </c>
      <c r="AA160" s="48">
        <f>COUNTIF($S$8:AA$8,$Q160)</f>
        <v>3</v>
      </c>
      <c r="AB160" s="48">
        <f>COUNTIF($S$8:AB$8,$Q160)</f>
        <v>3</v>
      </c>
      <c r="AC160" s="47"/>
    </row>
    <row r="161" spans="7:29">
      <c r="G161" s="47"/>
      <c r="Q161" s="2">
        <f>Q155</f>
        <v>2</v>
      </c>
      <c r="S161" s="48">
        <f>COUNTIF($S$8:S$8,$Q161)</f>
        <v>0</v>
      </c>
      <c r="T161" s="48">
        <f>COUNTIF($S$8:T$8,$Q161)</f>
        <v>0</v>
      </c>
      <c r="U161" s="48">
        <f>COUNTIF($S$8:U$8,$Q161)</f>
        <v>0</v>
      </c>
      <c r="V161" s="48">
        <f>COUNTIF($S$8:V$8,$Q161)</f>
        <v>0</v>
      </c>
      <c r="W161" s="48">
        <f>COUNTIF($S$8:W$8,$Q161)</f>
        <v>0</v>
      </c>
      <c r="X161" s="48">
        <f>COUNTIF($S$8:X$8,$Q161)</f>
        <v>0</v>
      </c>
      <c r="Y161" s="48">
        <f>COUNTIF($S$8:Y$8,$Q161)</f>
        <v>1</v>
      </c>
      <c r="Z161" s="48">
        <f>COUNTIF($S$8:Z$8,$Q161)</f>
        <v>2</v>
      </c>
      <c r="AA161" s="48">
        <f>COUNTIF($S$8:AA$8,$Q161)</f>
        <v>3</v>
      </c>
      <c r="AB161" s="48">
        <f>COUNTIF($S$8:AB$8,$Q161)</f>
        <v>3</v>
      </c>
      <c r="AC161" s="47"/>
    </row>
    <row r="162" spans="7:29">
      <c r="G162" s="47"/>
      <c r="Q162" s="2">
        <f>Q156</f>
        <v>3</v>
      </c>
      <c r="S162" s="48">
        <f>COUNTIF($S$8:S$8,$Q162)</f>
        <v>1</v>
      </c>
      <c r="T162" s="48">
        <f>COUNTIF($S$8:T$8,$Q162)</f>
        <v>2</v>
      </c>
      <c r="U162" s="48">
        <f>COUNTIF($S$8:U$8,$Q162)</f>
        <v>3</v>
      </c>
      <c r="V162" s="48">
        <f>COUNTIF($S$8:V$8,$Q162)</f>
        <v>3</v>
      </c>
      <c r="W162" s="48">
        <f>COUNTIF($S$8:W$8,$Q162)</f>
        <v>3</v>
      </c>
      <c r="X162" s="48">
        <f>COUNTIF($S$8:X$8,$Q162)</f>
        <v>3</v>
      </c>
      <c r="Y162" s="48">
        <f>COUNTIF($S$8:Y$8,$Q162)</f>
        <v>3</v>
      </c>
      <c r="Z162" s="48">
        <f>COUNTIF($S$8:Z$8,$Q162)</f>
        <v>3</v>
      </c>
      <c r="AA162" s="48">
        <f>COUNTIF($S$8:AA$8,$Q162)</f>
        <v>3</v>
      </c>
      <c r="AB162" s="48">
        <f>COUNTIF($S$8:AB$8,$Q162)</f>
        <v>3</v>
      </c>
      <c r="AC162" s="47"/>
    </row>
    <row r="163" spans="7:29">
      <c r="G163" s="47"/>
      <c r="AC163" s="47"/>
    </row>
    <row r="164" spans="7:29">
      <c r="G164" s="47"/>
      <c r="Q164" s="45" t="str">
        <f>Q158</f>
        <v>k = 3</v>
      </c>
      <c r="S164" t="str">
        <f>S152</f>
        <v>Period</v>
      </c>
      <c r="U164" s="34" t="str">
        <f>U152</f>
        <v>Skill level of worker</v>
      </c>
      <c r="AC164" s="47"/>
    </row>
    <row r="165" spans="7:29">
      <c r="G165" s="47"/>
      <c r="H165" s="2" t="str">
        <f t="shared" ref="H165:P165" si="86">H153</f>
        <v>Smax</v>
      </c>
      <c r="I165" s="2" t="str">
        <f t="shared" si="86"/>
        <v>Smin</v>
      </c>
      <c r="J165" s="2" t="str">
        <f t="shared" si="86"/>
        <v>Sinitial</v>
      </c>
      <c r="K165" s="2" t="str">
        <f t="shared" si="86"/>
        <v>S^UB</v>
      </c>
      <c r="L165" s="2" t="str">
        <f t="shared" si="86"/>
        <v>delta</v>
      </c>
      <c r="M165" s="2" t="str">
        <f t="shared" si="86"/>
        <v>S^LB</v>
      </c>
      <c r="N165" s="2" t="str">
        <f t="shared" si="86"/>
        <v>epsilon</v>
      </c>
      <c r="O165" s="2" t="str">
        <f t="shared" si="86"/>
        <v>r</v>
      </c>
      <c r="P165" s="2" t="str">
        <f t="shared" si="86"/>
        <v>f</v>
      </c>
      <c r="Q165" s="2" t="str">
        <f>Q159</f>
        <v>station</v>
      </c>
      <c r="S165" s="20">
        <f>S153</f>
        <v>0</v>
      </c>
      <c r="T165" s="21">
        <f>T153</f>
        <v>1</v>
      </c>
      <c r="U165" s="21">
        <f>U153</f>
        <v>2</v>
      </c>
      <c r="V165" s="21">
        <f t="shared" ref="V165:AB165" si="87">V153</f>
        <v>3</v>
      </c>
      <c r="W165" s="21">
        <f t="shared" si="87"/>
        <v>4</v>
      </c>
      <c r="X165" s="21">
        <f t="shared" si="87"/>
        <v>5</v>
      </c>
      <c r="Y165" s="21">
        <f t="shared" si="87"/>
        <v>6</v>
      </c>
      <c r="Z165" s="21">
        <f t="shared" si="87"/>
        <v>7</v>
      </c>
      <c r="AA165" s="21">
        <f t="shared" si="87"/>
        <v>8</v>
      </c>
      <c r="AB165" s="21">
        <f t="shared" si="87"/>
        <v>9</v>
      </c>
      <c r="AC165" s="47"/>
    </row>
    <row r="166" spans="7:29">
      <c r="G166" s="47"/>
      <c r="H166" s="2">
        <f>HLOOKUP($Q166,$A$23:$D$26,RIGHT($Q$164,1)+1,FALSE)</f>
        <v>30</v>
      </c>
      <c r="I166" s="2">
        <f>HLOOKUP($Q166,$A$29:$D$32,RIGHT($Q$164,1)+1,FALSE)</f>
        <v>0</v>
      </c>
      <c r="J166" s="2">
        <f>HLOOKUP($Q166,$A$36:$D$39,RIGHT($Q$164,1)+1,FALSE)</f>
        <v>7</v>
      </c>
      <c r="K166" s="2">
        <f t="shared" ref="K166:K168" si="88">H166-L166</f>
        <v>29</v>
      </c>
      <c r="L166" s="2">
        <f>HLOOKUP($Q166,$A$42:$D$45,RIGHT($Q$164,1)+1,FALSE)</f>
        <v>1</v>
      </c>
      <c r="M166" s="2">
        <f t="shared" ref="M166:M168" si="89">I166+N166</f>
        <v>3</v>
      </c>
      <c r="N166" s="2">
        <f>HLOOKUP($Q166,$A$48:$D$51,RIGHT($Q$164,1)+1,FALSE)</f>
        <v>3</v>
      </c>
      <c r="O166" s="2">
        <f>VLOOKUP($Q$164,$A$5:$D$8,MATCH($Q166,$A$5:$D$5,0),FALSE)</f>
        <v>0.74</v>
      </c>
      <c r="P166" s="2">
        <f>VLOOKUP($Q$164,$A$13:$D$16,MATCH($Q166,$A$13:$D$13,0),FALSE)</f>
        <v>0.91</v>
      </c>
      <c r="Q166" s="2">
        <f>Q160</f>
        <v>1</v>
      </c>
      <c r="R166">
        <f t="shared" ref="R166:R168" si="90">J166</f>
        <v>7</v>
      </c>
      <c r="S166" s="49">
        <f t="shared" ref="S166:AB166" si="91">IF(S$8="","",IF(S160&gt;1,IF(S$8=$Q166,MIN($K166,($H166-($H166-R166)*EXP(LOG($O166,2)))),MAX($M166,($I166+(R166-$I166)*EXP(LOG($P166,2))))),IF(S160=1,IF(S$8=$Q166,$J166,MAX($M166,($I166+(R166-$I166)*EXP(LOG($P166,2))))),$J166)))</f>
        <v>7</v>
      </c>
      <c r="T166" s="49">
        <f t="shared" si="91"/>
        <v>7</v>
      </c>
      <c r="U166" s="49">
        <f t="shared" si="91"/>
        <v>7</v>
      </c>
      <c r="V166" s="49">
        <f t="shared" si="91"/>
        <v>7</v>
      </c>
      <c r="W166" s="49">
        <f t="shared" si="91"/>
        <v>15.1040197930668</v>
      </c>
      <c r="X166" s="49">
        <f t="shared" si="91"/>
        <v>20.3525988554197</v>
      </c>
      <c r="Y166" s="49">
        <f t="shared" si="91"/>
        <v>17.7635225920192</v>
      </c>
      <c r="Z166" s="49">
        <f t="shared" si="91"/>
        <v>15.5038055394656</v>
      </c>
      <c r="AA166" s="49">
        <f t="shared" si="91"/>
        <v>13.5315495538906</v>
      </c>
      <c r="AB166" s="49" t="str">
        <f t="shared" si="91"/>
        <v/>
      </c>
      <c r="AC166" s="47"/>
    </row>
    <row r="167" spans="7:29">
      <c r="G167" s="47"/>
      <c r="H167" s="2">
        <f>HLOOKUP($Q167,$A$23:$D$26,RIGHT($Q$164,1)+1,FALSE)</f>
        <v>30</v>
      </c>
      <c r="I167" s="2">
        <f>HLOOKUP($Q167,$A$29:$D$32,RIGHT($Q$164,1)+1,FALSE)</f>
        <v>0</v>
      </c>
      <c r="J167" s="2">
        <f>HLOOKUP($Q167,$A$36:$D$39,RIGHT($Q$164,1)+1,FALSE)</f>
        <v>8</v>
      </c>
      <c r="K167" s="2">
        <f t="shared" si="88"/>
        <v>29</v>
      </c>
      <c r="L167" s="2">
        <f>HLOOKUP($Q167,$A$42:$D$45,RIGHT($Q$164,1)+1,FALSE)</f>
        <v>1</v>
      </c>
      <c r="M167" s="2">
        <f t="shared" si="89"/>
        <v>3</v>
      </c>
      <c r="N167" s="2">
        <f>HLOOKUP($Q167,$A$48:$D$51,RIGHT($Q$164,1)+1,FALSE)</f>
        <v>3</v>
      </c>
      <c r="O167" s="2">
        <f>VLOOKUP($Q$164,$A$5:$D$8,MATCH($Q167,$A$5:$D$5,0),FALSE)</f>
        <v>0.74</v>
      </c>
      <c r="P167" s="2">
        <f>VLOOKUP($Q$164,$A$13:$D$16,MATCH($Q167,$A$13:$D$13,0),FALSE)</f>
        <v>0.91</v>
      </c>
      <c r="Q167" s="2">
        <f>Q161</f>
        <v>2</v>
      </c>
      <c r="R167">
        <f t="shared" si="90"/>
        <v>8</v>
      </c>
      <c r="S167" s="49">
        <f t="shared" ref="S167:AB167" si="92">IF(S$8="","",IF(S161&gt;1,IF(S$8=$Q167,MIN($K167,($H167-($H167-R167)*EXP(LOG($O167,2)))),MAX($M167,($I167+(R167-$I167)*EXP(LOG($P167,2))))),IF(S161=1,IF(S$8=$Q167,$J167,MAX($M167,($I167+(R167-$I167)*EXP(LOG($P167,2))))),$J167)))</f>
        <v>8</v>
      </c>
      <c r="T167" s="49">
        <f t="shared" si="92"/>
        <v>8</v>
      </c>
      <c r="U167" s="49">
        <f t="shared" si="92"/>
        <v>8</v>
      </c>
      <c r="V167" s="49">
        <f t="shared" si="92"/>
        <v>8</v>
      </c>
      <c r="W167" s="49">
        <f t="shared" si="92"/>
        <v>8</v>
      </c>
      <c r="X167" s="49">
        <f t="shared" si="92"/>
        <v>8</v>
      </c>
      <c r="Y167" s="49">
        <f t="shared" si="92"/>
        <v>8</v>
      </c>
      <c r="Z167" s="49">
        <f t="shared" si="92"/>
        <v>15.7516711064117</v>
      </c>
      <c r="AA167" s="49">
        <f t="shared" si="92"/>
        <v>20.7720510790971</v>
      </c>
      <c r="AB167" s="49" t="str">
        <f t="shared" si="92"/>
        <v/>
      </c>
      <c r="AC167" s="47"/>
    </row>
    <row r="168" spans="7:29">
      <c r="G168" s="47"/>
      <c r="H168" s="2">
        <f>HLOOKUP($Q168,$A$23:$D$26,RIGHT($Q$164,1)+1,FALSE)</f>
        <v>34.29</v>
      </c>
      <c r="I168" s="2">
        <f>HLOOKUP($Q168,$A$29:$D$32,RIGHT($Q$164,1)+1,FALSE)</f>
        <v>0</v>
      </c>
      <c r="J168" s="2">
        <f>HLOOKUP($Q168,$A$36:$D$39,RIGHT($Q$164,1)+1,FALSE)</f>
        <v>12</v>
      </c>
      <c r="K168" s="2">
        <f t="shared" si="88"/>
        <v>32.29</v>
      </c>
      <c r="L168" s="2">
        <f>HLOOKUP($Q168,$A$42:$D$45,RIGHT($Q$164,1)+1,FALSE)</f>
        <v>2</v>
      </c>
      <c r="M168" s="2">
        <f t="shared" si="89"/>
        <v>3</v>
      </c>
      <c r="N168" s="2">
        <f>HLOOKUP($Q168,$A$48:$D$51,RIGHT($Q$164,1)+1,FALSE)</f>
        <v>3</v>
      </c>
      <c r="O168" s="2">
        <f>VLOOKUP($Q$164,$A$5:$D$8,MATCH($Q168,$A$5:$D$5,0),FALSE)</f>
        <v>0.74</v>
      </c>
      <c r="P168" s="2">
        <f>VLOOKUP($Q$164,$A$13:$D$16,MATCH($Q168,$A$13:$D$13,0),FALSE)</f>
        <v>0.91</v>
      </c>
      <c r="Q168" s="2">
        <f>Q162</f>
        <v>3</v>
      </c>
      <c r="R168">
        <f t="shared" si="90"/>
        <v>12</v>
      </c>
      <c r="S168" s="49">
        <f t="shared" ref="S168:AB168" si="93">IF(S$8="","",IF(S162&gt;1,IF(S$8=$Q168,MIN($K168,($H168-($H168-R168)*EXP(LOG($O168,2)))),MAX($M168,($I168+(R168-$I168)*EXP(LOG($P168,2))))),IF(S162=1,IF(S$8=$Q168,$J168,MAX($M168,($I168+(R168-$I168)*EXP(LOG($P168,2))))),$J168)))</f>
        <v>12</v>
      </c>
      <c r="T168" s="49">
        <f t="shared" si="93"/>
        <v>19.8538522255417</v>
      </c>
      <c r="U168" s="49">
        <f t="shared" si="93"/>
        <v>24.9404099342307</v>
      </c>
      <c r="V168" s="49">
        <f t="shared" si="93"/>
        <v>21.7677132275887</v>
      </c>
      <c r="W168" s="49">
        <f t="shared" si="93"/>
        <v>18.998618723913</v>
      </c>
      <c r="X168" s="49">
        <f t="shared" si="93"/>
        <v>16.5817837474608</v>
      </c>
      <c r="Y168" s="49">
        <f t="shared" si="93"/>
        <v>14.4723969801803</v>
      </c>
      <c r="Z168" s="49">
        <f t="shared" si="93"/>
        <v>12.6313476005864</v>
      </c>
      <c r="AA168" s="49">
        <f t="shared" si="93"/>
        <v>11.024500117385</v>
      </c>
      <c r="AB168" s="49" t="str">
        <f t="shared" si="93"/>
        <v/>
      </c>
      <c r="AC168" s="47"/>
    </row>
    <row r="169" spans="7:29">
      <c r="G169" s="47"/>
      <c r="AC169" s="47"/>
    </row>
    <row r="170" spans="7:29">
      <c r="G170" s="47"/>
      <c r="AC170" s="47"/>
    </row>
    <row r="171" spans="7:29"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4" spans="19:21">
      <c r="S174" t="str">
        <f>S164</f>
        <v>Period</v>
      </c>
      <c r="U174" t="s">
        <v>69</v>
      </c>
    </row>
    <row r="175" spans="17:28">
      <c r="Q175" s="2" t="s">
        <v>70</v>
      </c>
      <c r="R175" s="2" t="s">
        <v>62</v>
      </c>
      <c r="S175" s="20">
        <f>S165</f>
        <v>0</v>
      </c>
      <c r="T175" s="21">
        <f t="shared" ref="T175:AA175" si="94">T165</f>
        <v>1</v>
      </c>
      <c r="U175" s="21">
        <f t="shared" si="94"/>
        <v>2</v>
      </c>
      <c r="V175" s="21">
        <f t="shared" si="94"/>
        <v>3</v>
      </c>
      <c r="W175" s="21">
        <f t="shared" si="94"/>
        <v>4</v>
      </c>
      <c r="X175" s="21">
        <f t="shared" si="94"/>
        <v>5</v>
      </c>
      <c r="Y175" s="21">
        <f t="shared" si="94"/>
        <v>6</v>
      </c>
      <c r="Z175" s="21">
        <f t="shared" si="94"/>
        <v>7</v>
      </c>
      <c r="AA175" s="21">
        <f t="shared" si="94"/>
        <v>8</v>
      </c>
      <c r="AB175" s="52"/>
    </row>
    <row r="176" spans="16:28">
      <c r="P176">
        <v>1</v>
      </c>
      <c r="Q176" s="2" t="str">
        <f>VLOOKUP(P176,$P$6:$Q$8,2,FALSE)</f>
        <v>k = 1</v>
      </c>
      <c r="R176" s="2">
        <v>1</v>
      </c>
      <c r="S176" s="24">
        <v>1</v>
      </c>
      <c r="T176" s="24">
        <v>1</v>
      </c>
      <c r="U176" s="24">
        <v>1</v>
      </c>
      <c r="V176" s="24"/>
      <c r="W176" s="24"/>
      <c r="X176" s="24"/>
      <c r="Y176" s="24"/>
      <c r="Z176" s="24"/>
      <c r="AA176" s="24"/>
      <c r="AB176" s="53"/>
    </row>
    <row r="177" spans="18:28">
      <c r="R177" s="2">
        <f>R176+1</f>
        <v>2</v>
      </c>
      <c r="S177" s="24"/>
      <c r="T177" s="24"/>
      <c r="U177" s="24"/>
      <c r="V177" s="24">
        <v>1</v>
      </c>
      <c r="W177" s="24">
        <v>1</v>
      </c>
      <c r="X177" s="24">
        <v>1</v>
      </c>
      <c r="Y177" s="24"/>
      <c r="Z177" s="24"/>
      <c r="AA177" s="24"/>
      <c r="AB177" s="53"/>
    </row>
    <row r="178" spans="18:28">
      <c r="R178" s="2">
        <f t="shared" ref="R178" si="95">R177+1</f>
        <v>3</v>
      </c>
      <c r="S178" s="24"/>
      <c r="T178" s="24"/>
      <c r="U178" s="24"/>
      <c r="V178" s="24"/>
      <c r="W178" s="24"/>
      <c r="X178" s="24"/>
      <c r="Y178" s="24">
        <v>1</v>
      </c>
      <c r="Z178" s="24">
        <v>1</v>
      </c>
      <c r="AA178" s="24">
        <v>1</v>
      </c>
      <c r="AB178" s="53"/>
    </row>
    <row r="179" spans="18:28">
      <c r="R179" s="2"/>
      <c r="S179" s="50">
        <f t="shared" ref="S179:AA179" si="96">SUM(S176:S178)</f>
        <v>1</v>
      </c>
      <c r="T179" s="51">
        <f t="shared" si="96"/>
        <v>1</v>
      </c>
      <c r="U179" s="51">
        <f t="shared" si="96"/>
        <v>1</v>
      </c>
      <c r="V179" s="51">
        <f t="shared" si="96"/>
        <v>1</v>
      </c>
      <c r="W179" s="51">
        <f t="shared" si="96"/>
        <v>1</v>
      </c>
      <c r="X179" s="51">
        <f t="shared" si="96"/>
        <v>1</v>
      </c>
      <c r="Y179" s="51">
        <f t="shared" si="96"/>
        <v>1</v>
      </c>
      <c r="Z179" s="51">
        <f t="shared" si="96"/>
        <v>1</v>
      </c>
      <c r="AA179" s="51">
        <f t="shared" si="96"/>
        <v>1</v>
      </c>
      <c r="AB179" s="52"/>
    </row>
    <row r="180" ht="15" customHeight="1" spans="19:28">
      <c r="S180" s="2" t="s">
        <v>71</v>
      </c>
      <c r="T180" s="2" t="s">
        <v>71</v>
      </c>
      <c r="U180" s="2" t="s">
        <v>71</v>
      </c>
      <c r="V180" s="2" t="s">
        <v>71</v>
      </c>
      <c r="W180" s="2" t="s">
        <v>71</v>
      </c>
      <c r="X180" s="2" t="s">
        <v>71</v>
      </c>
      <c r="Y180" s="2" t="s">
        <v>71</v>
      </c>
      <c r="Z180" s="2" t="s">
        <v>71</v>
      </c>
      <c r="AA180" s="2" t="s">
        <v>71</v>
      </c>
      <c r="AB180" s="53"/>
    </row>
    <row r="181" ht="15" customHeight="1" spans="19:28"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53"/>
    </row>
    <row r="182" ht="15" customHeight="1" spans="28:28">
      <c r="AB182" s="54"/>
    </row>
    <row r="183" ht="15" customHeight="1" spans="19:28">
      <c r="S183" t="str">
        <f>S174</f>
        <v>Period</v>
      </c>
      <c r="U183" t="str">
        <f>U174</f>
        <v>Decision Variables</v>
      </c>
      <c r="AB183" s="54"/>
    </row>
    <row r="184" ht="15" customHeight="1" spans="17:28">
      <c r="Q184" s="2" t="str">
        <f>Q175</f>
        <v>worker</v>
      </c>
      <c r="R184" s="2" t="str">
        <f>R175</f>
        <v>station</v>
      </c>
      <c r="S184" s="20">
        <f>S175</f>
        <v>0</v>
      </c>
      <c r="T184" s="21">
        <f>T175</f>
        <v>1</v>
      </c>
      <c r="U184" s="21">
        <f>U175</f>
        <v>2</v>
      </c>
      <c r="V184" s="21">
        <f t="shared" ref="V184:AA184" si="97">V175</f>
        <v>3</v>
      </c>
      <c r="W184" s="21">
        <f t="shared" si="97"/>
        <v>4</v>
      </c>
      <c r="X184" s="21">
        <f t="shared" si="97"/>
        <v>5</v>
      </c>
      <c r="Y184" s="21">
        <f t="shared" si="97"/>
        <v>6</v>
      </c>
      <c r="Z184" s="21">
        <f t="shared" si="97"/>
        <v>7</v>
      </c>
      <c r="AA184" s="21">
        <f t="shared" si="97"/>
        <v>8</v>
      </c>
      <c r="AB184" s="52"/>
    </row>
    <row r="185" ht="15" customHeight="1" spans="16:28">
      <c r="P185">
        <f>P176+1</f>
        <v>2</v>
      </c>
      <c r="Q185" s="2" t="str">
        <f>VLOOKUP(P185,$P$6:$Q$8,2,FALSE)</f>
        <v>k = 2</v>
      </c>
      <c r="R185" s="2">
        <f>R176</f>
        <v>1</v>
      </c>
      <c r="S185" s="24"/>
      <c r="T185" s="24"/>
      <c r="U185" s="24"/>
      <c r="V185" s="24"/>
      <c r="W185" s="24"/>
      <c r="X185" s="24"/>
      <c r="Y185" s="24">
        <v>1</v>
      </c>
      <c r="Z185" s="24">
        <v>1</v>
      </c>
      <c r="AA185" s="24">
        <v>1</v>
      </c>
      <c r="AB185" s="53"/>
    </row>
    <row r="186" ht="15" customHeight="1" spans="18:28">
      <c r="R186" s="2">
        <f>R177</f>
        <v>2</v>
      </c>
      <c r="S186" s="24">
        <v>1</v>
      </c>
      <c r="T186" s="24">
        <v>1</v>
      </c>
      <c r="U186" s="24">
        <v>1</v>
      </c>
      <c r="V186" s="24"/>
      <c r="W186" s="24"/>
      <c r="X186" s="24"/>
      <c r="Y186" s="24"/>
      <c r="Z186" s="24"/>
      <c r="AA186" s="24"/>
      <c r="AB186" s="53"/>
    </row>
    <row r="187" ht="15" customHeight="1" spans="18:28">
      <c r="R187" s="2">
        <f>R178</f>
        <v>3</v>
      </c>
      <c r="S187" s="24"/>
      <c r="T187" s="24"/>
      <c r="U187" s="24"/>
      <c r="V187" s="24">
        <v>1</v>
      </c>
      <c r="W187" s="24">
        <v>1</v>
      </c>
      <c r="X187" s="24">
        <v>1</v>
      </c>
      <c r="Y187" s="24"/>
      <c r="Z187" s="24"/>
      <c r="AA187" s="24"/>
      <c r="AB187" s="53"/>
    </row>
    <row r="188" ht="15" customHeight="1" spans="18:28">
      <c r="R188" s="2"/>
      <c r="S188" s="50">
        <f t="shared" ref="S188:AA188" si="98">SUM(S185:S187)</f>
        <v>1</v>
      </c>
      <c r="T188" s="51">
        <f t="shared" si="98"/>
        <v>1</v>
      </c>
      <c r="U188" s="51">
        <f t="shared" si="98"/>
        <v>1</v>
      </c>
      <c r="V188" s="51">
        <f t="shared" si="98"/>
        <v>1</v>
      </c>
      <c r="W188" s="51">
        <f t="shared" si="98"/>
        <v>1</v>
      </c>
      <c r="X188" s="51">
        <f t="shared" si="98"/>
        <v>1</v>
      </c>
      <c r="Y188" s="51">
        <f t="shared" si="98"/>
        <v>1</v>
      </c>
      <c r="Z188" s="51">
        <f t="shared" si="98"/>
        <v>1</v>
      </c>
      <c r="AA188" s="51">
        <f t="shared" si="98"/>
        <v>1</v>
      </c>
      <c r="AB188" s="52"/>
    </row>
    <row r="189" ht="15" customHeight="1" spans="19:28">
      <c r="S189" s="2" t="s">
        <v>71</v>
      </c>
      <c r="T189" s="2" t="s">
        <v>71</v>
      </c>
      <c r="U189" s="2" t="s">
        <v>71</v>
      </c>
      <c r="V189" s="2" t="s">
        <v>71</v>
      </c>
      <c r="W189" s="2" t="s">
        <v>71</v>
      </c>
      <c r="X189" s="2" t="s">
        <v>71</v>
      </c>
      <c r="Y189" s="2" t="s">
        <v>71</v>
      </c>
      <c r="Z189" s="2" t="s">
        <v>71</v>
      </c>
      <c r="AA189" s="2" t="s">
        <v>71</v>
      </c>
      <c r="AB189" s="53"/>
    </row>
    <row r="190" ht="15" customHeight="1" spans="19:28"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53"/>
    </row>
    <row r="191" ht="15" customHeight="1" spans="28:28">
      <c r="AB191" s="54"/>
    </row>
    <row r="192" ht="15" customHeight="1" spans="19:28">
      <c r="S192" t="str">
        <f>S183</f>
        <v>Period</v>
      </c>
      <c r="U192" t="str">
        <f>U183</f>
        <v>Decision Variables</v>
      </c>
      <c r="AB192" s="54"/>
    </row>
    <row r="193" ht="15" customHeight="1" spans="17:28">
      <c r="Q193" s="2" t="str">
        <f>Q184</f>
        <v>worker</v>
      </c>
      <c r="R193" s="2" t="str">
        <f>R184</f>
        <v>station</v>
      </c>
      <c r="S193" s="20">
        <f>S184</f>
        <v>0</v>
      </c>
      <c r="T193" s="21">
        <f>T184</f>
        <v>1</v>
      </c>
      <c r="U193" s="21">
        <f>U184</f>
        <v>2</v>
      </c>
      <c r="V193" s="21">
        <f t="shared" ref="V193:AA193" si="99">V184</f>
        <v>3</v>
      </c>
      <c r="W193" s="21">
        <f t="shared" si="99"/>
        <v>4</v>
      </c>
      <c r="X193" s="21">
        <f t="shared" si="99"/>
        <v>5</v>
      </c>
      <c r="Y193" s="21">
        <f t="shared" si="99"/>
        <v>6</v>
      </c>
      <c r="Z193" s="21">
        <f t="shared" si="99"/>
        <v>7</v>
      </c>
      <c r="AA193" s="21">
        <f t="shared" si="99"/>
        <v>8</v>
      </c>
      <c r="AB193" s="52"/>
    </row>
    <row r="194" ht="15" customHeight="1" spans="16:28">
      <c r="P194">
        <f>P185+1</f>
        <v>3</v>
      </c>
      <c r="Q194" s="2" t="str">
        <f>VLOOKUP(P194,$P$6:$Q$8,2,FALSE)</f>
        <v>k = 3</v>
      </c>
      <c r="R194" s="2">
        <f>R185</f>
        <v>1</v>
      </c>
      <c r="S194" s="24"/>
      <c r="T194" s="24"/>
      <c r="U194" s="24"/>
      <c r="V194" s="24">
        <v>1</v>
      </c>
      <c r="W194" s="24">
        <v>1</v>
      </c>
      <c r="X194" s="24">
        <v>1</v>
      </c>
      <c r="Y194" s="24"/>
      <c r="Z194" s="24"/>
      <c r="AA194" s="24"/>
      <c r="AB194" s="53"/>
    </row>
    <row r="195" ht="15" customHeight="1" spans="18:28">
      <c r="R195" s="2">
        <f>R186</f>
        <v>2</v>
      </c>
      <c r="S195" s="24"/>
      <c r="T195" s="24"/>
      <c r="U195" s="24"/>
      <c r="V195" s="24"/>
      <c r="W195" s="24"/>
      <c r="X195" s="24"/>
      <c r="Y195" s="24">
        <v>1</v>
      </c>
      <c r="Z195" s="24">
        <v>1</v>
      </c>
      <c r="AA195" s="24">
        <v>1</v>
      </c>
      <c r="AB195" s="53"/>
    </row>
    <row r="196" ht="15" customHeight="1" spans="18:28">
      <c r="R196" s="2">
        <f>R187</f>
        <v>3</v>
      </c>
      <c r="S196" s="24">
        <v>1</v>
      </c>
      <c r="T196" s="24">
        <v>1</v>
      </c>
      <c r="U196" s="24">
        <v>1</v>
      </c>
      <c r="V196" s="24"/>
      <c r="W196" s="24"/>
      <c r="X196" s="24"/>
      <c r="Y196" s="24"/>
      <c r="Z196" s="24"/>
      <c r="AA196" s="24"/>
      <c r="AB196" s="53"/>
    </row>
    <row r="197" ht="15" customHeight="1" spans="18:28">
      <c r="R197" s="2"/>
      <c r="S197" s="50">
        <f t="shared" ref="S197:AA197" si="100">SUM(S194:S196)</f>
        <v>1</v>
      </c>
      <c r="T197" s="51">
        <f t="shared" si="100"/>
        <v>1</v>
      </c>
      <c r="U197" s="51">
        <f t="shared" si="100"/>
        <v>1</v>
      </c>
      <c r="V197" s="51">
        <f t="shared" si="100"/>
        <v>1</v>
      </c>
      <c r="W197" s="51">
        <f t="shared" si="100"/>
        <v>1</v>
      </c>
      <c r="X197" s="51">
        <f t="shared" si="100"/>
        <v>1</v>
      </c>
      <c r="Y197" s="51">
        <f t="shared" si="100"/>
        <v>1</v>
      </c>
      <c r="Z197" s="51">
        <f t="shared" si="100"/>
        <v>1</v>
      </c>
      <c r="AA197" s="51">
        <f t="shared" si="100"/>
        <v>1</v>
      </c>
      <c r="AB197" s="52"/>
    </row>
    <row r="198" ht="15" customHeight="1" spans="19:28">
      <c r="S198" s="2" t="s">
        <v>71</v>
      </c>
      <c r="T198" s="2" t="s">
        <v>71</v>
      </c>
      <c r="U198" s="2" t="s">
        <v>71</v>
      </c>
      <c r="V198" s="2" t="s">
        <v>71</v>
      </c>
      <c r="W198" s="2" t="s">
        <v>71</v>
      </c>
      <c r="X198" s="2" t="s">
        <v>71</v>
      </c>
      <c r="Y198" s="2" t="s">
        <v>71</v>
      </c>
      <c r="Z198" s="2" t="s">
        <v>71</v>
      </c>
      <c r="AA198" s="2" t="s">
        <v>71</v>
      </c>
      <c r="AB198" s="53"/>
    </row>
    <row r="199" ht="15" customHeight="1" spans="19:28"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53"/>
    </row>
    <row r="200" ht="15" customHeight="1" spans="28:28">
      <c r="AB200" s="54"/>
    </row>
    <row r="201" spans="28:28">
      <c r="AB201" s="54"/>
    </row>
    <row r="202" spans="28:28">
      <c r="AB202" s="54"/>
    </row>
    <row r="203" spans="28:28">
      <c r="AB203" s="54"/>
    </row>
    <row r="204" spans="28:28">
      <c r="AB204" s="54"/>
    </row>
    <row r="205" spans="28:28">
      <c r="AB205" s="54"/>
    </row>
    <row r="206" spans="28:28">
      <c r="AB206" s="54"/>
    </row>
    <row r="207" spans="19:28">
      <c r="S207" t="str">
        <f>S192</f>
        <v>Period</v>
      </c>
      <c r="AB207" s="54"/>
    </row>
    <row r="208" spans="18:28">
      <c r="R208" s="2" t="str">
        <f>R193</f>
        <v>station</v>
      </c>
      <c r="S208" s="20">
        <f t="shared" ref="S208:AA208" si="101">S193</f>
        <v>0</v>
      </c>
      <c r="T208" s="21">
        <f t="shared" si="101"/>
        <v>1</v>
      </c>
      <c r="U208" s="21">
        <f t="shared" si="101"/>
        <v>2</v>
      </c>
      <c r="V208" s="21">
        <f t="shared" si="101"/>
        <v>3</v>
      </c>
      <c r="W208" s="21">
        <f t="shared" si="101"/>
        <v>4</v>
      </c>
      <c r="X208" s="21">
        <f t="shared" si="101"/>
        <v>5</v>
      </c>
      <c r="Y208" s="21">
        <f t="shared" si="101"/>
        <v>6</v>
      </c>
      <c r="Z208" s="21">
        <f t="shared" si="101"/>
        <v>7</v>
      </c>
      <c r="AA208" s="21">
        <f t="shared" si="101"/>
        <v>8</v>
      </c>
      <c r="AB208" s="52"/>
    </row>
    <row r="209" spans="18:28">
      <c r="R209" s="2">
        <f t="shared" ref="R209:R211" si="102">R194</f>
        <v>1</v>
      </c>
      <c r="S209" s="2">
        <f t="shared" ref="S209:AA211" si="103">SUMIF($R$175:$R$202,$R209,S$175:S$202)</f>
        <v>1</v>
      </c>
      <c r="T209" s="2">
        <f t="shared" si="103"/>
        <v>1</v>
      </c>
      <c r="U209" s="2">
        <f t="shared" si="103"/>
        <v>1</v>
      </c>
      <c r="V209" s="2">
        <f t="shared" si="103"/>
        <v>1</v>
      </c>
      <c r="W209" s="2">
        <f t="shared" si="103"/>
        <v>1</v>
      </c>
      <c r="X209" s="2">
        <f t="shared" si="103"/>
        <v>1</v>
      </c>
      <c r="Y209" s="2">
        <f t="shared" si="103"/>
        <v>1</v>
      </c>
      <c r="Z209" s="2">
        <f t="shared" si="103"/>
        <v>1</v>
      </c>
      <c r="AA209" s="2">
        <f t="shared" si="103"/>
        <v>1</v>
      </c>
      <c r="AB209" s="53"/>
    </row>
    <row r="210" spans="18:28">
      <c r="R210" s="2">
        <f t="shared" si="102"/>
        <v>2</v>
      </c>
      <c r="S210" s="2">
        <f t="shared" si="103"/>
        <v>1</v>
      </c>
      <c r="T210" s="2">
        <f t="shared" si="103"/>
        <v>1</v>
      </c>
      <c r="U210" s="2">
        <f t="shared" si="103"/>
        <v>1</v>
      </c>
      <c r="V210" s="2">
        <f t="shared" si="103"/>
        <v>1</v>
      </c>
      <c r="W210" s="2">
        <f t="shared" si="103"/>
        <v>1</v>
      </c>
      <c r="X210" s="2">
        <f t="shared" si="103"/>
        <v>1</v>
      </c>
      <c r="Y210" s="2">
        <f t="shared" si="103"/>
        <v>1</v>
      </c>
      <c r="Z210" s="2">
        <f t="shared" si="103"/>
        <v>1</v>
      </c>
      <c r="AA210" s="2">
        <f t="shared" si="103"/>
        <v>1</v>
      </c>
      <c r="AB210" s="53"/>
    </row>
    <row r="211" spans="18:28">
      <c r="R211" s="2">
        <f t="shared" si="102"/>
        <v>3</v>
      </c>
      <c r="S211" s="2">
        <f t="shared" si="103"/>
        <v>1</v>
      </c>
      <c r="T211" s="2">
        <f t="shared" si="103"/>
        <v>1</v>
      </c>
      <c r="U211" s="2">
        <f t="shared" si="103"/>
        <v>1</v>
      </c>
      <c r="V211" s="2">
        <f t="shared" si="103"/>
        <v>1</v>
      </c>
      <c r="W211" s="2">
        <f t="shared" si="103"/>
        <v>1</v>
      </c>
      <c r="X211" s="2">
        <f t="shared" si="103"/>
        <v>1</v>
      </c>
      <c r="Y211" s="2">
        <f t="shared" si="103"/>
        <v>1</v>
      </c>
      <c r="Z211" s="2">
        <f t="shared" si="103"/>
        <v>1</v>
      </c>
      <c r="AA211" s="2">
        <f t="shared" si="103"/>
        <v>1</v>
      </c>
      <c r="AB211" s="53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Personal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Pérez</dc:creator>
  <cp:lastModifiedBy>antixk</cp:lastModifiedBy>
  <dcterms:created xsi:type="dcterms:W3CDTF">2019-06-05T09:49:00Z</dcterms:created>
  <dcterms:modified xsi:type="dcterms:W3CDTF">2019-09-10T18:20:51Z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