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170"/>
  </bookViews>
  <sheets>
    <sheet name="Drone" sheetId="4" r:id="rId1"/>
    <sheet name="Dimensionnement Voilure" sheetId="1" r:id="rId2"/>
    <sheet name="Centrage" sheetId="8" r:id="rId3"/>
    <sheet name="Polaire Profile" sheetId="3" r:id="rId4"/>
    <sheet name="CINE77KV977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F23" i="1" l="1"/>
  <c r="F5" i="1"/>
  <c r="N7" i="4" l="1"/>
  <c r="B13" i="8" l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B17" i="8"/>
  <c r="B3" i="4" s="1"/>
  <c r="F6" i="4" s="1"/>
  <c r="F30" i="4"/>
  <c r="I3" i="7"/>
  <c r="I4" i="7"/>
  <c r="I5" i="7"/>
  <c r="I6" i="7"/>
  <c r="I7" i="7"/>
  <c r="I8" i="7"/>
  <c r="I9" i="7"/>
  <c r="I2" i="7"/>
  <c r="C20" i="8" l="1"/>
  <c r="F19" i="1"/>
  <c r="F27" i="4" l="1"/>
  <c r="F28" i="4" l="1"/>
  <c r="B6" i="4"/>
  <c r="D2" i="4"/>
  <c r="B3" i="1"/>
  <c r="B2" i="1"/>
  <c r="F22" i="4"/>
  <c r="F19" i="4"/>
  <c r="F4" i="4"/>
  <c r="F4" i="1"/>
  <c r="F6" i="1" s="1"/>
  <c r="F3" i="1"/>
  <c r="F2" i="1"/>
  <c r="F17" i="1" l="1"/>
  <c r="F18" i="1" s="1"/>
  <c r="F20" i="1" s="1"/>
  <c r="F21" i="1" s="1"/>
  <c r="C21" i="8" s="1"/>
  <c r="F24" i="1"/>
  <c r="F5" i="4"/>
  <c r="F15" i="1"/>
  <c r="F7" i="1"/>
  <c r="F8" i="1" l="1"/>
  <c r="E2" i="3" s="1"/>
  <c r="F10" i="1"/>
  <c r="F11" i="1" s="1"/>
  <c r="D3" i="3" l="1"/>
  <c r="D26" i="3"/>
  <c r="D38" i="3"/>
  <c r="D50" i="3"/>
  <c r="D62" i="3"/>
  <c r="D74" i="3"/>
  <c r="D86" i="3"/>
  <c r="D98" i="3"/>
  <c r="D110" i="3"/>
  <c r="D108" i="3"/>
  <c r="D81" i="3"/>
  <c r="D30" i="3"/>
  <c r="D37" i="3"/>
  <c r="D45" i="3"/>
  <c r="D100" i="3"/>
  <c r="D73" i="3"/>
  <c r="D104" i="3"/>
  <c r="D63" i="3"/>
  <c r="D51" i="3"/>
  <c r="D48" i="3"/>
  <c r="D89" i="3"/>
  <c r="D96" i="3"/>
  <c r="D76" i="3"/>
  <c r="D32" i="3"/>
  <c r="D6" i="3"/>
  <c r="D70" i="3"/>
  <c r="D22" i="3"/>
  <c r="D5" i="3"/>
  <c r="D105" i="3"/>
  <c r="D7" i="3"/>
  <c r="D18" i="3"/>
  <c r="D87" i="3"/>
  <c r="D61" i="3"/>
  <c r="D33" i="3"/>
  <c r="D84" i="3"/>
  <c r="D57" i="3"/>
  <c r="D101" i="3"/>
  <c r="D13" i="3"/>
  <c r="D21" i="3"/>
  <c r="D88" i="3"/>
  <c r="D49" i="3"/>
  <c r="D68" i="3"/>
  <c r="D9" i="3"/>
  <c r="D56" i="3"/>
  <c r="D25" i="3"/>
  <c r="D39" i="3"/>
  <c r="D16" i="3"/>
  <c r="D106" i="3"/>
  <c r="D17" i="3"/>
  <c r="D4" i="3"/>
  <c r="D111" i="3"/>
  <c r="D43" i="3"/>
  <c r="D42" i="3"/>
  <c r="D14" i="3"/>
  <c r="D58" i="3"/>
  <c r="D34" i="3"/>
  <c r="D69" i="3"/>
  <c r="D10" i="3"/>
  <c r="D93" i="3"/>
  <c r="D97" i="3"/>
  <c r="D75" i="3"/>
  <c r="D12" i="3"/>
  <c r="D92" i="3"/>
  <c r="D77" i="3"/>
  <c r="D60" i="3"/>
  <c r="D20" i="3"/>
  <c r="D64" i="3"/>
  <c r="D72" i="3"/>
  <c r="D67" i="3"/>
  <c r="D27" i="3"/>
  <c r="D107" i="3"/>
  <c r="D80" i="3"/>
  <c r="D65" i="3"/>
  <c r="D24" i="3"/>
  <c r="D103" i="3"/>
  <c r="D52" i="3"/>
  <c r="D36" i="3"/>
  <c r="D19" i="3"/>
  <c r="D15" i="3"/>
  <c r="D83" i="3"/>
  <c r="D44" i="3"/>
  <c r="D53" i="3"/>
  <c r="D95" i="3"/>
  <c r="D55" i="3"/>
  <c r="D40" i="3"/>
  <c r="D71" i="3"/>
  <c r="D78" i="3"/>
  <c r="D47" i="3"/>
  <c r="D8" i="3"/>
  <c r="D41" i="3"/>
  <c r="D59" i="3"/>
  <c r="D31" i="3"/>
  <c r="D28" i="3"/>
  <c r="D23" i="3"/>
  <c r="D54" i="3"/>
  <c r="D11" i="3"/>
  <c r="D91" i="3"/>
  <c r="D29" i="3"/>
  <c r="D35" i="3"/>
  <c r="D102" i="3"/>
  <c r="D82" i="3"/>
  <c r="D79" i="3"/>
  <c r="D66" i="3"/>
  <c r="D94" i="3"/>
  <c r="D46" i="3"/>
  <c r="D99" i="3"/>
  <c r="D85" i="3"/>
  <c r="D109" i="3"/>
  <c r="D90" i="3"/>
  <c r="D2" i="3"/>
  <c r="G5" i="3" l="1"/>
  <c r="F9" i="1" s="1"/>
  <c r="F22" i="1" s="1"/>
  <c r="F13" i="1" l="1"/>
  <c r="F14" i="1" s="1"/>
  <c r="F7" i="4" l="1"/>
  <c r="F20" i="4" s="1"/>
  <c r="F21" i="4" s="1"/>
  <c r="F9" i="4" s="1"/>
  <c r="G9" i="4" s="1"/>
  <c r="F15" i="4" l="1"/>
  <c r="F24" i="4"/>
  <c r="F10" i="4"/>
  <c r="F23" i="4"/>
  <c r="F25" i="4"/>
  <c r="F29" i="4"/>
  <c r="F12" i="4" s="1"/>
  <c r="F11" i="4" l="1"/>
  <c r="F26" i="4"/>
</calcChain>
</file>

<file path=xl/sharedStrings.xml><?xml version="1.0" encoding="utf-8"?>
<sst xmlns="http://schemas.openxmlformats.org/spreadsheetml/2006/main" count="176" uniqueCount="143">
  <si>
    <t>Paramètre</t>
  </si>
  <si>
    <t>Vitesse air</t>
  </si>
  <si>
    <t>Masse</t>
  </si>
  <si>
    <t>Envergure</t>
  </si>
  <si>
    <t>Taper Ratio</t>
  </si>
  <si>
    <t>Valeurs</t>
  </si>
  <si>
    <t>alpha</t>
  </si>
  <si>
    <t>CL</t>
  </si>
  <si>
    <t>CD</t>
  </si>
  <si>
    <t>corde  à l'extrémité</t>
  </si>
  <si>
    <t>valeurs intermédiaires</t>
  </si>
  <si>
    <t>valeur</t>
  </si>
  <si>
    <t>Corde centrale</t>
  </si>
  <si>
    <t>m./s-1</t>
  </si>
  <si>
    <t>kg</t>
  </si>
  <si>
    <t>m</t>
  </si>
  <si>
    <t>rad</t>
  </si>
  <si>
    <t>deg</t>
  </si>
  <si>
    <t>a0 rad</t>
  </si>
  <si>
    <t>Sref</t>
  </si>
  <si>
    <t>dCl/dAlpha</t>
  </si>
  <si>
    <t>aspect ratio AR</t>
  </si>
  <si>
    <t>kg/m3</t>
  </si>
  <si>
    <t>pho air</t>
  </si>
  <si>
    <t>alpha0</t>
  </si>
  <si>
    <t>g</t>
  </si>
  <si>
    <t>m./s-2</t>
  </si>
  <si>
    <t>alpha_vitesse rad</t>
  </si>
  <si>
    <t>alpha_vitesse deg</t>
  </si>
  <si>
    <t>Cdp</t>
  </si>
  <si>
    <t>écart</t>
  </si>
  <si>
    <t>valeur CD</t>
  </si>
  <si>
    <t>alphavitesse</t>
  </si>
  <si>
    <t>Cdi</t>
  </si>
  <si>
    <t>Cl</t>
  </si>
  <si>
    <t>rajouter le 1+ t</t>
  </si>
  <si>
    <t>Cd Total</t>
  </si>
  <si>
    <t>Drag</t>
  </si>
  <si>
    <t>m2</t>
  </si>
  <si>
    <t>rad-1</t>
  </si>
  <si>
    <t>N</t>
  </si>
  <si>
    <t>Trainé parasite</t>
  </si>
  <si>
    <t>Cd</t>
  </si>
  <si>
    <t>Rayon</t>
  </si>
  <si>
    <t>m^2</t>
  </si>
  <si>
    <t>Trainée TOTAL:</t>
  </si>
  <si>
    <t>Dimensionnement Puissance</t>
  </si>
  <si>
    <t>Nombre Moteur</t>
  </si>
  <si>
    <t>Force Moteur Unitaire</t>
  </si>
  <si>
    <t>rendement Hélice</t>
  </si>
  <si>
    <t>rendement Moteur</t>
  </si>
  <si>
    <t>rendement ESC</t>
  </si>
  <si>
    <t>Temps VOL</t>
  </si>
  <si>
    <t>min</t>
  </si>
  <si>
    <t>m/s</t>
  </si>
  <si>
    <t>Energie</t>
  </si>
  <si>
    <t>joule</t>
  </si>
  <si>
    <t>W</t>
  </si>
  <si>
    <t>s</t>
  </si>
  <si>
    <t>Temps vol</t>
  </si>
  <si>
    <t>Tension Batt</t>
  </si>
  <si>
    <t>mah</t>
  </si>
  <si>
    <t>Capacité MAH souhaité</t>
  </si>
  <si>
    <t>Rapport Batterie/Objectif</t>
  </si>
  <si>
    <t>Puissance ELEC</t>
  </si>
  <si>
    <t>Courant</t>
  </si>
  <si>
    <t>A</t>
  </si>
  <si>
    <t>Courant par moteur</t>
  </si>
  <si>
    <t>Nb batterie</t>
  </si>
  <si>
    <t>Nb elem batt</t>
  </si>
  <si>
    <t>Décharge Max</t>
  </si>
  <si>
    <t>c</t>
  </si>
  <si>
    <t>Limite admissible Courant</t>
  </si>
  <si>
    <t>Capacité total</t>
  </si>
  <si>
    <t>Capacité batt unitaire</t>
  </si>
  <si>
    <t>Rapport Courant max/Demande</t>
  </si>
  <si>
    <t>----------------------</t>
  </si>
  <si>
    <t>Poids batterie Unitaire</t>
  </si>
  <si>
    <t>Poid total Batterie</t>
  </si>
  <si>
    <t>Energie Restante (joule) &amp; (mah)</t>
  </si>
  <si>
    <t>Puissance dissipé air</t>
  </si>
  <si>
    <t>Voltage (V)</t>
  </si>
  <si>
    <t>Throttle (%)</t>
  </si>
  <si>
    <t>Current (A)</t>
  </si>
  <si>
    <t>RPM</t>
  </si>
  <si>
    <t>Thrust (g)</t>
  </si>
  <si>
    <t>Power (W)</t>
  </si>
  <si>
    <t>Efficiency (g/W)</t>
  </si>
  <si>
    <t>Torque (NÂ·m)</t>
  </si>
  <si>
    <t>Bat</t>
  </si>
  <si>
    <t>9.5x5x3</t>
  </si>
  <si>
    <t>Puissance par moteur</t>
  </si>
  <si>
    <t>CINE77KV977</t>
  </si>
  <si>
    <t>RPM/V</t>
  </si>
  <si>
    <t>pessimiste</t>
  </si>
  <si>
    <t>Sweep</t>
  </si>
  <si>
    <t>corde moyenne</t>
  </si>
  <si>
    <t>Position Cm0 Cmoy</t>
  </si>
  <si>
    <t>Position corde moyenne</t>
  </si>
  <si>
    <t>Position abs Cm0</t>
  </si>
  <si>
    <t>134g/moteur</t>
  </si>
  <si>
    <t>Position ideal CG</t>
  </si>
  <si>
    <t>Static Margin</t>
  </si>
  <si>
    <t>%</t>
  </si>
  <si>
    <t>Liste composant</t>
  </si>
  <si>
    <t>Batterie 1</t>
  </si>
  <si>
    <t>Batterie 2</t>
  </si>
  <si>
    <t>Batterie 3</t>
  </si>
  <si>
    <t>Moteurs 1</t>
  </si>
  <si>
    <t>Moteurs 2</t>
  </si>
  <si>
    <t>Servo Moteurs 1</t>
  </si>
  <si>
    <t>Servo Moteurs 2</t>
  </si>
  <si>
    <t>ESC 1</t>
  </si>
  <si>
    <t>ESC 2</t>
  </si>
  <si>
    <t>P elec</t>
  </si>
  <si>
    <t>Puissance Max moteur</t>
  </si>
  <si>
    <t>Puissance Max-Puissance requise</t>
  </si>
  <si>
    <t>Vmax Km/h</t>
  </si>
  <si>
    <t>Chassis</t>
  </si>
  <si>
    <t>Masse (g)</t>
  </si>
  <si>
    <t>Masse totale</t>
  </si>
  <si>
    <t>G/M^2</t>
  </si>
  <si>
    <t>g/dm²</t>
  </si>
  <si>
    <t>Postion Y</t>
  </si>
  <si>
    <t>Position X (mm)</t>
  </si>
  <si>
    <t>Hélice 1</t>
  </si>
  <si>
    <t>Hélice 2</t>
  </si>
  <si>
    <t>Moment</t>
  </si>
  <si>
    <t>Erreur CG</t>
  </si>
  <si>
    <t>cm</t>
  </si>
  <si>
    <t>Pos CG</t>
  </si>
  <si>
    <t>Demi-Largeur fuselage</t>
  </si>
  <si>
    <t>Profil emboite Fuselage</t>
  </si>
  <si>
    <t>Poids</t>
  </si>
  <si>
    <t>rocket RPG7</t>
  </si>
  <si>
    <t>2.25kg</t>
  </si>
  <si>
    <t>Payload</t>
  </si>
  <si>
    <t>jetson NANO</t>
  </si>
  <si>
    <t>Moteur 3+4</t>
  </si>
  <si>
    <t>fin drag</t>
  </si>
  <si>
    <t>Fuselage</t>
  </si>
  <si>
    <t>Sref fin</t>
  </si>
  <si>
    <t>envergure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</si>
</sst>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0"/>
      <color theme="1"/>
      <name val="Arial Unicode MS"/>
    </font>
    <font>
      <b/>
      <sz val="12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rgb="FF3F3F76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5"/>
    <xf numFmtId="0" fontId="2" fillId="2" borderId="1" xfId="1"/>
    <xf numFmtId="0" fontId="7" fillId="0" borderId="0" xfId="0" applyFont="1"/>
    <xf numFmtId="0" fontId="8" fillId="0" borderId="0" xfId="0" applyFont="1"/>
    <xf numFmtId="0" fontId="5" fillId="3" borderId="1" xfId="3" applyFont="1"/>
    <xf numFmtId="0" fontId="5" fillId="3" borderId="4" xfId="3" applyFont="1" applyBorder="1"/>
    <xf numFmtId="0" fontId="2" fillId="2" borderId="4" xfId="1" applyBorder="1"/>
    <xf numFmtId="0" fontId="9" fillId="3" borderId="1" xfId="3" applyFont="1"/>
    <xf numFmtId="0" fontId="3" fillId="3" borderId="2" xfId="2"/>
    <xf numFmtId="0" fontId="7" fillId="0" borderId="0" xfId="0" applyFont="1" applyFill="1" applyBorder="1"/>
    <xf numFmtId="0" fontId="10" fillId="4" borderId="3" xfId="4" applyFont="1"/>
    <xf numFmtId="0" fontId="6" fillId="4" borderId="3" xfId="4" applyFont="1"/>
    <xf numFmtId="0" fontId="5" fillId="3" borderId="1" xfId="3" quotePrefix="1" applyFont="1"/>
    <xf numFmtId="0" fontId="4" fillId="3" borderId="1" xfId="3" applyFont="1"/>
    <xf numFmtId="0" fontId="2" fillId="2" borderId="0" xfId="1" applyBorder="1"/>
    <xf numFmtId="0" fontId="11" fillId="0" borderId="0" xfId="0" applyFont="1" applyAlignment="1">
      <alignment horizontal="left" vertical="center"/>
    </xf>
    <xf numFmtId="9" fontId="0" fillId="0" borderId="0" xfId="0" applyNumberFormat="1"/>
    <xf numFmtId="0" fontId="6" fillId="0" borderId="0" xfId="5" applyFill="1" applyBorder="1"/>
    <xf numFmtId="0" fontId="5" fillId="3" borderId="5" xfId="3" applyFont="1" applyBorder="1"/>
    <xf numFmtId="0" fontId="0" fillId="0" borderId="0" xfId="0" quotePrefix="1"/>
    <xf numFmtId="0" fontId="6" fillId="0" borderId="0" xfId="5" quotePrefix="1"/>
    <xf numFmtId="0" fontId="3" fillId="3" borderId="6" xfId="2" applyBorder="1"/>
    <xf numFmtId="0" fontId="6" fillId="3" borderId="0" xfId="5" applyFill="1" applyBorder="1"/>
    <xf numFmtId="0" fontId="12" fillId="3" borderId="2" xfId="2" applyFont="1"/>
    <xf numFmtId="0" fontId="13" fillId="0" borderId="0" xfId="5" applyFont="1"/>
    <xf numFmtId="0" fontId="10" fillId="2" borderId="1" xfId="1" applyFont="1"/>
    <xf numFmtId="0" fontId="14" fillId="2" borderId="1" xfId="1" applyFont="1"/>
    <xf numFmtId="0" fontId="15" fillId="0" borderId="0" xfId="5" applyFont="1"/>
    <xf numFmtId="0" fontId="4" fillId="3" borderId="4" xfId="3" applyFont="1" applyBorder="1"/>
    <xf numFmtId="0" fontId="16" fillId="0" borderId="0" xfId="0" applyFont="1"/>
  </cellXfs>
  <cellStyles count="6">
    <cellStyle name="Calcul" xfId="3" builtinId="22"/>
    <cellStyle name="Entrée" xfId="1" builtinId="20"/>
    <cellStyle name="Normal" xfId="0" builtinId="0"/>
    <cellStyle name="Note" xfId="4" builtinId="10"/>
    <cellStyle name="Sortie" xfId="2" builtinId="21"/>
    <cellStyle name="Texte explicatif" xfId="5" builtinId="53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696771967249115"/>
          <c:y val="7.1389207807118271E-2"/>
          <c:w val="0.71482510901276786"/>
          <c:h val="0.889575200918484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Centrage!$D$2:$D$16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-200</c:v>
                </c:pt>
                <c:pt idx="3">
                  <c:v>-200</c:v>
                </c:pt>
                <c:pt idx="4">
                  <c:v>1000</c:v>
                </c:pt>
                <c:pt idx="5">
                  <c:v>-1000</c:v>
                </c:pt>
                <c:pt idx="6">
                  <c:v>0</c:v>
                </c:pt>
                <c:pt idx="7">
                  <c:v>1000</c:v>
                </c:pt>
                <c:pt idx="8">
                  <c:v>-1000</c:v>
                </c:pt>
                <c:pt idx="9">
                  <c:v>1000</c:v>
                </c:pt>
                <c:pt idx="10">
                  <c:v>-1000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-1000</c:v>
                </c:pt>
              </c:numCache>
            </c:numRef>
          </c:xVal>
          <c:yVal>
            <c:numRef>
              <c:f>Centrage!$C$2:$C$16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150</c:v>
                </c:pt>
                <c:pt idx="5">
                  <c:v>150</c:v>
                </c:pt>
                <c:pt idx="6">
                  <c:v>400</c:v>
                </c:pt>
                <c:pt idx="7">
                  <c:v>300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250</c:v>
                </c:pt>
                <c:pt idx="13">
                  <c:v>15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1-4DA3-B402-C5F61634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83872"/>
        <c:axId val="1469284288"/>
      </c:scatterChart>
      <c:valAx>
        <c:axId val="14692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284288"/>
        <c:crosses val="autoZero"/>
        <c:crossBetween val="midCat"/>
      </c:valAx>
      <c:valAx>
        <c:axId val="14692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2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12700</xdr:rowOff>
    </xdr:from>
    <xdr:to>
      <xdr:col>21</xdr:col>
      <xdr:colOff>82899</xdr:colOff>
      <xdr:row>21</xdr:row>
      <xdr:rowOff>82733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2050" y="381000"/>
          <a:ext cx="6788499" cy="3568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406400</xdr:colOff>
      <xdr:row>3</xdr:row>
      <xdr:rowOff>31750</xdr:rowOff>
    </xdr:from>
    <xdr:to>
      <xdr:col>24</xdr:col>
      <xdr:colOff>336899</xdr:colOff>
      <xdr:row>22</xdr:row>
      <xdr:rowOff>101783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584200"/>
          <a:ext cx="6788499" cy="3568883"/>
        </a:xfrm>
        <a:prstGeom prst="rect">
          <a:avLst/>
        </a:prstGeom>
      </xdr:spPr>
    </xdr:pic>
    <xdr:clientData/>
  </xdr:twoCellAnchor>
  <xdr:twoCellAnchor>
    <xdr:from>
      <xdr:col>8</xdr:col>
      <xdr:colOff>68729</xdr:colOff>
      <xdr:row>2</xdr:row>
      <xdr:rowOff>23159</xdr:rowOff>
    </xdr:from>
    <xdr:to>
      <xdr:col>18</xdr:col>
      <xdr:colOff>75079</xdr:colOff>
      <xdr:row>15</xdr:row>
      <xdr:rowOff>16809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1:D16" totalsRowShown="0">
  <autoFilter ref="A1:D16"/>
  <tableColumns count="4">
    <tableColumn id="1" name="Liste composant"/>
    <tableColumn id="2" name="Masse (g)"/>
    <tableColumn id="3" name="Position X (mm)"/>
    <tableColumn id="5" name="Postion 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88" workbookViewId="0">
      <selection activeCell="B3" sqref="B3"/>
    </sheetView>
  </sheetViews>
  <sheetFormatPr baseColWidth="10" defaultRowHeight="14.5"/>
  <cols>
    <col min="1" max="1" width="19.26953125" customWidth="1"/>
    <col min="3" max="3" width="12.26953125" customWidth="1"/>
    <col min="5" max="5" width="31.6328125" customWidth="1"/>
    <col min="6" max="6" width="14.7265625" customWidth="1"/>
  </cols>
  <sheetData>
    <row r="1" spans="1:14">
      <c r="A1" s="1" t="s">
        <v>0</v>
      </c>
      <c r="B1" s="2" t="s">
        <v>5</v>
      </c>
      <c r="D1" s="25" t="s">
        <v>117</v>
      </c>
      <c r="E1" s="5" t="s">
        <v>41</v>
      </c>
      <c r="F1" s="5" t="s">
        <v>140</v>
      </c>
    </row>
    <row r="2" spans="1:14" ht="28.5">
      <c r="A2" s="1" t="s">
        <v>1</v>
      </c>
      <c r="B2" s="26">
        <v>83</v>
      </c>
      <c r="C2" s="3" t="s">
        <v>54</v>
      </c>
      <c r="D2" s="28">
        <f>B2*3.6</f>
        <v>298.8</v>
      </c>
      <c r="E2" s="5" t="s">
        <v>42</v>
      </c>
      <c r="F2" s="5">
        <v>0.04</v>
      </c>
    </row>
    <row r="3" spans="1:14">
      <c r="A3" s="12" t="s">
        <v>2</v>
      </c>
      <c r="B3" s="11">
        <f>Centrage!B17/1000</f>
        <v>4.7240000000000002</v>
      </c>
      <c r="C3" s="3" t="s">
        <v>14</v>
      </c>
      <c r="E3" s="5" t="s">
        <v>43</v>
      </c>
      <c r="F3" s="5">
        <v>0.16</v>
      </c>
      <c r="G3" s="3" t="s">
        <v>15</v>
      </c>
    </row>
    <row r="4" spans="1:14" ht="46">
      <c r="A4" s="1" t="s">
        <v>52</v>
      </c>
      <c r="B4" s="27">
        <v>5</v>
      </c>
      <c r="C4" s="3" t="s">
        <v>53</v>
      </c>
      <c r="E4" s="5" t="s">
        <v>19</v>
      </c>
      <c r="F4" s="5">
        <f>F3*F3*PI()</f>
        <v>8.0424771931898703E-2</v>
      </c>
      <c r="G4" s="3" t="s">
        <v>44</v>
      </c>
    </row>
    <row r="5" spans="1:14">
      <c r="A5" s="1" t="s">
        <v>69</v>
      </c>
      <c r="B5" s="2">
        <v>6</v>
      </c>
      <c r="C5" s="3"/>
      <c r="E5" s="5" t="s">
        <v>37</v>
      </c>
      <c r="F5" s="5">
        <f>0.5*'Dimensionnement Voilure'!B8*'Dimensionnement Voilure'!B2*Drone!B2*F4*F2</f>
        <v>13.518728593667944</v>
      </c>
      <c r="G5" s="3" t="s">
        <v>40</v>
      </c>
    </row>
    <row r="6" spans="1:14">
      <c r="A6" s="12" t="s">
        <v>73</v>
      </c>
      <c r="B6" s="11">
        <f>B9*B7</f>
        <v>8000</v>
      </c>
      <c r="C6" t="s">
        <v>61</v>
      </c>
      <c r="E6" s="6" t="s">
        <v>133</v>
      </c>
      <c r="F6" s="3">
        <f>B3*9.81</f>
        <v>46.342440000000003</v>
      </c>
      <c r="G6" s="3" t="s">
        <v>40</v>
      </c>
    </row>
    <row r="7" spans="1:14">
      <c r="A7" s="1" t="s">
        <v>68</v>
      </c>
      <c r="B7" s="2">
        <v>2</v>
      </c>
      <c r="E7" s="5" t="s">
        <v>45</v>
      </c>
      <c r="F7" s="5">
        <f>F5+'Dimensionnement Voilure'!F14+'Dimensionnement Voilure'!F22</f>
        <v>25.925693853661983</v>
      </c>
      <c r="G7" s="10" t="s">
        <v>40</v>
      </c>
      <c r="N7">
        <f>12+18+12</f>
        <v>42</v>
      </c>
    </row>
    <row r="8" spans="1:14" ht="14.5" customHeight="1">
      <c r="A8" s="1" t="s">
        <v>70</v>
      </c>
      <c r="B8" s="7">
        <v>25</v>
      </c>
      <c r="C8" s="3" t="s">
        <v>71</v>
      </c>
    </row>
    <row r="9" spans="1:14">
      <c r="A9" s="1" t="s">
        <v>74</v>
      </c>
      <c r="B9" s="7">
        <v>4000</v>
      </c>
      <c r="C9" s="10" t="s">
        <v>61</v>
      </c>
      <c r="E9" s="9" t="s">
        <v>79</v>
      </c>
      <c r="F9" s="9">
        <f>B6*3.6*B5*3.7-F21</f>
        <v>-6189.7769561833702</v>
      </c>
      <c r="G9" s="9">
        <f>F9/(3.6*F22)</f>
        <v>-77.449661613906017</v>
      </c>
    </row>
    <row r="10" spans="1:14" ht="15.5">
      <c r="A10" s="1" t="s">
        <v>77</v>
      </c>
      <c r="B10" s="15">
        <v>0.6</v>
      </c>
      <c r="C10" s="10" t="s">
        <v>14</v>
      </c>
      <c r="E10" s="9" t="s">
        <v>63</v>
      </c>
      <c r="F10" s="24">
        <f>(B6*3.6*B5*3.7)/F21</f>
        <v>0.9904116194023509</v>
      </c>
    </row>
    <row r="11" spans="1:14" ht="15.5">
      <c r="A11" s="18" t="s">
        <v>92</v>
      </c>
      <c r="B11" s="15">
        <v>977</v>
      </c>
      <c r="C11" s="10" t="s">
        <v>93</v>
      </c>
      <c r="E11" s="9" t="s">
        <v>75</v>
      </c>
      <c r="F11" s="24">
        <f>F27/F25</f>
        <v>1.1142130718276451</v>
      </c>
    </row>
    <row r="12" spans="1:14" ht="15.5">
      <c r="E12" s="9" t="s">
        <v>116</v>
      </c>
      <c r="F12" s="24">
        <f>F30-F29</f>
        <v>988.83590630071376</v>
      </c>
    </row>
    <row r="13" spans="1:14">
      <c r="E13" s="5" t="s">
        <v>46</v>
      </c>
      <c r="F13" s="13" t="s">
        <v>76</v>
      </c>
      <c r="G13" s="3"/>
    </row>
    <row r="14" spans="1:14">
      <c r="E14" s="5" t="s">
        <v>47</v>
      </c>
      <c r="F14" s="5">
        <v>4</v>
      </c>
      <c r="G14" s="3"/>
    </row>
    <row r="15" spans="1:14">
      <c r="E15" s="5" t="s">
        <v>48</v>
      </c>
      <c r="F15" s="14">
        <f>F7/F14</f>
        <v>6.4814234634154957</v>
      </c>
      <c r="G15" s="3" t="s">
        <v>40</v>
      </c>
    </row>
    <row r="16" spans="1:14">
      <c r="E16" s="5" t="s">
        <v>49</v>
      </c>
      <c r="F16" s="5">
        <v>0.8</v>
      </c>
      <c r="G16" s="3" t="s">
        <v>94</v>
      </c>
    </row>
    <row r="17" spans="1:7">
      <c r="E17" s="5" t="s">
        <v>50</v>
      </c>
      <c r="F17" s="5">
        <v>0.9</v>
      </c>
      <c r="G17" s="3"/>
    </row>
    <row r="18" spans="1:7">
      <c r="E18" s="5" t="s">
        <v>51</v>
      </c>
      <c r="F18" s="5">
        <v>0.75</v>
      </c>
      <c r="G18" s="3"/>
    </row>
    <row r="19" spans="1:7">
      <c r="E19" s="5" t="s">
        <v>59</v>
      </c>
      <c r="F19" s="5">
        <f>B4*60</f>
        <v>300</v>
      </c>
      <c r="G19" s="3" t="s">
        <v>58</v>
      </c>
    </row>
    <row r="20" spans="1:7">
      <c r="A20" t="s">
        <v>134</v>
      </c>
      <c r="B20" t="s">
        <v>135</v>
      </c>
      <c r="E20" s="5" t="s">
        <v>80</v>
      </c>
      <c r="F20" s="5">
        <f>F7*B2</f>
        <v>2151.8325898539447</v>
      </c>
      <c r="G20" s="3" t="s">
        <v>57</v>
      </c>
    </row>
    <row r="21" spans="1:7">
      <c r="A21" t="s">
        <v>100</v>
      </c>
      <c r="E21" s="5" t="s">
        <v>55</v>
      </c>
      <c r="F21" s="5">
        <f>F20*F19</f>
        <v>645549.77695618337</v>
      </c>
      <c r="G21" s="3" t="s">
        <v>56</v>
      </c>
    </row>
    <row r="22" spans="1:7">
      <c r="E22" s="5" t="s">
        <v>60</v>
      </c>
      <c r="F22" s="5">
        <f>B5*3.7</f>
        <v>22.200000000000003</v>
      </c>
    </row>
    <row r="23" spans="1:7">
      <c r="E23" s="5" t="s">
        <v>62</v>
      </c>
      <c r="F23" s="5">
        <f>F21/(3.6*F22)*(1/(F16*F17*F18))</f>
        <v>14958.240114099821</v>
      </c>
      <c r="G23" s="10" t="s">
        <v>61</v>
      </c>
    </row>
    <row r="24" spans="1:7">
      <c r="E24" s="6" t="s">
        <v>64</v>
      </c>
      <c r="F24" s="5">
        <f>F7*B2/(F16*F17*F18)</f>
        <v>3984.8751663961934</v>
      </c>
      <c r="G24" s="10" t="s">
        <v>57</v>
      </c>
    </row>
    <row r="25" spans="1:7">
      <c r="E25" s="5" t="s">
        <v>65</v>
      </c>
      <c r="F25" s="5">
        <f>F24/F22</f>
        <v>179.49888136919787</v>
      </c>
      <c r="G25" s="10" t="s">
        <v>66</v>
      </c>
    </row>
    <row r="26" spans="1:7">
      <c r="E26" s="5" t="s">
        <v>67</v>
      </c>
      <c r="F26" s="5">
        <f>F25/F14</f>
        <v>44.874720342299469</v>
      </c>
      <c r="G26" s="10" t="s">
        <v>66</v>
      </c>
    </row>
    <row r="27" spans="1:7">
      <c r="E27" s="5" t="s">
        <v>72</v>
      </c>
      <c r="F27" s="5">
        <f>B9/(1000)*B8*B7</f>
        <v>200</v>
      </c>
      <c r="G27" s="10" t="s">
        <v>66</v>
      </c>
    </row>
    <row r="28" spans="1:7">
      <c r="E28" s="5" t="s">
        <v>78</v>
      </c>
      <c r="F28" s="14">
        <f>B10*B7</f>
        <v>1.2</v>
      </c>
      <c r="G28" s="10" t="s">
        <v>14</v>
      </c>
    </row>
    <row r="29" spans="1:7">
      <c r="E29" s="5" t="s">
        <v>91</v>
      </c>
      <c r="F29" s="5">
        <f>F24*F18/F14</f>
        <v>747.16409369928624</v>
      </c>
      <c r="G29" s="10" t="s">
        <v>57</v>
      </c>
    </row>
    <row r="30" spans="1:7">
      <c r="E30" s="5" t="s">
        <v>115</v>
      </c>
      <c r="F30" s="5">
        <f>CINE77KV977!F9</f>
        <v>1736</v>
      </c>
      <c r="G30" s="10" t="s">
        <v>57</v>
      </c>
    </row>
  </sheetData>
  <conditionalFormatting sqref="F11">
    <cfRule type="cellIs" dxfId="7" priority="1" operator="greaterThan">
      <formula>1.32849553</formula>
    </cfRule>
    <cfRule type="cellIs" dxfId="6" priority="7" operator="lessThan">
      <formula>1.5</formula>
    </cfRule>
    <cfRule type="cellIs" dxfId="5" priority="8" operator="greaterThan">
      <formula>1.5</formula>
    </cfRule>
  </conditionalFormatting>
  <conditionalFormatting sqref="F10">
    <cfRule type="cellIs" dxfId="4" priority="5" operator="lessThan">
      <formula>1</formula>
    </cfRule>
    <cfRule type="cellIs" dxfId="3" priority="6" operator="greaterThan">
      <formula>1</formula>
    </cfRule>
  </conditionalFormatting>
  <conditionalFormatting sqref="F12">
    <cfRule type="cellIs" dxfId="2" priority="2" operator="lessThan">
      <formula>800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B13" sqref="B13"/>
    </sheetView>
  </sheetViews>
  <sheetFormatPr baseColWidth="10" defaultColWidth="8.7265625" defaultRowHeight="14.5"/>
  <cols>
    <col min="1" max="1" width="20.1796875" bestFit="1" customWidth="1"/>
    <col min="2" max="2" width="8.81640625" bestFit="1" customWidth="1"/>
    <col min="5" max="5" width="21.453125" bestFit="1" customWidth="1"/>
    <col min="6" max="6" width="12.1796875" bestFit="1" customWidth="1"/>
    <col min="7" max="7" width="8.7265625" style="3"/>
  </cols>
  <sheetData>
    <row r="1" spans="1:7">
      <c r="A1" s="1" t="s">
        <v>0</v>
      </c>
      <c r="B1" s="2" t="s">
        <v>5</v>
      </c>
      <c r="E1" s="5" t="s">
        <v>10</v>
      </c>
      <c r="F1" s="5" t="s">
        <v>11</v>
      </c>
    </row>
    <row r="2" spans="1:7">
      <c r="A2" s="12" t="s">
        <v>1</v>
      </c>
      <c r="B2" s="11">
        <f>Drone!B2</f>
        <v>83</v>
      </c>
      <c r="C2" s="4" t="s">
        <v>13</v>
      </c>
      <c r="E2" s="5" t="s">
        <v>9</v>
      </c>
      <c r="F2" s="5">
        <f>B5*B6</f>
        <v>0.05</v>
      </c>
    </row>
    <row r="3" spans="1:7">
      <c r="A3" s="12" t="s">
        <v>2</v>
      </c>
      <c r="B3" s="11">
        <f>Drone!B3</f>
        <v>4.7240000000000002</v>
      </c>
      <c r="C3" s="4" t="s">
        <v>14</v>
      </c>
      <c r="E3" s="5" t="s">
        <v>18</v>
      </c>
      <c r="F3" s="5">
        <f>B7*PI()*1/180</f>
        <v>-9.5993108859688137E-3</v>
      </c>
      <c r="G3" s="3" t="s">
        <v>16</v>
      </c>
    </row>
    <row r="4" spans="1:7">
      <c r="A4" s="1" t="s">
        <v>3</v>
      </c>
      <c r="B4" s="2">
        <v>1</v>
      </c>
      <c r="C4" s="4" t="s">
        <v>15</v>
      </c>
      <c r="E4" s="5" t="s">
        <v>21</v>
      </c>
      <c r="F4" s="5">
        <f>(B4^2)/F5</f>
        <v>3.3333333333333335</v>
      </c>
    </row>
    <row r="5" spans="1:7">
      <c r="A5" s="1" t="s">
        <v>4</v>
      </c>
      <c r="B5" s="2">
        <v>0.2</v>
      </c>
      <c r="C5" s="4"/>
      <c r="E5" s="5" t="s">
        <v>19</v>
      </c>
      <c r="F5" s="14">
        <f>(B5*B6+B6)*B4</f>
        <v>0.3</v>
      </c>
      <c r="G5" s="3" t="s">
        <v>38</v>
      </c>
    </row>
    <row r="6" spans="1:7">
      <c r="A6" s="1" t="s">
        <v>12</v>
      </c>
      <c r="B6" s="2">
        <v>0.25</v>
      </c>
      <c r="C6" s="4" t="s">
        <v>15</v>
      </c>
      <c r="E6" s="5" t="s">
        <v>20</v>
      </c>
      <c r="F6" s="5">
        <f>(2*PI())/(1+2/F4)</f>
        <v>3.9269908169872414</v>
      </c>
      <c r="G6" s="3" t="s">
        <v>39</v>
      </c>
    </row>
    <row r="7" spans="1:7">
      <c r="A7" s="1" t="s">
        <v>24</v>
      </c>
      <c r="B7" s="2">
        <v>-0.55000000000000004</v>
      </c>
      <c r="C7" s="4" t="s">
        <v>17</v>
      </c>
      <c r="E7" s="5" t="s">
        <v>27</v>
      </c>
      <c r="F7" s="5">
        <f>B3*B9/(0.5*B8*B2*B2*F5)*1/F6+F3</f>
        <v>-2.4235423089435416E-4</v>
      </c>
      <c r="G7" s="3" t="s">
        <v>16</v>
      </c>
    </row>
    <row r="8" spans="1:7">
      <c r="A8" s="1" t="s">
        <v>23</v>
      </c>
      <c r="B8" s="7">
        <v>1.22</v>
      </c>
      <c r="C8" s="4" t="s">
        <v>22</v>
      </c>
      <c r="E8" s="8" t="s">
        <v>28</v>
      </c>
      <c r="F8" s="8">
        <f>F7*180/PI()</f>
        <v>-1.3885874577385561E-2</v>
      </c>
      <c r="G8" s="3" t="s">
        <v>17</v>
      </c>
    </row>
    <row r="9" spans="1:7">
      <c r="A9" s="1" t="s">
        <v>25</v>
      </c>
      <c r="B9" s="7">
        <v>9.8059999999999992</v>
      </c>
      <c r="C9" s="4" t="s">
        <v>26</v>
      </c>
      <c r="E9" s="5" t="s">
        <v>29</v>
      </c>
      <c r="F9" s="5">
        <f>'Polaire Profile'!G5</f>
        <v>5.2500000000000003E-3</v>
      </c>
    </row>
    <row r="10" spans="1:7">
      <c r="A10" s="1" t="s">
        <v>95</v>
      </c>
      <c r="B10" s="2">
        <v>30</v>
      </c>
      <c r="C10" s="4" t="s">
        <v>17</v>
      </c>
      <c r="E10" s="5" t="s">
        <v>34</v>
      </c>
      <c r="F10" s="5">
        <f>F6*(F7-F3)</f>
        <v>3.674468285942506E-2</v>
      </c>
    </row>
    <row r="11" spans="1:7">
      <c r="A11" s="1" t="s">
        <v>102</v>
      </c>
      <c r="B11" s="7">
        <v>15</v>
      </c>
      <c r="C11" s="4" t="s">
        <v>103</v>
      </c>
      <c r="E11" s="5" t="s">
        <v>33</v>
      </c>
      <c r="F11" s="5">
        <f>F10*F10/(PI()*F4)</f>
        <v>1.2893190180753665E-4</v>
      </c>
      <c r="G11" s="3" t="s">
        <v>35</v>
      </c>
    </row>
    <row r="12" spans="1:7">
      <c r="A12" s="1" t="s">
        <v>131</v>
      </c>
      <c r="B12" s="7">
        <v>0.25</v>
      </c>
    </row>
    <row r="13" spans="1:7">
      <c r="A13" s="1" t="s">
        <v>142</v>
      </c>
      <c r="B13" s="7">
        <v>0.85</v>
      </c>
      <c r="E13" s="5" t="s">
        <v>36</v>
      </c>
      <c r="F13" s="5">
        <f>F9+F11</f>
        <v>5.3789319018075366E-3</v>
      </c>
    </row>
    <row r="14" spans="1:7">
      <c r="E14" s="14" t="s">
        <v>37</v>
      </c>
      <c r="F14" s="14">
        <f>0.5*B8*B2*B2*F5*F13</f>
        <v>6.7811495224940375</v>
      </c>
      <c r="G14" s="3" t="s">
        <v>40</v>
      </c>
    </row>
    <row r="15" spans="1:7">
      <c r="E15" s="5" t="s">
        <v>121</v>
      </c>
      <c r="F15" s="5">
        <f>B3*10/F5</f>
        <v>157.46666666666667</v>
      </c>
      <c r="G15" s="3" t="s">
        <v>122</v>
      </c>
    </row>
    <row r="17" spans="5:7">
      <c r="E17" s="5" t="s">
        <v>96</v>
      </c>
      <c r="F17" s="5">
        <f>(B6+F2)/2</f>
        <v>0.15</v>
      </c>
      <c r="G17" s="3" t="s">
        <v>15</v>
      </c>
    </row>
    <row r="18" spans="5:7">
      <c r="E18" s="5" t="s">
        <v>97</v>
      </c>
      <c r="F18" s="19">
        <f>F17/4</f>
        <v>3.7499999999999999E-2</v>
      </c>
      <c r="G18" s="3" t="s">
        <v>15</v>
      </c>
    </row>
    <row r="19" spans="5:7">
      <c r="E19" s="5" t="s">
        <v>98</v>
      </c>
      <c r="F19" s="19">
        <f>B4/4</f>
        <v>0.25</v>
      </c>
      <c r="G19" s="3" t="s">
        <v>15</v>
      </c>
    </row>
    <row r="20" spans="5:7">
      <c r="E20" s="14" t="s">
        <v>99</v>
      </c>
      <c r="F20" s="14">
        <f>SIN(B10*PI()/180)*F19+F18</f>
        <v>0.16249999999999998</v>
      </c>
      <c r="G20" s="3" t="s">
        <v>15</v>
      </c>
    </row>
    <row r="21" spans="5:7">
      <c r="E21" s="14" t="s">
        <v>101</v>
      </c>
      <c r="F21" s="14">
        <f>F20-0.01*B11*F17</f>
        <v>0.13999999999999999</v>
      </c>
      <c r="G21" s="3" t="s">
        <v>15</v>
      </c>
    </row>
    <row r="22" spans="5:7">
      <c r="E22" s="29" t="s">
        <v>139</v>
      </c>
      <c r="F22" s="30">
        <f>0.5*F23*B8*F9*B2*B2</f>
        <v>5.6258157375</v>
      </c>
      <c r="G22" s="3" t="s">
        <v>40</v>
      </c>
    </row>
    <row r="23" spans="5:7">
      <c r="E23" s="5" t="s">
        <v>141</v>
      </c>
      <c r="F23" s="14">
        <f>(B5*B6+B6)*B13</f>
        <v>0.255</v>
      </c>
    </row>
    <row r="24" spans="5:7">
      <c r="E24" s="3" t="s">
        <v>132</v>
      </c>
      <c r="F24" s="3">
        <f>(F2-B6)*2/B4*B12+B6</f>
        <v>0.15</v>
      </c>
      <c r="G24" s="3" t="s">
        <v>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5" zoomScaleNormal="85" workbookViewId="0">
      <selection activeCell="B9" sqref="B9"/>
    </sheetView>
  </sheetViews>
  <sheetFormatPr baseColWidth="10" defaultRowHeight="14.5"/>
  <cols>
    <col min="1" max="1" width="16.26953125" customWidth="1"/>
    <col min="2" max="2" width="11.08984375" bestFit="1" customWidth="1"/>
    <col min="3" max="3" width="11.453125" bestFit="1" customWidth="1"/>
    <col min="4" max="4" width="11.453125" customWidth="1"/>
    <col min="7" max="7" width="13.36328125" customWidth="1"/>
  </cols>
  <sheetData>
    <row r="1" spans="1:6">
      <c r="A1" t="s">
        <v>104</v>
      </c>
      <c r="B1" t="s">
        <v>119</v>
      </c>
      <c r="C1" t="s">
        <v>124</v>
      </c>
      <c r="D1" t="s">
        <v>123</v>
      </c>
      <c r="E1" s="21" t="s">
        <v>127</v>
      </c>
    </row>
    <row r="2" spans="1:6">
      <c r="A2" t="s">
        <v>105</v>
      </c>
      <c r="B2">
        <v>700</v>
      </c>
      <c r="C2">
        <v>300</v>
      </c>
      <c r="D2">
        <v>200</v>
      </c>
      <c r="E2" s="21">
        <f>Tableau2[[#This Row],[Masse (g)]]*Tableau2[[#This Row],[Position X (mm)]]</f>
        <v>210000</v>
      </c>
      <c r="F2">
        <v>100</v>
      </c>
    </row>
    <row r="3" spans="1:6">
      <c r="A3" t="s">
        <v>106</v>
      </c>
      <c r="B3">
        <v>700</v>
      </c>
      <c r="C3">
        <v>300</v>
      </c>
      <c r="D3">
        <v>200</v>
      </c>
      <c r="E3" s="21">
        <f>Tableau2[[#This Row],[Masse (g)]]*Tableau2[[#This Row],[Position X (mm)]]</f>
        <v>210000</v>
      </c>
      <c r="F3">
        <v>100</v>
      </c>
    </row>
    <row r="4" spans="1:6">
      <c r="A4" t="s">
        <v>107</v>
      </c>
      <c r="B4">
        <v>0</v>
      </c>
      <c r="C4">
        <v>300</v>
      </c>
      <c r="D4">
        <v>-200</v>
      </c>
      <c r="E4" s="21">
        <f>Tableau2[[#This Row],[Masse (g)]]*Tableau2[[#This Row],[Position X (mm)]]</f>
        <v>0</v>
      </c>
    </row>
    <row r="5" spans="1:6">
      <c r="A5" t="s">
        <v>137</v>
      </c>
      <c r="B5">
        <v>241</v>
      </c>
      <c r="C5">
        <v>300</v>
      </c>
      <c r="D5">
        <v>-200</v>
      </c>
      <c r="E5" s="21">
        <f>Tableau2[[#This Row],[Masse (g)]]*Tableau2[[#This Row],[Position X (mm)]]</f>
        <v>72300</v>
      </c>
      <c r="F5">
        <v>500</v>
      </c>
    </row>
    <row r="6" spans="1:6">
      <c r="A6" t="s">
        <v>108</v>
      </c>
      <c r="B6">
        <v>134</v>
      </c>
      <c r="C6">
        <v>150</v>
      </c>
      <c r="D6">
        <v>1000</v>
      </c>
      <c r="E6" s="21">
        <f>Tableau2[[#This Row],[Masse (g)]]*Tableau2[[#This Row],[Position X (mm)]]</f>
        <v>20100</v>
      </c>
      <c r="F6">
        <v>65</v>
      </c>
    </row>
    <row r="7" spans="1:6">
      <c r="A7" t="s">
        <v>109</v>
      </c>
      <c r="B7">
        <v>134</v>
      </c>
      <c r="C7">
        <v>150</v>
      </c>
      <c r="D7">
        <v>-1000</v>
      </c>
      <c r="E7" s="21">
        <f>Tableau2[[#This Row],[Masse (g)]]*Tableau2[[#This Row],[Position X (mm)]]</f>
        <v>20100</v>
      </c>
      <c r="F7">
        <v>65</v>
      </c>
    </row>
    <row r="8" spans="1:6">
      <c r="A8" s="3" t="s">
        <v>136</v>
      </c>
      <c r="B8">
        <v>1100</v>
      </c>
      <c r="C8">
        <v>400</v>
      </c>
      <c r="D8">
        <v>0</v>
      </c>
      <c r="E8" s="21">
        <f>Tableau2[[#This Row],[Masse (g)]]*Tableau2[[#This Row],[Position X (mm)]]</f>
        <v>440000</v>
      </c>
      <c r="F8">
        <v>1000</v>
      </c>
    </row>
    <row r="9" spans="1:6">
      <c r="A9" t="s">
        <v>110</v>
      </c>
      <c r="C9">
        <v>300</v>
      </c>
      <c r="D9">
        <v>1000</v>
      </c>
      <c r="E9" s="21">
        <f>Tableau2[[#This Row],[Masse (g)]]*Tableau2[[#This Row],[Position X (mm)]]</f>
        <v>0</v>
      </c>
      <c r="F9">
        <v>30</v>
      </c>
    </row>
    <row r="10" spans="1:6">
      <c r="A10" t="s">
        <v>111</v>
      </c>
      <c r="B10">
        <v>15</v>
      </c>
      <c r="C10">
        <v>300</v>
      </c>
      <c r="D10">
        <v>-1000</v>
      </c>
      <c r="E10" s="21">
        <f>Tableau2[[#This Row],[Masse (g)]]*Tableau2[[#This Row],[Position X (mm)]]</f>
        <v>4500</v>
      </c>
      <c r="F10">
        <v>30</v>
      </c>
    </row>
    <row r="11" spans="1:6">
      <c r="A11" t="s">
        <v>112</v>
      </c>
      <c r="B11">
        <v>92</v>
      </c>
      <c r="C11">
        <v>350</v>
      </c>
      <c r="D11">
        <v>1000</v>
      </c>
      <c r="E11" s="21">
        <f>Tableau2[[#This Row],[Masse (g)]]*Tableau2[[#This Row],[Position X (mm)]]</f>
        <v>32200</v>
      </c>
      <c r="F11">
        <v>140</v>
      </c>
    </row>
    <row r="12" spans="1:6">
      <c r="A12" t="s">
        <v>113</v>
      </c>
      <c r="B12">
        <v>92</v>
      </c>
      <c r="C12">
        <v>350</v>
      </c>
      <c r="D12">
        <v>-1000</v>
      </c>
      <c r="E12" s="21">
        <f>Tableau2[[#This Row],[Masse (g)]]*Tableau2[[#This Row],[Position X (mm)]]</f>
        <v>32200</v>
      </c>
      <c r="F12">
        <v>140</v>
      </c>
    </row>
    <row r="13" spans="1:6">
      <c r="A13" t="s">
        <v>138</v>
      </c>
      <c r="B13">
        <f>B6+B7</f>
        <v>268</v>
      </c>
      <c r="C13">
        <v>350</v>
      </c>
      <c r="D13">
        <v>0</v>
      </c>
      <c r="E13" s="21">
        <f>Tableau2[[#This Row],[Masse (g)]]*Tableau2[[#This Row],[Position X (mm)]]</f>
        <v>93800</v>
      </c>
      <c r="F13">
        <v>130</v>
      </c>
    </row>
    <row r="14" spans="1:6">
      <c r="A14" t="s">
        <v>118</v>
      </c>
      <c r="B14">
        <v>1200</v>
      </c>
      <c r="C14">
        <v>250</v>
      </c>
      <c r="D14">
        <v>0</v>
      </c>
      <c r="E14" s="21">
        <f>Tableau2[[#This Row],[Masse (g)]]*Tableau2[[#This Row],[Position X (mm)]]</f>
        <v>300000</v>
      </c>
      <c r="F14">
        <v>400</v>
      </c>
    </row>
    <row r="15" spans="1:6">
      <c r="A15" t="s">
        <v>125</v>
      </c>
      <c r="B15">
        <v>24</v>
      </c>
      <c r="C15">
        <v>15</v>
      </c>
      <c r="D15">
        <v>1000</v>
      </c>
      <c r="E15" s="21">
        <f>Tableau2[[#This Row],[Masse (g)]]*Tableau2[[#This Row],[Position X (mm)]]</f>
        <v>360</v>
      </c>
      <c r="F15">
        <v>30</v>
      </c>
    </row>
    <row r="16" spans="1:6">
      <c r="A16" t="s">
        <v>126</v>
      </c>
      <c r="B16">
        <v>24</v>
      </c>
      <c r="C16">
        <v>15</v>
      </c>
      <c r="D16">
        <v>-1000</v>
      </c>
      <c r="E16" s="21">
        <f>Tableau2[[#This Row],[Masse (g)]]*Tableau2[[#This Row],[Position X (mm)]]</f>
        <v>360</v>
      </c>
      <c r="F16">
        <v>30</v>
      </c>
    </row>
    <row r="17" spans="1:6">
      <c r="A17" t="s">
        <v>120</v>
      </c>
      <c r="B17">
        <f>SUM(B2:B16)</f>
        <v>4724</v>
      </c>
      <c r="E17" s="20"/>
      <c r="F17">
        <f>SUM(F2:F16)</f>
        <v>2760</v>
      </c>
    </row>
    <row r="20" spans="1:6">
      <c r="B20" s="9" t="s">
        <v>130</v>
      </c>
      <c r="C20" s="22">
        <f>SUM(E2:E16)/B17/1000</f>
        <v>0.30396274343776464</v>
      </c>
      <c r="D20" s="23" t="s">
        <v>15</v>
      </c>
    </row>
    <row r="21" spans="1:6">
      <c r="B21" s="9" t="s">
        <v>128</v>
      </c>
      <c r="C21" s="22">
        <f>('Dimensionnement Voilure'!F21 - C20)*100</f>
        <v>-16.396274343776465</v>
      </c>
      <c r="D21" s="23" t="s">
        <v>129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87" workbookViewId="0">
      <selection activeCell="E102" sqref="E102"/>
    </sheetView>
  </sheetViews>
  <sheetFormatPr baseColWidth="10" defaultRowHeight="14.5"/>
  <sheetData>
    <row r="1" spans="1:7">
      <c r="A1" t="s">
        <v>6</v>
      </c>
      <c r="B1" t="s">
        <v>7</v>
      </c>
      <c r="C1" t="s">
        <v>8</v>
      </c>
      <c r="D1" t="s">
        <v>30</v>
      </c>
      <c r="E1" t="s">
        <v>32</v>
      </c>
    </row>
    <row r="2" spans="1:7">
      <c r="A2" s="16">
        <v>-9</v>
      </c>
      <c r="B2">
        <v>-0.59860000000000002</v>
      </c>
      <c r="C2">
        <v>8.3860000000000004E-2</v>
      </c>
      <c r="D2">
        <f>ABS(A2 - $E$2)</f>
        <v>8.9861141254226151</v>
      </c>
      <c r="E2">
        <f>'Dimensionnement Voilure'!F8</f>
        <v>-1.3885874577385561E-2</v>
      </c>
    </row>
    <row r="3" spans="1:7">
      <c r="A3" s="16">
        <v>-8.75</v>
      </c>
      <c r="B3">
        <v>-0.60599999999999998</v>
      </c>
      <c r="C3">
        <v>7.7799999999999994E-2</v>
      </c>
      <c r="D3">
        <f t="shared" ref="D3:D66" si="0">ABS(A3 - $E$2)</f>
        <v>8.7361141254226151</v>
      </c>
    </row>
    <row r="4" spans="1:7">
      <c r="A4" s="16">
        <v>-8.5</v>
      </c>
      <c r="B4">
        <v>-0.61919999999999997</v>
      </c>
      <c r="C4">
        <v>7.0639999999999994E-2</v>
      </c>
      <c r="D4">
        <f t="shared" si="0"/>
        <v>8.4861141254226151</v>
      </c>
      <c r="G4" t="s">
        <v>31</v>
      </c>
    </row>
    <row r="5" spans="1:7">
      <c r="A5" s="16">
        <v>-8.25</v>
      </c>
      <c r="B5">
        <v>-0.57489999999999997</v>
      </c>
      <c r="C5">
        <v>5.6489999999999999E-2</v>
      </c>
      <c r="D5">
        <f t="shared" si="0"/>
        <v>8.2361141254226151</v>
      </c>
      <c r="G5">
        <f>INDEX(C:C, MATCH(MIN(D:D), D:D, 0))</f>
        <v>5.2500000000000003E-3</v>
      </c>
    </row>
    <row r="6" spans="1:7">
      <c r="A6" s="16">
        <v>-8</v>
      </c>
      <c r="B6">
        <v>-0.62290000000000001</v>
      </c>
      <c r="C6">
        <v>4.4659999999999998E-2</v>
      </c>
      <c r="D6">
        <f t="shared" si="0"/>
        <v>7.9861141254226142</v>
      </c>
    </row>
    <row r="7" spans="1:7">
      <c r="A7" s="16">
        <v>-7.75</v>
      </c>
      <c r="B7">
        <v>-0.63900000000000001</v>
      </c>
      <c r="C7">
        <v>3.7600000000000001E-2</v>
      </c>
      <c r="D7">
        <f t="shared" si="0"/>
        <v>7.7361141254226142</v>
      </c>
    </row>
    <row r="8" spans="1:7">
      <c r="A8" s="16">
        <v>-7.5</v>
      </c>
      <c r="B8">
        <v>-0.64319999999999999</v>
      </c>
      <c r="C8">
        <v>3.1690000000000003E-2</v>
      </c>
      <c r="D8">
        <f t="shared" si="0"/>
        <v>7.4861141254226142</v>
      </c>
    </row>
    <row r="9" spans="1:7">
      <c r="A9" s="16">
        <v>-7.25</v>
      </c>
      <c r="B9">
        <v>-0.63900000000000001</v>
      </c>
      <c r="C9">
        <v>2.649E-2</v>
      </c>
      <c r="D9">
        <f t="shared" si="0"/>
        <v>7.2361141254226142</v>
      </c>
    </row>
    <row r="10" spans="1:7">
      <c r="A10" s="16">
        <v>-7</v>
      </c>
      <c r="B10">
        <v>-0.62890000000000001</v>
      </c>
      <c r="C10">
        <v>2.206E-2</v>
      </c>
      <c r="D10">
        <f t="shared" si="0"/>
        <v>6.9861141254226142</v>
      </c>
    </row>
    <row r="11" spans="1:7">
      <c r="A11" s="16">
        <v>-6.75</v>
      </c>
      <c r="B11">
        <v>-0.60660000000000003</v>
      </c>
      <c r="C11">
        <v>2.103E-2</v>
      </c>
      <c r="D11">
        <f t="shared" si="0"/>
        <v>6.7361141254226142</v>
      </c>
    </row>
    <row r="12" spans="1:7">
      <c r="A12" s="16">
        <v>-6.5</v>
      </c>
      <c r="B12">
        <v>-0.59019999999999995</v>
      </c>
      <c r="C12">
        <v>1.8239999999999999E-2</v>
      </c>
      <c r="D12">
        <f t="shared" si="0"/>
        <v>6.4861141254226142</v>
      </c>
    </row>
    <row r="13" spans="1:7">
      <c r="A13" s="16">
        <v>-6</v>
      </c>
      <c r="B13">
        <v>-0.57050000000000001</v>
      </c>
      <c r="C13">
        <v>1.779E-2</v>
      </c>
      <c r="D13">
        <f t="shared" si="0"/>
        <v>5.9861141254226142</v>
      </c>
    </row>
    <row r="14" spans="1:7">
      <c r="A14" s="16">
        <v>-5.75</v>
      </c>
      <c r="B14">
        <v>-0.54869999999999997</v>
      </c>
      <c r="C14">
        <v>1.4319999999999999E-2</v>
      </c>
      <c r="D14">
        <f t="shared" si="0"/>
        <v>5.7361141254226142</v>
      </c>
    </row>
    <row r="15" spans="1:7">
      <c r="A15" s="16">
        <v>-5.5</v>
      </c>
      <c r="B15">
        <v>-0.52280000000000004</v>
      </c>
      <c r="C15">
        <v>1.3520000000000001E-2</v>
      </c>
      <c r="D15">
        <f t="shared" si="0"/>
        <v>5.4861141254226142</v>
      </c>
    </row>
    <row r="16" spans="1:7">
      <c r="A16" s="16">
        <v>-5.25</v>
      </c>
      <c r="B16">
        <v>-0.49690000000000001</v>
      </c>
      <c r="C16">
        <v>1.273E-2</v>
      </c>
      <c r="D16">
        <f t="shared" si="0"/>
        <v>5.2361141254226142</v>
      </c>
    </row>
    <row r="17" spans="1:4">
      <c r="A17" s="16">
        <v>-5</v>
      </c>
      <c r="B17">
        <v>-0.47099999999999997</v>
      </c>
      <c r="C17">
        <v>1.1979999999999999E-2</v>
      </c>
      <c r="D17">
        <f t="shared" si="0"/>
        <v>4.9861141254226142</v>
      </c>
    </row>
    <row r="18" spans="1:4">
      <c r="A18" s="16">
        <v>-4.75</v>
      </c>
      <c r="B18">
        <v>-0.4451</v>
      </c>
      <c r="C18">
        <v>1.12E-2</v>
      </c>
      <c r="D18">
        <f t="shared" si="0"/>
        <v>4.7361141254226142</v>
      </c>
    </row>
    <row r="19" spans="1:4">
      <c r="A19" s="16">
        <v>-4.5</v>
      </c>
      <c r="B19">
        <v>-0.41889999999999999</v>
      </c>
      <c r="C19">
        <v>1.052E-2</v>
      </c>
      <c r="D19">
        <f t="shared" si="0"/>
        <v>4.4861141254226142</v>
      </c>
    </row>
    <row r="20" spans="1:4">
      <c r="A20" s="16">
        <v>-4.25</v>
      </c>
      <c r="B20">
        <v>-0.39190000000000003</v>
      </c>
      <c r="C20">
        <v>9.9900000000000006E-3</v>
      </c>
      <c r="D20">
        <f t="shared" si="0"/>
        <v>4.2361141254226142</v>
      </c>
    </row>
    <row r="21" spans="1:4">
      <c r="A21" s="16">
        <v>-4</v>
      </c>
      <c r="B21">
        <v>-0.36459999999999998</v>
      </c>
      <c r="C21">
        <v>9.6200000000000001E-3</v>
      </c>
      <c r="D21">
        <f t="shared" si="0"/>
        <v>3.9861141254226142</v>
      </c>
    </row>
    <row r="22" spans="1:4">
      <c r="A22" s="16">
        <v>-3.75</v>
      </c>
      <c r="B22">
        <v>-0.33679999999999999</v>
      </c>
      <c r="C22">
        <v>9.3200000000000002E-3</v>
      </c>
      <c r="D22">
        <f t="shared" si="0"/>
        <v>3.7361141254226142</v>
      </c>
    </row>
    <row r="23" spans="1:4">
      <c r="A23" s="16">
        <v>-3.5</v>
      </c>
      <c r="B23">
        <v>-0.30940000000000001</v>
      </c>
      <c r="C23">
        <v>8.9700000000000005E-3</v>
      </c>
      <c r="D23">
        <f t="shared" si="0"/>
        <v>3.4861141254226142</v>
      </c>
    </row>
    <row r="24" spans="1:4">
      <c r="A24" s="16">
        <v>-3.25</v>
      </c>
      <c r="B24">
        <v>-0.28199999999999997</v>
      </c>
      <c r="C24">
        <v>8.5299999999999994E-3</v>
      </c>
      <c r="D24">
        <f t="shared" si="0"/>
        <v>3.2361141254226142</v>
      </c>
    </row>
    <row r="25" spans="1:4">
      <c r="A25" s="16">
        <v>-3</v>
      </c>
      <c r="B25">
        <v>-0.25519999999999998</v>
      </c>
      <c r="C25">
        <v>8.1099999999999992E-3</v>
      </c>
      <c r="D25">
        <f t="shared" si="0"/>
        <v>2.9861141254226142</v>
      </c>
    </row>
    <row r="26" spans="1:4">
      <c r="A26" s="16">
        <v>-2.75</v>
      </c>
      <c r="B26">
        <v>-0.22839999999999999</v>
      </c>
      <c r="C26">
        <v>7.62E-3</v>
      </c>
      <c r="D26">
        <f t="shared" si="0"/>
        <v>2.7361141254226142</v>
      </c>
    </row>
    <row r="27" spans="1:4">
      <c r="A27" s="16">
        <v>-2.5</v>
      </c>
      <c r="B27">
        <v>-0.20169999999999999</v>
      </c>
      <c r="C27">
        <v>7.2300000000000003E-3</v>
      </c>
      <c r="D27">
        <f t="shared" si="0"/>
        <v>2.4861141254226142</v>
      </c>
    </row>
    <row r="28" spans="1:4">
      <c r="A28" s="16">
        <v>-2.25</v>
      </c>
      <c r="B28">
        <v>-0.17460000000000001</v>
      </c>
      <c r="C28">
        <v>6.8799999999999998E-3</v>
      </c>
      <c r="D28">
        <f t="shared" si="0"/>
        <v>2.2361141254226142</v>
      </c>
    </row>
    <row r="29" spans="1:4">
      <c r="A29" s="16">
        <v>-2</v>
      </c>
      <c r="B29">
        <v>-0.14680000000000001</v>
      </c>
      <c r="C29">
        <v>6.7200000000000003E-3</v>
      </c>
      <c r="D29">
        <f t="shared" si="0"/>
        <v>1.9861141254226145</v>
      </c>
    </row>
    <row r="30" spans="1:4">
      <c r="A30" s="16">
        <v>-1.75</v>
      </c>
      <c r="B30">
        <v>-0.1192</v>
      </c>
      <c r="C30">
        <v>6.4799999999999996E-3</v>
      </c>
      <c r="D30">
        <f t="shared" si="0"/>
        <v>1.7361141254226145</v>
      </c>
    </row>
    <row r="31" spans="1:4">
      <c r="A31" s="16">
        <v>-1.5</v>
      </c>
      <c r="B31">
        <v>-9.1700000000000004E-2</v>
      </c>
      <c r="C31">
        <v>6.2700000000000004E-3</v>
      </c>
      <c r="D31">
        <f t="shared" si="0"/>
        <v>1.4861141254226145</v>
      </c>
    </row>
    <row r="32" spans="1:4">
      <c r="A32" s="16">
        <v>-1.25</v>
      </c>
      <c r="B32">
        <v>-6.4399999999999999E-2</v>
      </c>
      <c r="C32">
        <v>6.0699999999999999E-3</v>
      </c>
      <c r="D32">
        <f t="shared" si="0"/>
        <v>1.2361141254226145</v>
      </c>
    </row>
    <row r="33" spans="1:4">
      <c r="A33" s="16">
        <v>-1</v>
      </c>
      <c r="B33">
        <v>-3.6700000000000003E-2</v>
      </c>
      <c r="C33">
        <v>5.8999999999999999E-3</v>
      </c>
      <c r="D33">
        <f t="shared" si="0"/>
        <v>0.98611412542261445</v>
      </c>
    </row>
    <row r="34" spans="1:4">
      <c r="A34" s="16">
        <v>-0.75</v>
      </c>
      <c r="B34">
        <v>-9.1000000000000004E-3</v>
      </c>
      <c r="C34">
        <v>5.7600000000000004E-3</v>
      </c>
      <c r="D34">
        <f t="shared" si="0"/>
        <v>0.73611412542261445</v>
      </c>
    </row>
    <row r="35" spans="1:4">
      <c r="A35" s="16">
        <v>-0.5</v>
      </c>
      <c r="B35">
        <v>1.83E-2</v>
      </c>
      <c r="C35">
        <v>5.6100000000000004E-3</v>
      </c>
      <c r="D35">
        <f t="shared" si="0"/>
        <v>0.48611412542261445</v>
      </c>
    </row>
    <row r="36" spans="1:4">
      <c r="A36" s="16">
        <v>-0.25</v>
      </c>
      <c r="B36">
        <v>4.5400000000000003E-2</v>
      </c>
      <c r="C36">
        <v>5.4400000000000004E-3</v>
      </c>
      <c r="D36">
        <f t="shared" si="0"/>
        <v>0.23611412542261445</v>
      </c>
    </row>
    <row r="37" spans="1:4">
      <c r="A37" s="16">
        <v>0</v>
      </c>
      <c r="B37">
        <v>7.1800000000000003E-2</v>
      </c>
      <c r="C37">
        <v>5.2500000000000003E-3</v>
      </c>
      <c r="D37">
        <f t="shared" si="0"/>
        <v>1.3885874577385561E-2</v>
      </c>
    </row>
    <row r="38" spans="1:4">
      <c r="A38" s="16">
        <v>0.25</v>
      </c>
      <c r="B38">
        <v>9.7299999999999998E-2</v>
      </c>
      <c r="C38">
        <v>5.0400000000000002E-3</v>
      </c>
      <c r="D38">
        <f t="shared" si="0"/>
        <v>0.26388587457738555</v>
      </c>
    </row>
    <row r="39" spans="1:4">
      <c r="A39" s="16">
        <v>0.5</v>
      </c>
      <c r="B39">
        <v>0.1217</v>
      </c>
      <c r="C39">
        <v>4.81E-3</v>
      </c>
      <c r="D39">
        <f t="shared" si="0"/>
        <v>0.51388587457738555</v>
      </c>
    </row>
    <row r="40" spans="1:4">
      <c r="A40" s="16">
        <v>0.75</v>
      </c>
      <c r="B40">
        <v>0.1555</v>
      </c>
      <c r="C40">
        <v>4.6800000000000001E-3</v>
      </c>
      <c r="D40">
        <f t="shared" si="0"/>
        <v>0.76388587457738555</v>
      </c>
    </row>
    <row r="41" spans="1:4">
      <c r="A41" s="16">
        <v>1</v>
      </c>
      <c r="B41">
        <v>0.20730000000000001</v>
      </c>
      <c r="C41">
        <v>4.7600000000000003E-3</v>
      </c>
      <c r="D41">
        <f t="shared" si="0"/>
        <v>1.0138858745773855</v>
      </c>
    </row>
    <row r="42" spans="1:4">
      <c r="A42" s="16">
        <v>1.25</v>
      </c>
      <c r="B42">
        <v>0.24629999999999999</v>
      </c>
      <c r="C42">
        <v>4.8599999999999997E-3</v>
      </c>
      <c r="D42">
        <f t="shared" si="0"/>
        <v>1.2638858745773855</v>
      </c>
    </row>
    <row r="43" spans="1:4">
      <c r="A43" s="16">
        <v>1.5</v>
      </c>
      <c r="B43">
        <v>0.2848</v>
      </c>
      <c r="C43">
        <v>4.9800000000000001E-3</v>
      </c>
      <c r="D43">
        <f t="shared" si="0"/>
        <v>1.5138858745773855</v>
      </c>
    </row>
    <row r="44" spans="1:4">
      <c r="A44" s="16">
        <v>1.75</v>
      </c>
      <c r="B44">
        <v>0.3231</v>
      </c>
      <c r="C44">
        <v>5.0800000000000003E-3</v>
      </c>
      <c r="D44">
        <f t="shared" si="0"/>
        <v>1.7638858745773855</v>
      </c>
    </row>
    <row r="45" spans="1:4">
      <c r="A45" s="16">
        <v>2</v>
      </c>
      <c r="B45">
        <v>0.34989999999999999</v>
      </c>
      <c r="C45">
        <v>5.1799999999999997E-3</v>
      </c>
      <c r="D45">
        <f t="shared" si="0"/>
        <v>2.0138858745773858</v>
      </c>
    </row>
    <row r="46" spans="1:4">
      <c r="A46" s="16">
        <v>2.25</v>
      </c>
      <c r="B46">
        <v>0.37669999999999998</v>
      </c>
      <c r="C46">
        <v>5.3E-3</v>
      </c>
      <c r="D46">
        <f t="shared" si="0"/>
        <v>2.2638858745773858</v>
      </c>
    </row>
    <row r="47" spans="1:4">
      <c r="A47" s="16">
        <v>2.5</v>
      </c>
      <c r="B47">
        <v>0.40360000000000001</v>
      </c>
      <c r="C47">
        <v>5.4299999999999999E-3</v>
      </c>
      <c r="D47">
        <f t="shared" si="0"/>
        <v>2.5138858745773858</v>
      </c>
    </row>
    <row r="48" spans="1:4">
      <c r="A48" s="16">
        <v>2.75</v>
      </c>
      <c r="B48">
        <v>0.43049999999999999</v>
      </c>
      <c r="C48">
        <v>5.5500000000000002E-3</v>
      </c>
      <c r="D48">
        <f t="shared" si="0"/>
        <v>2.7638858745773858</v>
      </c>
    </row>
    <row r="49" spans="1:4">
      <c r="A49" s="16">
        <v>3</v>
      </c>
      <c r="B49">
        <v>0.45750000000000002</v>
      </c>
      <c r="C49">
        <v>5.6800000000000002E-3</v>
      </c>
      <c r="D49">
        <f t="shared" si="0"/>
        <v>3.0138858745773858</v>
      </c>
    </row>
    <row r="50" spans="1:4">
      <c r="A50" s="16">
        <v>3.25</v>
      </c>
      <c r="B50">
        <v>0.4844</v>
      </c>
      <c r="C50">
        <v>5.8300000000000001E-3</v>
      </c>
      <c r="D50">
        <f t="shared" si="0"/>
        <v>3.2638858745773858</v>
      </c>
    </row>
    <row r="51" spans="1:4">
      <c r="A51" s="16">
        <v>3.5</v>
      </c>
      <c r="B51">
        <v>0.51139999999999997</v>
      </c>
      <c r="C51">
        <v>5.9899999999999997E-3</v>
      </c>
      <c r="D51">
        <f t="shared" si="0"/>
        <v>3.5138858745773858</v>
      </c>
    </row>
    <row r="52" spans="1:4">
      <c r="A52" s="16">
        <v>3.75</v>
      </c>
      <c r="B52">
        <v>0.5383</v>
      </c>
      <c r="C52">
        <v>6.1500000000000001E-3</v>
      </c>
      <c r="D52">
        <f t="shared" si="0"/>
        <v>3.7638858745773858</v>
      </c>
    </row>
    <row r="53" spans="1:4">
      <c r="A53" s="16">
        <v>4</v>
      </c>
      <c r="B53">
        <v>0.56530000000000002</v>
      </c>
      <c r="C53">
        <v>6.3099999999999996E-3</v>
      </c>
      <c r="D53">
        <f t="shared" si="0"/>
        <v>4.0138858745773858</v>
      </c>
    </row>
    <row r="54" spans="1:4">
      <c r="A54" s="16">
        <v>4.25</v>
      </c>
      <c r="B54">
        <v>0.59219999999999995</v>
      </c>
      <c r="C54">
        <v>6.4999999999999997E-3</v>
      </c>
      <c r="D54">
        <f t="shared" si="0"/>
        <v>4.2638858745773858</v>
      </c>
    </row>
    <row r="55" spans="1:4">
      <c r="A55" s="16">
        <v>4.5</v>
      </c>
      <c r="B55">
        <v>0.61899999999999999</v>
      </c>
      <c r="C55">
        <v>6.6899999999999998E-3</v>
      </c>
      <c r="D55">
        <f t="shared" si="0"/>
        <v>4.5138858745773858</v>
      </c>
    </row>
    <row r="56" spans="1:4">
      <c r="A56" s="16">
        <v>4.75</v>
      </c>
      <c r="B56">
        <v>0.64570000000000005</v>
      </c>
      <c r="C56">
        <v>6.9100000000000003E-3</v>
      </c>
      <c r="D56">
        <f t="shared" si="0"/>
        <v>4.7638858745773858</v>
      </c>
    </row>
    <row r="57" spans="1:4">
      <c r="A57" s="16">
        <v>5</v>
      </c>
      <c r="B57">
        <v>0.67249999999999999</v>
      </c>
      <c r="C57">
        <v>7.11E-3</v>
      </c>
      <c r="D57">
        <f t="shared" si="0"/>
        <v>5.0138858745773858</v>
      </c>
    </row>
    <row r="58" spans="1:4">
      <c r="A58" s="16">
        <v>5.25</v>
      </c>
      <c r="B58">
        <v>0.69910000000000005</v>
      </c>
      <c r="C58">
        <v>7.3600000000000002E-3</v>
      </c>
      <c r="D58">
        <f t="shared" si="0"/>
        <v>5.2638858745773858</v>
      </c>
    </row>
    <row r="59" spans="1:4">
      <c r="A59" s="16">
        <v>5.5</v>
      </c>
      <c r="B59">
        <v>0.72550000000000003</v>
      </c>
      <c r="C59">
        <v>7.6299999999999996E-3</v>
      </c>
      <c r="D59">
        <f t="shared" si="0"/>
        <v>5.5138858745773858</v>
      </c>
    </row>
    <row r="60" spans="1:4">
      <c r="A60" s="16">
        <v>5.75</v>
      </c>
      <c r="B60">
        <v>0.752</v>
      </c>
      <c r="C60">
        <v>7.8799999999999999E-3</v>
      </c>
      <c r="D60">
        <f t="shared" si="0"/>
        <v>5.7638858745773858</v>
      </c>
    </row>
    <row r="61" spans="1:4">
      <c r="A61" s="16">
        <v>6</v>
      </c>
      <c r="B61">
        <v>0.77810000000000001</v>
      </c>
      <c r="C61">
        <v>8.1899999999999994E-3</v>
      </c>
      <c r="D61">
        <f t="shared" si="0"/>
        <v>6.0138858745773858</v>
      </c>
    </row>
    <row r="62" spans="1:4">
      <c r="A62" s="16">
        <v>6.25</v>
      </c>
      <c r="B62">
        <v>0.80420000000000003</v>
      </c>
      <c r="C62">
        <v>8.4899999999999993E-3</v>
      </c>
      <c r="D62">
        <f t="shared" si="0"/>
        <v>6.2638858745773858</v>
      </c>
    </row>
    <row r="63" spans="1:4">
      <c r="A63" s="16">
        <v>6.5</v>
      </c>
      <c r="B63">
        <v>0.83030000000000004</v>
      </c>
      <c r="C63">
        <v>8.7899999999999992E-3</v>
      </c>
      <c r="D63">
        <f t="shared" si="0"/>
        <v>6.5138858745773858</v>
      </c>
    </row>
    <row r="64" spans="1:4">
      <c r="A64" s="16">
        <v>6.75</v>
      </c>
      <c r="B64">
        <v>0.85619999999999996</v>
      </c>
      <c r="C64">
        <v>9.1199999999999996E-3</v>
      </c>
      <c r="D64">
        <f t="shared" si="0"/>
        <v>6.7638858745773858</v>
      </c>
    </row>
    <row r="65" spans="1:4">
      <c r="A65" s="16">
        <v>7</v>
      </c>
      <c r="B65">
        <v>0.88200000000000001</v>
      </c>
      <c r="C65">
        <v>9.4500000000000001E-3</v>
      </c>
      <c r="D65">
        <f t="shared" si="0"/>
        <v>7.0138858745773858</v>
      </c>
    </row>
    <row r="66" spans="1:4">
      <c r="A66" s="16">
        <v>7.25</v>
      </c>
      <c r="B66">
        <v>0.90759999999999996</v>
      </c>
      <c r="C66">
        <v>9.7900000000000001E-3</v>
      </c>
      <c r="D66">
        <f t="shared" si="0"/>
        <v>7.2638858745773858</v>
      </c>
    </row>
    <row r="67" spans="1:4">
      <c r="A67" s="16">
        <v>7.5</v>
      </c>
      <c r="B67">
        <v>0.93310000000000004</v>
      </c>
      <c r="C67">
        <v>1.0149999999999999E-2</v>
      </c>
      <c r="D67">
        <f t="shared" ref="D67:D111" si="1">ABS(A67 - $E$2)</f>
        <v>7.5138858745773858</v>
      </c>
    </row>
    <row r="68" spans="1:4">
      <c r="A68" s="16">
        <v>7.75</v>
      </c>
      <c r="B68">
        <v>0.95840000000000003</v>
      </c>
      <c r="C68">
        <v>1.051E-2</v>
      </c>
      <c r="D68">
        <f t="shared" si="1"/>
        <v>7.7638858745773858</v>
      </c>
    </row>
    <row r="69" spans="1:4">
      <c r="A69" s="16">
        <v>8</v>
      </c>
      <c r="B69">
        <v>0.98350000000000004</v>
      </c>
      <c r="C69">
        <v>1.09E-2</v>
      </c>
      <c r="D69">
        <f t="shared" si="1"/>
        <v>8.0138858745773849</v>
      </c>
    </row>
    <row r="70" spans="1:4">
      <c r="A70" s="16">
        <v>8.25</v>
      </c>
      <c r="B70">
        <v>1.0086999999999999</v>
      </c>
      <c r="C70">
        <v>1.1270000000000001E-2</v>
      </c>
      <c r="D70">
        <f t="shared" si="1"/>
        <v>8.2638858745773849</v>
      </c>
    </row>
    <row r="71" spans="1:4">
      <c r="A71" s="16">
        <v>8.5</v>
      </c>
      <c r="B71">
        <v>1.0337000000000001</v>
      </c>
      <c r="C71">
        <v>1.163E-2</v>
      </c>
      <c r="D71">
        <f t="shared" si="1"/>
        <v>8.5138858745773849</v>
      </c>
    </row>
    <row r="72" spans="1:4">
      <c r="A72" s="16">
        <v>8.75</v>
      </c>
      <c r="B72">
        <v>1.0580000000000001</v>
      </c>
      <c r="C72">
        <v>1.209E-2</v>
      </c>
      <c r="D72">
        <f t="shared" si="1"/>
        <v>8.7638858745773849</v>
      </c>
    </row>
    <row r="73" spans="1:4">
      <c r="A73" s="16">
        <v>9</v>
      </c>
      <c r="B73">
        <v>1.0828</v>
      </c>
      <c r="C73">
        <v>1.2460000000000001E-2</v>
      </c>
      <c r="D73">
        <f t="shared" si="1"/>
        <v>9.0138858745773849</v>
      </c>
    </row>
    <row r="74" spans="1:4">
      <c r="A74" s="16">
        <v>9.25</v>
      </c>
      <c r="B74">
        <v>1.1068</v>
      </c>
      <c r="C74">
        <v>1.2930000000000001E-2</v>
      </c>
      <c r="D74">
        <f t="shared" si="1"/>
        <v>9.2638858745773849</v>
      </c>
    </row>
    <row r="75" spans="1:4">
      <c r="A75" s="16">
        <v>9.5</v>
      </c>
      <c r="B75">
        <v>1.1304000000000001</v>
      </c>
      <c r="C75">
        <v>1.341E-2</v>
      </c>
      <c r="D75">
        <f t="shared" si="1"/>
        <v>9.5138858745773849</v>
      </c>
    </row>
    <row r="76" spans="1:4">
      <c r="A76" s="16">
        <v>9.75</v>
      </c>
      <c r="B76">
        <v>1.1538999999999999</v>
      </c>
      <c r="C76">
        <v>1.389E-2</v>
      </c>
      <c r="D76">
        <f t="shared" si="1"/>
        <v>9.7638858745773849</v>
      </c>
    </row>
    <row r="77" spans="1:4">
      <c r="A77" s="16">
        <v>10</v>
      </c>
      <c r="B77">
        <v>1.1758999999999999</v>
      </c>
      <c r="C77">
        <v>1.4540000000000001E-2</v>
      </c>
      <c r="D77">
        <f t="shared" si="1"/>
        <v>10.013885874577385</v>
      </c>
    </row>
    <row r="78" spans="1:4">
      <c r="A78" s="16">
        <v>10.25</v>
      </c>
      <c r="B78">
        <v>1.1987000000000001</v>
      </c>
      <c r="C78">
        <v>1.504E-2</v>
      </c>
      <c r="D78">
        <f t="shared" si="1"/>
        <v>10.263885874577385</v>
      </c>
    </row>
    <row r="79" spans="1:4">
      <c r="A79" s="16">
        <v>10.5</v>
      </c>
      <c r="B79">
        <v>1.2201</v>
      </c>
      <c r="C79">
        <v>1.5689999999999999E-2</v>
      </c>
      <c r="D79">
        <f t="shared" si="1"/>
        <v>10.513885874577385</v>
      </c>
    </row>
    <row r="80" spans="1:4">
      <c r="A80" s="16">
        <v>10.75</v>
      </c>
      <c r="B80">
        <v>1.2417</v>
      </c>
      <c r="C80">
        <v>1.627E-2</v>
      </c>
      <c r="D80">
        <f t="shared" si="1"/>
        <v>10.763885874577385</v>
      </c>
    </row>
    <row r="81" spans="1:4">
      <c r="A81" s="16">
        <v>11</v>
      </c>
      <c r="B81">
        <v>1.2607999999999999</v>
      </c>
      <c r="C81">
        <v>1.7100000000000001E-2</v>
      </c>
      <c r="D81">
        <f t="shared" si="1"/>
        <v>11.013885874577385</v>
      </c>
    </row>
    <row r="82" spans="1:4">
      <c r="A82" s="16">
        <v>11.25</v>
      </c>
      <c r="B82">
        <v>1.2822</v>
      </c>
      <c r="C82">
        <v>1.7610000000000001E-2</v>
      </c>
      <c r="D82">
        <f t="shared" si="1"/>
        <v>11.263885874577385</v>
      </c>
    </row>
    <row r="83" spans="1:4">
      <c r="A83" s="16">
        <v>11.5</v>
      </c>
      <c r="B83">
        <v>1.3019000000000001</v>
      </c>
      <c r="C83">
        <v>1.8249999999999999E-2</v>
      </c>
      <c r="D83">
        <f t="shared" si="1"/>
        <v>11.513885874577385</v>
      </c>
    </row>
    <row r="84" spans="1:4">
      <c r="A84" s="16">
        <v>11.75</v>
      </c>
      <c r="B84">
        <v>1.3186</v>
      </c>
      <c r="C84">
        <v>1.9140000000000001E-2</v>
      </c>
      <c r="D84">
        <f t="shared" si="1"/>
        <v>11.763885874577385</v>
      </c>
    </row>
    <row r="85" spans="1:4">
      <c r="A85" s="16">
        <v>12</v>
      </c>
      <c r="B85">
        <v>1.3366</v>
      </c>
      <c r="C85">
        <v>1.9820000000000001E-2</v>
      </c>
      <c r="D85">
        <f t="shared" si="1"/>
        <v>12.013885874577385</v>
      </c>
    </row>
    <row r="86" spans="1:4">
      <c r="A86" s="16">
        <v>12.25</v>
      </c>
      <c r="B86">
        <v>1.3536999999999999</v>
      </c>
      <c r="C86">
        <v>2.051E-2</v>
      </c>
      <c r="D86">
        <f t="shared" si="1"/>
        <v>12.263885874577385</v>
      </c>
    </row>
    <row r="87" spans="1:4">
      <c r="A87" s="16">
        <v>12.5</v>
      </c>
      <c r="B87">
        <v>1.3671</v>
      </c>
      <c r="C87">
        <v>2.1420000000000002E-2</v>
      </c>
      <c r="D87">
        <f t="shared" si="1"/>
        <v>12.513885874577385</v>
      </c>
    </row>
    <row r="88" spans="1:4">
      <c r="A88" s="16">
        <v>12.75</v>
      </c>
      <c r="B88">
        <v>1.3759999999999999</v>
      </c>
      <c r="C88">
        <v>2.24E-2</v>
      </c>
      <c r="D88">
        <f t="shared" si="1"/>
        <v>12.763885874577385</v>
      </c>
    </row>
    <row r="89" spans="1:4">
      <c r="A89" s="16">
        <v>13</v>
      </c>
      <c r="B89">
        <v>1.3842000000000001</v>
      </c>
      <c r="C89">
        <v>2.3259999999999999E-2</v>
      </c>
      <c r="D89">
        <f t="shared" si="1"/>
        <v>13.013885874577385</v>
      </c>
    </row>
    <row r="90" spans="1:4">
      <c r="A90" s="16">
        <v>13.25</v>
      </c>
      <c r="B90">
        <v>1.3863000000000001</v>
      </c>
      <c r="C90">
        <v>2.478E-2</v>
      </c>
      <c r="D90">
        <f t="shared" si="1"/>
        <v>13.263885874577385</v>
      </c>
    </row>
    <row r="91" spans="1:4">
      <c r="A91" s="16">
        <v>13.5</v>
      </c>
      <c r="B91">
        <v>1.3936999999999999</v>
      </c>
      <c r="C91">
        <v>2.6120000000000001E-2</v>
      </c>
      <c r="D91">
        <f t="shared" si="1"/>
        <v>13.513885874577385</v>
      </c>
    </row>
    <row r="92" spans="1:4">
      <c r="A92" s="16">
        <v>13.75</v>
      </c>
      <c r="B92">
        <v>1.3995</v>
      </c>
      <c r="C92">
        <v>2.7720000000000002E-2</v>
      </c>
      <c r="D92">
        <f t="shared" si="1"/>
        <v>13.763885874577385</v>
      </c>
    </row>
    <row r="93" spans="1:4">
      <c r="A93" s="16">
        <v>14</v>
      </c>
      <c r="B93">
        <v>1.4041999999999999</v>
      </c>
      <c r="C93">
        <v>2.9520000000000001E-2</v>
      </c>
      <c r="D93">
        <f t="shared" si="1"/>
        <v>14.013885874577385</v>
      </c>
    </row>
    <row r="94" spans="1:4">
      <c r="A94" s="16">
        <v>14.25</v>
      </c>
      <c r="B94">
        <v>1.3977999999999999</v>
      </c>
      <c r="C94">
        <v>3.2599999999999997E-2</v>
      </c>
      <c r="D94">
        <f t="shared" si="1"/>
        <v>14.263885874577385</v>
      </c>
    </row>
    <row r="95" spans="1:4">
      <c r="A95" s="16">
        <v>14.5</v>
      </c>
      <c r="B95">
        <v>1.3985000000000001</v>
      </c>
      <c r="C95">
        <v>3.5099999999999999E-2</v>
      </c>
      <c r="D95">
        <f t="shared" si="1"/>
        <v>14.513885874577385</v>
      </c>
    </row>
    <row r="96" spans="1:4">
      <c r="A96" s="16">
        <v>14.75</v>
      </c>
      <c r="B96">
        <v>1.3996</v>
      </c>
      <c r="C96">
        <v>3.7679999999999998E-2</v>
      </c>
      <c r="D96">
        <f t="shared" si="1"/>
        <v>14.763885874577385</v>
      </c>
    </row>
    <row r="97" spans="1:4">
      <c r="A97" s="16">
        <v>15</v>
      </c>
      <c r="B97">
        <v>1.3983000000000001</v>
      </c>
      <c r="C97">
        <v>4.0649999999999999E-2</v>
      </c>
      <c r="D97">
        <f t="shared" si="1"/>
        <v>15.013885874577385</v>
      </c>
    </row>
    <row r="98" spans="1:4">
      <c r="A98" s="16">
        <v>15.25</v>
      </c>
      <c r="B98">
        <v>1.3939999999999999</v>
      </c>
      <c r="C98">
        <v>4.41E-2</v>
      </c>
      <c r="D98">
        <f t="shared" si="1"/>
        <v>15.263885874577385</v>
      </c>
    </row>
    <row r="99" spans="1:4">
      <c r="A99" s="16">
        <v>15.5</v>
      </c>
      <c r="B99">
        <v>1.3827</v>
      </c>
      <c r="C99">
        <v>4.8649999999999999E-2</v>
      </c>
      <c r="D99">
        <f t="shared" si="1"/>
        <v>15.513885874577385</v>
      </c>
    </row>
    <row r="100" spans="1:4">
      <c r="A100" s="16">
        <v>15.75</v>
      </c>
      <c r="B100">
        <v>1.3812</v>
      </c>
      <c r="C100">
        <v>5.2049999999999999E-2</v>
      </c>
      <c r="D100">
        <f t="shared" si="1"/>
        <v>15.763885874577385</v>
      </c>
    </row>
    <row r="101" spans="1:4">
      <c r="A101" s="16">
        <v>16</v>
      </c>
      <c r="B101">
        <v>1.3672</v>
      </c>
      <c r="C101">
        <v>5.7329999999999999E-2</v>
      </c>
      <c r="D101">
        <f t="shared" si="1"/>
        <v>16.013885874577387</v>
      </c>
    </row>
    <row r="102" spans="1:4">
      <c r="A102" s="16">
        <v>16.25</v>
      </c>
      <c r="B102">
        <v>1.3525</v>
      </c>
      <c r="C102">
        <v>6.2909999999999994E-2</v>
      </c>
      <c r="D102">
        <f t="shared" si="1"/>
        <v>16.263885874577387</v>
      </c>
    </row>
    <row r="103" spans="1:4">
      <c r="A103" s="16">
        <v>16.5</v>
      </c>
      <c r="B103">
        <v>1.3425</v>
      </c>
      <c r="C103">
        <v>6.8049999999999999E-2</v>
      </c>
      <c r="D103">
        <f t="shared" si="1"/>
        <v>16.513885874577387</v>
      </c>
    </row>
    <row r="104" spans="1:4">
      <c r="A104" s="16">
        <v>16.75</v>
      </c>
      <c r="B104">
        <v>1.3206</v>
      </c>
      <c r="C104">
        <v>7.5289999999999996E-2</v>
      </c>
      <c r="D104">
        <f t="shared" si="1"/>
        <v>16.763885874577387</v>
      </c>
    </row>
    <row r="105" spans="1:4">
      <c r="A105" s="16">
        <v>17</v>
      </c>
      <c r="B105">
        <v>1.2978000000000001</v>
      </c>
      <c r="C105">
        <v>8.2869999999999999E-2</v>
      </c>
      <c r="D105">
        <f t="shared" si="1"/>
        <v>17.013885874577387</v>
      </c>
    </row>
    <row r="106" spans="1:4">
      <c r="A106" s="16">
        <v>17.25</v>
      </c>
      <c r="B106">
        <v>1.2834000000000001</v>
      </c>
      <c r="C106">
        <v>8.9230000000000004E-2</v>
      </c>
      <c r="D106">
        <f t="shared" si="1"/>
        <v>17.263885874577387</v>
      </c>
    </row>
    <row r="107" spans="1:4">
      <c r="A107" s="16">
        <v>17.5</v>
      </c>
      <c r="B107">
        <v>1.2577</v>
      </c>
      <c r="C107">
        <v>9.7799999999999998E-2</v>
      </c>
      <c r="D107">
        <f t="shared" si="1"/>
        <v>17.513885874577387</v>
      </c>
    </row>
    <row r="108" spans="1:4">
      <c r="A108" s="16">
        <v>17.75</v>
      </c>
      <c r="B108">
        <v>1.2287999999999999</v>
      </c>
      <c r="C108">
        <v>0.10725</v>
      </c>
      <c r="D108">
        <f t="shared" si="1"/>
        <v>17.763885874577387</v>
      </c>
    </row>
    <row r="109" spans="1:4">
      <c r="A109" s="16">
        <v>18</v>
      </c>
      <c r="B109">
        <v>1.2115</v>
      </c>
      <c r="C109">
        <v>0.11468</v>
      </c>
      <c r="D109">
        <f t="shared" si="1"/>
        <v>18.013885874577387</v>
      </c>
    </row>
    <row r="110" spans="1:4">
      <c r="A110">
        <v>19</v>
      </c>
      <c r="B110">
        <v>1.1584000000000001</v>
      </c>
      <c r="C110">
        <v>0.10807</v>
      </c>
      <c r="D110">
        <f t="shared" si="1"/>
        <v>19.013885874577387</v>
      </c>
    </row>
    <row r="111" spans="1:4">
      <c r="A111">
        <v>19.25</v>
      </c>
      <c r="B111">
        <v>1.1484000000000001</v>
      </c>
      <c r="C111">
        <v>0.11312999999999999</v>
      </c>
      <c r="D111">
        <f t="shared" si="1"/>
        <v>19.263885874577387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4" sqref="F14"/>
    </sheetView>
  </sheetViews>
  <sheetFormatPr baseColWidth="10" defaultRowHeight="14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114</v>
      </c>
    </row>
    <row r="2" spans="1:10">
      <c r="A2">
        <v>24.03</v>
      </c>
      <c r="B2" s="17">
        <v>0.1</v>
      </c>
      <c r="C2">
        <v>0.34</v>
      </c>
      <c r="D2">
        <v>2149</v>
      </c>
      <c r="E2">
        <v>51</v>
      </c>
      <c r="F2">
        <v>8</v>
      </c>
      <c r="G2">
        <v>6.3</v>
      </c>
      <c r="H2">
        <v>0.01</v>
      </c>
      <c r="I2">
        <f>C2*A2</f>
        <v>8.1702000000000012</v>
      </c>
    </row>
    <row r="3" spans="1:10">
      <c r="A3">
        <v>24</v>
      </c>
      <c r="B3" s="17">
        <v>0.2</v>
      </c>
      <c r="C3">
        <v>1.56</v>
      </c>
      <c r="D3">
        <v>4317</v>
      </c>
      <c r="E3">
        <v>265</v>
      </c>
      <c r="F3">
        <v>37</v>
      </c>
      <c r="G3">
        <v>7.09</v>
      </c>
      <c r="H3">
        <v>0.05</v>
      </c>
      <c r="I3">
        <f t="shared" ref="I3:I9" si="0">C3*A3</f>
        <v>37.44</v>
      </c>
    </row>
    <row r="4" spans="1:10">
      <c r="A4">
        <v>23.95</v>
      </c>
      <c r="B4" s="17">
        <v>0.3</v>
      </c>
      <c r="C4">
        <v>3.97</v>
      </c>
      <c r="D4">
        <v>6235</v>
      </c>
      <c r="E4">
        <v>594</v>
      </c>
      <c r="F4">
        <v>95</v>
      </c>
      <c r="G4">
        <v>6.24</v>
      </c>
      <c r="H4">
        <v>0.1</v>
      </c>
      <c r="I4">
        <f t="shared" si="0"/>
        <v>95.081500000000005</v>
      </c>
    </row>
    <row r="5" spans="1:10">
      <c r="A5">
        <v>23.85</v>
      </c>
      <c r="B5" s="17">
        <v>0.4</v>
      </c>
      <c r="C5">
        <v>8.19</v>
      </c>
      <c r="D5">
        <v>8085</v>
      </c>
      <c r="E5">
        <v>1026</v>
      </c>
      <c r="F5">
        <v>195</v>
      </c>
      <c r="G5">
        <v>5.25</v>
      </c>
      <c r="H5">
        <v>0.17</v>
      </c>
      <c r="I5">
        <f t="shared" si="0"/>
        <v>195.33150000000001</v>
      </c>
    </row>
    <row r="6" spans="1:10">
      <c r="A6">
        <v>23.25</v>
      </c>
      <c r="B6" s="17">
        <v>0.7</v>
      </c>
      <c r="C6">
        <v>32.97</v>
      </c>
      <c r="D6">
        <v>12743</v>
      </c>
      <c r="E6">
        <v>2657</v>
      </c>
      <c r="F6">
        <v>766</v>
      </c>
      <c r="G6">
        <v>3.47</v>
      </c>
      <c r="H6">
        <v>0.44</v>
      </c>
      <c r="I6">
        <f t="shared" si="0"/>
        <v>766.55250000000001</v>
      </c>
      <c r="J6" t="s">
        <v>90</v>
      </c>
    </row>
    <row r="7" spans="1:10">
      <c r="A7">
        <v>22.95</v>
      </c>
      <c r="B7" s="17">
        <v>0.8</v>
      </c>
      <c r="C7">
        <v>45.2</v>
      </c>
      <c r="D7">
        <v>14021</v>
      </c>
      <c r="E7">
        <v>3227</v>
      </c>
      <c r="F7">
        <v>1038</v>
      </c>
      <c r="G7" t="s">
        <v>89</v>
      </c>
      <c r="H7">
        <v>0.53</v>
      </c>
      <c r="I7">
        <f t="shared" si="0"/>
        <v>1037.3400000000001</v>
      </c>
    </row>
    <row r="8" spans="1:10">
      <c r="A8">
        <v>22.6</v>
      </c>
      <c r="B8" s="17">
        <v>0.9</v>
      </c>
      <c r="C8">
        <v>60.22</v>
      </c>
      <c r="D8">
        <v>15178</v>
      </c>
      <c r="E8">
        <v>3816</v>
      </c>
      <c r="F8">
        <v>1361</v>
      </c>
      <c r="G8">
        <v>2.8</v>
      </c>
      <c r="H8">
        <v>0.64</v>
      </c>
      <c r="I8">
        <f t="shared" si="0"/>
        <v>1360.972</v>
      </c>
    </row>
    <row r="9" spans="1:10">
      <c r="A9">
        <v>22.17</v>
      </c>
      <c r="B9" s="17">
        <v>1</v>
      </c>
      <c r="C9">
        <v>78.3</v>
      </c>
      <c r="D9">
        <v>16212</v>
      </c>
      <c r="E9">
        <v>4394</v>
      </c>
      <c r="F9">
        <v>1736</v>
      </c>
      <c r="G9">
        <v>2.5299999999999998</v>
      </c>
      <c r="H9">
        <v>0.74</v>
      </c>
      <c r="I9">
        <f t="shared" si="0"/>
        <v>1735.9110000000001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Drone</vt:lpstr>
      <vt:lpstr>Dimensionnement Voilure</vt:lpstr>
      <vt:lpstr>Centrage</vt:lpstr>
      <vt:lpstr>Polaire Profile</vt:lpstr>
      <vt:lpstr>CINE77KV977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2024-12-24T16:54:43Z</dcterms:modified>
</cp:coreProperties>
</file>