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ropbox\Projection models\Canada 2015\"/>
    </mc:Choice>
  </mc:AlternateContent>
  <bookViews>
    <workbookView xWindow="480" yWindow="120" windowWidth="18720" windowHeight="7200"/>
  </bookViews>
  <sheets>
    <sheet name="projections" sheetId="1" r:id="rId1"/>
    <sheet name="Atlantic" sheetId="7" r:id="rId2"/>
    <sheet name="Quebec" sheetId="2" r:id="rId3"/>
    <sheet name="Ontario" sheetId="3" r:id="rId4"/>
    <sheet name="Prairies" sheetId="4" r:id="rId5"/>
    <sheet name="Alberta" sheetId="5" r:id="rId6"/>
    <sheet name="BC" sheetId="6" r:id="rId7"/>
    <sheet name="Territories" sheetId="8" r:id="rId8"/>
    <sheet name="Proba" sheetId="9" r:id="rId9"/>
    <sheet name="averages" sheetId="10" r:id="rId10"/>
  </sheets>
  <calcPr calcId="171026"/>
</workbook>
</file>

<file path=xl/calcChain.xml><?xml version="1.0" encoding="utf-8"?>
<calcChain xmlns="http://schemas.openxmlformats.org/spreadsheetml/2006/main">
  <c r="P6" i="7" l="1"/>
  <c r="AL6" i="7"/>
  <c r="AL7" i="7"/>
  <c r="M6" i="7"/>
  <c r="N6" i="7"/>
  <c r="O6" i="7"/>
  <c r="X6" i="7"/>
  <c r="AZ6" i="7" a="1"/>
  <c r="AZ6" i="7"/>
  <c r="M16" i="6"/>
  <c r="O16" i="6"/>
  <c r="AH6" i="6"/>
  <c r="AH7" i="6"/>
  <c r="AH8" i="6"/>
  <c r="AI6" i="6"/>
  <c r="AI7" i="6"/>
  <c r="AI8" i="6"/>
  <c r="AJ6" i="6"/>
  <c r="AJ7" i="6"/>
  <c r="AJ8" i="6"/>
  <c r="AK6" i="6"/>
  <c r="AK7" i="6"/>
  <c r="AK8" i="6"/>
  <c r="AL8" i="6"/>
  <c r="AH9" i="6"/>
  <c r="AI9" i="6"/>
  <c r="AJ9" i="6"/>
  <c r="AK9" i="6"/>
  <c r="AL9" i="6"/>
  <c r="AH19" i="6"/>
  <c r="L16" i="6"/>
  <c r="N16" i="6"/>
  <c r="W16" i="6"/>
  <c r="AK26" i="6"/>
  <c r="AH37" i="6"/>
  <c r="AK27" i="6"/>
  <c r="AH38" i="6"/>
  <c r="AK28" i="6"/>
  <c r="AH39" i="6"/>
  <c r="AK29" i="6"/>
  <c r="AH40" i="6"/>
  <c r="AK30" i="6"/>
  <c r="AI19" i="6"/>
  <c r="AK31" i="6"/>
  <c r="AI37" i="6"/>
  <c r="AK32" i="6"/>
  <c r="AI38" i="6"/>
  <c r="AK33" i="6"/>
  <c r="AI39" i="6"/>
  <c r="AK34" i="6"/>
  <c r="AI40" i="6"/>
  <c r="AK35" i="6"/>
  <c r="AJ19" i="6"/>
  <c r="AK36" i="6"/>
  <c r="AJ37" i="6"/>
  <c r="AK37" i="6"/>
  <c r="AJ38" i="6"/>
  <c r="AK38" i="6"/>
  <c r="AJ39" i="6"/>
  <c r="AK39" i="6"/>
  <c r="AJ40" i="6"/>
  <c r="AK40" i="6"/>
  <c r="AY16" i="6" a="1"/>
  <c r="AY16" i="6"/>
  <c r="AH17" i="6"/>
  <c r="U16" i="6"/>
  <c r="AI26" i="6"/>
  <c r="AH27" i="6"/>
  <c r="AI27" i="6"/>
  <c r="AH28" i="6"/>
  <c r="AI28" i="6"/>
  <c r="AH29" i="6"/>
  <c r="AI29" i="6"/>
  <c r="AH30" i="6"/>
  <c r="AI30" i="6"/>
  <c r="AJ17" i="6"/>
  <c r="AI31" i="6"/>
  <c r="AI32" i="6"/>
  <c r="AI33" i="6"/>
  <c r="AI34" i="6"/>
  <c r="AI35" i="6"/>
  <c r="AK17" i="6"/>
  <c r="AI36" i="6"/>
  <c r="AV16" i="6" a="1"/>
  <c r="AV16" i="6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" i="9"/>
  <c r="BD7" i="2"/>
  <c r="AR32" i="5"/>
  <c r="AR33" i="5"/>
  <c r="AS2" i="7"/>
  <c r="V4" i="8"/>
  <c r="V5" i="8"/>
  <c r="AI2" i="8" a="1"/>
  <c r="W4" i="8"/>
  <c r="W5" i="8"/>
  <c r="AJ2" i="8" a="1"/>
  <c r="M28" i="5"/>
  <c r="N28" i="5"/>
  <c r="O28" i="5"/>
  <c r="P28" i="5"/>
  <c r="U28" i="5"/>
  <c r="AP143" i="3"/>
  <c r="AQ143" i="3"/>
  <c r="AR143" i="3"/>
  <c r="AS143" i="3"/>
  <c r="AR116" i="2"/>
  <c r="AS116" i="2"/>
  <c r="AT116" i="2"/>
  <c r="AU116" i="2"/>
  <c r="AQ116" i="2"/>
  <c r="AJ38" i="7"/>
  <c r="AK38" i="7"/>
  <c r="AL38" i="7"/>
  <c r="AJ39" i="7"/>
  <c r="AK39" i="7"/>
  <c r="AL39" i="7"/>
  <c r="AI39" i="7"/>
  <c r="AI38" i="7"/>
  <c r="AJ37" i="7"/>
  <c r="AK37" i="7"/>
  <c r="AL37" i="7"/>
  <c r="AI37" i="7"/>
  <c r="AJ36" i="7"/>
  <c r="AK36" i="7"/>
  <c r="AL36" i="7"/>
  <c r="AI36" i="7"/>
  <c r="AH26" i="6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48" i="3"/>
  <c r="L149" i="3"/>
  <c r="L109" i="3"/>
  <c r="L110" i="3"/>
  <c r="L111" i="3"/>
  <c r="L112" i="3"/>
  <c r="L113" i="3"/>
  <c r="L114" i="3"/>
  <c r="L115" i="3"/>
  <c r="L176" i="3"/>
  <c r="L177" i="3"/>
  <c r="L116" i="3"/>
  <c r="L117" i="3"/>
  <c r="L118" i="3"/>
  <c r="L119" i="3"/>
  <c r="L120" i="3"/>
  <c r="L121" i="3"/>
  <c r="L122" i="3"/>
  <c r="L124" i="3"/>
  <c r="AL5" i="6"/>
  <c r="AL5" i="5"/>
  <c r="AM5" i="4"/>
  <c r="AT5" i="3"/>
  <c r="AV5" i="2"/>
  <c r="L81" i="2"/>
  <c r="M101" i="3"/>
  <c r="N101" i="3"/>
  <c r="O101" i="3"/>
  <c r="L156" i="3"/>
  <c r="O161" i="3"/>
  <c r="Q3" i="9"/>
  <c r="L14" i="1"/>
  <c r="M14" i="1"/>
  <c r="AI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Y123" i="3"/>
  <c r="Z123" i="3"/>
  <c r="AA123" i="3"/>
  <c r="AB123" i="3"/>
  <c r="AC123" i="3"/>
  <c r="AD123" i="3"/>
  <c r="AE123" i="3"/>
  <c r="AF123" i="3"/>
  <c r="AG123" i="3"/>
  <c r="AH123" i="3"/>
  <c r="X123" i="3"/>
  <c r="AP80" i="3"/>
  <c r="AP27" i="3"/>
  <c r="M37" i="2"/>
  <c r="N37" i="2"/>
  <c r="O37" i="2"/>
  <c r="P37" i="2"/>
  <c r="Q37" i="2"/>
  <c r="AA37" i="2"/>
  <c r="Y37" i="2"/>
  <c r="Z37" i="2"/>
  <c r="Q4" i="2"/>
  <c r="O4" i="2"/>
  <c r="O53" i="5"/>
  <c r="O54" i="5"/>
  <c r="P53" i="5"/>
  <c r="P54" i="5"/>
  <c r="N53" i="5"/>
  <c r="N54" i="5"/>
  <c r="M53" i="5"/>
  <c r="M54" i="5"/>
  <c r="M176" i="3"/>
  <c r="M177" i="3"/>
  <c r="N176" i="3"/>
  <c r="N177" i="3"/>
  <c r="O176" i="3"/>
  <c r="O177" i="3"/>
  <c r="M116" i="3"/>
  <c r="N116" i="3"/>
  <c r="O116" i="3"/>
  <c r="M156" i="3"/>
  <c r="P161" i="3"/>
  <c r="N156" i="3"/>
  <c r="Q161" i="3"/>
  <c r="O156" i="3"/>
  <c r="R161" i="3"/>
  <c r="M148" i="3"/>
  <c r="M149" i="3"/>
  <c r="M109" i="3"/>
  <c r="N148" i="3"/>
  <c r="N149" i="3"/>
  <c r="N109" i="3"/>
  <c r="O148" i="3"/>
  <c r="O149" i="3"/>
  <c r="O109" i="3"/>
  <c r="Q88" i="2"/>
  <c r="Q89" i="2"/>
  <c r="Q15" i="2"/>
  <c r="P74" i="5"/>
  <c r="P75" i="5"/>
  <c r="O74" i="5"/>
  <c r="O75" i="5"/>
  <c r="N74" i="5"/>
  <c r="N75" i="5"/>
  <c r="M74" i="5"/>
  <c r="M75" i="5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2" i="3"/>
  <c r="O103" i="3"/>
  <c r="O104" i="3"/>
  <c r="O105" i="3"/>
  <c r="O106" i="3"/>
  <c r="O107" i="3"/>
  <c r="O108" i="3"/>
  <c r="O110" i="3"/>
  <c r="O111" i="3"/>
  <c r="O112" i="3"/>
  <c r="O113" i="3"/>
  <c r="O114" i="3"/>
  <c r="O115" i="3"/>
  <c r="O117" i="3"/>
  <c r="O118" i="3"/>
  <c r="O119" i="3"/>
  <c r="O120" i="3"/>
  <c r="O121" i="3"/>
  <c r="O122" i="3"/>
  <c r="AS80" i="3"/>
  <c r="O124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2" i="3"/>
  <c r="N103" i="3"/>
  <c r="N104" i="3"/>
  <c r="N105" i="3"/>
  <c r="N106" i="3"/>
  <c r="N107" i="3"/>
  <c r="N108" i="3"/>
  <c r="N110" i="3"/>
  <c r="N111" i="3"/>
  <c r="N112" i="3"/>
  <c r="N113" i="3"/>
  <c r="N114" i="3"/>
  <c r="N115" i="3"/>
  <c r="N117" i="3"/>
  <c r="N118" i="3"/>
  <c r="N119" i="3"/>
  <c r="N120" i="3"/>
  <c r="N121" i="3"/>
  <c r="N122" i="3"/>
  <c r="AR80" i="3"/>
  <c r="N124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2" i="3"/>
  <c r="M103" i="3"/>
  <c r="M104" i="3"/>
  <c r="M105" i="3"/>
  <c r="M106" i="3"/>
  <c r="M107" i="3"/>
  <c r="M108" i="3"/>
  <c r="M110" i="3"/>
  <c r="M111" i="3"/>
  <c r="M112" i="3"/>
  <c r="M113" i="3"/>
  <c r="M114" i="3"/>
  <c r="M115" i="3"/>
  <c r="M117" i="3"/>
  <c r="M118" i="3"/>
  <c r="M119" i="3"/>
  <c r="M120" i="3"/>
  <c r="M121" i="3"/>
  <c r="M122" i="3"/>
  <c r="AQ80" i="3"/>
  <c r="M124" i="3"/>
  <c r="O167" i="3"/>
  <c r="O168" i="3"/>
  <c r="N167" i="3"/>
  <c r="N168" i="3"/>
  <c r="M167" i="3"/>
  <c r="M168" i="3"/>
  <c r="L167" i="3"/>
  <c r="L168" i="3"/>
  <c r="O157" i="3"/>
  <c r="N157" i="3"/>
  <c r="M157" i="3"/>
  <c r="L157" i="3"/>
  <c r="P65" i="5"/>
  <c r="P66" i="5"/>
  <c r="O65" i="5"/>
  <c r="O66" i="5"/>
  <c r="N65" i="5"/>
  <c r="N66" i="5"/>
  <c r="M65" i="5"/>
  <c r="M66" i="5"/>
  <c r="P48" i="4"/>
  <c r="P49" i="4"/>
  <c r="O48" i="4"/>
  <c r="O49" i="4"/>
  <c r="N48" i="4"/>
  <c r="N49" i="4"/>
  <c r="M48" i="4"/>
  <c r="M49" i="4"/>
  <c r="N39" i="4"/>
  <c r="N40" i="4"/>
  <c r="O39" i="4"/>
  <c r="O40" i="4"/>
  <c r="P39" i="4"/>
  <c r="P40" i="4"/>
  <c r="M39" i="4"/>
  <c r="M40" i="4"/>
  <c r="N88" i="2"/>
  <c r="N89" i="2"/>
  <c r="N15" i="2"/>
  <c r="O88" i="2"/>
  <c r="O89" i="2"/>
  <c r="O15" i="2"/>
  <c r="P88" i="2"/>
  <c r="P89" i="2"/>
  <c r="P15" i="2"/>
  <c r="M88" i="2"/>
  <c r="M89" i="2"/>
  <c r="M15" i="2"/>
  <c r="N40" i="7"/>
  <c r="N41" i="7"/>
  <c r="O40" i="7"/>
  <c r="O41" i="7"/>
  <c r="P40" i="7"/>
  <c r="P41" i="7"/>
  <c r="M40" i="7"/>
  <c r="M41" i="7"/>
  <c r="N46" i="5"/>
  <c r="N47" i="5"/>
  <c r="O46" i="5"/>
  <c r="O47" i="5"/>
  <c r="P46" i="5"/>
  <c r="P47" i="5"/>
  <c r="M46" i="5"/>
  <c r="M47" i="5"/>
  <c r="O137" i="3"/>
  <c r="N137" i="3"/>
  <c r="M137" i="3"/>
  <c r="M138" i="3"/>
  <c r="L137" i="3"/>
  <c r="L138" i="3"/>
  <c r="M130" i="3"/>
  <c r="M131" i="3"/>
  <c r="N130" i="3"/>
  <c r="N131" i="3"/>
  <c r="O130" i="3"/>
  <c r="O131" i="3"/>
  <c r="L130" i="3"/>
  <c r="L131" i="3"/>
  <c r="O138" i="3"/>
  <c r="N138" i="3"/>
  <c r="O50" i="6"/>
  <c r="O51" i="6"/>
  <c r="L50" i="6"/>
  <c r="L51" i="6"/>
  <c r="N2" i="7"/>
  <c r="M2" i="7"/>
  <c r="O2" i="7"/>
  <c r="P2" i="7"/>
  <c r="V2" i="7"/>
  <c r="W2" i="7"/>
  <c r="X2" i="7"/>
  <c r="M3" i="7"/>
  <c r="N3" i="7"/>
  <c r="O3" i="7"/>
  <c r="P3" i="7"/>
  <c r="U3" i="7"/>
  <c r="V3" i="7"/>
  <c r="W3" i="7"/>
  <c r="X3" i="7"/>
  <c r="M4" i="7"/>
  <c r="N4" i="7"/>
  <c r="O4" i="7"/>
  <c r="P4" i="7"/>
  <c r="U4" i="7"/>
  <c r="V4" i="7"/>
  <c r="W4" i="7"/>
  <c r="X4" i="7"/>
  <c r="M5" i="7"/>
  <c r="N5" i="7"/>
  <c r="O5" i="7"/>
  <c r="P5" i="7"/>
  <c r="U5" i="7"/>
  <c r="V5" i="7"/>
  <c r="W5" i="7"/>
  <c r="X5" i="7"/>
  <c r="U6" i="7"/>
  <c r="W6" i="7"/>
  <c r="M7" i="7"/>
  <c r="N7" i="7"/>
  <c r="O7" i="7"/>
  <c r="P7" i="7"/>
  <c r="U7" i="7"/>
  <c r="V7" i="7"/>
  <c r="W7" i="7"/>
  <c r="X7" i="7"/>
  <c r="M8" i="7"/>
  <c r="N8" i="7"/>
  <c r="O8" i="7"/>
  <c r="P8" i="7"/>
  <c r="U8" i="7"/>
  <c r="V8" i="7"/>
  <c r="W8" i="7"/>
  <c r="X8" i="7"/>
  <c r="M9" i="7"/>
  <c r="N9" i="7"/>
  <c r="O9" i="7"/>
  <c r="P9" i="7"/>
  <c r="U9" i="7"/>
  <c r="V9" i="7"/>
  <c r="W9" i="7"/>
  <c r="X9" i="7"/>
  <c r="M10" i="7"/>
  <c r="N10" i="7"/>
  <c r="O10" i="7"/>
  <c r="P10" i="7"/>
  <c r="U10" i="7"/>
  <c r="V10" i="7"/>
  <c r="W10" i="7"/>
  <c r="X10" i="7"/>
  <c r="M11" i="7"/>
  <c r="N11" i="7"/>
  <c r="O11" i="7"/>
  <c r="P11" i="7"/>
  <c r="U11" i="7"/>
  <c r="V11" i="7"/>
  <c r="W11" i="7"/>
  <c r="X11" i="7"/>
  <c r="M12" i="7"/>
  <c r="N12" i="7"/>
  <c r="O12" i="7"/>
  <c r="P12" i="7"/>
  <c r="U12" i="7"/>
  <c r="V12" i="7"/>
  <c r="W12" i="7"/>
  <c r="X12" i="7"/>
  <c r="M13" i="7"/>
  <c r="N13" i="7"/>
  <c r="O13" i="7"/>
  <c r="P13" i="7"/>
  <c r="U13" i="7"/>
  <c r="V13" i="7"/>
  <c r="W13" i="7"/>
  <c r="X13" i="7"/>
  <c r="N14" i="7"/>
  <c r="M14" i="7"/>
  <c r="O14" i="7"/>
  <c r="P14" i="7"/>
  <c r="V14" i="7"/>
  <c r="W14" i="7"/>
  <c r="X14" i="7"/>
  <c r="M15" i="7"/>
  <c r="N15" i="7"/>
  <c r="O15" i="7"/>
  <c r="P15" i="7"/>
  <c r="U15" i="7"/>
  <c r="V15" i="7"/>
  <c r="W15" i="7"/>
  <c r="X15" i="7"/>
  <c r="M16" i="7"/>
  <c r="N16" i="7"/>
  <c r="O16" i="7"/>
  <c r="P16" i="7"/>
  <c r="U16" i="7"/>
  <c r="V16" i="7"/>
  <c r="W16" i="7"/>
  <c r="X16" i="7"/>
  <c r="M17" i="7"/>
  <c r="N17" i="7"/>
  <c r="O17" i="7"/>
  <c r="P17" i="7"/>
  <c r="U17" i="7"/>
  <c r="V17" i="7"/>
  <c r="W17" i="7"/>
  <c r="X17" i="7"/>
  <c r="M18" i="7"/>
  <c r="N18" i="7"/>
  <c r="O18" i="7"/>
  <c r="P18" i="7"/>
  <c r="U18" i="7"/>
  <c r="V18" i="7"/>
  <c r="W18" i="7"/>
  <c r="X18" i="7"/>
  <c r="M19" i="7"/>
  <c r="N19" i="7"/>
  <c r="O19" i="7"/>
  <c r="P19" i="7"/>
  <c r="U19" i="7"/>
  <c r="V19" i="7"/>
  <c r="W19" i="7"/>
  <c r="X19" i="7"/>
  <c r="M20" i="7"/>
  <c r="N20" i="7"/>
  <c r="O20" i="7"/>
  <c r="P20" i="7"/>
  <c r="U20" i="7"/>
  <c r="V20" i="7"/>
  <c r="W20" i="7"/>
  <c r="X20" i="7"/>
  <c r="N21" i="7"/>
  <c r="M21" i="7"/>
  <c r="O21" i="7"/>
  <c r="P21" i="7"/>
  <c r="V21" i="7"/>
  <c r="W21" i="7"/>
  <c r="X21" i="7"/>
  <c r="M22" i="7"/>
  <c r="N22" i="7"/>
  <c r="O22" i="7"/>
  <c r="P22" i="7"/>
  <c r="U22" i="7"/>
  <c r="V22" i="7"/>
  <c r="W22" i="7"/>
  <c r="X22" i="7"/>
  <c r="N23" i="7"/>
  <c r="M23" i="7"/>
  <c r="O23" i="7"/>
  <c r="P23" i="7"/>
  <c r="V23" i="7"/>
  <c r="W23" i="7"/>
  <c r="X23" i="7"/>
  <c r="M24" i="7"/>
  <c r="N24" i="7"/>
  <c r="O24" i="7"/>
  <c r="P24" i="7"/>
  <c r="U24" i="7"/>
  <c r="V24" i="7"/>
  <c r="X24" i="7"/>
  <c r="M25" i="7"/>
  <c r="N25" i="7"/>
  <c r="O25" i="7"/>
  <c r="P25" i="7"/>
  <c r="U25" i="7"/>
  <c r="V25" i="7"/>
  <c r="W25" i="7"/>
  <c r="X25" i="7"/>
  <c r="M26" i="7"/>
  <c r="N26" i="7"/>
  <c r="O26" i="7"/>
  <c r="P26" i="7"/>
  <c r="U26" i="7"/>
  <c r="V26" i="7"/>
  <c r="W26" i="7"/>
  <c r="X26" i="7"/>
  <c r="M27" i="7"/>
  <c r="N27" i="7"/>
  <c r="O27" i="7"/>
  <c r="P27" i="7"/>
  <c r="U27" i="7"/>
  <c r="V27" i="7"/>
  <c r="W27" i="7"/>
  <c r="X27" i="7"/>
  <c r="M28" i="7"/>
  <c r="N28" i="7"/>
  <c r="O28" i="7"/>
  <c r="P28" i="7"/>
  <c r="U28" i="7"/>
  <c r="V28" i="7"/>
  <c r="W28" i="7"/>
  <c r="X28" i="7"/>
  <c r="M29" i="7"/>
  <c r="N29" i="7"/>
  <c r="O29" i="7"/>
  <c r="P29" i="7"/>
  <c r="U29" i="7"/>
  <c r="V29" i="7"/>
  <c r="W29" i="7"/>
  <c r="X29" i="7"/>
  <c r="M30" i="7"/>
  <c r="N30" i="7"/>
  <c r="O30" i="7"/>
  <c r="P30" i="7"/>
  <c r="U30" i="7"/>
  <c r="V30" i="7"/>
  <c r="W30" i="7"/>
  <c r="X30" i="7"/>
  <c r="M31" i="7"/>
  <c r="N31" i="7"/>
  <c r="O31" i="7"/>
  <c r="P31" i="7"/>
  <c r="U31" i="7"/>
  <c r="V31" i="7"/>
  <c r="W31" i="7"/>
  <c r="X31" i="7"/>
  <c r="M32" i="7"/>
  <c r="N32" i="7"/>
  <c r="O32" i="7"/>
  <c r="P32" i="7"/>
  <c r="U32" i="7"/>
  <c r="V32" i="7"/>
  <c r="W32" i="7"/>
  <c r="X32" i="7"/>
  <c r="N33" i="7"/>
  <c r="M33" i="7"/>
  <c r="O33" i="7"/>
  <c r="P33" i="7"/>
  <c r="V33" i="7"/>
  <c r="W33" i="7"/>
  <c r="X33" i="7"/>
  <c r="L15" i="1"/>
  <c r="M15" i="1"/>
  <c r="N15" i="1"/>
  <c r="J15" i="1"/>
  <c r="AS12" i="3"/>
  <c r="AS10" i="3"/>
  <c r="AR12" i="3"/>
  <c r="AR10" i="3"/>
  <c r="AQ12" i="3"/>
  <c r="AQ10" i="3"/>
  <c r="AP12" i="3"/>
  <c r="AP10" i="3"/>
  <c r="AJ33" i="6"/>
  <c r="AJ34" i="6"/>
  <c r="AJ35" i="6"/>
  <c r="AJ32" i="6"/>
  <c r="AH33" i="6"/>
  <c r="AJ28" i="6"/>
  <c r="AH34" i="6"/>
  <c r="AJ29" i="6"/>
  <c r="AH35" i="6"/>
  <c r="AJ30" i="6"/>
  <c r="AH32" i="6"/>
  <c r="AJ27" i="6"/>
  <c r="AJ26" i="6"/>
  <c r="AJ31" i="6"/>
  <c r="AH36" i="6"/>
  <c r="N50" i="6"/>
  <c r="AH31" i="6"/>
  <c r="AJ36" i="6"/>
  <c r="AJ39" i="5"/>
  <c r="AK39" i="5"/>
  <c r="AJ40" i="5"/>
  <c r="AK40" i="5"/>
  <c r="AJ38" i="5"/>
  <c r="AK38" i="5"/>
  <c r="AI39" i="5"/>
  <c r="AK35" i="5"/>
  <c r="AI40" i="5"/>
  <c r="AK36" i="5"/>
  <c r="AI38" i="5"/>
  <c r="AK34" i="5"/>
  <c r="AI35" i="5"/>
  <c r="AJ35" i="5"/>
  <c r="AI36" i="5"/>
  <c r="AJ36" i="5"/>
  <c r="AI34" i="5"/>
  <c r="AJ34" i="5"/>
  <c r="AH39" i="5"/>
  <c r="AK31" i="5"/>
  <c r="AH40" i="5"/>
  <c r="AK32" i="5"/>
  <c r="AH38" i="5"/>
  <c r="AK30" i="5"/>
  <c r="AH35" i="5"/>
  <c r="AJ31" i="5"/>
  <c r="AH36" i="5"/>
  <c r="AJ32" i="5"/>
  <c r="AH34" i="5"/>
  <c r="AJ30" i="5"/>
  <c r="AH31" i="5"/>
  <c r="AI31" i="5"/>
  <c r="AH32" i="5"/>
  <c r="AI32" i="5"/>
  <c r="AH30" i="5"/>
  <c r="AI30" i="5"/>
  <c r="AI29" i="5"/>
  <c r="AI37" i="5"/>
  <c r="AJ29" i="5"/>
  <c r="AJ33" i="5"/>
  <c r="AK29" i="5"/>
  <c r="AK37" i="5"/>
  <c r="AH29" i="5"/>
  <c r="AH37" i="5"/>
  <c r="AK38" i="4"/>
  <c r="AL38" i="4"/>
  <c r="AK39" i="4"/>
  <c r="AL39" i="4"/>
  <c r="AK40" i="4"/>
  <c r="AL40" i="4"/>
  <c r="AK37" i="4"/>
  <c r="AL37" i="4"/>
  <c r="AJ38" i="4"/>
  <c r="AL33" i="4"/>
  <c r="AJ39" i="4"/>
  <c r="AL34" i="4"/>
  <c r="AJ40" i="4"/>
  <c r="AL35" i="4"/>
  <c r="AJ37" i="4"/>
  <c r="AL32" i="4"/>
  <c r="AJ33" i="4"/>
  <c r="AK33" i="4"/>
  <c r="AJ34" i="4"/>
  <c r="AK34" i="4"/>
  <c r="AJ35" i="4"/>
  <c r="AK35" i="4"/>
  <c r="AJ32" i="4"/>
  <c r="AK32" i="4"/>
  <c r="AJ26" i="4"/>
  <c r="AJ31" i="4"/>
  <c r="AK26" i="4"/>
  <c r="AK36" i="4"/>
  <c r="AL26" i="4"/>
  <c r="AL36" i="4"/>
  <c r="AI38" i="4"/>
  <c r="AL28" i="4"/>
  <c r="AI39" i="4"/>
  <c r="AL29" i="4"/>
  <c r="AI40" i="4"/>
  <c r="AL30" i="4"/>
  <c r="AI37" i="4"/>
  <c r="AL27" i="4"/>
  <c r="AI33" i="4"/>
  <c r="AK28" i="4"/>
  <c r="AI34" i="4"/>
  <c r="AK29" i="4"/>
  <c r="AI35" i="4"/>
  <c r="AK30" i="4"/>
  <c r="AI32" i="4"/>
  <c r="AK27" i="4"/>
  <c r="AI28" i="4"/>
  <c r="AJ28" i="4"/>
  <c r="AI29" i="4"/>
  <c r="AJ29" i="4"/>
  <c r="AI30" i="4"/>
  <c r="AJ30" i="4"/>
  <c r="AI27" i="4"/>
  <c r="AJ27" i="4"/>
  <c r="AI26" i="4"/>
  <c r="AI31" i="4"/>
  <c r="AL31" i="4"/>
  <c r="AK31" i="4"/>
  <c r="AJ36" i="4"/>
  <c r="AI36" i="4"/>
  <c r="AJ37" i="5"/>
  <c r="AI33" i="5"/>
  <c r="AH33" i="5"/>
  <c r="AK33" i="5"/>
  <c r="N51" i="6"/>
  <c r="N42" i="6"/>
  <c r="L42" i="6"/>
  <c r="M50" i="6"/>
  <c r="M51" i="6"/>
  <c r="M42" i="6"/>
  <c r="O42" i="6"/>
  <c r="AR52" i="3"/>
  <c r="AS52" i="3"/>
  <c r="AR53" i="3"/>
  <c r="AS53" i="3"/>
  <c r="AR54" i="3"/>
  <c r="AS54" i="3"/>
  <c r="AR55" i="3"/>
  <c r="AS55" i="3"/>
  <c r="AR56" i="3"/>
  <c r="AS56" i="3"/>
  <c r="AR57" i="3"/>
  <c r="AS57" i="3"/>
  <c r="AR58" i="3"/>
  <c r="AS58" i="3"/>
  <c r="AR59" i="3"/>
  <c r="AS59" i="3"/>
  <c r="AR60" i="3"/>
  <c r="AS60" i="3"/>
  <c r="AR61" i="3"/>
  <c r="AS61" i="3"/>
  <c r="AR62" i="3"/>
  <c r="AS62" i="3"/>
  <c r="AQ58" i="3"/>
  <c r="AS46" i="3"/>
  <c r="AQ53" i="3"/>
  <c r="AS41" i="3"/>
  <c r="AQ54" i="3"/>
  <c r="AS42" i="3"/>
  <c r="AQ55" i="3"/>
  <c r="AS43" i="3"/>
  <c r="AQ56" i="3"/>
  <c r="AS44" i="3"/>
  <c r="AQ57" i="3"/>
  <c r="AS45" i="3"/>
  <c r="AQ59" i="3"/>
  <c r="AS47" i="3"/>
  <c r="AQ60" i="3"/>
  <c r="AS48" i="3"/>
  <c r="AQ61" i="3"/>
  <c r="AS49" i="3"/>
  <c r="AQ62" i="3"/>
  <c r="AS50" i="3"/>
  <c r="AQ52" i="3"/>
  <c r="AS40" i="3"/>
  <c r="AQ41" i="3"/>
  <c r="AR41" i="3"/>
  <c r="AQ42" i="3"/>
  <c r="AR42" i="3"/>
  <c r="AQ43" i="3"/>
  <c r="AR43" i="3"/>
  <c r="AQ44" i="3"/>
  <c r="AR44" i="3"/>
  <c r="AQ45" i="3"/>
  <c r="AR45" i="3"/>
  <c r="AQ46" i="3"/>
  <c r="AR46" i="3"/>
  <c r="AQ47" i="3"/>
  <c r="AR47" i="3"/>
  <c r="AQ48" i="3"/>
  <c r="AR48" i="3"/>
  <c r="AQ49" i="3"/>
  <c r="AR49" i="3"/>
  <c r="AQ50" i="3"/>
  <c r="AR50" i="3"/>
  <c r="AQ40" i="3"/>
  <c r="AR40" i="3"/>
  <c r="AP53" i="3"/>
  <c r="AS29" i="3"/>
  <c r="AP54" i="3"/>
  <c r="AS30" i="3"/>
  <c r="AP55" i="3"/>
  <c r="AS31" i="3"/>
  <c r="AP56" i="3"/>
  <c r="AS32" i="3"/>
  <c r="AP57" i="3"/>
  <c r="AS33" i="3"/>
  <c r="AP58" i="3"/>
  <c r="AS34" i="3"/>
  <c r="AP59" i="3"/>
  <c r="AS35" i="3"/>
  <c r="AP60" i="3"/>
  <c r="AS36" i="3"/>
  <c r="AP61" i="3"/>
  <c r="AS37" i="3"/>
  <c r="AP62" i="3"/>
  <c r="AS38" i="3"/>
  <c r="AP52" i="3"/>
  <c r="AS28" i="3"/>
  <c r="AP41" i="3"/>
  <c r="AR29" i="3"/>
  <c r="AP42" i="3"/>
  <c r="AR30" i="3"/>
  <c r="AP43" i="3"/>
  <c r="AR31" i="3"/>
  <c r="AP44" i="3"/>
  <c r="AR32" i="3"/>
  <c r="AP45" i="3"/>
  <c r="AR33" i="3"/>
  <c r="AP46" i="3"/>
  <c r="AR34" i="3"/>
  <c r="AP47" i="3"/>
  <c r="AR35" i="3"/>
  <c r="AP48" i="3"/>
  <c r="AR36" i="3"/>
  <c r="AP49" i="3"/>
  <c r="AR37" i="3"/>
  <c r="AP50" i="3"/>
  <c r="AR38" i="3"/>
  <c r="AP40" i="3"/>
  <c r="AR28" i="3"/>
  <c r="AP29" i="3"/>
  <c r="AQ29" i="3"/>
  <c r="AP30" i="3"/>
  <c r="AQ30" i="3"/>
  <c r="AP31" i="3"/>
  <c r="AQ31" i="3"/>
  <c r="AP32" i="3"/>
  <c r="AQ32" i="3"/>
  <c r="AP33" i="3"/>
  <c r="AQ33" i="3"/>
  <c r="AP34" i="3"/>
  <c r="AQ34" i="3"/>
  <c r="AP35" i="3"/>
  <c r="AQ35" i="3"/>
  <c r="AP36" i="3"/>
  <c r="AQ36" i="3"/>
  <c r="AP37" i="3"/>
  <c r="AQ37" i="3"/>
  <c r="AP38" i="3"/>
  <c r="AQ38" i="3"/>
  <c r="AP28" i="3"/>
  <c r="AQ28" i="3"/>
  <c r="AS27" i="3"/>
  <c r="AS51" i="3"/>
  <c r="AS39" i="3"/>
  <c r="AQ27" i="3"/>
  <c r="AQ51" i="3"/>
  <c r="AR27" i="3"/>
  <c r="AR39" i="3"/>
  <c r="AP51" i="3"/>
  <c r="AQ39" i="3"/>
  <c r="AP39" i="3"/>
  <c r="AR51" i="3"/>
  <c r="AT61" i="2"/>
  <c r="AU61" i="2"/>
  <c r="AT62" i="2"/>
  <c r="AU62" i="2"/>
  <c r="AT63" i="2"/>
  <c r="AU63" i="2"/>
  <c r="AT64" i="2"/>
  <c r="AU64" i="2"/>
  <c r="AT65" i="2"/>
  <c r="AU65" i="2"/>
  <c r="AT66" i="2"/>
  <c r="AU66" i="2"/>
  <c r="AT67" i="2"/>
  <c r="AU67" i="2"/>
  <c r="AT68" i="2"/>
  <c r="AU68" i="2"/>
  <c r="AT60" i="2"/>
  <c r="AU60" i="2"/>
  <c r="AT59" i="2"/>
  <c r="AT49" i="2"/>
  <c r="AT39" i="2"/>
  <c r="AT29" i="2"/>
  <c r="AS61" i="2"/>
  <c r="AT51" i="2"/>
  <c r="AS62" i="2"/>
  <c r="AT52" i="2"/>
  <c r="AS63" i="2"/>
  <c r="AT53" i="2"/>
  <c r="AS64" i="2"/>
  <c r="AT54" i="2"/>
  <c r="AS65" i="2"/>
  <c r="AT55" i="2"/>
  <c r="AS66" i="2"/>
  <c r="AT56" i="2"/>
  <c r="AS67" i="2"/>
  <c r="AT57" i="2"/>
  <c r="AS68" i="2"/>
  <c r="AT58" i="2"/>
  <c r="AS60" i="2"/>
  <c r="AT50" i="2"/>
  <c r="AS51" i="2"/>
  <c r="AU51" i="2"/>
  <c r="AS52" i="2"/>
  <c r="AU52" i="2"/>
  <c r="AS53" i="2"/>
  <c r="AU53" i="2"/>
  <c r="AS54" i="2"/>
  <c r="AU54" i="2"/>
  <c r="AS55" i="2"/>
  <c r="AU55" i="2"/>
  <c r="AS56" i="2"/>
  <c r="AU56" i="2"/>
  <c r="AS57" i="2"/>
  <c r="AU57" i="2"/>
  <c r="AS58" i="2"/>
  <c r="AU58" i="2"/>
  <c r="AS50" i="2"/>
  <c r="AU50" i="2"/>
  <c r="AR61" i="2"/>
  <c r="AT41" i="2"/>
  <c r="AR62" i="2"/>
  <c r="AT42" i="2"/>
  <c r="AR63" i="2"/>
  <c r="AT43" i="2"/>
  <c r="AR64" i="2"/>
  <c r="AT44" i="2"/>
  <c r="AR65" i="2"/>
  <c r="AT45" i="2"/>
  <c r="AR66" i="2"/>
  <c r="AT46" i="2"/>
  <c r="AR67" i="2"/>
  <c r="AT47" i="2"/>
  <c r="AR68" i="2"/>
  <c r="AT48" i="2"/>
  <c r="AR60" i="2"/>
  <c r="AT40" i="2"/>
  <c r="AR51" i="2"/>
  <c r="AU41" i="2"/>
  <c r="AR52" i="2"/>
  <c r="AU42" i="2"/>
  <c r="AR53" i="2"/>
  <c r="AU43" i="2"/>
  <c r="AR54" i="2"/>
  <c r="AU44" i="2"/>
  <c r="AR55" i="2"/>
  <c r="AU45" i="2"/>
  <c r="AR56" i="2"/>
  <c r="AU46" i="2"/>
  <c r="AR57" i="2"/>
  <c r="AU47" i="2"/>
  <c r="AR58" i="2"/>
  <c r="AU48" i="2"/>
  <c r="AR50" i="2"/>
  <c r="AU40" i="2"/>
  <c r="AR48" i="2"/>
  <c r="AS48" i="2"/>
  <c r="AR47" i="2"/>
  <c r="AS47" i="2"/>
  <c r="AR46" i="2"/>
  <c r="AS46" i="2"/>
  <c r="AR45" i="2"/>
  <c r="AS45" i="2"/>
  <c r="AR44" i="2"/>
  <c r="AS44" i="2"/>
  <c r="AR43" i="2"/>
  <c r="AS43" i="2"/>
  <c r="AR42" i="2"/>
  <c r="AS42" i="2"/>
  <c r="AR41" i="2"/>
  <c r="AS41" i="2"/>
  <c r="AR40" i="2"/>
  <c r="AS40" i="2"/>
  <c r="AR59" i="2"/>
  <c r="AR49" i="2"/>
  <c r="AR39" i="2"/>
  <c r="AR29" i="2"/>
  <c r="AS59" i="2"/>
  <c r="AS49" i="2"/>
  <c r="AS39" i="2"/>
  <c r="AS29" i="2"/>
  <c r="AQ61" i="2"/>
  <c r="AT31" i="2"/>
  <c r="AQ62" i="2"/>
  <c r="AT32" i="2"/>
  <c r="AQ63" i="2"/>
  <c r="AT33" i="2"/>
  <c r="AQ64" i="2"/>
  <c r="AT34" i="2"/>
  <c r="AQ65" i="2"/>
  <c r="AT35" i="2"/>
  <c r="AQ66" i="2"/>
  <c r="AT36" i="2"/>
  <c r="AQ67" i="2"/>
  <c r="AT37" i="2"/>
  <c r="AQ68" i="2"/>
  <c r="AT38" i="2"/>
  <c r="AQ60" i="2"/>
  <c r="AT30" i="2"/>
  <c r="AQ51" i="2"/>
  <c r="AU31" i="2"/>
  <c r="AQ52" i="2"/>
  <c r="AU32" i="2"/>
  <c r="AQ53" i="2"/>
  <c r="AU33" i="2"/>
  <c r="AQ54" i="2"/>
  <c r="AU34" i="2"/>
  <c r="AQ55" i="2"/>
  <c r="AU35" i="2"/>
  <c r="AQ56" i="2"/>
  <c r="AU36" i="2"/>
  <c r="AQ57" i="2"/>
  <c r="AU37" i="2"/>
  <c r="AQ58" i="2"/>
  <c r="AU38" i="2"/>
  <c r="AQ50" i="2"/>
  <c r="AU30" i="2"/>
  <c r="AQ41" i="2"/>
  <c r="AS31" i="2"/>
  <c r="AQ42" i="2"/>
  <c r="AS32" i="2"/>
  <c r="AQ43" i="2"/>
  <c r="AS33" i="2"/>
  <c r="AQ44" i="2"/>
  <c r="AS34" i="2"/>
  <c r="AQ45" i="2"/>
  <c r="AS35" i="2"/>
  <c r="AQ46" i="2"/>
  <c r="AS36" i="2"/>
  <c r="AQ47" i="2"/>
  <c r="AS37" i="2"/>
  <c r="AQ48" i="2"/>
  <c r="AS38" i="2"/>
  <c r="AQ40" i="2"/>
  <c r="AQ31" i="2"/>
  <c r="AR31" i="2"/>
  <c r="AQ32" i="2"/>
  <c r="AR32" i="2"/>
  <c r="AQ33" i="2"/>
  <c r="AR33" i="2"/>
  <c r="AQ34" i="2"/>
  <c r="AR34" i="2"/>
  <c r="AQ35" i="2"/>
  <c r="AR35" i="2"/>
  <c r="AQ36" i="2"/>
  <c r="AR36" i="2"/>
  <c r="AQ37" i="2"/>
  <c r="AR37" i="2"/>
  <c r="AQ38" i="2"/>
  <c r="AR38" i="2"/>
  <c r="AQ30" i="2"/>
  <c r="AR30" i="2"/>
  <c r="AQ59" i="2"/>
  <c r="AQ49" i="2"/>
  <c r="AQ39" i="2"/>
  <c r="AQ29" i="2"/>
  <c r="AS30" i="2"/>
  <c r="M28" i="4"/>
  <c r="AC80" i="2"/>
  <c r="AD80" i="2"/>
  <c r="AE80" i="2"/>
  <c r="AF80" i="2"/>
  <c r="AG80" i="2"/>
  <c r="AH80" i="2"/>
  <c r="AI80" i="2"/>
  <c r="AJ80" i="2"/>
  <c r="AB80" i="2"/>
  <c r="L76" i="1"/>
  <c r="M77" i="1"/>
  <c r="L78" i="1"/>
  <c r="M79" i="1"/>
  <c r="L80" i="1"/>
  <c r="M81" i="1"/>
  <c r="L82" i="1"/>
  <c r="L84" i="1"/>
  <c r="M85" i="1"/>
  <c r="L86" i="1"/>
  <c r="M87" i="1"/>
  <c r="L88" i="1"/>
  <c r="M89" i="1"/>
  <c r="L90" i="1"/>
  <c r="L92" i="1"/>
  <c r="M93" i="1"/>
  <c r="L94" i="1"/>
  <c r="M95" i="1"/>
  <c r="L96" i="1"/>
  <c r="M97" i="1"/>
  <c r="L98" i="1"/>
  <c r="L100" i="1"/>
  <c r="M101" i="1"/>
  <c r="L102" i="1"/>
  <c r="M103" i="1"/>
  <c r="L104" i="1"/>
  <c r="M105" i="1"/>
  <c r="L106" i="1"/>
  <c r="L108" i="1"/>
  <c r="M109" i="1"/>
  <c r="L110" i="1"/>
  <c r="M111" i="1"/>
  <c r="L112" i="1"/>
  <c r="M113" i="1"/>
  <c r="M114" i="1"/>
  <c r="K116" i="1"/>
  <c r="K117" i="1"/>
  <c r="M118" i="1"/>
  <c r="M120" i="1"/>
  <c r="K121" i="1"/>
  <c r="M122" i="1"/>
  <c r="K124" i="1"/>
  <c r="K125" i="1"/>
  <c r="M126" i="1"/>
  <c r="K128" i="1"/>
  <c r="K129" i="1"/>
  <c r="M130" i="1"/>
  <c r="M132" i="1"/>
  <c r="L133" i="1"/>
  <c r="J318" i="1"/>
  <c r="J319" i="1"/>
  <c r="J320" i="1"/>
  <c r="M321" i="1"/>
  <c r="J322" i="1"/>
  <c r="J323" i="1"/>
  <c r="J324" i="1"/>
  <c r="M325" i="1"/>
  <c r="M289" i="1"/>
  <c r="M294" i="1"/>
  <c r="M299" i="1"/>
  <c r="M305" i="1"/>
  <c r="M310" i="1"/>
  <c r="M315" i="1"/>
  <c r="J285" i="1"/>
  <c r="J286" i="1"/>
  <c r="J287" i="1"/>
  <c r="L288" i="1"/>
  <c r="J290" i="1"/>
  <c r="J291" i="1"/>
  <c r="J292" i="1"/>
  <c r="J293" i="1"/>
  <c r="J295" i="1"/>
  <c r="L296" i="1"/>
  <c r="J298" i="1"/>
  <c r="K300" i="1"/>
  <c r="J301" i="1"/>
  <c r="M302" i="1"/>
  <c r="J303" i="1"/>
  <c r="J304" i="1"/>
  <c r="J306" i="1"/>
  <c r="M308" i="1"/>
  <c r="J309" i="1"/>
  <c r="J311" i="1"/>
  <c r="M312" i="1"/>
  <c r="J316" i="1"/>
  <c r="M137" i="1"/>
  <c r="L138" i="1"/>
  <c r="L139" i="1"/>
  <c r="J140" i="1"/>
  <c r="L141" i="1"/>
  <c r="L142" i="1"/>
  <c r="M143" i="1"/>
  <c r="J144" i="1"/>
  <c r="M145" i="1"/>
  <c r="K146" i="1"/>
  <c r="J148" i="1"/>
  <c r="M149" i="1"/>
  <c r="L150" i="1"/>
  <c r="K151" i="1"/>
  <c r="L3" i="6"/>
  <c r="M3" i="6"/>
  <c r="N3" i="6"/>
  <c r="O3" i="6"/>
  <c r="T3" i="6"/>
  <c r="L4" i="6"/>
  <c r="M4" i="6"/>
  <c r="N4" i="6"/>
  <c r="O4" i="6"/>
  <c r="T4" i="6"/>
  <c r="L5" i="6"/>
  <c r="N5" i="6"/>
  <c r="M5" i="6"/>
  <c r="O5" i="6"/>
  <c r="V5" i="6"/>
  <c r="U5" i="6"/>
  <c r="L6" i="6"/>
  <c r="M6" i="6"/>
  <c r="N6" i="6"/>
  <c r="O6" i="6"/>
  <c r="L7" i="6"/>
  <c r="M7" i="6"/>
  <c r="N7" i="6"/>
  <c r="O7" i="6"/>
  <c r="T7" i="6"/>
  <c r="L8" i="6"/>
  <c r="M8" i="6"/>
  <c r="N8" i="6"/>
  <c r="O8" i="6"/>
  <c r="L9" i="6"/>
  <c r="M9" i="6"/>
  <c r="N9" i="6"/>
  <c r="O9" i="6"/>
  <c r="L10" i="6"/>
  <c r="M10" i="6"/>
  <c r="N10" i="6"/>
  <c r="O10" i="6"/>
  <c r="T10" i="6"/>
  <c r="L11" i="6"/>
  <c r="M11" i="6"/>
  <c r="N11" i="6"/>
  <c r="O11" i="6"/>
  <c r="L12" i="6"/>
  <c r="M12" i="6"/>
  <c r="N12" i="6"/>
  <c r="O12" i="6"/>
  <c r="U12" i="6"/>
  <c r="L14" i="6"/>
  <c r="M14" i="6"/>
  <c r="N14" i="6"/>
  <c r="O14" i="6"/>
  <c r="L15" i="6"/>
  <c r="M15" i="6"/>
  <c r="N15" i="6"/>
  <c r="O15" i="6"/>
  <c r="T15" i="6"/>
  <c r="L17" i="6"/>
  <c r="M17" i="6"/>
  <c r="N17" i="6"/>
  <c r="O17" i="6"/>
  <c r="U17" i="6"/>
  <c r="L18" i="6"/>
  <c r="M18" i="6"/>
  <c r="N18" i="6"/>
  <c r="O18" i="6"/>
  <c r="L19" i="6"/>
  <c r="M19" i="6"/>
  <c r="N19" i="6"/>
  <c r="O19" i="6"/>
  <c r="T19" i="6"/>
  <c r="L20" i="6"/>
  <c r="M20" i="6"/>
  <c r="N20" i="6"/>
  <c r="O20" i="6"/>
  <c r="L21" i="6"/>
  <c r="M21" i="6"/>
  <c r="N21" i="6"/>
  <c r="O21" i="6"/>
  <c r="T21" i="6"/>
  <c r="L23" i="6"/>
  <c r="M23" i="6"/>
  <c r="N23" i="6"/>
  <c r="O23" i="6"/>
  <c r="L24" i="6"/>
  <c r="M24" i="6"/>
  <c r="N24" i="6"/>
  <c r="O24" i="6"/>
  <c r="T24" i="6"/>
  <c r="L25" i="6"/>
  <c r="M25" i="6"/>
  <c r="N25" i="6"/>
  <c r="O25" i="6"/>
  <c r="L26" i="6"/>
  <c r="M26" i="6"/>
  <c r="N26" i="6"/>
  <c r="O26" i="6"/>
  <c r="U26" i="6"/>
  <c r="L27" i="6"/>
  <c r="M27" i="6"/>
  <c r="N27" i="6"/>
  <c r="O27" i="6"/>
  <c r="L28" i="6"/>
  <c r="M28" i="6"/>
  <c r="N28" i="6"/>
  <c r="O28" i="6"/>
  <c r="U28" i="6"/>
  <c r="L13" i="6"/>
  <c r="M13" i="6"/>
  <c r="N13" i="6"/>
  <c r="O13" i="6"/>
  <c r="T13" i="6"/>
  <c r="L29" i="6"/>
  <c r="M29" i="6"/>
  <c r="N29" i="6"/>
  <c r="O29" i="6"/>
  <c r="T29" i="6"/>
  <c r="L30" i="6"/>
  <c r="M30" i="6"/>
  <c r="N30" i="6"/>
  <c r="O30" i="6"/>
  <c r="T30" i="6"/>
  <c r="L31" i="6"/>
  <c r="M31" i="6"/>
  <c r="N31" i="6"/>
  <c r="O31" i="6"/>
  <c r="U31" i="6"/>
  <c r="L32" i="6"/>
  <c r="M32" i="6"/>
  <c r="N32" i="6"/>
  <c r="O32" i="6"/>
  <c r="L33" i="6"/>
  <c r="M33" i="6"/>
  <c r="N33" i="6"/>
  <c r="O33" i="6"/>
  <c r="T33" i="6"/>
  <c r="L34" i="6"/>
  <c r="M34" i="6"/>
  <c r="N34" i="6"/>
  <c r="O34" i="6"/>
  <c r="T34" i="6"/>
  <c r="L35" i="6"/>
  <c r="M35" i="6"/>
  <c r="N35" i="6"/>
  <c r="O35" i="6"/>
  <c r="U35" i="6"/>
  <c r="L36" i="6"/>
  <c r="M36" i="6"/>
  <c r="N36" i="6"/>
  <c r="O36" i="6"/>
  <c r="T36" i="6"/>
  <c r="L37" i="6"/>
  <c r="M37" i="6"/>
  <c r="N37" i="6"/>
  <c r="O37" i="6"/>
  <c r="T37" i="6"/>
  <c r="L38" i="6"/>
  <c r="M38" i="6"/>
  <c r="N38" i="6"/>
  <c r="O38" i="6"/>
  <c r="T38" i="6"/>
  <c r="L22" i="6"/>
  <c r="M22" i="6"/>
  <c r="N22" i="6"/>
  <c r="O22" i="6"/>
  <c r="U22" i="6"/>
  <c r="L39" i="6"/>
  <c r="M39" i="6"/>
  <c r="N39" i="6"/>
  <c r="O39" i="6"/>
  <c r="T39" i="6"/>
  <c r="L40" i="6"/>
  <c r="M40" i="6"/>
  <c r="N40" i="6"/>
  <c r="O40" i="6"/>
  <c r="U40" i="6"/>
  <c r="L41" i="6"/>
  <c r="M41" i="6"/>
  <c r="N41" i="6"/>
  <c r="O41" i="6"/>
  <c r="T41" i="6"/>
  <c r="T42" i="6"/>
  <c r="U42" i="6"/>
  <c r="V42" i="6"/>
  <c r="W42" i="6"/>
  <c r="L43" i="6"/>
  <c r="M43" i="6"/>
  <c r="N43" i="6"/>
  <c r="O43" i="6"/>
  <c r="U43" i="6"/>
  <c r="M2" i="6"/>
  <c r="L2" i="6"/>
  <c r="N2" i="6"/>
  <c r="O2" i="6"/>
  <c r="U2" i="6"/>
  <c r="M3" i="5"/>
  <c r="N3" i="5"/>
  <c r="O3" i="5"/>
  <c r="P3" i="5"/>
  <c r="M4" i="5"/>
  <c r="N4" i="5"/>
  <c r="O4" i="5"/>
  <c r="P4" i="5"/>
  <c r="M5" i="5"/>
  <c r="N5" i="5"/>
  <c r="O5" i="5"/>
  <c r="P5" i="5"/>
  <c r="M6" i="5"/>
  <c r="N6" i="5"/>
  <c r="O6" i="5"/>
  <c r="P6" i="5"/>
  <c r="M7" i="5"/>
  <c r="N7" i="5"/>
  <c r="O7" i="5"/>
  <c r="P7" i="5"/>
  <c r="M8" i="5"/>
  <c r="N8" i="5"/>
  <c r="O8" i="5"/>
  <c r="P8" i="5"/>
  <c r="M9" i="5"/>
  <c r="N9" i="5"/>
  <c r="O9" i="5"/>
  <c r="P9" i="5"/>
  <c r="M10" i="5"/>
  <c r="N10" i="5"/>
  <c r="O10" i="5"/>
  <c r="P10" i="5"/>
  <c r="M11" i="5"/>
  <c r="N11" i="5"/>
  <c r="O11" i="5"/>
  <c r="P11" i="5"/>
  <c r="M12" i="5"/>
  <c r="N12" i="5"/>
  <c r="O12" i="5"/>
  <c r="P12" i="5"/>
  <c r="M13" i="5"/>
  <c r="N13" i="5"/>
  <c r="O13" i="5"/>
  <c r="P13" i="5"/>
  <c r="M14" i="5"/>
  <c r="N14" i="5"/>
  <c r="O14" i="5"/>
  <c r="P14" i="5"/>
  <c r="M15" i="5"/>
  <c r="N15" i="5"/>
  <c r="O15" i="5"/>
  <c r="P15" i="5"/>
  <c r="M16" i="5"/>
  <c r="N16" i="5"/>
  <c r="O16" i="5"/>
  <c r="P16" i="5"/>
  <c r="M17" i="5"/>
  <c r="N17" i="5"/>
  <c r="O17" i="5"/>
  <c r="P17" i="5"/>
  <c r="M18" i="5"/>
  <c r="N18" i="5"/>
  <c r="O18" i="5"/>
  <c r="P18" i="5"/>
  <c r="M19" i="5"/>
  <c r="N19" i="5"/>
  <c r="O19" i="5"/>
  <c r="P19" i="5"/>
  <c r="M20" i="5"/>
  <c r="N20" i="5"/>
  <c r="O20" i="5"/>
  <c r="P20" i="5"/>
  <c r="M21" i="5"/>
  <c r="N21" i="5"/>
  <c r="O21" i="5"/>
  <c r="P21" i="5"/>
  <c r="M22" i="5"/>
  <c r="N22" i="5"/>
  <c r="O22" i="5"/>
  <c r="P22" i="5"/>
  <c r="M23" i="5"/>
  <c r="N23" i="5"/>
  <c r="O23" i="5"/>
  <c r="P23" i="5"/>
  <c r="M24" i="5"/>
  <c r="N24" i="5"/>
  <c r="O24" i="5"/>
  <c r="P24" i="5"/>
  <c r="M25" i="5"/>
  <c r="N25" i="5"/>
  <c r="O25" i="5"/>
  <c r="P25" i="5"/>
  <c r="M26" i="5"/>
  <c r="N26" i="5"/>
  <c r="O26" i="5"/>
  <c r="P26" i="5"/>
  <c r="M27" i="5"/>
  <c r="N27" i="5"/>
  <c r="O27" i="5"/>
  <c r="P27" i="5"/>
  <c r="M29" i="5"/>
  <c r="N29" i="5"/>
  <c r="O29" i="5"/>
  <c r="P29" i="5"/>
  <c r="M31" i="5"/>
  <c r="N31" i="5"/>
  <c r="O31" i="5"/>
  <c r="P31" i="5"/>
  <c r="M30" i="5"/>
  <c r="N30" i="5"/>
  <c r="O30" i="5"/>
  <c r="P30" i="5"/>
  <c r="M33" i="5"/>
  <c r="N33" i="5"/>
  <c r="O33" i="5"/>
  <c r="P33" i="5"/>
  <c r="M32" i="5"/>
  <c r="N32" i="5"/>
  <c r="O32" i="5"/>
  <c r="P32" i="5"/>
  <c r="M34" i="5"/>
  <c r="N34" i="5"/>
  <c r="O34" i="5"/>
  <c r="P34" i="5"/>
  <c r="M35" i="5"/>
  <c r="N35" i="5"/>
  <c r="O35" i="5"/>
  <c r="P35" i="5"/>
  <c r="N2" i="5"/>
  <c r="M2" i="5"/>
  <c r="M37" i="5"/>
  <c r="O2" i="5"/>
  <c r="P2" i="5"/>
  <c r="M3" i="4"/>
  <c r="N3" i="4"/>
  <c r="O3" i="4"/>
  <c r="P3" i="4"/>
  <c r="M4" i="4"/>
  <c r="N4" i="4"/>
  <c r="O4" i="4"/>
  <c r="P4" i="4"/>
  <c r="M5" i="4"/>
  <c r="N5" i="4"/>
  <c r="O5" i="4"/>
  <c r="P5" i="4"/>
  <c r="M6" i="4"/>
  <c r="N6" i="4"/>
  <c r="O6" i="4"/>
  <c r="P6" i="4"/>
  <c r="M7" i="4"/>
  <c r="N7" i="4"/>
  <c r="O7" i="4"/>
  <c r="P7" i="4"/>
  <c r="M8" i="4"/>
  <c r="N8" i="4"/>
  <c r="O8" i="4"/>
  <c r="P8" i="4"/>
  <c r="M9" i="4"/>
  <c r="N9" i="4"/>
  <c r="O9" i="4"/>
  <c r="P9" i="4"/>
  <c r="M10" i="4"/>
  <c r="N10" i="4"/>
  <c r="O10" i="4"/>
  <c r="P10" i="4"/>
  <c r="X10" i="4"/>
  <c r="M11" i="4"/>
  <c r="N11" i="4"/>
  <c r="O11" i="4"/>
  <c r="P11" i="4"/>
  <c r="U11" i="4"/>
  <c r="M12" i="4"/>
  <c r="N12" i="4"/>
  <c r="O12" i="4"/>
  <c r="P12" i="4"/>
  <c r="U12" i="4"/>
  <c r="M13" i="4"/>
  <c r="N13" i="4"/>
  <c r="O13" i="4"/>
  <c r="P13" i="4"/>
  <c r="U13" i="4"/>
  <c r="M14" i="4"/>
  <c r="N14" i="4"/>
  <c r="O14" i="4"/>
  <c r="P14" i="4"/>
  <c r="M15" i="4"/>
  <c r="N15" i="4"/>
  <c r="O15" i="4"/>
  <c r="P15" i="4"/>
  <c r="M16" i="4"/>
  <c r="N16" i="4"/>
  <c r="O16" i="4"/>
  <c r="P16" i="4"/>
  <c r="M17" i="4"/>
  <c r="N17" i="4"/>
  <c r="O17" i="4"/>
  <c r="P17" i="4"/>
  <c r="M18" i="4"/>
  <c r="N18" i="4"/>
  <c r="O18" i="4"/>
  <c r="P18" i="4"/>
  <c r="M19" i="4"/>
  <c r="N19" i="4"/>
  <c r="O19" i="4"/>
  <c r="P19" i="4"/>
  <c r="M20" i="4"/>
  <c r="N20" i="4"/>
  <c r="O20" i="4"/>
  <c r="P20" i="4"/>
  <c r="M21" i="4"/>
  <c r="N21" i="4"/>
  <c r="O21" i="4"/>
  <c r="P21" i="4"/>
  <c r="M22" i="4"/>
  <c r="N22" i="4"/>
  <c r="O22" i="4"/>
  <c r="P22" i="4"/>
  <c r="M23" i="4"/>
  <c r="N23" i="4"/>
  <c r="O23" i="4"/>
  <c r="P23" i="4"/>
  <c r="X23" i="4"/>
  <c r="M24" i="4"/>
  <c r="N24" i="4"/>
  <c r="O24" i="4"/>
  <c r="P24" i="4"/>
  <c r="M25" i="4"/>
  <c r="N25" i="4"/>
  <c r="O25" i="4"/>
  <c r="P25" i="4"/>
  <c r="M26" i="4"/>
  <c r="N26" i="4"/>
  <c r="O26" i="4"/>
  <c r="P26" i="4"/>
  <c r="X26" i="4"/>
  <c r="M27" i="4"/>
  <c r="N27" i="4"/>
  <c r="O27" i="4"/>
  <c r="P27" i="4"/>
  <c r="N28" i="4"/>
  <c r="O28" i="4"/>
  <c r="P28" i="4"/>
  <c r="M29" i="4"/>
  <c r="N29" i="4"/>
  <c r="O29" i="4"/>
  <c r="P29" i="4"/>
  <c r="N2" i="4"/>
  <c r="M2" i="4"/>
  <c r="O2" i="4"/>
  <c r="P2" i="4"/>
  <c r="V26" i="3"/>
  <c r="W27" i="3"/>
  <c r="W28" i="3"/>
  <c r="T29" i="3"/>
  <c r="U31" i="3"/>
  <c r="V30" i="3"/>
  <c r="U32" i="3"/>
  <c r="V33" i="3"/>
  <c r="V37" i="3"/>
  <c r="U39" i="3"/>
  <c r="V41" i="3"/>
  <c r="T48" i="3"/>
  <c r="V50" i="3"/>
  <c r="W49" i="3"/>
  <c r="W52" i="3"/>
  <c r="V53" i="3"/>
  <c r="W53" i="3"/>
  <c r="W56" i="3"/>
  <c r="V54" i="3"/>
  <c r="V55" i="3"/>
  <c r="U57" i="3"/>
  <c r="V58" i="3"/>
  <c r="U61" i="3"/>
  <c r="T65" i="3"/>
  <c r="W65" i="3"/>
  <c r="U68" i="3"/>
  <c r="U69" i="3"/>
  <c r="V69" i="3"/>
  <c r="W70" i="3"/>
  <c r="V79" i="3"/>
  <c r="V81" i="3"/>
  <c r="U83" i="3"/>
  <c r="V85" i="3"/>
  <c r="U87" i="3"/>
  <c r="V90" i="3"/>
  <c r="T102" i="3"/>
  <c r="V96" i="3"/>
  <c r="W93" i="3"/>
  <c r="V100" i="3"/>
  <c r="T99" i="3"/>
  <c r="U104" i="3"/>
  <c r="V105" i="3"/>
  <c r="U106" i="3"/>
  <c r="V109" i="3"/>
  <c r="W110" i="3"/>
  <c r="W112" i="3"/>
  <c r="U118" i="3"/>
  <c r="V122" i="3"/>
  <c r="V121" i="3"/>
  <c r="T42" i="3"/>
  <c r="W6" i="3"/>
  <c r="V7" i="3"/>
  <c r="U8" i="3"/>
  <c r="V9" i="3"/>
  <c r="T10" i="3"/>
  <c r="V12" i="3"/>
  <c r="T14" i="3"/>
  <c r="T15" i="3"/>
  <c r="T16" i="3"/>
  <c r="U16" i="3"/>
  <c r="U19" i="3"/>
  <c r="T20" i="3"/>
  <c r="W20" i="3"/>
  <c r="U21" i="3"/>
  <c r="U22" i="3"/>
  <c r="T24" i="3"/>
  <c r="U25" i="3"/>
  <c r="M3" i="2"/>
  <c r="N3" i="2"/>
  <c r="O3" i="2"/>
  <c r="P3" i="2"/>
  <c r="Q3" i="2"/>
  <c r="M4" i="2"/>
  <c r="N4" i="2"/>
  <c r="P4" i="2"/>
  <c r="W4" i="2"/>
  <c r="M5" i="2"/>
  <c r="O5" i="2"/>
  <c r="N5" i="2"/>
  <c r="P5" i="2"/>
  <c r="Q5" i="2"/>
  <c r="Y5" i="2"/>
  <c r="M6" i="2"/>
  <c r="N6" i="2"/>
  <c r="O6" i="2"/>
  <c r="P6" i="2"/>
  <c r="Q6" i="2"/>
  <c r="M7" i="2"/>
  <c r="N7" i="2"/>
  <c r="O7" i="2"/>
  <c r="P7" i="2"/>
  <c r="Q7" i="2"/>
  <c r="M8" i="2"/>
  <c r="N8" i="2"/>
  <c r="O8" i="2"/>
  <c r="P8" i="2"/>
  <c r="Q8" i="2"/>
  <c r="M10" i="2"/>
  <c r="N10" i="2"/>
  <c r="O10" i="2"/>
  <c r="P10" i="2"/>
  <c r="Q10" i="2"/>
  <c r="M11" i="2"/>
  <c r="N11" i="2"/>
  <c r="O11" i="2"/>
  <c r="P11" i="2"/>
  <c r="Q11" i="2"/>
  <c r="M12" i="2"/>
  <c r="N12" i="2"/>
  <c r="O12" i="2"/>
  <c r="P12" i="2"/>
  <c r="Q12" i="2"/>
  <c r="M13" i="2"/>
  <c r="N13" i="2"/>
  <c r="O13" i="2"/>
  <c r="P13" i="2"/>
  <c r="Q13" i="2"/>
  <c r="M14" i="2"/>
  <c r="N14" i="2"/>
  <c r="O14" i="2"/>
  <c r="P14" i="2"/>
  <c r="Q14" i="2"/>
  <c r="M75" i="2"/>
  <c r="N75" i="2"/>
  <c r="O75" i="2"/>
  <c r="P75" i="2"/>
  <c r="Q75" i="2"/>
  <c r="M55" i="2"/>
  <c r="N55" i="2"/>
  <c r="O55" i="2"/>
  <c r="P55" i="2"/>
  <c r="Q55" i="2"/>
  <c r="AA15" i="2"/>
  <c r="W15" i="2"/>
  <c r="Z15" i="2"/>
  <c r="M16" i="2"/>
  <c r="N16" i="2"/>
  <c r="O16" i="2"/>
  <c r="P16" i="2"/>
  <c r="Q16" i="2"/>
  <c r="M17" i="2"/>
  <c r="N17" i="2"/>
  <c r="O17" i="2"/>
  <c r="P17" i="2"/>
  <c r="Q17" i="2"/>
  <c r="M62" i="2"/>
  <c r="N62" i="2"/>
  <c r="O62" i="2"/>
  <c r="P62" i="2"/>
  <c r="Q62" i="2"/>
  <c r="M18" i="2"/>
  <c r="N18" i="2"/>
  <c r="O18" i="2"/>
  <c r="P18" i="2"/>
  <c r="Q18" i="2"/>
  <c r="M9" i="2"/>
  <c r="N9" i="2"/>
  <c r="O9" i="2"/>
  <c r="P9" i="2"/>
  <c r="Q9" i="2"/>
  <c r="X9" i="2"/>
  <c r="M19" i="2"/>
  <c r="N19" i="2"/>
  <c r="O19" i="2"/>
  <c r="P19" i="2"/>
  <c r="Q19" i="2"/>
  <c r="M20" i="2"/>
  <c r="N20" i="2"/>
  <c r="O20" i="2"/>
  <c r="P20" i="2"/>
  <c r="Q20" i="2"/>
  <c r="M21" i="2"/>
  <c r="N21" i="2"/>
  <c r="O21" i="2"/>
  <c r="P21" i="2"/>
  <c r="Q21" i="2"/>
  <c r="M22" i="2"/>
  <c r="N22" i="2"/>
  <c r="O22" i="2"/>
  <c r="P22" i="2"/>
  <c r="Q22" i="2"/>
  <c r="M23" i="2"/>
  <c r="N23" i="2"/>
  <c r="O23" i="2"/>
  <c r="P23" i="2"/>
  <c r="Q23" i="2"/>
  <c r="M24" i="2"/>
  <c r="N24" i="2"/>
  <c r="O24" i="2"/>
  <c r="P24" i="2"/>
  <c r="Q24" i="2"/>
  <c r="M25" i="2"/>
  <c r="N25" i="2"/>
  <c r="O25" i="2"/>
  <c r="P25" i="2"/>
  <c r="Q25" i="2"/>
  <c r="M26" i="2"/>
  <c r="N26" i="2"/>
  <c r="O26" i="2"/>
  <c r="P26" i="2"/>
  <c r="Q26" i="2"/>
  <c r="Y26" i="2"/>
  <c r="M27" i="2"/>
  <c r="N27" i="2"/>
  <c r="O27" i="2"/>
  <c r="P27" i="2"/>
  <c r="Q27" i="2"/>
  <c r="M28" i="2"/>
  <c r="N28" i="2"/>
  <c r="O28" i="2"/>
  <c r="P28" i="2"/>
  <c r="Q28" i="2"/>
  <c r="M29" i="2"/>
  <c r="N29" i="2"/>
  <c r="O29" i="2"/>
  <c r="P29" i="2"/>
  <c r="Q29" i="2"/>
  <c r="M30" i="2"/>
  <c r="N30" i="2"/>
  <c r="O30" i="2"/>
  <c r="P30" i="2"/>
  <c r="Q30" i="2"/>
  <c r="M31" i="2"/>
  <c r="N31" i="2"/>
  <c r="O31" i="2"/>
  <c r="P31" i="2"/>
  <c r="Q31" i="2"/>
  <c r="M32" i="2"/>
  <c r="N32" i="2"/>
  <c r="O32" i="2"/>
  <c r="P32" i="2"/>
  <c r="Q32" i="2"/>
  <c r="M33" i="2"/>
  <c r="N33" i="2"/>
  <c r="O33" i="2"/>
  <c r="P33" i="2"/>
  <c r="Q33" i="2"/>
  <c r="M34" i="2"/>
  <c r="N34" i="2"/>
  <c r="O34" i="2"/>
  <c r="P34" i="2"/>
  <c r="Q34" i="2"/>
  <c r="M35" i="2"/>
  <c r="N35" i="2"/>
  <c r="O35" i="2"/>
  <c r="P35" i="2"/>
  <c r="Q35" i="2"/>
  <c r="M36" i="2"/>
  <c r="N36" i="2"/>
  <c r="O36" i="2"/>
  <c r="P36" i="2"/>
  <c r="Q36" i="2"/>
  <c r="W37" i="2"/>
  <c r="M38" i="2"/>
  <c r="N38" i="2"/>
  <c r="O38" i="2"/>
  <c r="P38" i="2"/>
  <c r="Q38" i="2"/>
  <c r="M40" i="2"/>
  <c r="N40" i="2"/>
  <c r="O40" i="2"/>
  <c r="P40" i="2"/>
  <c r="Q40" i="2"/>
  <c r="M39" i="2"/>
  <c r="N39" i="2"/>
  <c r="O39" i="2"/>
  <c r="P39" i="2"/>
  <c r="Q39" i="2"/>
  <c r="M41" i="2"/>
  <c r="N41" i="2"/>
  <c r="O41" i="2"/>
  <c r="P41" i="2"/>
  <c r="Q41" i="2"/>
  <c r="M42" i="2"/>
  <c r="N42" i="2"/>
  <c r="O42" i="2"/>
  <c r="P42" i="2"/>
  <c r="Q42" i="2"/>
  <c r="M43" i="2"/>
  <c r="N43" i="2"/>
  <c r="O43" i="2"/>
  <c r="P43" i="2"/>
  <c r="Q43" i="2"/>
  <c r="M44" i="2"/>
  <c r="N44" i="2"/>
  <c r="O44" i="2"/>
  <c r="P44" i="2"/>
  <c r="Q44" i="2"/>
  <c r="M46" i="2"/>
  <c r="N46" i="2"/>
  <c r="O46" i="2"/>
  <c r="P46" i="2"/>
  <c r="Q46" i="2"/>
  <c r="M47" i="2"/>
  <c r="N47" i="2"/>
  <c r="O47" i="2"/>
  <c r="P47" i="2"/>
  <c r="Q47" i="2"/>
  <c r="M48" i="2"/>
  <c r="N48" i="2"/>
  <c r="O48" i="2"/>
  <c r="P48" i="2"/>
  <c r="Q48" i="2"/>
  <c r="M49" i="2"/>
  <c r="N49" i="2"/>
  <c r="O49" i="2"/>
  <c r="P49" i="2"/>
  <c r="Q49" i="2"/>
  <c r="M50" i="2"/>
  <c r="N50" i="2"/>
  <c r="O50" i="2"/>
  <c r="P50" i="2"/>
  <c r="Q50" i="2"/>
  <c r="M51" i="2"/>
  <c r="N51" i="2"/>
  <c r="O51" i="2"/>
  <c r="P51" i="2"/>
  <c r="Q51" i="2"/>
  <c r="M52" i="2"/>
  <c r="N52" i="2"/>
  <c r="O52" i="2"/>
  <c r="P52" i="2"/>
  <c r="Q52" i="2"/>
  <c r="M53" i="2"/>
  <c r="N53" i="2"/>
  <c r="O53" i="2"/>
  <c r="P53" i="2"/>
  <c r="Q53" i="2"/>
  <c r="M54" i="2"/>
  <c r="N54" i="2"/>
  <c r="O54" i="2"/>
  <c r="P54" i="2"/>
  <c r="Q54" i="2"/>
  <c r="M56" i="2"/>
  <c r="N56" i="2"/>
  <c r="O56" i="2"/>
  <c r="P56" i="2"/>
  <c r="Q56" i="2"/>
  <c r="M57" i="2"/>
  <c r="N57" i="2"/>
  <c r="O57" i="2"/>
  <c r="P57" i="2"/>
  <c r="Q57" i="2"/>
  <c r="M58" i="2"/>
  <c r="N58" i="2"/>
  <c r="O58" i="2"/>
  <c r="P58" i="2"/>
  <c r="Q58" i="2"/>
  <c r="M59" i="2"/>
  <c r="N59" i="2"/>
  <c r="O59" i="2"/>
  <c r="P59" i="2"/>
  <c r="Q59" i="2"/>
  <c r="M60" i="2"/>
  <c r="N60" i="2"/>
  <c r="O60" i="2"/>
  <c r="P60" i="2"/>
  <c r="Q60" i="2"/>
  <c r="M61" i="2"/>
  <c r="N61" i="2"/>
  <c r="O61" i="2"/>
  <c r="P61" i="2"/>
  <c r="Q61" i="2"/>
  <c r="M63" i="2"/>
  <c r="N63" i="2"/>
  <c r="O63" i="2"/>
  <c r="P63" i="2"/>
  <c r="Q63" i="2"/>
  <c r="M64" i="2"/>
  <c r="N64" i="2"/>
  <c r="O64" i="2"/>
  <c r="P64" i="2"/>
  <c r="Q64" i="2"/>
  <c r="M65" i="2"/>
  <c r="N65" i="2"/>
  <c r="O65" i="2"/>
  <c r="P65" i="2"/>
  <c r="Q65" i="2"/>
  <c r="M45" i="2"/>
  <c r="N45" i="2"/>
  <c r="O45" i="2"/>
  <c r="P45" i="2"/>
  <c r="Q45" i="2"/>
  <c r="M66" i="2"/>
  <c r="N66" i="2"/>
  <c r="O66" i="2"/>
  <c r="P66" i="2"/>
  <c r="Q66" i="2"/>
  <c r="M67" i="2"/>
  <c r="N67" i="2"/>
  <c r="O67" i="2"/>
  <c r="P67" i="2"/>
  <c r="Q67" i="2"/>
  <c r="M68" i="2"/>
  <c r="N68" i="2"/>
  <c r="O68" i="2"/>
  <c r="P68" i="2"/>
  <c r="Q68" i="2"/>
  <c r="M69" i="2"/>
  <c r="N69" i="2"/>
  <c r="O69" i="2"/>
  <c r="P69" i="2"/>
  <c r="Q69" i="2"/>
  <c r="M70" i="2"/>
  <c r="N70" i="2"/>
  <c r="O70" i="2"/>
  <c r="P70" i="2"/>
  <c r="Q70" i="2"/>
  <c r="M71" i="2"/>
  <c r="N71" i="2"/>
  <c r="O71" i="2"/>
  <c r="P71" i="2"/>
  <c r="Q71" i="2"/>
  <c r="M72" i="2"/>
  <c r="N72" i="2"/>
  <c r="O72" i="2"/>
  <c r="P72" i="2"/>
  <c r="Q72" i="2"/>
  <c r="M73" i="2"/>
  <c r="N73" i="2"/>
  <c r="O73" i="2"/>
  <c r="P73" i="2"/>
  <c r="Q73" i="2"/>
  <c r="M77" i="2"/>
  <c r="N77" i="2"/>
  <c r="O77" i="2"/>
  <c r="P77" i="2"/>
  <c r="Q77" i="2"/>
  <c r="M74" i="2"/>
  <c r="N74" i="2"/>
  <c r="O74" i="2"/>
  <c r="P74" i="2"/>
  <c r="Q74" i="2"/>
  <c r="M76" i="2"/>
  <c r="N76" i="2"/>
  <c r="O76" i="2"/>
  <c r="P76" i="2"/>
  <c r="Q76" i="2"/>
  <c r="M78" i="2"/>
  <c r="N78" i="2"/>
  <c r="O78" i="2"/>
  <c r="P78" i="2"/>
  <c r="Q78" i="2"/>
  <c r="M79" i="2"/>
  <c r="N79" i="2"/>
  <c r="O79" i="2"/>
  <c r="P79" i="2"/>
  <c r="Q79" i="2"/>
  <c r="N2" i="2"/>
  <c r="M2" i="2"/>
  <c r="O2" i="2"/>
  <c r="P2" i="2"/>
  <c r="Q2" i="2"/>
  <c r="W76" i="3"/>
  <c r="V52" i="3"/>
  <c r="U108" i="3"/>
  <c r="U97" i="3"/>
  <c r="W84" i="3"/>
  <c r="W44" i="3"/>
  <c r="T114" i="3"/>
  <c r="T94" i="3"/>
  <c r="T97" i="3"/>
  <c r="V10" i="3"/>
  <c r="V72" i="3"/>
  <c r="W72" i="3"/>
  <c r="W121" i="3"/>
  <c r="W100" i="3"/>
  <c r="W18" i="3"/>
  <c r="W79" i="3"/>
  <c r="W51" i="3"/>
  <c r="W50" i="3"/>
  <c r="W43" i="3"/>
  <c r="W32" i="3"/>
  <c r="W31" i="3"/>
  <c r="U11" i="3"/>
  <c r="U79" i="3"/>
  <c r="U78" i="3"/>
  <c r="U74" i="3"/>
  <c r="U71" i="3"/>
  <c r="U66" i="3"/>
  <c r="U65" i="3"/>
  <c r="U54" i="3"/>
  <c r="U53" i="3"/>
  <c r="U52" i="3"/>
  <c r="U51" i="3"/>
  <c r="U48" i="3"/>
  <c r="U45" i="3"/>
  <c r="U43" i="3"/>
  <c r="U41" i="3"/>
  <c r="U40" i="3"/>
  <c r="U38" i="3"/>
  <c r="U35" i="3"/>
  <c r="T22" i="3"/>
  <c r="T11" i="3"/>
  <c r="T89" i="3"/>
  <c r="T88" i="3"/>
  <c r="T82" i="3"/>
  <c r="T79" i="3"/>
  <c r="T78" i="3"/>
  <c r="T73" i="3"/>
  <c r="T69" i="3"/>
  <c r="T64" i="3"/>
  <c r="T63" i="3"/>
  <c r="T61" i="3"/>
  <c r="T52" i="3"/>
  <c r="T51" i="3"/>
  <c r="T49" i="3"/>
  <c r="T46" i="3"/>
  <c r="T47" i="3"/>
  <c r="T45" i="3"/>
  <c r="T43" i="3"/>
  <c r="T41" i="3"/>
  <c r="T40" i="3"/>
  <c r="T32" i="3"/>
  <c r="T31" i="3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N56" i="1"/>
  <c r="L57" i="1"/>
  <c r="K58" i="1"/>
  <c r="L59" i="1"/>
  <c r="N60" i="1"/>
  <c r="N62" i="1"/>
  <c r="M63" i="1"/>
  <c r="K64" i="1"/>
  <c r="N65" i="1"/>
  <c r="L66" i="1"/>
  <c r="K67" i="1"/>
  <c r="L68" i="1"/>
  <c r="K69" i="1"/>
  <c r="M70" i="1"/>
  <c r="M72" i="1"/>
  <c r="L73" i="1"/>
  <c r="K74" i="1"/>
  <c r="L134" i="1"/>
  <c r="L135" i="1"/>
  <c r="J136" i="1"/>
  <c r="L152" i="1"/>
  <c r="M154" i="1"/>
  <c r="K155" i="1"/>
  <c r="L156" i="1"/>
  <c r="J158" i="1"/>
  <c r="K159" i="1"/>
  <c r="L160" i="1"/>
  <c r="M161" i="1"/>
  <c r="J162" i="1"/>
  <c r="K163" i="1"/>
  <c r="L164" i="1"/>
  <c r="M165" i="1"/>
  <c r="M166" i="1"/>
  <c r="K167" i="1"/>
  <c r="L168" i="1"/>
  <c r="M169" i="1"/>
  <c r="J170" i="1"/>
  <c r="K171" i="1"/>
  <c r="L172" i="1"/>
  <c r="J174" i="1"/>
  <c r="K175" i="1"/>
  <c r="L176" i="1"/>
  <c r="M177" i="1"/>
  <c r="M178" i="1"/>
  <c r="K179" i="1"/>
  <c r="L180" i="1"/>
  <c r="J182" i="1"/>
  <c r="K183" i="1"/>
  <c r="L184" i="1"/>
  <c r="M185" i="1"/>
  <c r="J186" i="1"/>
  <c r="K187" i="1"/>
  <c r="L188" i="1"/>
  <c r="M190" i="1"/>
  <c r="K191" i="1"/>
  <c r="L192" i="1"/>
  <c r="M193" i="1"/>
  <c r="J194" i="1"/>
  <c r="K195" i="1"/>
  <c r="L196" i="1"/>
  <c r="J198" i="1"/>
  <c r="K199" i="1"/>
  <c r="L200" i="1"/>
  <c r="M201" i="1"/>
  <c r="M202" i="1"/>
  <c r="K203" i="1"/>
  <c r="L204" i="1"/>
  <c r="J206" i="1"/>
  <c r="K207" i="1"/>
  <c r="L208" i="1"/>
  <c r="M209" i="1"/>
  <c r="J210" i="1"/>
  <c r="K211" i="1"/>
  <c r="L212" i="1"/>
  <c r="M213" i="1"/>
  <c r="M214" i="1"/>
  <c r="K215" i="1"/>
  <c r="L216" i="1"/>
  <c r="J218" i="1"/>
  <c r="K219" i="1"/>
  <c r="L220" i="1"/>
  <c r="J222" i="1"/>
  <c r="K223" i="1"/>
  <c r="M224" i="1"/>
  <c r="J225" i="1"/>
  <c r="L226" i="1"/>
  <c r="L227" i="1"/>
  <c r="M228" i="1"/>
  <c r="J229" i="1"/>
  <c r="J230" i="1"/>
  <c r="K231" i="1"/>
  <c r="M232" i="1"/>
  <c r="J233" i="1"/>
  <c r="L234" i="1"/>
  <c r="M235" i="1"/>
  <c r="J236" i="1"/>
  <c r="M238" i="1"/>
  <c r="M239" i="1"/>
  <c r="J240" i="1"/>
  <c r="K241" i="1"/>
  <c r="L242" i="1"/>
  <c r="M243" i="1"/>
  <c r="J244" i="1"/>
  <c r="K246" i="1"/>
  <c r="M247" i="1"/>
  <c r="J248" i="1"/>
  <c r="M250" i="1"/>
  <c r="M251" i="1"/>
  <c r="J252" i="1"/>
  <c r="K254" i="1"/>
  <c r="L255" i="1"/>
  <c r="K256" i="1"/>
  <c r="K258" i="1"/>
  <c r="L259" i="1"/>
  <c r="K260" i="1"/>
  <c r="K261" i="1"/>
  <c r="K262" i="1"/>
  <c r="L263" i="1"/>
  <c r="K264" i="1"/>
  <c r="K265" i="1"/>
  <c r="K266" i="1"/>
  <c r="L267" i="1"/>
  <c r="K268" i="1"/>
  <c r="K269" i="1"/>
  <c r="K270" i="1"/>
  <c r="M271" i="1"/>
  <c r="J272" i="1"/>
  <c r="J273" i="1"/>
  <c r="L274" i="1"/>
  <c r="J275" i="1"/>
  <c r="L276" i="1"/>
  <c r="L277" i="1"/>
  <c r="L278" i="1"/>
  <c r="J279" i="1"/>
  <c r="L280" i="1"/>
  <c r="L282" i="1"/>
  <c r="J283" i="1"/>
  <c r="L284" i="1"/>
  <c r="L317" i="1"/>
  <c r="K326" i="1"/>
  <c r="J327" i="1"/>
  <c r="J328" i="1"/>
  <c r="L330" i="1"/>
  <c r="J331" i="1"/>
  <c r="J332" i="1"/>
  <c r="K333" i="1"/>
  <c r="L334" i="1"/>
  <c r="J335" i="1"/>
  <c r="J336" i="1"/>
  <c r="K337" i="1"/>
  <c r="K338" i="1"/>
  <c r="J339" i="1"/>
  <c r="J340" i="1"/>
  <c r="K341" i="1"/>
  <c r="L342" i="1"/>
  <c r="J343" i="1"/>
  <c r="J344" i="1"/>
  <c r="J346" i="1"/>
  <c r="J347" i="1"/>
  <c r="J348" i="1"/>
  <c r="K349" i="1"/>
  <c r="K350" i="1"/>
  <c r="J351" i="1"/>
  <c r="J352" i="1"/>
  <c r="K353" i="1"/>
  <c r="J354" i="1"/>
  <c r="J355" i="1"/>
  <c r="J356" i="1"/>
  <c r="L358" i="1"/>
  <c r="AI6" i="4"/>
  <c r="T4" i="8"/>
  <c r="T9" i="8"/>
  <c r="AI6" i="7"/>
  <c r="AI9" i="7"/>
  <c r="AQ6" i="2"/>
  <c r="AR6" i="2"/>
  <c r="U4" i="8"/>
  <c r="U9" i="8"/>
  <c r="AI2" i="8"/>
  <c r="AJ6" i="4"/>
  <c r="AK6" i="4"/>
  <c r="AK13" i="4"/>
  <c r="AL6" i="4"/>
  <c r="AL7" i="4"/>
  <c r="AU10" i="2"/>
  <c r="AU12" i="2"/>
  <c r="AT12" i="2"/>
  <c r="AT10" i="2"/>
  <c r="AS12" i="2"/>
  <c r="AS10" i="2"/>
  <c r="AR12" i="2"/>
  <c r="AR10" i="2"/>
  <c r="AQ10" i="2"/>
  <c r="AQ12" i="2"/>
  <c r="AJ13" i="6"/>
  <c r="AK11" i="6"/>
  <c r="AI6" i="5"/>
  <c r="AJ6" i="5"/>
  <c r="AJ13" i="5"/>
  <c r="AK6" i="5"/>
  <c r="AK13" i="5"/>
  <c r="AH6" i="5"/>
  <c r="AQ6" i="3"/>
  <c r="AR6" i="3"/>
  <c r="AR13" i="3"/>
  <c r="AS6" i="3"/>
  <c r="AS11" i="3"/>
  <c r="AP6" i="3"/>
  <c r="AS6" i="2"/>
  <c r="AS11" i="2"/>
  <c r="AT6" i="2"/>
  <c r="AU6" i="2"/>
  <c r="AJ6" i="7"/>
  <c r="AK6" i="7"/>
  <c r="AK9" i="7"/>
  <c r="AL9" i="7"/>
  <c r="M61" i="1"/>
  <c r="O61" i="1"/>
  <c r="N61" i="1"/>
  <c r="J313" i="1"/>
  <c r="O313" i="1"/>
  <c r="M313" i="1"/>
  <c r="K24" i="1"/>
  <c r="O24" i="1"/>
  <c r="J314" i="1"/>
  <c r="O314" i="1"/>
  <c r="M37" i="1"/>
  <c r="J263" i="1"/>
  <c r="M179" i="1"/>
  <c r="M29" i="1"/>
  <c r="M211" i="1"/>
  <c r="W78" i="2"/>
  <c r="W57" i="2"/>
  <c r="AA48" i="2"/>
  <c r="AA43" i="2"/>
  <c r="W43" i="2"/>
  <c r="AL6" i="5"/>
  <c r="W51" i="2"/>
  <c r="X34" i="2"/>
  <c r="Y28" i="2"/>
  <c r="AA23" i="2"/>
  <c r="AA8" i="2"/>
  <c r="W8" i="2"/>
  <c r="Q81" i="2"/>
  <c r="AA29" i="2"/>
  <c r="W29" i="2"/>
  <c r="X55" i="2"/>
  <c r="X14" i="2"/>
  <c r="X78" i="2"/>
  <c r="W72" i="2"/>
  <c r="W71" i="2"/>
  <c r="W65" i="2"/>
  <c r="W64" i="2"/>
  <c r="AA31" i="2"/>
  <c r="W75" i="2"/>
  <c r="AR11" i="2"/>
  <c r="AA78" i="2"/>
  <c r="AA73" i="2"/>
  <c r="W73" i="2"/>
  <c r="AA45" i="2"/>
  <c r="W45" i="2"/>
  <c r="W61" i="2"/>
  <c r="X57" i="2"/>
  <c r="W47" i="2"/>
  <c r="Z29" i="2"/>
  <c r="Y20" i="2"/>
  <c r="Y14" i="2"/>
  <c r="Z8" i="2"/>
  <c r="AH86" i="2"/>
  <c r="AI86" i="2"/>
  <c r="AJ86" i="2"/>
  <c r="AH88" i="2"/>
  <c r="AJ88" i="2"/>
  <c r="AI88" i="2"/>
  <c r="AH85" i="2"/>
  <c r="AJ85" i="2"/>
  <c r="AI85" i="2"/>
  <c r="W76" i="2"/>
  <c r="AA57" i="2"/>
  <c r="AA52" i="2"/>
  <c r="AA40" i="2"/>
  <c r="Z38" i="2"/>
  <c r="Y34" i="2"/>
  <c r="W25" i="2"/>
  <c r="AA21" i="2"/>
  <c r="W21" i="2"/>
  <c r="W6" i="2"/>
  <c r="X5" i="2"/>
  <c r="AJ87" i="2"/>
  <c r="AH87" i="2"/>
  <c r="AI87" i="2"/>
  <c r="AA69" i="2"/>
  <c r="W56" i="2"/>
  <c r="AA51" i="2"/>
  <c r="X48" i="2"/>
  <c r="W42" i="2"/>
  <c r="W33" i="2"/>
  <c r="Z30" i="2"/>
  <c r="W27" i="2"/>
  <c r="X26" i="2"/>
  <c r="Z21" i="2"/>
  <c r="W18" i="2"/>
  <c r="W13" i="2"/>
  <c r="Z10" i="2"/>
  <c r="Z6" i="2"/>
  <c r="AT6" i="3"/>
  <c r="AH13" i="6"/>
  <c r="AH11" i="6"/>
  <c r="AL6" i="6"/>
  <c r="AI7" i="4"/>
  <c r="AI8" i="4"/>
  <c r="AM6" i="4"/>
  <c r="AQ13" i="2"/>
  <c r="AV6" i="2"/>
  <c r="AH84" i="2"/>
  <c r="AI84" i="2"/>
  <c r="AJ84" i="2"/>
  <c r="K239" i="1"/>
  <c r="M203" i="1"/>
  <c r="L247" i="1"/>
  <c r="J255" i="1"/>
  <c r="M171" i="1"/>
  <c r="M45" i="1"/>
  <c r="L271" i="1"/>
  <c r="M155" i="1"/>
  <c r="M187" i="1"/>
  <c r="M219" i="1"/>
  <c r="K303" i="1"/>
  <c r="M53" i="1"/>
  <c r="M279" i="1"/>
  <c r="M163" i="1"/>
  <c r="M195" i="1"/>
  <c r="J227" i="1"/>
  <c r="L308" i="1"/>
  <c r="K308" i="1"/>
  <c r="K293" i="1"/>
  <c r="L146" i="1"/>
  <c r="AU7" i="2"/>
  <c r="AU9" i="2"/>
  <c r="AU11" i="2"/>
  <c r="AT7" i="2"/>
  <c r="AT8" i="2"/>
  <c r="AT11" i="2"/>
  <c r="AJ7" i="7"/>
  <c r="AJ9" i="7"/>
  <c r="X25" i="4"/>
  <c r="W2" i="4"/>
  <c r="V29" i="4"/>
  <c r="U27" i="4"/>
  <c r="X5" i="4"/>
  <c r="M24" i="1"/>
  <c r="K327" i="1"/>
  <c r="L343" i="1"/>
  <c r="J25" i="1"/>
  <c r="J33" i="1"/>
  <c r="J41" i="1"/>
  <c r="J49" i="1"/>
  <c r="L61" i="1"/>
  <c r="K255" i="1"/>
  <c r="K263" i="1"/>
  <c r="J271" i="1"/>
  <c r="L279" i="1"/>
  <c r="L235" i="1"/>
  <c r="L243" i="1"/>
  <c r="K251" i="1"/>
  <c r="J159" i="1"/>
  <c r="J167" i="1"/>
  <c r="J175" i="1"/>
  <c r="J183" i="1"/>
  <c r="J191" i="1"/>
  <c r="J199" i="1"/>
  <c r="J207" i="1"/>
  <c r="J215" i="1"/>
  <c r="L223" i="1"/>
  <c r="L231" i="1"/>
  <c r="K331" i="1"/>
  <c r="K343" i="1"/>
  <c r="M25" i="1"/>
  <c r="M33" i="1"/>
  <c r="M41" i="1"/>
  <c r="M49" i="1"/>
  <c r="M136" i="1"/>
  <c r="J259" i="1"/>
  <c r="J267" i="1"/>
  <c r="M275" i="1"/>
  <c r="M283" i="1"/>
  <c r="K235" i="1"/>
  <c r="K243" i="1"/>
  <c r="L251" i="1"/>
  <c r="M159" i="1"/>
  <c r="M167" i="1"/>
  <c r="M175" i="1"/>
  <c r="M183" i="1"/>
  <c r="M191" i="1"/>
  <c r="M199" i="1"/>
  <c r="M207" i="1"/>
  <c r="M215" i="1"/>
  <c r="J223" i="1"/>
  <c r="J231" i="1"/>
  <c r="M335" i="1"/>
  <c r="K347" i="1"/>
  <c r="L143" i="1"/>
  <c r="J29" i="1"/>
  <c r="J37" i="1"/>
  <c r="J45" i="1"/>
  <c r="J53" i="1"/>
  <c r="L136" i="1"/>
  <c r="K259" i="1"/>
  <c r="K267" i="1"/>
  <c r="L275" i="1"/>
  <c r="L283" i="1"/>
  <c r="L239" i="1"/>
  <c r="K247" i="1"/>
  <c r="J155" i="1"/>
  <c r="J163" i="1"/>
  <c r="J171" i="1"/>
  <c r="J179" i="1"/>
  <c r="J187" i="1"/>
  <c r="J195" i="1"/>
  <c r="J203" i="1"/>
  <c r="J211" i="1"/>
  <c r="J219" i="1"/>
  <c r="K227" i="1"/>
  <c r="L327" i="1"/>
  <c r="M339" i="1"/>
  <c r="J69" i="1"/>
  <c r="L295" i="1"/>
  <c r="J146" i="1"/>
  <c r="L339" i="1"/>
  <c r="M351" i="1"/>
  <c r="K139" i="1"/>
  <c r="L299" i="1"/>
  <c r="K143" i="1"/>
  <c r="M295" i="1"/>
  <c r="K320" i="1"/>
  <c r="L319" i="1"/>
  <c r="L303" i="1"/>
  <c r="J308" i="1"/>
  <c r="J143" i="1"/>
  <c r="M320" i="1"/>
  <c r="M256" i="1"/>
  <c r="K285" i="1"/>
  <c r="L320" i="1"/>
  <c r="M146" i="1"/>
  <c r="M139" i="1"/>
  <c r="M303" i="1"/>
  <c r="U33" i="6"/>
  <c r="T20" i="6"/>
  <c r="T11" i="6"/>
  <c r="V4" i="6"/>
  <c r="T22" i="6"/>
  <c r="T35" i="6"/>
  <c r="T28" i="6"/>
  <c r="T6" i="6"/>
  <c r="U37" i="6"/>
  <c r="U29" i="6"/>
  <c r="U24" i="6"/>
  <c r="T16" i="6"/>
  <c r="T8" i="6"/>
  <c r="U4" i="6"/>
  <c r="V2" i="6"/>
  <c r="T43" i="6"/>
  <c r="T26" i="6"/>
  <c r="V41" i="6"/>
  <c r="W41" i="6"/>
  <c r="V36" i="6"/>
  <c r="W36" i="6"/>
  <c r="V32" i="6"/>
  <c r="W32" i="6"/>
  <c r="V27" i="6"/>
  <c r="W27" i="6"/>
  <c r="V25" i="6"/>
  <c r="W25" i="6"/>
  <c r="V23" i="6"/>
  <c r="W23" i="6"/>
  <c r="V18" i="6"/>
  <c r="W18" i="6"/>
  <c r="V14" i="6"/>
  <c r="W14" i="6"/>
  <c r="V9" i="6"/>
  <c r="W9" i="6"/>
  <c r="V7" i="6"/>
  <c r="W7" i="6"/>
  <c r="U21" i="6"/>
  <c r="U19" i="6"/>
  <c r="U15" i="6"/>
  <c r="U10" i="6"/>
  <c r="U8" i="6"/>
  <c r="U6" i="6"/>
  <c r="V3" i="6"/>
  <c r="V43" i="6"/>
  <c r="W43" i="6"/>
  <c r="T40" i="6"/>
  <c r="V40" i="6"/>
  <c r="W40" i="6"/>
  <c r="V22" i="6"/>
  <c r="W22" i="6"/>
  <c r="W37" i="6"/>
  <c r="V35" i="6"/>
  <c r="W35" i="6"/>
  <c r="V33" i="6"/>
  <c r="W33" i="6"/>
  <c r="V31" i="6"/>
  <c r="W31" i="6"/>
  <c r="V29" i="6"/>
  <c r="W29" i="6"/>
  <c r="V28" i="6"/>
  <c r="W28" i="6"/>
  <c r="V26" i="6"/>
  <c r="W26" i="6"/>
  <c r="V24" i="6"/>
  <c r="W24" i="6"/>
  <c r="V21" i="6"/>
  <c r="W21" i="6"/>
  <c r="V19" i="6"/>
  <c r="W19" i="6"/>
  <c r="T17" i="6"/>
  <c r="V17" i="6"/>
  <c r="W17" i="6"/>
  <c r="V15" i="6"/>
  <c r="W15" i="6"/>
  <c r="T12" i="6"/>
  <c r="V12" i="6"/>
  <c r="W12" i="6"/>
  <c r="V10" i="6"/>
  <c r="W10" i="6"/>
  <c r="V8" i="6"/>
  <c r="W8" i="6"/>
  <c r="V6" i="6"/>
  <c r="W6" i="6"/>
  <c r="V39" i="6"/>
  <c r="W39" i="6"/>
  <c r="V38" i="6"/>
  <c r="W38" i="6"/>
  <c r="V34" i="6"/>
  <c r="W34" i="6"/>
  <c r="V30" i="6"/>
  <c r="W30" i="6"/>
  <c r="V13" i="6"/>
  <c r="W13" i="6"/>
  <c r="T27" i="6"/>
  <c r="V20" i="6"/>
  <c r="W20" i="6"/>
  <c r="T18" i="6"/>
  <c r="V16" i="6"/>
  <c r="T14" i="6"/>
  <c r="W11" i="6"/>
  <c r="W2" i="6"/>
  <c r="U3" i="6"/>
  <c r="T2" i="6"/>
  <c r="U41" i="6"/>
  <c r="U39" i="6"/>
  <c r="U38" i="6"/>
  <c r="U36" i="6"/>
  <c r="U34" i="6"/>
  <c r="U32" i="6"/>
  <c r="U30" i="6"/>
  <c r="U13" i="6"/>
  <c r="U27" i="6"/>
  <c r="U25" i="6"/>
  <c r="U23" i="6"/>
  <c r="U20" i="6"/>
  <c r="U18" i="6"/>
  <c r="U14" i="6"/>
  <c r="U11" i="6"/>
  <c r="U9" i="6"/>
  <c r="U7" i="6"/>
  <c r="W5" i="6"/>
  <c r="W4" i="6"/>
  <c r="W3" i="6"/>
  <c r="X26" i="5"/>
  <c r="X24" i="5"/>
  <c r="W23" i="5"/>
  <c r="W22" i="5"/>
  <c r="W21" i="5"/>
  <c r="W20" i="5"/>
  <c r="W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W5" i="5"/>
  <c r="X4" i="5"/>
  <c r="X3" i="5"/>
  <c r="U26" i="4"/>
  <c r="U9" i="4"/>
  <c r="U8" i="4"/>
  <c r="U24" i="4"/>
  <c r="U5" i="4"/>
  <c r="U4" i="4"/>
  <c r="U3" i="4"/>
  <c r="U6" i="4"/>
  <c r="U23" i="4"/>
  <c r="U22" i="4"/>
  <c r="U21" i="4"/>
  <c r="U20" i="4"/>
  <c r="U19" i="4"/>
  <c r="U18" i="4"/>
  <c r="U17" i="4"/>
  <c r="U16" i="4"/>
  <c r="U15" i="4"/>
  <c r="X14" i="4"/>
  <c r="T28" i="3"/>
  <c r="T33" i="3"/>
  <c r="T54" i="3"/>
  <c r="T85" i="3"/>
  <c r="T6" i="3"/>
  <c r="U30" i="3"/>
  <c r="W57" i="3"/>
  <c r="U99" i="3"/>
  <c r="W30" i="3"/>
  <c r="W14" i="3"/>
  <c r="W13" i="3"/>
  <c r="U12" i="3"/>
  <c r="U9" i="3"/>
  <c r="U5" i="3"/>
  <c r="V118" i="3"/>
  <c r="V117" i="3"/>
  <c r="V115" i="3"/>
  <c r="V113" i="3"/>
  <c r="T113" i="3"/>
  <c r="T87" i="3"/>
  <c r="T37" i="3"/>
  <c r="U33" i="3"/>
  <c r="T30" i="3"/>
  <c r="T26" i="3"/>
  <c r="U26" i="3"/>
  <c r="T21" i="3"/>
  <c r="T56" i="3"/>
  <c r="T83" i="3"/>
  <c r="U15" i="3"/>
  <c r="W15" i="3"/>
  <c r="W24" i="3"/>
  <c r="W23" i="3"/>
  <c r="V22" i="3"/>
  <c r="W22" i="3"/>
  <c r="W16" i="3"/>
  <c r="W99" i="3"/>
  <c r="U63" i="3"/>
  <c r="V63" i="3"/>
  <c r="T57" i="3"/>
  <c r="U56" i="3"/>
  <c r="V31" i="3"/>
  <c r="T55" i="3"/>
  <c r="W63" i="3"/>
  <c r="V15" i="3"/>
  <c r="W8" i="3"/>
  <c r="U7" i="3"/>
  <c r="T7" i="3"/>
  <c r="U6" i="3"/>
  <c r="U119" i="3"/>
  <c r="V98" i="3"/>
  <c r="U94" i="3"/>
  <c r="V75" i="3"/>
  <c r="U50" i="3"/>
  <c r="T50" i="3"/>
  <c r="V44" i="3"/>
  <c r="U44" i="3"/>
  <c r="W41" i="3"/>
  <c r="V112" i="3"/>
  <c r="W106" i="3"/>
  <c r="V97" i="3"/>
  <c r="V18" i="3"/>
  <c r="V77" i="3"/>
  <c r="V73" i="3"/>
  <c r="V71" i="3"/>
  <c r="V51" i="3"/>
  <c r="V43" i="3"/>
  <c r="V36" i="3"/>
  <c r="W34" i="3"/>
  <c r="V29" i="3"/>
  <c r="W26" i="3"/>
  <c r="T53" i="3"/>
  <c r="T75" i="3"/>
  <c r="U73" i="3"/>
  <c r="U81" i="3"/>
  <c r="W2" i="3"/>
  <c r="V25" i="3"/>
  <c r="V16" i="3"/>
  <c r="V14" i="3"/>
  <c r="V4" i="3"/>
  <c r="V3" i="3"/>
  <c r="V42" i="3"/>
  <c r="V108" i="3"/>
  <c r="V107" i="3"/>
  <c r="V99" i="3"/>
  <c r="V91" i="3"/>
  <c r="V111" i="3"/>
  <c r="V102" i="3"/>
  <c r="V86" i="3"/>
  <c r="W85" i="3"/>
  <c r="U84" i="3"/>
  <c r="V74" i="3"/>
  <c r="W73" i="3"/>
  <c r="V65" i="3"/>
  <c r="W59" i="3"/>
  <c r="W58" i="3"/>
  <c r="V45" i="3"/>
  <c r="W38" i="3"/>
  <c r="U37" i="3"/>
  <c r="W36" i="3"/>
  <c r="W116" i="3"/>
  <c r="V101" i="3"/>
  <c r="W95" i="3"/>
  <c r="U92" i="3"/>
  <c r="V87" i="3"/>
  <c r="W83" i="3"/>
  <c r="W78" i="3"/>
  <c r="T76" i="3"/>
  <c r="U75" i="3"/>
  <c r="V67" i="3"/>
  <c r="T66" i="3"/>
  <c r="V61" i="3"/>
  <c r="V56" i="3"/>
  <c r="V46" i="3"/>
  <c r="W47" i="3"/>
  <c r="V32" i="3"/>
  <c r="V17" i="3"/>
  <c r="U17" i="3"/>
  <c r="W122" i="3"/>
  <c r="T122" i="3"/>
  <c r="W109" i="3"/>
  <c r="T109" i="3"/>
  <c r="U98" i="3"/>
  <c r="T98" i="3"/>
  <c r="W90" i="3"/>
  <c r="T90" i="3"/>
  <c r="V62" i="3"/>
  <c r="W62" i="3"/>
  <c r="V60" i="3"/>
  <c r="U60" i="3"/>
  <c r="T58" i="3"/>
  <c r="T62" i="3"/>
  <c r="T70" i="3"/>
  <c r="T3" i="3"/>
  <c r="U27" i="3"/>
  <c r="U62" i="3"/>
  <c r="U67" i="3"/>
  <c r="U3" i="3"/>
  <c r="W77" i="3"/>
  <c r="W111" i="3"/>
  <c r="W113" i="3"/>
  <c r="W3" i="3"/>
  <c r="T101" i="3"/>
  <c r="T2" i="3"/>
  <c r="T4" i="3"/>
  <c r="T5" i="3"/>
  <c r="T8" i="3"/>
  <c r="T9" i="3"/>
  <c r="T12" i="3"/>
  <c r="T13" i="3"/>
  <c r="T17" i="3"/>
  <c r="T18" i="3"/>
  <c r="T19" i="3"/>
  <c r="T23" i="3"/>
  <c r="T25" i="3"/>
  <c r="T34" i="3"/>
  <c r="T35" i="3"/>
  <c r="T38" i="3"/>
  <c r="T39" i="3"/>
  <c r="T59" i="3"/>
  <c r="T60" i="3"/>
  <c r="T67" i="3"/>
  <c r="T68" i="3"/>
  <c r="T71" i="3"/>
  <c r="T72" i="3"/>
  <c r="T77" i="3"/>
  <c r="T80" i="3"/>
  <c r="T84" i="3"/>
  <c r="T92" i="3"/>
  <c r="T93" i="3"/>
  <c r="T95" i="3"/>
  <c r="T96" i="3"/>
  <c r="T100" i="3"/>
  <c r="T103" i="3"/>
  <c r="T104" i="3"/>
  <c r="T105" i="3"/>
  <c r="T106" i="3"/>
  <c r="T107" i="3"/>
  <c r="T108" i="3"/>
  <c r="T110" i="3"/>
  <c r="T111" i="3"/>
  <c r="T112" i="3"/>
  <c r="T115" i="3"/>
  <c r="T116" i="3"/>
  <c r="T117" i="3"/>
  <c r="T118" i="3"/>
  <c r="T119" i="3"/>
  <c r="T120" i="3"/>
  <c r="T121" i="3"/>
  <c r="AC131" i="3"/>
  <c r="W4" i="3"/>
  <c r="U117" i="3"/>
  <c r="V114" i="3"/>
  <c r="W114" i="3"/>
  <c r="U105" i="3"/>
  <c r="U103" i="3"/>
  <c r="W103" i="3"/>
  <c r="U96" i="3"/>
  <c r="W91" i="3"/>
  <c r="U111" i="3"/>
  <c r="V82" i="3"/>
  <c r="W82" i="3"/>
  <c r="W80" i="3"/>
  <c r="U80" i="3"/>
  <c r="V70" i="3"/>
  <c r="W69" i="3"/>
  <c r="W68" i="3"/>
  <c r="W67" i="3"/>
  <c r="V28" i="3"/>
  <c r="V27" i="3"/>
  <c r="U28" i="3"/>
  <c r="U36" i="3"/>
  <c r="U58" i="3"/>
  <c r="U77" i="3"/>
  <c r="U85" i="3"/>
  <c r="U4" i="3"/>
  <c r="U20" i="3"/>
  <c r="W105" i="3"/>
  <c r="W117" i="3"/>
  <c r="U102" i="3"/>
  <c r="U113" i="3"/>
  <c r="U42" i="3"/>
  <c r="V24" i="3"/>
  <c r="U24" i="3"/>
  <c r="V23" i="3"/>
  <c r="V21" i="3"/>
  <c r="W21" i="3"/>
  <c r="V8" i="3"/>
  <c r="W7" i="3"/>
  <c r="V5" i="3"/>
  <c r="W5" i="3"/>
  <c r="U115" i="3"/>
  <c r="V106" i="3"/>
  <c r="V104" i="3"/>
  <c r="W104" i="3"/>
  <c r="V93" i="3"/>
  <c r="W96" i="3"/>
  <c r="V92" i="3"/>
  <c r="W92" i="3"/>
  <c r="U72" i="3"/>
  <c r="V40" i="3"/>
  <c r="W40" i="3"/>
  <c r="W39" i="3"/>
  <c r="V38" i="3"/>
  <c r="W37" i="3"/>
  <c r="V35" i="3"/>
  <c r="W35" i="3"/>
  <c r="U29" i="3"/>
  <c r="U47" i="3"/>
  <c r="U49" i="3"/>
  <c r="U59" i="3"/>
  <c r="U70" i="3"/>
  <c r="U82" i="3"/>
  <c r="U86" i="3"/>
  <c r="U13" i="3"/>
  <c r="W29" i="3"/>
  <c r="W86" i="3"/>
  <c r="W97" i="3"/>
  <c r="W107" i="3"/>
  <c r="W119" i="3"/>
  <c r="W9" i="3"/>
  <c r="W25" i="3"/>
  <c r="W19" i="3"/>
  <c r="U91" i="3"/>
  <c r="U101" i="3"/>
  <c r="U114" i="3"/>
  <c r="V68" i="3"/>
  <c r="V2" i="3"/>
  <c r="V11" i="3"/>
  <c r="W11" i="3"/>
  <c r="U10" i="3"/>
  <c r="W10" i="3"/>
  <c r="W42" i="3"/>
  <c r="U121" i="3"/>
  <c r="U122" i="3"/>
  <c r="U120" i="3"/>
  <c r="W120" i="3"/>
  <c r="V110" i="3"/>
  <c r="U110" i="3"/>
  <c r="U109" i="3"/>
  <c r="W108" i="3"/>
  <c r="U107" i="3"/>
  <c r="U100" i="3"/>
  <c r="V94" i="3"/>
  <c r="W94" i="3"/>
  <c r="W102" i="3"/>
  <c r="U18" i="3"/>
  <c r="U90" i="3"/>
  <c r="U89" i="3"/>
  <c r="W89" i="3"/>
  <c r="V88" i="3"/>
  <c r="W88" i="3"/>
  <c r="U88" i="3"/>
  <c r="V78" i="3"/>
  <c r="V76" i="3"/>
  <c r="U76" i="3"/>
  <c r="W75" i="3"/>
  <c r="W74" i="3"/>
  <c r="V64" i="3"/>
  <c r="W64" i="3"/>
  <c r="U64" i="3"/>
  <c r="W61" i="3"/>
  <c r="W60" i="3"/>
  <c r="V59" i="3"/>
  <c r="W55" i="3"/>
  <c r="U55" i="3"/>
  <c r="V49" i="3"/>
  <c r="W48" i="3"/>
  <c r="W46" i="3"/>
  <c r="U2" i="3"/>
  <c r="V13" i="3"/>
  <c r="W12" i="3"/>
  <c r="V6" i="3"/>
  <c r="V116" i="3"/>
  <c r="W115" i="3"/>
  <c r="U112" i="3"/>
  <c r="V95" i="3"/>
  <c r="W98" i="3"/>
  <c r="U93" i="3"/>
  <c r="V84" i="3"/>
  <c r="V83" i="3"/>
  <c r="W81" i="3"/>
  <c r="V80" i="3"/>
  <c r="W66" i="3"/>
  <c r="W54" i="3"/>
  <c r="V48" i="3"/>
  <c r="W45" i="3"/>
  <c r="W33" i="3"/>
  <c r="U23" i="3"/>
  <c r="V20" i="3"/>
  <c r="V19" i="3"/>
  <c r="W17" i="3"/>
  <c r="U14" i="3"/>
  <c r="V120" i="3"/>
  <c r="W118" i="3"/>
  <c r="U116" i="3"/>
  <c r="V103" i="3"/>
  <c r="W101" i="3"/>
  <c r="W71" i="3"/>
  <c r="W87" i="3"/>
  <c r="AF131" i="3"/>
  <c r="U95" i="3"/>
  <c r="V89" i="3"/>
  <c r="V66" i="3"/>
  <c r="V57" i="3"/>
  <c r="V47" i="3"/>
  <c r="V34" i="3"/>
  <c r="W74" i="2"/>
  <c r="AA72" i="2"/>
  <c r="W67" i="2"/>
  <c r="AA65" i="2"/>
  <c r="Y63" i="2"/>
  <c r="Z54" i="2"/>
  <c r="Y38" i="2"/>
  <c r="W2" i="2"/>
  <c r="AA76" i="2"/>
  <c r="Y77" i="2"/>
  <c r="AA68" i="2"/>
  <c r="X61" i="2"/>
  <c r="AA56" i="2"/>
  <c r="Y53" i="2"/>
  <c r="X52" i="2"/>
  <c r="AA47" i="2"/>
  <c r="Z34" i="2"/>
  <c r="X33" i="2"/>
  <c r="X27" i="2"/>
  <c r="X19" i="2"/>
  <c r="Z9" i="2"/>
  <c r="X18" i="2"/>
  <c r="X75" i="2"/>
  <c r="Z12" i="2"/>
  <c r="AA11" i="2"/>
  <c r="Y7" i="2"/>
  <c r="X6" i="2"/>
  <c r="Z3" i="2"/>
  <c r="X2" i="2"/>
  <c r="AA42" i="2"/>
  <c r="Y39" i="2"/>
  <c r="X35" i="2"/>
  <c r="Z22" i="2"/>
  <c r="AA17" i="2"/>
  <c r="Y79" i="2"/>
  <c r="X73" i="2"/>
  <c r="X45" i="2"/>
  <c r="AA60" i="2"/>
  <c r="Z50" i="2"/>
  <c r="X43" i="2"/>
  <c r="X36" i="2"/>
  <c r="X28" i="2"/>
  <c r="Z26" i="2"/>
  <c r="X25" i="2"/>
  <c r="AA75" i="2"/>
  <c r="Z14" i="2"/>
  <c r="X13" i="2"/>
  <c r="AA6" i="2"/>
  <c r="Z5" i="2"/>
  <c r="X4" i="2"/>
  <c r="Z66" i="2"/>
  <c r="X66" i="2"/>
  <c r="Z58" i="2"/>
  <c r="W58" i="2"/>
  <c r="X58" i="2"/>
  <c r="Z49" i="2"/>
  <c r="W49" i="2"/>
  <c r="X49" i="2"/>
  <c r="Z44" i="2"/>
  <c r="W44" i="2"/>
  <c r="X44" i="2"/>
  <c r="Y17" i="2"/>
  <c r="W17" i="2"/>
  <c r="Z17" i="2"/>
  <c r="AA77" i="2"/>
  <c r="AA70" i="2"/>
  <c r="AA66" i="2"/>
  <c r="W66" i="2"/>
  <c r="AA63" i="2"/>
  <c r="AA59" i="2"/>
  <c r="W59" i="2"/>
  <c r="AA46" i="2"/>
  <c r="AA41" i="2"/>
  <c r="W41" i="2"/>
  <c r="W30" i="2"/>
  <c r="AA30" i="2"/>
  <c r="X30" i="2"/>
  <c r="AA22" i="2"/>
  <c r="W22" i="2"/>
  <c r="X22" i="2"/>
  <c r="AA18" i="2"/>
  <c r="AA13" i="2"/>
  <c r="AA2" i="2"/>
  <c r="X79" i="2"/>
  <c r="Y78" i="2"/>
  <c r="Z78" i="2"/>
  <c r="Z74" i="2"/>
  <c r="Y73" i="2"/>
  <c r="Z73" i="2"/>
  <c r="Z71" i="2"/>
  <c r="Y69" i="2"/>
  <c r="Z69" i="2"/>
  <c r="Z67" i="2"/>
  <c r="Y45" i="2"/>
  <c r="Z45" i="2"/>
  <c r="Z64" i="2"/>
  <c r="Y61" i="2"/>
  <c r="Z61" i="2"/>
  <c r="Z59" i="2"/>
  <c r="Y58" i="2"/>
  <c r="Y57" i="2"/>
  <c r="Z57" i="2"/>
  <c r="Y52" i="2"/>
  <c r="Z52" i="2"/>
  <c r="Y49" i="2"/>
  <c r="Y48" i="2"/>
  <c r="Z48" i="2"/>
  <c r="Z46" i="2"/>
  <c r="Y44" i="2"/>
  <c r="Z43" i="2"/>
  <c r="Z41" i="2"/>
  <c r="AA33" i="2"/>
  <c r="Y33" i="2"/>
  <c r="Z33" i="2"/>
  <c r="AA25" i="2"/>
  <c r="Y25" i="2"/>
  <c r="Z25" i="2"/>
  <c r="Y22" i="2"/>
  <c r="Z75" i="2"/>
  <c r="AA4" i="2"/>
  <c r="Z79" i="2"/>
  <c r="W79" i="2"/>
  <c r="Z77" i="2"/>
  <c r="X77" i="2"/>
  <c r="Z70" i="2"/>
  <c r="X70" i="2"/>
  <c r="W68" i="2"/>
  <c r="Z63" i="2"/>
  <c r="X63" i="2"/>
  <c r="W60" i="2"/>
  <c r="Z53" i="2"/>
  <c r="W53" i="2"/>
  <c r="X53" i="2"/>
  <c r="Z39" i="2"/>
  <c r="W39" i="2"/>
  <c r="X39" i="2"/>
  <c r="W36" i="2"/>
  <c r="AA36" i="2"/>
  <c r="W35" i="2"/>
  <c r="Z32" i="2"/>
  <c r="X32" i="2"/>
  <c r="Y32" i="2"/>
  <c r="W28" i="2"/>
  <c r="AA28" i="2"/>
  <c r="Z24" i="2"/>
  <c r="Y24" i="2"/>
  <c r="W20" i="2"/>
  <c r="AA20" i="2"/>
  <c r="W19" i="2"/>
  <c r="W16" i="2"/>
  <c r="AA16" i="2"/>
  <c r="X16" i="2"/>
  <c r="W7" i="2"/>
  <c r="AA7" i="2"/>
  <c r="X7" i="2"/>
  <c r="O81" i="2"/>
  <c r="P81" i="2"/>
  <c r="AA79" i="2"/>
  <c r="W77" i="2"/>
  <c r="W70" i="2"/>
  <c r="W69" i="2"/>
  <c r="W63" i="2"/>
  <c r="AA58" i="2"/>
  <c r="AA54" i="2"/>
  <c r="W54" i="2"/>
  <c r="AA53" i="2"/>
  <c r="W52" i="2"/>
  <c r="AA50" i="2"/>
  <c r="W50" i="2"/>
  <c r="AA49" i="2"/>
  <c r="W48" i="2"/>
  <c r="AA44" i="2"/>
  <c r="AA39" i="2"/>
  <c r="Y40" i="2"/>
  <c r="W40" i="2"/>
  <c r="Z40" i="2"/>
  <c r="AA38" i="2"/>
  <c r="W38" i="2"/>
  <c r="X38" i="2"/>
  <c r="AA35" i="2"/>
  <c r="Y31" i="2"/>
  <c r="W31" i="2"/>
  <c r="Z31" i="2"/>
  <c r="AA27" i="2"/>
  <c r="Y23" i="2"/>
  <c r="W23" i="2"/>
  <c r="Z23" i="2"/>
  <c r="X20" i="2"/>
  <c r="AA19" i="2"/>
  <c r="Y18" i="2"/>
  <c r="Z18" i="2"/>
  <c r="Y13" i="2"/>
  <c r="Z13" i="2"/>
  <c r="Z2" i="2"/>
  <c r="X76" i="2"/>
  <c r="Y76" i="2"/>
  <c r="Y74" i="2"/>
  <c r="X72" i="2"/>
  <c r="Y71" i="2"/>
  <c r="X68" i="2"/>
  <c r="Y68" i="2"/>
  <c r="X65" i="2"/>
  <c r="Y65" i="2"/>
  <c r="Y64" i="2"/>
  <c r="X60" i="2"/>
  <c r="Y60" i="2"/>
  <c r="Y59" i="2"/>
  <c r="X56" i="2"/>
  <c r="Y56" i="2"/>
  <c r="Y54" i="2"/>
  <c r="Y51" i="2"/>
  <c r="Y50" i="2"/>
  <c r="X47" i="2"/>
  <c r="Y47" i="2"/>
  <c r="Y46" i="2"/>
  <c r="X42" i="2"/>
  <c r="Y42" i="2"/>
  <c r="Y41" i="2"/>
  <c r="Z35" i="2"/>
  <c r="Z27" i="2"/>
  <c r="Z19" i="2"/>
  <c r="Z62" i="2"/>
  <c r="Y62" i="2"/>
  <c r="Z16" i="2"/>
  <c r="W55" i="2"/>
  <c r="AA55" i="2"/>
  <c r="Y11" i="2"/>
  <c r="W11" i="2"/>
  <c r="Z11" i="2"/>
  <c r="W10" i="2"/>
  <c r="AA10" i="2"/>
  <c r="AO80" i="2"/>
  <c r="AJ81" i="2"/>
  <c r="Y2" i="2"/>
  <c r="M81" i="2"/>
  <c r="X74" i="2"/>
  <c r="X71" i="2"/>
  <c r="X67" i="2"/>
  <c r="X64" i="2"/>
  <c r="X59" i="2"/>
  <c r="X54" i="2"/>
  <c r="X50" i="2"/>
  <c r="X46" i="2"/>
  <c r="X41" i="2"/>
  <c r="X37" i="2"/>
  <c r="Y35" i="2"/>
  <c r="W32" i="2"/>
  <c r="AA32" i="2"/>
  <c r="X29" i="2"/>
  <c r="Y27" i="2"/>
  <c r="W24" i="2"/>
  <c r="AA24" i="2"/>
  <c r="X21" i="2"/>
  <c r="Y19" i="2"/>
  <c r="W62" i="2"/>
  <c r="AA62" i="2"/>
  <c r="Y75" i="2"/>
  <c r="Y12" i="2"/>
  <c r="W12" i="2"/>
  <c r="AA12" i="2"/>
  <c r="X10" i="2"/>
  <c r="X8" i="2"/>
  <c r="Y6" i="2"/>
  <c r="Y3" i="2"/>
  <c r="W3" i="2"/>
  <c r="AA3" i="2"/>
  <c r="Y10" i="2"/>
  <c r="Y4" i="2"/>
  <c r="N81" i="2"/>
  <c r="Z76" i="2"/>
  <c r="AA74" i="2"/>
  <c r="Z72" i="2"/>
  <c r="AA71" i="2"/>
  <c r="Z68" i="2"/>
  <c r="AA67" i="2"/>
  <c r="Z65" i="2"/>
  <c r="AA64" i="2"/>
  <c r="Z60" i="2"/>
  <c r="Z56" i="2"/>
  <c r="Z51" i="2"/>
  <c r="Z47" i="2"/>
  <c r="Z42" i="2"/>
  <c r="X40" i="2"/>
  <c r="Z36" i="2"/>
  <c r="W34" i="2"/>
  <c r="AA34" i="2"/>
  <c r="X31" i="2"/>
  <c r="Z28" i="2"/>
  <c r="W26" i="2"/>
  <c r="AA26" i="2"/>
  <c r="X24" i="2"/>
  <c r="X23" i="2"/>
  <c r="Y21" i="2"/>
  <c r="Z20" i="2"/>
  <c r="Y9" i="2"/>
  <c r="W9" i="2"/>
  <c r="AA9" i="2"/>
  <c r="X62" i="2"/>
  <c r="X17" i="2"/>
  <c r="Z55" i="2"/>
  <c r="W14" i="2"/>
  <c r="AA14" i="2"/>
  <c r="X12" i="2"/>
  <c r="X11" i="2"/>
  <c r="Y8" i="2"/>
  <c r="Z7" i="2"/>
  <c r="W5" i="2"/>
  <c r="AA5" i="2"/>
  <c r="Z4" i="2"/>
  <c r="X3" i="2"/>
  <c r="M355" i="1"/>
  <c r="L355" i="1"/>
  <c r="L25" i="1"/>
  <c r="L29" i="1"/>
  <c r="L33" i="1"/>
  <c r="L37" i="1"/>
  <c r="L41" i="1"/>
  <c r="L45" i="1"/>
  <c r="L49" i="1"/>
  <c r="L53" i="1"/>
  <c r="K73" i="1"/>
  <c r="K136" i="1"/>
  <c r="M255" i="1"/>
  <c r="M259" i="1"/>
  <c r="M263" i="1"/>
  <c r="M267" i="1"/>
  <c r="K271" i="1"/>
  <c r="K275" i="1"/>
  <c r="K279" i="1"/>
  <c r="K283" i="1"/>
  <c r="J24" i="1"/>
  <c r="J235" i="1"/>
  <c r="J239" i="1"/>
  <c r="J243" i="1"/>
  <c r="J247" i="1"/>
  <c r="J251" i="1"/>
  <c r="L155" i="1"/>
  <c r="L159" i="1"/>
  <c r="L163" i="1"/>
  <c r="L167" i="1"/>
  <c r="L171" i="1"/>
  <c r="L175" i="1"/>
  <c r="L179" i="1"/>
  <c r="L183" i="1"/>
  <c r="L187" i="1"/>
  <c r="L191" i="1"/>
  <c r="L195" i="1"/>
  <c r="L199" i="1"/>
  <c r="L203" i="1"/>
  <c r="L207" i="1"/>
  <c r="L211" i="1"/>
  <c r="L215" i="1"/>
  <c r="L219" i="1"/>
  <c r="M223" i="1"/>
  <c r="M227" i="1"/>
  <c r="M231" i="1"/>
  <c r="M331" i="1"/>
  <c r="L335" i="1"/>
  <c r="K339" i="1"/>
  <c r="M347" i="1"/>
  <c r="L351" i="1"/>
  <c r="K355" i="1"/>
  <c r="L144" i="1"/>
  <c r="L24" i="1"/>
  <c r="M327" i="1"/>
  <c r="L331" i="1"/>
  <c r="K335" i="1"/>
  <c r="M343" i="1"/>
  <c r="L347" i="1"/>
  <c r="K351" i="1"/>
  <c r="K208" i="1"/>
  <c r="J321" i="1"/>
  <c r="M148" i="1"/>
  <c r="M170" i="1"/>
  <c r="M262" i="1"/>
  <c r="L230" i="1"/>
  <c r="K278" i="1"/>
  <c r="M218" i="1"/>
  <c r="J40" i="1"/>
  <c r="L238" i="1"/>
  <c r="L154" i="1"/>
  <c r="K68" i="1"/>
  <c r="M186" i="1"/>
  <c r="L202" i="1"/>
  <c r="J44" i="1"/>
  <c r="K135" i="1"/>
  <c r="M266" i="1"/>
  <c r="K282" i="1"/>
  <c r="M246" i="1"/>
  <c r="M194" i="1"/>
  <c r="K330" i="1"/>
  <c r="L166" i="1"/>
  <c r="L214" i="1"/>
  <c r="M182" i="1"/>
  <c r="J234" i="1"/>
  <c r="J48" i="1"/>
  <c r="M162" i="1"/>
  <c r="M206" i="1"/>
  <c r="K358" i="1"/>
  <c r="L178" i="1"/>
  <c r="M226" i="1"/>
  <c r="M198" i="1"/>
  <c r="J32" i="1"/>
  <c r="M254" i="1"/>
  <c r="M270" i="1"/>
  <c r="J242" i="1"/>
  <c r="J36" i="1"/>
  <c r="J52" i="1"/>
  <c r="M258" i="1"/>
  <c r="K274" i="1"/>
  <c r="J250" i="1"/>
  <c r="M174" i="1"/>
  <c r="M222" i="1"/>
  <c r="L190" i="1"/>
  <c r="M158" i="1"/>
  <c r="M210" i="1"/>
  <c r="J28" i="1"/>
  <c r="U2" i="5"/>
  <c r="X29" i="5"/>
  <c r="U24" i="5"/>
  <c r="X25" i="5"/>
  <c r="X28" i="5"/>
  <c r="W27" i="5"/>
  <c r="X2" i="5"/>
  <c r="W35" i="5"/>
  <c r="W34" i="5"/>
  <c r="X32" i="5"/>
  <c r="W33" i="5"/>
  <c r="W30" i="5"/>
  <c r="X31" i="5"/>
  <c r="U27" i="5"/>
  <c r="W26" i="5"/>
  <c r="U23" i="5"/>
  <c r="U22" i="5"/>
  <c r="U21" i="5"/>
  <c r="U20" i="5"/>
  <c r="U18" i="5"/>
  <c r="U17" i="5"/>
  <c r="U14" i="5"/>
  <c r="U12" i="5"/>
  <c r="U11" i="5"/>
  <c r="U8" i="5"/>
  <c r="U7" i="5"/>
  <c r="U6" i="5"/>
  <c r="U5" i="5"/>
  <c r="U4" i="5"/>
  <c r="U3" i="5"/>
  <c r="V2" i="5"/>
  <c r="U35" i="5"/>
  <c r="U34" i="5"/>
  <c r="U32" i="5"/>
  <c r="U30" i="5"/>
  <c r="U31" i="5"/>
  <c r="W29" i="5"/>
  <c r="W25" i="5"/>
  <c r="U9" i="5"/>
  <c r="U29" i="5"/>
  <c r="W28" i="5"/>
  <c r="X27" i="5"/>
  <c r="U25" i="5"/>
  <c r="W24" i="5"/>
  <c r="X23" i="5"/>
  <c r="X35" i="5"/>
  <c r="X34" i="5"/>
  <c r="X33" i="5"/>
  <c r="X21" i="5"/>
  <c r="X20" i="5"/>
  <c r="X19" i="5"/>
  <c r="W32" i="5"/>
  <c r="W31" i="5"/>
  <c r="W17" i="5"/>
  <c r="W15" i="5"/>
  <c r="W12" i="5"/>
  <c r="W10" i="5"/>
  <c r="W9" i="5"/>
  <c r="W4" i="5"/>
  <c r="W2" i="5"/>
  <c r="V35" i="5"/>
  <c r="V34" i="5"/>
  <c r="V32" i="5"/>
  <c r="V33" i="5"/>
  <c r="V30" i="5"/>
  <c r="V31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X30" i="5"/>
  <c r="X22" i="5"/>
  <c r="X5" i="5"/>
  <c r="W18" i="5"/>
  <c r="W16" i="5"/>
  <c r="W14" i="5"/>
  <c r="W13" i="5"/>
  <c r="W11" i="5"/>
  <c r="W8" i="5"/>
  <c r="W7" i="5"/>
  <c r="W6" i="5"/>
  <c r="W3" i="5"/>
  <c r="X7" i="4"/>
  <c r="X6" i="4"/>
  <c r="U2" i="4"/>
  <c r="X29" i="4"/>
  <c r="P31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V2" i="4"/>
  <c r="X27" i="4"/>
  <c r="X24" i="4"/>
  <c r="M31" i="4"/>
  <c r="X2" i="4"/>
  <c r="W29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X22" i="4"/>
  <c r="X21" i="4"/>
  <c r="X20" i="4"/>
  <c r="X19" i="4"/>
  <c r="X18" i="4"/>
  <c r="X17" i="4"/>
  <c r="X16" i="4"/>
  <c r="X15" i="4"/>
  <c r="X13" i="4"/>
  <c r="X12" i="4"/>
  <c r="X11" i="4"/>
  <c r="X9" i="4"/>
  <c r="X8" i="4"/>
  <c r="X4" i="4"/>
  <c r="X3" i="4"/>
  <c r="N31" i="4"/>
  <c r="J338" i="1"/>
  <c r="K334" i="1"/>
  <c r="J137" i="1"/>
  <c r="K311" i="1"/>
  <c r="K296" i="1"/>
  <c r="K137" i="1"/>
  <c r="J296" i="1"/>
  <c r="M140" i="1"/>
  <c r="L137" i="1"/>
  <c r="K342" i="1"/>
  <c r="M332" i="1"/>
  <c r="J326" i="1"/>
  <c r="K346" i="1"/>
  <c r="M144" i="1"/>
  <c r="L316" i="1"/>
  <c r="L140" i="1"/>
  <c r="J310" i="1"/>
  <c r="L252" i="1"/>
  <c r="K144" i="1"/>
  <c r="L310" i="1"/>
  <c r="M316" i="1"/>
  <c r="K316" i="1"/>
  <c r="K140" i="1"/>
  <c r="J151" i="1"/>
  <c r="J30" i="1"/>
  <c r="K176" i="1"/>
  <c r="J350" i="1"/>
  <c r="K310" i="1"/>
  <c r="L311" i="1"/>
  <c r="K292" i="1"/>
  <c r="M28" i="1"/>
  <c r="M32" i="1"/>
  <c r="M36" i="1"/>
  <c r="M40" i="1"/>
  <c r="M44" i="1"/>
  <c r="M48" i="1"/>
  <c r="M52" i="1"/>
  <c r="J135" i="1"/>
  <c r="J254" i="1"/>
  <c r="J258" i="1"/>
  <c r="J262" i="1"/>
  <c r="J266" i="1"/>
  <c r="J270" i="1"/>
  <c r="J274" i="1"/>
  <c r="J278" i="1"/>
  <c r="J282" i="1"/>
  <c r="K242" i="1"/>
  <c r="L250" i="1"/>
  <c r="J238" i="1"/>
  <c r="J246" i="1"/>
  <c r="L162" i="1"/>
  <c r="L174" i="1"/>
  <c r="L186" i="1"/>
  <c r="L194" i="1"/>
  <c r="L206" i="1"/>
  <c r="L222" i="1"/>
  <c r="M230" i="1"/>
  <c r="J330" i="1"/>
  <c r="J342" i="1"/>
  <c r="J358" i="1"/>
  <c r="K154" i="1"/>
  <c r="K166" i="1"/>
  <c r="K178" i="1"/>
  <c r="K190" i="1"/>
  <c r="K202" i="1"/>
  <c r="K214" i="1"/>
  <c r="K226" i="1"/>
  <c r="M326" i="1"/>
  <c r="M338" i="1"/>
  <c r="M350" i="1"/>
  <c r="L158" i="1"/>
  <c r="L170" i="1"/>
  <c r="L182" i="1"/>
  <c r="L198" i="1"/>
  <c r="L210" i="1"/>
  <c r="L218" i="1"/>
  <c r="M234" i="1"/>
  <c r="J334" i="1"/>
  <c r="M354" i="1"/>
  <c r="K295" i="1"/>
  <c r="J300" i="1"/>
  <c r="J289" i="1"/>
  <c r="L36" i="1"/>
  <c r="L48" i="1"/>
  <c r="L254" i="1"/>
  <c r="L262" i="1"/>
  <c r="L266" i="1"/>
  <c r="M274" i="1"/>
  <c r="M278" i="1"/>
  <c r="M282" i="1"/>
  <c r="M242" i="1"/>
  <c r="K250" i="1"/>
  <c r="K238" i="1"/>
  <c r="L246" i="1"/>
  <c r="K162" i="1"/>
  <c r="K174" i="1"/>
  <c r="K186" i="1"/>
  <c r="K194" i="1"/>
  <c r="K206" i="1"/>
  <c r="K222" i="1"/>
  <c r="K230" i="1"/>
  <c r="M330" i="1"/>
  <c r="M342" i="1"/>
  <c r="M358" i="1"/>
  <c r="J154" i="1"/>
  <c r="J166" i="1"/>
  <c r="J178" i="1"/>
  <c r="J190" i="1"/>
  <c r="J202" i="1"/>
  <c r="J214" i="1"/>
  <c r="J226" i="1"/>
  <c r="L326" i="1"/>
  <c r="L338" i="1"/>
  <c r="L350" i="1"/>
  <c r="K158" i="1"/>
  <c r="K170" i="1"/>
  <c r="K182" i="1"/>
  <c r="K198" i="1"/>
  <c r="K210" i="1"/>
  <c r="K218" i="1"/>
  <c r="K234" i="1"/>
  <c r="M334" i="1"/>
  <c r="M346" i="1"/>
  <c r="L354" i="1"/>
  <c r="L28" i="1"/>
  <c r="L32" i="1"/>
  <c r="L40" i="1"/>
  <c r="L44" i="1"/>
  <c r="L52" i="1"/>
  <c r="M135" i="1"/>
  <c r="L258" i="1"/>
  <c r="L270" i="1"/>
  <c r="L346" i="1"/>
  <c r="K354" i="1"/>
  <c r="K289" i="1"/>
  <c r="L289" i="1"/>
  <c r="L309" i="1"/>
  <c r="M300" i="1"/>
  <c r="L56" i="1"/>
  <c r="N64" i="1"/>
  <c r="J68" i="1"/>
  <c r="J34" i="1"/>
  <c r="M260" i="1"/>
  <c r="K156" i="1"/>
  <c r="K188" i="1"/>
  <c r="K220" i="1"/>
  <c r="M344" i="1"/>
  <c r="K322" i="1"/>
  <c r="L322" i="1"/>
  <c r="J145" i="1"/>
  <c r="K138" i="1"/>
  <c r="J46" i="1"/>
  <c r="K272" i="1"/>
  <c r="K236" i="1"/>
  <c r="K160" i="1"/>
  <c r="K192" i="1"/>
  <c r="K224" i="1"/>
  <c r="M348" i="1"/>
  <c r="K299" i="1"/>
  <c r="L318" i="1"/>
  <c r="M288" i="1"/>
  <c r="K288" i="1"/>
  <c r="K142" i="1"/>
  <c r="M318" i="1"/>
  <c r="J299" i="1"/>
  <c r="J50" i="1"/>
  <c r="K276" i="1"/>
  <c r="L248" i="1"/>
  <c r="K172" i="1"/>
  <c r="K204" i="1"/>
  <c r="M328" i="1"/>
  <c r="K318" i="1"/>
  <c r="L292" i="1"/>
  <c r="J149" i="1"/>
  <c r="M322" i="1"/>
  <c r="J57" i="1"/>
  <c r="K61" i="1"/>
  <c r="M69" i="1"/>
  <c r="N73" i="1"/>
  <c r="K57" i="1"/>
  <c r="M65" i="1"/>
  <c r="N69" i="1"/>
  <c r="N57" i="1"/>
  <c r="L65" i="1"/>
  <c r="J73" i="1"/>
  <c r="K287" i="1"/>
  <c r="L290" i="1"/>
  <c r="J138" i="1"/>
  <c r="M314" i="1"/>
  <c r="J38" i="1"/>
  <c r="J54" i="1"/>
  <c r="M264" i="1"/>
  <c r="K280" i="1"/>
  <c r="J51" i="1"/>
  <c r="K240" i="1"/>
  <c r="M352" i="1"/>
  <c r="K164" i="1"/>
  <c r="K180" i="1"/>
  <c r="K196" i="1"/>
  <c r="K212" i="1"/>
  <c r="K228" i="1"/>
  <c r="M336" i="1"/>
  <c r="M356" i="1"/>
  <c r="K313" i="1"/>
  <c r="L293" i="1"/>
  <c r="L301" i="1"/>
  <c r="M292" i="1"/>
  <c r="L300" i="1"/>
  <c r="L145" i="1"/>
  <c r="L149" i="1"/>
  <c r="M138" i="1"/>
  <c r="M142" i="1"/>
  <c r="M286" i="1"/>
  <c r="M287" i="1"/>
  <c r="J35" i="1"/>
  <c r="J142" i="1"/>
  <c r="J26" i="1"/>
  <c r="J42" i="1"/>
  <c r="M74" i="1"/>
  <c r="M268" i="1"/>
  <c r="K284" i="1"/>
  <c r="K244" i="1"/>
  <c r="K152" i="1"/>
  <c r="K168" i="1"/>
  <c r="K184" i="1"/>
  <c r="K200" i="1"/>
  <c r="K216" i="1"/>
  <c r="K232" i="1"/>
  <c r="M340" i="1"/>
  <c r="K323" i="1"/>
  <c r="K290" i="1"/>
  <c r="L287" i="1"/>
  <c r="L294" i="1"/>
  <c r="L313" i="1"/>
  <c r="M296" i="1"/>
  <c r="K145" i="1"/>
  <c r="K149" i="1"/>
  <c r="M290" i="1"/>
  <c r="M293" i="1"/>
  <c r="J294" i="1"/>
  <c r="AS7" i="3"/>
  <c r="AS8" i="3"/>
  <c r="AR7" i="2"/>
  <c r="AR8" i="2"/>
  <c r="AK11" i="5"/>
  <c r="M57" i="1"/>
  <c r="L69" i="1"/>
  <c r="J61" i="1"/>
  <c r="K65" i="1"/>
  <c r="M73" i="1"/>
  <c r="J65" i="1"/>
  <c r="M58" i="1"/>
  <c r="M60" i="1"/>
  <c r="L72" i="1"/>
  <c r="K106" i="1"/>
  <c r="M26" i="1"/>
  <c r="M30" i="1"/>
  <c r="M34" i="1"/>
  <c r="M38" i="1"/>
  <c r="M42" i="1"/>
  <c r="M46" i="1"/>
  <c r="M50" i="1"/>
  <c r="M54" i="1"/>
  <c r="J62" i="1"/>
  <c r="J256" i="1"/>
  <c r="J260" i="1"/>
  <c r="J264" i="1"/>
  <c r="J268" i="1"/>
  <c r="M272" i="1"/>
  <c r="J276" i="1"/>
  <c r="J280" i="1"/>
  <c r="J284" i="1"/>
  <c r="M236" i="1"/>
  <c r="M240" i="1"/>
  <c r="M244" i="1"/>
  <c r="K248" i="1"/>
  <c r="K252" i="1"/>
  <c r="L352" i="1"/>
  <c r="J152" i="1"/>
  <c r="J156" i="1"/>
  <c r="J160" i="1"/>
  <c r="J164" i="1"/>
  <c r="J168" i="1"/>
  <c r="J172" i="1"/>
  <c r="J176" i="1"/>
  <c r="J180" i="1"/>
  <c r="J184" i="1"/>
  <c r="J188" i="1"/>
  <c r="J192" i="1"/>
  <c r="J196" i="1"/>
  <c r="J200" i="1"/>
  <c r="J204" i="1"/>
  <c r="J208" i="1"/>
  <c r="J212" i="1"/>
  <c r="J216" i="1"/>
  <c r="J220" i="1"/>
  <c r="J224" i="1"/>
  <c r="L228" i="1"/>
  <c r="J232" i="1"/>
  <c r="L328" i="1"/>
  <c r="L332" i="1"/>
  <c r="L336" i="1"/>
  <c r="L340" i="1"/>
  <c r="L344" i="1"/>
  <c r="L348" i="1"/>
  <c r="L356" i="1"/>
  <c r="K306" i="1"/>
  <c r="K314" i="1"/>
  <c r="L148" i="1"/>
  <c r="M306" i="1"/>
  <c r="J305" i="1"/>
  <c r="K120" i="1"/>
  <c r="M117" i="1"/>
  <c r="L26" i="1"/>
  <c r="L30" i="1"/>
  <c r="L34" i="1"/>
  <c r="L38" i="1"/>
  <c r="L42" i="1"/>
  <c r="L46" i="1"/>
  <c r="L50" i="1"/>
  <c r="L54" i="1"/>
  <c r="N66" i="1"/>
  <c r="L256" i="1"/>
  <c r="L260" i="1"/>
  <c r="L264" i="1"/>
  <c r="L268" i="1"/>
  <c r="L272" i="1"/>
  <c r="M276" i="1"/>
  <c r="M280" i="1"/>
  <c r="M284" i="1"/>
  <c r="L236" i="1"/>
  <c r="L240" i="1"/>
  <c r="L244" i="1"/>
  <c r="M248" i="1"/>
  <c r="M252" i="1"/>
  <c r="K352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L224" i="1"/>
  <c r="J228" i="1"/>
  <c r="L232" i="1"/>
  <c r="K328" i="1"/>
  <c r="K332" i="1"/>
  <c r="K336" i="1"/>
  <c r="K340" i="1"/>
  <c r="K344" i="1"/>
  <c r="K348" i="1"/>
  <c r="K356" i="1"/>
  <c r="K298" i="1"/>
  <c r="L324" i="1"/>
  <c r="L298" i="1"/>
  <c r="L306" i="1"/>
  <c r="K148" i="1"/>
  <c r="M285" i="1"/>
  <c r="M298" i="1"/>
  <c r="M124" i="1"/>
  <c r="L70" i="1"/>
  <c r="K324" i="1"/>
  <c r="L285" i="1"/>
  <c r="L314" i="1"/>
  <c r="M324" i="1"/>
  <c r="M121" i="1"/>
  <c r="AK13" i="6"/>
  <c r="J56" i="1"/>
  <c r="K56" i="1"/>
  <c r="L60" i="1"/>
  <c r="M64" i="1"/>
  <c r="N68" i="1"/>
  <c r="J72" i="1"/>
  <c r="K72" i="1"/>
  <c r="M56" i="1"/>
  <c r="J60" i="1"/>
  <c r="K60" i="1"/>
  <c r="L64" i="1"/>
  <c r="M68" i="1"/>
  <c r="N72" i="1"/>
  <c r="M128" i="1"/>
  <c r="M116" i="1"/>
  <c r="K62" i="1"/>
  <c r="J64" i="1"/>
  <c r="K133" i="1"/>
  <c r="K130" i="1"/>
  <c r="M106" i="1"/>
  <c r="K317" i="1"/>
  <c r="J39" i="1"/>
  <c r="J55" i="1"/>
  <c r="K319" i="1"/>
  <c r="K294" i="1"/>
  <c r="K301" i="1"/>
  <c r="K309" i="1"/>
  <c r="L315" i="1"/>
  <c r="L325" i="1"/>
  <c r="J288" i="1"/>
  <c r="M151" i="1"/>
  <c r="M291" i="1"/>
  <c r="M125" i="1"/>
  <c r="M100" i="1"/>
  <c r="M98" i="1"/>
  <c r="M94" i="1"/>
  <c r="M92" i="1"/>
  <c r="M90" i="1"/>
  <c r="J27" i="1"/>
  <c r="J43" i="1"/>
  <c r="J59" i="1"/>
  <c r="K315" i="1"/>
  <c r="L286" i="1"/>
  <c r="L291" i="1"/>
  <c r="L305" i="1"/>
  <c r="L321" i="1"/>
  <c r="K325" i="1"/>
  <c r="L151" i="1"/>
  <c r="M319" i="1"/>
  <c r="M309" i="1"/>
  <c r="M110" i="1"/>
  <c r="K100" i="1"/>
  <c r="K98" i="1"/>
  <c r="M96" i="1"/>
  <c r="K94" i="1"/>
  <c r="K92" i="1"/>
  <c r="K90" i="1"/>
  <c r="K82" i="1"/>
  <c r="M80" i="1"/>
  <c r="M78" i="1"/>
  <c r="M76" i="1"/>
  <c r="J31" i="1"/>
  <c r="J47" i="1"/>
  <c r="K286" i="1"/>
  <c r="K291" i="1"/>
  <c r="K305" i="1"/>
  <c r="L323" i="1"/>
  <c r="K321" i="1"/>
  <c r="J325" i="1"/>
  <c r="M301" i="1"/>
  <c r="M323" i="1"/>
  <c r="J315" i="1"/>
  <c r="K126" i="1"/>
  <c r="K122" i="1"/>
  <c r="K118" i="1"/>
  <c r="K114" i="1"/>
  <c r="M112" i="1"/>
  <c r="K110" i="1"/>
  <c r="K84" i="1"/>
  <c r="K80" i="1"/>
  <c r="K78" i="1"/>
  <c r="AR13" i="2"/>
  <c r="AS13" i="3"/>
  <c r="AJ11" i="6"/>
  <c r="AK7" i="5"/>
  <c r="AL11" i="4"/>
  <c r="AL13" i="4"/>
  <c r="AI13" i="4"/>
  <c r="AU13" i="2"/>
  <c r="AQ11" i="2"/>
  <c r="AQ7" i="2"/>
  <c r="V9" i="8"/>
  <c r="V7" i="8"/>
  <c r="U7" i="8"/>
  <c r="L58" i="1"/>
  <c r="M62" i="1"/>
  <c r="J66" i="1"/>
  <c r="K66" i="1"/>
  <c r="N70" i="1"/>
  <c r="L74" i="1"/>
  <c r="K112" i="1"/>
  <c r="M108" i="1"/>
  <c r="K96" i="1"/>
  <c r="N58" i="1"/>
  <c r="L62" i="1"/>
  <c r="M66" i="1"/>
  <c r="J70" i="1"/>
  <c r="K70" i="1"/>
  <c r="N74" i="1"/>
  <c r="M129" i="1"/>
  <c r="K108" i="1"/>
  <c r="M104" i="1"/>
  <c r="M102" i="1"/>
  <c r="M88" i="1"/>
  <c r="M86" i="1"/>
  <c r="K76" i="1"/>
  <c r="J58" i="1"/>
  <c r="J74" i="1"/>
  <c r="M133" i="1"/>
  <c r="K104" i="1"/>
  <c r="K102" i="1"/>
  <c r="K88" i="1"/>
  <c r="K86" i="1"/>
  <c r="M84" i="1"/>
  <c r="M82" i="1"/>
  <c r="N14" i="1"/>
  <c r="L357" i="1"/>
  <c r="M357" i="1"/>
  <c r="J357" i="1"/>
  <c r="L345" i="1"/>
  <c r="M345" i="1"/>
  <c r="J345" i="1"/>
  <c r="L333" i="1"/>
  <c r="M333" i="1"/>
  <c r="J333" i="1"/>
  <c r="K281" i="1"/>
  <c r="M281" i="1"/>
  <c r="M269" i="1"/>
  <c r="J269" i="1"/>
  <c r="M257" i="1"/>
  <c r="J257" i="1"/>
  <c r="K249" i="1"/>
  <c r="M249" i="1"/>
  <c r="J249" i="1"/>
  <c r="L237" i="1"/>
  <c r="M237" i="1"/>
  <c r="J237" i="1"/>
  <c r="L225" i="1"/>
  <c r="K225" i="1"/>
  <c r="M225" i="1"/>
  <c r="J217" i="1"/>
  <c r="K217" i="1"/>
  <c r="L217" i="1"/>
  <c r="J205" i="1"/>
  <c r="K205" i="1"/>
  <c r="L205" i="1"/>
  <c r="J197" i="1"/>
  <c r="K197" i="1"/>
  <c r="L197" i="1"/>
  <c r="J189" i="1"/>
  <c r="K189" i="1"/>
  <c r="L189" i="1"/>
  <c r="J181" i="1"/>
  <c r="K181" i="1"/>
  <c r="L181" i="1"/>
  <c r="J173" i="1"/>
  <c r="K173" i="1"/>
  <c r="L173" i="1"/>
  <c r="J161" i="1"/>
  <c r="K161" i="1"/>
  <c r="L161" i="1"/>
  <c r="J153" i="1"/>
  <c r="K153" i="1"/>
  <c r="L153" i="1"/>
  <c r="K71" i="1"/>
  <c r="J71" i="1"/>
  <c r="N71" i="1"/>
  <c r="M67" i="1"/>
  <c r="L67" i="1"/>
  <c r="N63" i="1"/>
  <c r="K63" i="1"/>
  <c r="J63" i="1"/>
  <c r="J107" i="1"/>
  <c r="N107" i="1"/>
  <c r="K107" i="1"/>
  <c r="L107" i="1"/>
  <c r="M107" i="1"/>
  <c r="J91" i="1"/>
  <c r="N91" i="1"/>
  <c r="K91" i="1"/>
  <c r="L91" i="1"/>
  <c r="M91" i="1"/>
  <c r="J75" i="1"/>
  <c r="N75" i="1"/>
  <c r="K75" i="1"/>
  <c r="L75" i="1"/>
  <c r="M75" i="1"/>
  <c r="J317" i="1"/>
  <c r="M27" i="1"/>
  <c r="M31" i="1"/>
  <c r="M35" i="1"/>
  <c r="M39" i="1"/>
  <c r="M43" i="1"/>
  <c r="M47" i="1"/>
  <c r="M51" i="1"/>
  <c r="M55" i="1"/>
  <c r="M59" i="1"/>
  <c r="L63" i="1"/>
  <c r="M71" i="1"/>
  <c r="L257" i="1"/>
  <c r="L265" i="1"/>
  <c r="J281" i="1"/>
  <c r="K237" i="1"/>
  <c r="L249" i="1"/>
  <c r="M181" i="1"/>
  <c r="M197" i="1"/>
  <c r="J302" i="1"/>
  <c r="K302" i="1"/>
  <c r="L302" i="1"/>
  <c r="L349" i="1"/>
  <c r="M349" i="1"/>
  <c r="J349" i="1"/>
  <c r="L337" i="1"/>
  <c r="M337" i="1"/>
  <c r="J337" i="1"/>
  <c r="K273" i="1"/>
  <c r="M273" i="1"/>
  <c r="M261" i="1"/>
  <c r="J261" i="1"/>
  <c r="L245" i="1"/>
  <c r="M245" i="1"/>
  <c r="J245" i="1"/>
  <c r="K229" i="1"/>
  <c r="L229" i="1"/>
  <c r="M229" i="1"/>
  <c r="J209" i="1"/>
  <c r="K209" i="1"/>
  <c r="L209" i="1"/>
  <c r="J165" i="1"/>
  <c r="K165" i="1"/>
  <c r="L165" i="1"/>
  <c r="M317" i="1"/>
  <c r="L27" i="1"/>
  <c r="L31" i="1"/>
  <c r="L35" i="1"/>
  <c r="L39" i="1"/>
  <c r="L43" i="1"/>
  <c r="L47" i="1"/>
  <c r="L51" i="1"/>
  <c r="L55" i="1"/>
  <c r="N59" i="1"/>
  <c r="J67" i="1"/>
  <c r="L71" i="1"/>
  <c r="K257" i="1"/>
  <c r="L273" i="1"/>
  <c r="L281" i="1"/>
  <c r="K245" i="1"/>
  <c r="M153" i="1"/>
  <c r="M217" i="1"/>
  <c r="K357" i="1"/>
  <c r="L147" i="1"/>
  <c r="M147" i="1"/>
  <c r="J147" i="1"/>
  <c r="M141" i="1"/>
  <c r="J141" i="1"/>
  <c r="K141" i="1"/>
  <c r="J312" i="1"/>
  <c r="K312" i="1"/>
  <c r="J297" i="1"/>
  <c r="M297" i="1"/>
  <c r="K297" i="1"/>
  <c r="L297" i="1"/>
  <c r="J132" i="1"/>
  <c r="N132" i="1"/>
  <c r="K132" i="1"/>
  <c r="L132" i="1"/>
  <c r="J99" i="1"/>
  <c r="N99" i="1"/>
  <c r="K99" i="1"/>
  <c r="L99" i="1"/>
  <c r="M99" i="1"/>
  <c r="J83" i="1"/>
  <c r="N83" i="1"/>
  <c r="K83" i="1"/>
  <c r="L83" i="1"/>
  <c r="M83" i="1"/>
  <c r="L353" i="1"/>
  <c r="M353" i="1"/>
  <c r="J353" i="1"/>
  <c r="L341" i="1"/>
  <c r="M341" i="1"/>
  <c r="J341" i="1"/>
  <c r="L329" i="1"/>
  <c r="M329" i="1"/>
  <c r="J329" i="1"/>
  <c r="K277" i="1"/>
  <c r="M277" i="1"/>
  <c r="M265" i="1"/>
  <c r="J265" i="1"/>
  <c r="K253" i="1"/>
  <c r="M253" i="1"/>
  <c r="J253" i="1"/>
  <c r="L241" i="1"/>
  <c r="M241" i="1"/>
  <c r="J241" i="1"/>
  <c r="K233" i="1"/>
  <c r="L233" i="1"/>
  <c r="M233" i="1"/>
  <c r="J221" i="1"/>
  <c r="K221" i="1"/>
  <c r="L221" i="1"/>
  <c r="J213" i="1"/>
  <c r="K213" i="1"/>
  <c r="L213" i="1"/>
  <c r="J201" i="1"/>
  <c r="K201" i="1"/>
  <c r="L201" i="1"/>
  <c r="J193" i="1"/>
  <c r="K193" i="1"/>
  <c r="L193" i="1"/>
  <c r="J185" i="1"/>
  <c r="K185" i="1"/>
  <c r="L185" i="1"/>
  <c r="J177" i="1"/>
  <c r="K177" i="1"/>
  <c r="L177" i="1"/>
  <c r="J169" i="1"/>
  <c r="K169" i="1"/>
  <c r="L169" i="1"/>
  <c r="J157" i="1"/>
  <c r="K157" i="1"/>
  <c r="L157" i="1"/>
  <c r="K134" i="1"/>
  <c r="M134" i="1"/>
  <c r="J307" i="1"/>
  <c r="K307" i="1"/>
  <c r="M307" i="1"/>
  <c r="L307" i="1"/>
  <c r="K59" i="1"/>
  <c r="N67" i="1"/>
  <c r="J134" i="1"/>
  <c r="L261" i="1"/>
  <c r="L269" i="1"/>
  <c r="J277" i="1"/>
  <c r="L253" i="1"/>
  <c r="M157" i="1"/>
  <c r="M173" i="1"/>
  <c r="M189" i="1"/>
  <c r="M205" i="1"/>
  <c r="M221" i="1"/>
  <c r="K329" i="1"/>
  <c r="K345" i="1"/>
  <c r="L312" i="1"/>
  <c r="K147" i="1"/>
  <c r="K150" i="1"/>
  <c r="M150" i="1"/>
  <c r="J150" i="1"/>
  <c r="K304" i="1"/>
  <c r="L304" i="1"/>
  <c r="M304" i="1"/>
  <c r="J131" i="1"/>
  <c r="L131" i="1"/>
  <c r="K131" i="1"/>
  <c r="M131" i="1"/>
  <c r="N131" i="1"/>
  <c r="J127" i="1"/>
  <c r="N127" i="1"/>
  <c r="L127" i="1"/>
  <c r="K127" i="1"/>
  <c r="M127" i="1"/>
  <c r="J123" i="1"/>
  <c r="N123" i="1"/>
  <c r="L123" i="1"/>
  <c r="K123" i="1"/>
  <c r="M123" i="1"/>
  <c r="J119" i="1"/>
  <c r="N119" i="1"/>
  <c r="L119" i="1"/>
  <c r="K119" i="1"/>
  <c r="M119" i="1"/>
  <c r="J115" i="1"/>
  <c r="N115" i="1"/>
  <c r="L115" i="1"/>
  <c r="K115" i="1"/>
  <c r="M115" i="1"/>
  <c r="J139" i="1"/>
  <c r="M311" i="1"/>
  <c r="N133" i="1"/>
  <c r="J133" i="1"/>
  <c r="L128" i="1"/>
  <c r="J128" i="1"/>
  <c r="N128" i="1"/>
  <c r="L124" i="1"/>
  <c r="J124" i="1"/>
  <c r="N124" i="1"/>
  <c r="L120" i="1"/>
  <c r="J120" i="1"/>
  <c r="N120" i="1"/>
  <c r="L116" i="1"/>
  <c r="J116" i="1"/>
  <c r="N116" i="1"/>
  <c r="J113" i="1"/>
  <c r="N113" i="1"/>
  <c r="K113" i="1"/>
  <c r="L113" i="1"/>
  <c r="J105" i="1"/>
  <c r="N105" i="1"/>
  <c r="K105" i="1"/>
  <c r="L105" i="1"/>
  <c r="J97" i="1"/>
  <c r="N97" i="1"/>
  <c r="K97" i="1"/>
  <c r="L97" i="1"/>
  <c r="J89" i="1"/>
  <c r="N89" i="1"/>
  <c r="K89" i="1"/>
  <c r="L89" i="1"/>
  <c r="J81" i="1"/>
  <c r="N81" i="1"/>
  <c r="K81" i="1"/>
  <c r="L81" i="1"/>
  <c r="J129" i="1"/>
  <c r="N129" i="1"/>
  <c r="L129" i="1"/>
  <c r="J125" i="1"/>
  <c r="N125" i="1"/>
  <c r="L125" i="1"/>
  <c r="J121" i="1"/>
  <c r="N121" i="1"/>
  <c r="L121" i="1"/>
  <c r="J117" i="1"/>
  <c r="N117" i="1"/>
  <c r="L117" i="1"/>
  <c r="J111" i="1"/>
  <c r="N111" i="1"/>
  <c r="K111" i="1"/>
  <c r="L111" i="1"/>
  <c r="J103" i="1"/>
  <c r="N103" i="1"/>
  <c r="K103" i="1"/>
  <c r="L103" i="1"/>
  <c r="J95" i="1"/>
  <c r="N95" i="1"/>
  <c r="K95" i="1"/>
  <c r="L95" i="1"/>
  <c r="J87" i="1"/>
  <c r="N87" i="1"/>
  <c r="K87" i="1"/>
  <c r="L87" i="1"/>
  <c r="J79" i="1"/>
  <c r="N79" i="1"/>
  <c r="K79" i="1"/>
  <c r="L79" i="1"/>
  <c r="L130" i="1"/>
  <c r="J130" i="1"/>
  <c r="N130" i="1"/>
  <c r="L126" i="1"/>
  <c r="J126" i="1"/>
  <c r="N126" i="1"/>
  <c r="L122" i="1"/>
  <c r="J122" i="1"/>
  <c r="N122" i="1"/>
  <c r="L118" i="1"/>
  <c r="J118" i="1"/>
  <c r="N118" i="1"/>
  <c r="L114" i="1"/>
  <c r="J114" i="1"/>
  <c r="N114" i="1"/>
  <c r="J109" i="1"/>
  <c r="N109" i="1"/>
  <c r="K109" i="1"/>
  <c r="L109" i="1"/>
  <c r="J101" i="1"/>
  <c r="N101" i="1"/>
  <c r="K101" i="1"/>
  <c r="L101" i="1"/>
  <c r="J93" i="1"/>
  <c r="N93" i="1"/>
  <c r="K93" i="1"/>
  <c r="L93" i="1"/>
  <c r="J85" i="1"/>
  <c r="N85" i="1"/>
  <c r="K85" i="1"/>
  <c r="L85" i="1"/>
  <c r="J77" i="1"/>
  <c r="N77" i="1"/>
  <c r="K77" i="1"/>
  <c r="L77" i="1"/>
  <c r="N112" i="1"/>
  <c r="J112" i="1"/>
  <c r="N110" i="1"/>
  <c r="J110" i="1"/>
  <c r="N108" i="1"/>
  <c r="J108" i="1"/>
  <c r="N106" i="1"/>
  <c r="J106" i="1"/>
  <c r="N104" i="1"/>
  <c r="J104" i="1"/>
  <c r="N102" i="1"/>
  <c r="J102" i="1"/>
  <c r="N100" i="1"/>
  <c r="J100" i="1"/>
  <c r="N98" i="1"/>
  <c r="J98" i="1"/>
  <c r="N96" i="1"/>
  <c r="J96" i="1"/>
  <c r="N94" i="1"/>
  <c r="J94" i="1"/>
  <c r="N92" i="1"/>
  <c r="J92" i="1"/>
  <c r="N90" i="1"/>
  <c r="J90" i="1"/>
  <c r="N88" i="1"/>
  <c r="J88" i="1"/>
  <c r="N86" i="1"/>
  <c r="J86" i="1"/>
  <c r="N84" i="1"/>
  <c r="J84" i="1"/>
  <c r="N82" i="1"/>
  <c r="J82" i="1"/>
  <c r="N80" i="1"/>
  <c r="J80" i="1"/>
  <c r="N78" i="1"/>
  <c r="J78" i="1"/>
  <c r="N76" i="1"/>
  <c r="J76" i="1"/>
  <c r="AI3" i="8"/>
  <c r="AU3" i="8"/>
  <c r="AU2" i="8"/>
  <c r="AJ11" i="7"/>
  <c r="AR7" i="3"/>
  <c r="AR8" i="3"/>
  <c r="AI11" i="4"/>
  <c r="AJ7" i="5"/>
  <c r="O31" i="4"/>
  <c r="X28" i="4"/>
  <c r="V28" i="4"/>
  <c r="W28" i="4"/>
  <c r="AR11" i="3"/>
  <c r="AJ11" i="5"/>
  <c r="AL11" i="7"/>
  <c r="AJ7" i="4"/>
  <c r="AJ13" i="4"/>
  <c r="W7" i="8"/>
  <c r="AI11" i="7"/>
  <c r="AJ11" i="4"/>
  <c r="T5" i="8"/>
  <c r="T7" i="8"/>
  <c r="AT13" i="2"/>
  <c r="AI7" i="7"/>
  <c r="AQ7" i="3"/>
  <c r="AQ13" i="3"/>
  <c r="AI13" i="5"/>
  <c r="AI7" i="5"/>
  <c r="AI13" i="6"/>
  <c r="AL9" i="4"/>
  <c r="AL8" i="4"/>
  <c r="AK7" i="7"/>
  <c r="AY2" i="7" a="1"/>
  <c r="AY2" i="7"/>
  <c r="AK11" i="7"/>
  <c r="AS7" i="2"/>
  <c r="AS13" i="2"/>
  <c r="AP7" i="3"/>
  <c r="AP11" i="3"/>
  <c r="AP13" i="3"/>
  <c r="AH11" i="5"/>
  <c r="AH7" i="5"/>
  <c r="AH13" i="5"/>
  <c r="AK11" i="4"/>
  <c r="AK7" i="4"/>
  <c r="AQ11" i="3"/>
  <c r="AI11" i="5"/>
  <c r="AI11" i="6"/>
  <c r="AI4" i="8"/>
  <c r="AU4" i="8"/>
  <c r="W9" i="8"/>
  <c r="U5" i="8"/>
  <c r="AX15" i="7" a="1"/>
  <c r="AX15" i="7"/>
  <c r="AX2" i="7" a="1"/>
  <c r="AX2" i="7"/>
  <c r="AW32" i="7" a="1"/>
  <c r="AW32" i="7"/>
  <c r="BJ32" i="7"/>
  <c r="AO32" i="7"/>
  <c r="AW2" i="7" a="1"/>
  <c r="AW2" i="7"/>
  <c r="AI91" i="2"/>
  <c r="AY32" i="7" a="1"/>
  <c r="AY32" i="7"/>
  <c r="AY15" i="7" a="1"/>
  <c r="AY15" i="7"/>
  <c r="BL15" i="7"/>
  <c r="AQ15" i="7"/>
  <c r="AJ2" i="8"/>
  <c r="AV2" i="8"/>
  <c r="AC2" i="8"/>
  <c r="AI92" i="2"/>
  <c r="AI93" i="2"/>
  <c r="AI94" i="2"/>
  <c r="AX4" i="7" a="1"/>
  <c r="AX4" i="7"/>
  <c r="BK4" i="7"/>
  <c r="AP4" i="7"/>
  <c r="AX6" i="7" a="1"/>
  <c r="AX6" i="7"/>
  <c r="BK6" i="7"/>
  <c r="AP6" i="7"/>
  <c r="AX8" i="7" a="1"/>
  <c r="AX8" i="7"/>
  <c r="BK8" i="7"/>
  <c r="AP8" i="7"/>
  <c r="AX10" i="7" a="1"/>
  <c r="AX10" i="7"/>
  <c r="BK10" i="7"/>
  <c r="AP10" i="7"/>
  <c r="AX12" i="7" a="1"/>
  <c r="AX12" i="7"/>
  <c r="BK12" i="7"/>
  <c r="AP12" i="7"/>
  <c r="AX14" i="7" a="1"/>
  <c r="AX14" i="7"/>
  <c r="BK14" i="7"/>
  <c r="AP14" i="7"/>
  <c r="AX16" i="7" a="1"/>
  <c r="AX16" i="7"/>
  <c r="BK16" i="7"/>
  <c r="AP16" i="7"/>
  <c r="AX18" i="7" a="1"/>
  <c r="AX18" i="7"/>
  <c r="BK18" i="7"/>
  <c r="AP18" i="7"/>
  <c r="AX20" i="7" a="1"/>
  <c r="AX20" i="7"/>
  <c r="BK20" i="7"/>
  <c r="AP20" i="7"/>
  <c r="AX22" i="7" a="1"/>
  <c r="AX22" i="7"/>
  <c r="BK22" i="7"/>
  <c r="AP22" i="7"/>
  <c r="AX24" i="7" a="1"/>
  <c r="AX24" i="7"/>
  <c r="BK24" i="7"/>
  <c r="AP24" i="7"/>
  <c r="AX26" i="7" a="1"/>
  <c r="AX26" i="7"/>
  <c r="BK26" i="7"/>
  <c r="AP26" i="7"/>
  <c r="AX28" i="7" a="1"/>
  <c r="AX28" i="7"/>
  <c r="BK28" i="7"/>
  <c r="AP28" i="7"/>
  <c r="AX30" i="7" a="1"/>
  <c r="AX30" i="7"/>
  <c r="BK30" i="7"/>
  <c r="AP30" i="7"/>
  <c r="AX32" i="7" a="1"/>
  <c r="AX32" i="7"/>
  <c r="BK32" i="7"/>
  <c r="AP32" i="7"/>
  <c r="BK2" i="7"/>
  <c r="AP2" i="7"/>
  <c r="AX3" i="7" a="1"/>
  <c r="AX3" i="7"/>
  <c r="BK3" i="7"/>
  <c r="AP3" i="7"/>
  <c r="AX5" i="7" a="1"/>
  <c r="AX5" i="7"/>
  <c r="BK5" i="7"/>
  <c r="AP5" i="7"/>
  <c r="AX7" i="7" a="1"/>
  <c r="AX7" i="7"/>
  <c r="BK7" i="7"/>
  <c r="AP7" i="7"/>
  <c r="AX9" i="7" a="1"/>
  <c r="AX9" i="7"/>
  <c r="BK9" i="7"/>
  <c r="AP9" i="7"/>
  <c r="AX11" i="7" a="1"/>
  <c r="AX11" i="7"/>
  <c r="BK11" i="7"/>
  <c r="AP11" i="7"/>
  <c r="AX13" i="7" a="1"/>
  <c r="AX13" i="7"/>
  <c r="BK13" i="7"/>
  <c r="AP13" i="7"/>
  <c r="BK15" i="7"/>
  <c r="AP15" i="7"/>
  <c r="AX17" i="7" a="1"/>
  <c r="AX17" i="7"/>
  <c r="BK17" i="7"/>
  <c r="AP17" i="7"/>
  <c r="AX19" i="7" a="1"/>
  <c r="AX19" i="7"/>
  <c r="BK19" i="7"/>
  <c r="AP19" i="7"/>
  <c r="AX21" i="7" a="1"/>
  <c r="AX21" i="7"/>
  <c r="BK21" i="7"/>
  <c r="AP21" i="7"/>
  <c r="AX23" i="7" a="1"/>
  <c r="AX23" i="7"/>
  <c r="BK23" i="7"/>
  <c r="AP23" i="7"/>
  <c r="AX25" i="7" a="1"/>
  <c r="AX25" i="7"/>
  <c r="BK25" i="7"/>
  <c r="AP25" i="7"/>
  <c r="AX27" i="7" a="1"/>
  <c r="AX27" i="7"/>
  <c r="BK27" i="7"/>
  <c r="AP27" i="7"/>
  <c r="AX29" i="7" a="1"/>
  <c r="AX29" i="7"/>
  <c r="BK29" i="7"/>
  <c r="AP29" i="7"/>
  <c r="AX31" i="7" a="1"/>
  <c r="AX31" i="7"/>
  <c r="BK31" i="7"/>
  <c r="AP31" i="7"/>
  <c r="AX33" i="7" a="1"/>
  <c r="AX33" i="7"/>
  <c r="BK33" i="7"/>
  <c r="AP33" i="7"/>
  <c r="AY3" i="7" a="1"/>
  <c r="AY3" i="7"/>
  <c r="BL3" i="7"/>
  <c r="AQ3" i="7"/>
  <c r="AY5" i="7" a="1"/>
  <c r="AY5" i="7"/>
  <c r="BL5" i="7"/>
  <c r="AQ5" i="7"/>
  <c r="AY7" i="7" a="1"/>
  <c r="AY7" i="7"/>
  <c r="BL7" i="7"/>
  <c r="AQ7" i="7"/>
  <c r="AY9" i="7" a="1"/>
  <c r="AY9" i="7"/>
  <c r="BL9" i="7"/>
  <c r="AQ9" i="7"/>
  <c r="AY11" i="7" a="1"/>
  <c r="AY11" i="7"/>
  <c r="BL11" i="7"/>
  <c r="AQ11" i="7"/>
  <c r="AY13" i="7" a="1"/>
  <c r="AY13" i="7"/>
  <c r="BL13" i="7"/>
  <c r="AQ13" i="7"/>
  <c r="AY17" i="7" a="1"/>
  <c r="AY17" i="7"/>
  <c r="BL17" i="7"/>
  <c r="AQ17" i="7"/>
  <c r="AY19" i="7" a="1"/>
  <c r="AY19" i="7"/>
  <c r="BL19" i="7"/>
  <c r="AQ19" i="7"/>
  <c r="AY21" i="7" a="1"/>
  <c r="AY21" i="7"/>
  <c r="BL21" i="7"/>
  <c r="AQ21" i="7"/>
  <c r="AY23" i="7" a="1"/>
  <c r="AY23" i="7"/>
  <c r="BL23" i="7"/>
  <c r="AQ23" i="7"/>
  <c r="AY25" i="7" a="1"/>
  <c r="AY25" i="7"/>
  <c r="BL25" i="7"/>
  <c r="AQ25" i="7"/>
  <c r="AY27" i="7" a="1"/>
  <c r="AY27" i="7"/>
  <c r="BL27" i="7"/>
  <c r="AQ27" i="7"/>
  <c r="AY29" i="7" a="1"/>
  <c r="AY29" i="7"/>
  <c r="AY31" i="7" a="1"/>
  <c r="AY31" i="7"/>
  <c r="BL31" i="7"/>
  <c r="AQ31" i="7"/>
  <c r="AY33" i="7" a="1"/>
  <c r="AY33" i="7"/>
  <c r="BL33" i="7"/>
  <c r="AQ33" i="7"/>
  <c r="AY4" i="7" a="1"/>
  <c r="AY4" i="7"/>
  <c r="BL4" i="7"/>
  <c r="AQ4" i="7"/>
  <c r="AY6" i="7" a="1"/>
  <c r="AY6" i="7"/>
  <c r="BL6" i="7"/>
  <c r="AQ6" i="7"/>
  <c r="AY8" i="7" a="1"/>
  <c r="AY8" i="7"/>
  <c r="BL8" i="7"/>
  <c r="AQ8" i="7"/>
  <c r="AY10" i="7" a="1"/>
  <c r="AY10" i="7"/>
  <c r="BL10" i="7"/>
  <c r="AQ10" i="7"/>
  <c r="AY12" i="7" a="1"/>
  <c r="AY12" i="7"/>
  <c r="BL12" i="7"/>
  <c r="AQ12" i="7"/>
  <c r="AY14" i="7" a="1"/>
  <c r="AY14" i="7"/>
  <c r="BL14" i="7"/>
  <c r="AQ14" i="7"/>
  <c r="AY16" i="7" a="1"/>
  <c r="AY16" i="7"/>
  <c r="BL16" i="7"/>
  <c r="AQ16" i="7"/>
  <c r="AY18" i="7" a="1"/>
  <c r="AY18" i="7"/>
  <c r="BL18" i="7"/>
  <c r="AQ18" i="7"/>
  <c r="AY20" i="7" a="1"/>
  <c r="AY20" i="7"/>
  <c r="BL20" i="7"/>
  <c r="AQ20" i="7"/>
  <c r="AY22" i="7" a="1"/>
  <c r="AY22" i="7"/>
  <c r="BL22" i="7"/>
  <c r="AQ22" i="7"/>
  <c r="AY24" i="7" a="1"/>
  <c r="AY24" i="7"/>
  <c r="BL24" i="7"/>
  <c r="AQ24" i="7"/>
  <c r="AY26" i="7" a="1"/>
  <c r="AY26" i="7"/>
  <c r="BL26" i="7"/>
  <c r="AQ26" i="7"/>
  <c r="AY28" i="7" a="1"/>
  <c r="AY28" i="7"/>
  <c r="BL28" i="7"/>
  <c r="AQ28" i="7"/>
  <c r="AY30" i="7" a="1"/>
  <c r="AY30" i="7"/>
  <c r="BL30" i="7"/>
  <c r="AQ30" i="7"/>
  <c r="BL32" i="7"/>
  <c r="AQ32" i="7"/>
  <c r="AZ8" i="7" a="1"/>
  <c r="AZ8" i="7"/>
  <c r="BM8" i="7"/>
  <c r="AR8" i="7"/>
  <c r="AZ14" i="7" a="1"/>
  <c r="AZ14" i="7"/>
  <c r="BM14" i="7"/>
  <c r="AR14" i="7"/>
  <c r="AZ16" i="7" a="1"/>
  <c r="AZ16" i="7"/>
  <c r="BM16" i="7"/>
  <c r="AR16" i="7"/>
  <c r="AZ22" i="7" a="1"/>
  <c r="AZ22" i="7"/>
  <c r="BM22" i="7"/>
  <c r="AR22" i="7"/>
  <c r="AZ26" i="7" a="1"/>
  <c r="AZ26" i="7"/>
  <c r="BM26" i="7"/>
  <c r="AR26" i="7"/>
  <c r="AZ28" i="7" a="1"/>
  <c r="AZ28" i="7"/>
  <c r="BM28" i="7"/>
  <c r="AR28" i="7"/>
  <c r="AZ32" i="7" a="1"/>
  <c r="AZ32" i="7"/>
  <c r="BM32" i="7"/>
  <c r="AR32" i="7"/>
  <c r="AZ2" i="7" a="1"/>
  <c r="AZ2" i="7"/>
  <c r="AZ3" i="7" a="1"/>
  <c r="AZ3" i="7"/>
  <c r="BM3" i="7"/>
  <c r="AR3" i="7"/>
  <c r="BM5" i="7"/>
  <c r="AR5" i="7"/>
  <c r="AZ7" i="7" a="1"/>
  <c r="AZ7" i="7"/>
  <c r="BM7" i="7"/>
  <c r="AR7" i="7"/>
  <c r="AZ9" i="7" a="1"/>
  <c r="AZ9" i="7"/>
  <c r="BM9" i="7"/>
  <c r="AR9" i="7"/>
  <c r="AZ11" i="7" a="1"/>
  <c r="AZ11" i="7"/>
  <c r="BM11" i="7"/>
  <c r="AR11" i="7"/>
  <c r="AZ13" i="7" a="1"/>
  <c r="AZ13" i="7"/>
  <c r="BM13" i="7"/>
  <c r="AR13" i="7"/>
  <c r="AZ15" i="7" a="1"/>
  <c r="AZ15" i="7"/>
  <c r="BM15" i="7"/>
  <c r="AR15" i="7"/>
  <c r="AZ17" i="7" a="1"/>
  <c r="AZ17" i="7"/>
  <c r="BM17" i="7"/>
  <c r="AR17" i="7"/>
  <c r="AZ19" i="7" a="1"/>
  <c r="AZ19" i="7"/>
  <c r="BM19" i="7"/>
  <c r="AR19" i="7"/>
  <c r="AZ21" i="7" a="1"/>
  <c r="AZ21" i="7"/>
  <c r="BM21" i="7"/>
  <c r="AR21" i="7"/>
  <c r="AZ23" i="7" a="1"/>
  <c r="AZ23" i="7"/>
  <c r="BM23" i="7"/>
  <c r="AR23" i="7"/>
  <c r="AZ25" i="7" a="1"/>
  <c r="AZ25" i="7"/>
  <c r="BM25" i="7"/>
  <c r="AR25" i="7"/>
  <c r="AZ27" i="7" a="1"/>
  <c r="AZ27" i="7"/>
  <c r="BM27" i="7"/>
  <c r="AR27" i="7"/>
  <c r="AZ29" i="7" a="1"/>
  <c r="AZ29" i="7"/>
  <c r="BM29" i="7"/>
  <c r="AR29" i="7"/>
  <c r="AZ31" i="7" a="1"/>
  <c r="AZ31" i="7"/>
  <c r="BM31" i="7"/>
  <c r="AR31" i="7"/>
  <c r="AZ33" i="7" a="1"/>
  <c r="AZ33" i="7"/>
  <c r="BM33" i="7"/>
  <c r="AR33" i="7"/>
  <c r="BM6" i="7"/>
  <c r="AR6" i="7"/>
  <c r="AZ10" i="7" a="1"/>
  <c r="AZ10" i="7"/>
  <c r="BM10" i="7"/>
  <c r="AR10" i="7"/>
  <c r="AZ18" i="7" a="1"/>
  <c r="AZ18" i="7"/>
  <c r="BM18" i="7"/>
  <c r="AR18" i="7"/>
  <c r="AZ24" i="7" a="1"/>
  <c r="AZ24" i="7"/>
  <c r="BM24" i="7"/>
  <c r="AR24" i="7"/>
  <c r="AZ30" i="7" a="1"/>
  <c r="AZ30" i="7"/>
  <c r="BM30" i="7"/>
  <c r="AR30" i="7"/>
  <c r="AZ4" i="7" a="1"/>
  <c r="AZ4" i="7"/>
  <c r="BM4" i="7"/>
  <c r="AR4" i="7"/>
  <c r="AZ12" i="7" a="1"/>
  <c r="AZ12" i="7"/>
  <c r="BM12" i="7"/>
  <c r="AR12" i="7"/>
  <c r="AZ20" i="7" a="1"/>
  <c r="AZ20" i="7"/>
  <c r="BM20" i="7"/>
  <c r="AR20" i="7"/>
  <c r="AW29" i="7" a="1"/>
  <c r="AW29" i="7"/>
  <c r="BJ29" i="7"/>
  <c r="AO29" i="7"/>
  <c r="AW31" i="7" a="1"/>
  <c r="AW31" i="7"/>
  <c r="BJ31" i="7"/>
  <c r="AO31" i="7"/>
  <c r="AW33" i="7" a="1"/>
  <c r="AW33" i="7"/>
  <c r="BJ33" i="7"/>
  <c r="AO33" i="7"/>
  <c r="AW4" i="7" a="1"/>
  <c r="AW4" i="7"/>
  <c r="BJ4" i="7"/>
  <c r="AO4" i="7"/>
  <c r="AW6" i="7" a="1"/>
  <c r="AW6" i="7"/>
  <c r="BJ6" i="7"/>
  <c r="AO6" i="7"/>
  <c r="AW12" i="7" a="1"/>
  <c r="AW12" i="7"/>
  <c r="BJ12" i="7"/>
  <c r="AO12" i="7"/>
  <c r="AW20" i="7" a="1"/>
  <c r="AW20" i="7"/>
  <c r="BJ20" i="7"/>
  <c r="AO20" i="7"/>
  <c r="AW3" i="7" a="1"/>
  <c r="AW3" i="7"/>
  <c r="BJ3" i="7"/>
  <c r="AO3" i="7"/>
  <c r="AW5" i="7" a="1"/>
  <c r="AW5" i="7"/>
  <c r="BJ5" i="7"/>
  <c r="AO5" i="7"/>
  <c r="AW7" i="7" a="1"/>
  <c r="AW7" i="7"/>
  <c r="BJ7" i="7"/>
  <c r="AO7" i="7"/>
  <c r="AW9" i="7" a="1"/>
  <c r="AW9" i="7"/>
  <c r="BJ9" i="7"/>
  <c r="AO9" i="7"/>
  <c r="AW11" i="7" a="1"/>
  <c r="AW11" i="7"/>
  <c r="BJ11" i="7"/>
  <c r="AO11" i="7"/>
  <c r="AW13" i="7" a="1"/>
  <c r="AW13" i="7"/>
  <c r="BJ13" i="7"/>
  <c r="AO13" i="7"/>
  <c r="AW15" i="7" a="1"/>
  <c r="AW15" i="7"/>
  <c r="BJ15" i="7"/>
  <c r="AO15" i="7"/>
  <c r="AW17" i="7" a="1"/>
  <c r="AW17" i="7"/>
  <c r="BJ17" i="7"/>
  <c r="AO17" i="7"/>
  <c r="AW19" i="7" a="1"/>
  <c r="AW19" i="7"/>
  <c r="BJ19" i="7"/>
  <c r="AO19" i="7"/>
  <c r="AW21" i="7" a="1"/>
  <c r="AW21" i="7"/>
  <c r="BJ21" i="7"/>
  <c r="AO21" i="7"/>
  <c r="AW23" i="7" a="1"/>
  <c r="AW23" i="7"/>
  <c r="BJ23" i="7"/>
  <c r="AO23" i="7"/>
  <c r="AW25" i="7" a="1"/>
  <c r="AW25" i="7"/>
  <c r="BJ25" i="7"/>
  <c r="AO25" i="7"/>
  <c r="AW27" i="7" a="1"/>
  <c r="AW27" i="7"/>
  <c r="BJ27" i="7"/>
  <c r="AO27" i="7"/>
  <c r="AW14" i="7" a="1"/>
  <c r="AW14" i="7"/>
  <c r="BJ14" i="7"/>
  <c r="AO14" i="7"/>
  <c r="AW22" i="7" a="1"/>
  <c r="AW22" i="7"/>
  <c r="BJ22" i="7"/>
  <c r="AO22" i="7"/>
  <c r="AW28" i="7" a="1"/>
  <c r="AW28" i="7"/>
  <c r="BJ28" i="7"/>
  <c r="AO28" i="7"/>
  <c r="AW8" i="7" a="1"/>
  <c r="AW8" i="7"/>
  <c r="BJ8" i="7"/>
  <c r="AO8" i="7"/>
  <c r="AW10" i="7" a="1"/>
  <c r="AW10" i="7"/>
  <c r="BJ10" i="7"/>
  <c r="AO10" i="7"/>
  <c r="AW16" i="7" a="1"/>
  <c r="AW16" i="7"/>
  <c r="BJ16" i="7"/>
  <c r="AO16" i="7"/>
  <c r="AW18" i="7" a="1"/>
  <c r="AW18" i="7"/>
  <c r="BJ18" i="7"/>
  <c r="AO18" i="7"/>
  <c r="AW24" i="7" a="1"/>
  <c r="AW24" i="7"/>
  <c r="BJ24" i="7"/>
  <c r="AO24" i="7"/>
  <c r="AW26" i="7" a="1"/>
  <c r="AW26" i="7"/>
  <c r="BJ26" i="7"/>
  <c r="AO26" i="7"/>
  <c r="AW30" i="7" a="1"/>
  <c r="AW30" i="7"/>
  <c r="BJ30" i="7"/>
  <c r="AO30" i="7"/>
  <c r="AD131" i="3"/>
  <c r="AE131" i="3"/>
  <c r="AH81" i="2"/>
  <c r="AI81" i="2"/>
  <c r="BL29" i="7"/>
  <c r="AQ29" i="7"/>
  <c r="AF81" i="2"/>
  <c r="AI90" i="2"/>
  <c r="AB81" i="2"/>
  <c r="AI9" i="4"/>
  <c r="AT9" i="2"/>
  <c r="AU8" i="2"/>
  <c r="AE81" i="2"/>
  <c r="AD81" i="2"/>
  <c r="AC81" i="2"/>
  <c r="AG81" i="2"/>
  <c r="AR9" i="2"/>
  <c r="AH9" i="5"/>
  <c r="AH8" i="5"/>
  <c r="AI8" i="5"/>
  <c r="AI9" i="5"/>
  <c r="AJ8" i="5"/>
  <c r="AJ9" i="5"/>
  <c r="AK9" i="5"/>
  <c r="AK8" i="5"/>
  <c r="AB3" i="8"/>
  <c r="AS9" i="3"/>
  <c r="AJ4" i="8"/>
  <c r="AV4" i="8"/>
  <c r="AC4" i="8"/>
  <c r="AB2" i="8"/>
  <c r="AB4" i="8"/>
  <c r="AR9" i="3"/>
  <c r="AQ8" i="2"/>
  <c r="AQ9" i="2"/>
  <c r="AJ3" i="8"/>
  <c r="AV3" i="8"/>
  <c r="AC3" i="8"/>
  <c r="AJ8" i="4"/>
  <c r="AJ9" i="4"/>
  <c r="AQ9" i="3"/>
  <c r="AQ8" i="3"/>
  <c r="AG4" i="8"/>
  <c r="AS4" i="8"/>
  <c r="Z4" i="8"/>
  <c r="AG2" i="8"/>
  <c r="AS2" i="8"/>
  <c r="Z2" i="8"/>
  <c r="AG3" i="8"/>
  <c r="AS3" i="8"/>
  <c r="Z3" i="8"/>
  <c r="AK9" i="4"/>
  <c r="AK8" i="4"/>
  <c r="AP8" i="3"/>
  <c r="AP9" i="3"/>
  <c r="AH2" i="8"/>
  <c r="AT2" i="8"/>
  <c r="AA2" i="8"/>
  <c r="AH4" i="8"/>
  <c r="AT4" i="8"/>
  <c r="AA4" i="8"/>
  <c r="AH3" i="8"/>
  <c r="AT3" i="8"/>
  <c r="AA3" i="8"/>
  <c r="AS9" i="2"/>
  <c r="AS8" i="2"/>
  <c r="AJ30" i="7"/>
  <c r="AJ31" i="7"/>
  <c r="AJ29" i="7"/>
  <c r="AJ28" i="7"/>
  <c r="AX35" i="7"/>
  <c r="AL8" i="5"/>
  <c r="AL9" i="5"/>
  <c r="AM8" i="4"/>
  <c r="AV9" i="2"/>
  <c r="AB6" i="8"/>
  <c r="V12" i="8"/>
  <c r="AV8" i="2"/>
  <c r="AP35" i="7"/>
  <c r="AJ14" i="7"/>
  <c r="AT9" i="3"/>
  <c r="BE13" i="7"/>
  <c r="BD13" i="7"/>
  <c r="Z6" i="8"/>
  <c r="T12" i="8"/>
  <c r="AM2" i="8"/>
  <c r="AT8" i="3"/>
  <c r="BJ2" i="7"/>
  <c r="AO2" i="7"/>
  <c r="AW35" i="7"/>
  <c r="BG13" i="7"/>
  <c r="AM9" i="4"/>
  <c r="BM2" i="7"/>
  <c r="AR2" i="7"/>
  <c r="AZ35" i="7"/>
  <c r="BF32" i="7"/>
  <c r="BD32" i="7"/>
  <c r="BE32" i="7"/>
  <c r="AT32" i="7"/>
  <c r="BG32" i="7"/>
  <c r="AT31" i="7"/>
  <c r="E53" i="1"/>
  <c r="BF31" i="7"/>
  <c r="BD31" i="7"/>
  <c r="BE31" i="7"/>
  <c r="BG31" i="7"/>
  <c r="AT18" i="7"/>
  <c r="BG18" i="7"/>
  <c r="BF18" i="7"/>
  <c r="BE18" i="7"/>
  <c r="BD18" i="7"/>
  <c r="BF5" i="7"/>
  <c r="AT5" i="7"/>
  <c r="BG5" i="7"/>
  <c r="BD5" i="7"/>
  <c r="BE5" i="7"/>
  <c r="BD27" i="7"/>
  <c r="BE27" i="7"/>
  <c r="AT27" i="7"/>
  <c r="E49" i="1"/>
  <c r="BF27" i="7"/>
  <c r="BG27" i="7"/>
  <c r="BD24" i="7"/>
  <c r="BF24" i="7"/>
  <c r="BE24" i="7"/>
  <c r="BG24" i="7"/>
  <c r="AT24" i="7"/>
  <c r="E46" i="1"/>
  <c r="BD11" i="7"/>
  <c r="BF11" i="7"/>
  <c r="AT11" i="7"/>
  <c r="BG11" i="7"/>
  <c r="BE11" i="7"/>
  <c r="BF17" i="7"/>
  <c r="BD17" i="7"/>
  <c r="BE17" i="7"/>
  <c r="BG17" i="7"/>
  <c r="AT17" i="7"/>
  <c r="E39" i="1"/>
  <c r="AA6" i="8"/>
  <c r="U12" i="8"/>
  <c r="AN2" i="8"/>
  <c r="BD8" i="7"/>
  <c r="BG8" i="7"/>
  <c r="BE8" i="7"/>
  <c r="BF8" i="7"/>
  <c r="AT8" i="7"/>
  <c r="E30" i="1"/>
  <c r="AT16" i="7"/>
  <c r="E38" i="1"/>
  <c r="BE16" i="7"/>
  <c r="BF16" i="7"/>
  <c r="BD16" i="7"/>
  <c r="BG16" i="7"/>
  <c r="AT12" i="7"/>
  <c r="BF12" i="7"/>
  <c r="BD12" i="7"/>
  <c r="BG12" i="7"/>
  <c r="BE12" i="7"/>
  <c r="BE20" i="7"/>
  <c r="BG20" i="7"/>
  <c r="BD20" i="7"/>
  <c r="AT20" i="7"/>
  <c r="E42" i="1"/>
  <c r="BF20" i="7"/>
  <c r="BF7" i="7"/>
  <c r="AT7" i="7"/>
  <c r="BD7" i="7"/>
  <c r="BG7" i="7"/>
  <c r="BE7" i="7"/>
  <c r="AT33" i="7"/>
  <c r="E55" i="1"/>
  <c r="BE33" i="7"/>
  <c r="BF33" i="7"/>
  <c r="BD33" i="7"/>
  <c r="BG33" i="7"/>
  <c r="BE3" i="7"/>
  <c r="BD3" i="7"/>
  <c r="BF3" i="7"/>
  <c r="AT3" i="7"/>
  <c r="E25" i="1"/>
  <c r="BG3" i="7"/>
  <c r="BF26" i="7"/>
  <c r="BE26" i="7"/>
  <c r="BG26" i="7"/>
  <c r="BD26" i="7"/>
  <c r="AT26" i="7"/>
  <c r="E48" i="1"/>
  <c r="AN3" i="8"/>
  <c r="AO3" i="8"/>
  <c r="AP3" i="8"/>
  <c r="BD21" i="7"/>
  <c r="BF21" i="7"/>
  <c r="AT21" i="7"/>
  <c r="E43" i="1"/>
  <c r="BE21" i="7"/>
  <c r="BG21" i="7"/>
  <c r="BL2" i="7"/>
  <c r="AQ2" i="7"/>
  <c r="AY35" i="7"/>
  <c r="BF25" i="7"/>
  <c r="BG25" i="7"/>
  <c r="AT25" i="7"/>
  <c r="E47" i="1"/>
  <c r="BD25" i="7"/>
  <c r="BE25" i="7"/>
  <c r="BE10" i="7"/>
  <c r="AT10" i="7"/>
  <c r="E32" i="1"/>
  <c r="BG10" i="7"/>
  <c r="BF10" i="7"/>
  <c r="BD10" i="7"/>
  <c r="AP4" i="8"/>
  <c r="AM3" i="8"/>
  <c r="AN4" i="8"/>
  <c r="AD4" i="8"/>
  <c r="AM4" i="8"/>
  <c r="AO4" i="8"/>
  <c r="BF9" i="7"/>
  <c r="AT9" i="7"/>
  <c r="E31" i="1"/>
  <c r="BG9" i="7"/>
  <c r="BD9" i="7"/>
  <c r="BE9" i="7"/>
  <c r="BF13" i="7"/>
  <c r="BD6" i="7"/>
  <c r="BE6" i="7"/>
  <c r="BF6" i="7"/>
  <c r="BG6" i="7"/>
  <c r="AT6" i="7"/>
  <c r="E28" i="1"/>
  <c r="BD4" i="7"/>
  <c r="AT4" i="7"/>
  <c r="E26" i="1"/>
  <c r="BF4" i="7"/>
  <c r="BE4" i="7"/>
  <c r="BG4" i="7"/>
  <c r="AT13" i="7"/>
  <c r="E35" i="1"/>
  <c r="BF14" i="7"/>
  <c r="AT14" i="7"/>
  <c r="BE14" i="7"/>
  <c r="BD14" i="7"/>
  <c r="BG14" i="7"/>
  <c r="BG29" i="7"/>
  <c r="BF29" i="7"/>
  <c r="AT29" i="7"/>
  <c r="BD29" i="7"/>
  <c r="BE29" i="7"/>
  <c r="BG30" i="7"/>
  <c r="BE30" i="7"/>
  <c r="BF30" i="7"/>
  <c r="BD30" i="7"/>
  <c r="AT30" i="7"/>
  <c r="AT15" i="7"/>
  <c r="E37" i="1"/>
  <c r="BD15" i="7"/>
  <c r="BG15" i="7"/>
  <c r="BE15" i="7"/>
  <c r="BF15" i="7"/>
  <c r="BF22" i="7"/>
  <c r="BE22" i="7"/>
  <c r="BG22" i="7"/>
  <c r="AT22" i="7"/>
  <c r="BD22" i="7"/>
  <c r="AT23" i="7"/>
  <c r="E45" i="1"/>
  <c r="BE23" i="7"/>
  <c r="BG23" i="7"/>
  <c r="BF23" i="7"/>
  <c r="BD23" i="7"/>
  <c r="BF28" i="7"/>
  <c r="AT28" i="7"/>
  <c r="BE28" i="7"/>
  <c r="BD28" i="7"/>
  <c r="BG28" i="7"/>
  <c r="BD19" i="7"/>
  <c r="BF19" i="7"/>
  <c r="AT19" i="7"/>
  <c r="BG19" i="7"/>
  <c r="BE19" i="7"/>
  <c r="AO2" i="8"/>
  <c r="AD2" i="8"/>
  <c r="F359" i="1"/>
  <c r="AC6" i="8"/>
  <c r="W12" i="8"/>
  <c r="AP2" i="8"/>
  <c r="AD3" i="8"/>
  <c r="D360" i="1"/>
  <c r="AT2" i="7"/>
  <c r="H24" i="1"/>
  <c r="AK31" i="7"/>
  <c r="AK30" i="7"/>
  <c r="AK29" i="7"/>
  <c r="AK28" i="7"/>
  <c r="AR35" i="7"/>
  <c r="AL14" i="7"/>
  <c r="AL28" i="7"/>
  <c r="AL31" i="7"/>
  <c r="AL29" i="7"/>
  <c r="AL30" i="7"/>
  <c r="AO35" i="7"/>
  <c r="AI14" i="7"/>
  <c r="AI29" i="7"/>
  <c r="AI28" i="7"/>
  <c r="AI31" i="7"/>
  <c r="AI30" i="7"/>
  <c r="AL18" i="4"/>
  <c r="AJ16" i="4"/>
  <c r="AT17" i="2"/>
  <c r="AI16" i="4"/>
  <c r="AL16" i="4"/>
  <c r="AK16" i="4"/>
  <c r="AI17" i="4"/>
  <c r="AH19" i="5"/>
  <c r="AH18" i="5"/>
  <c r="AH17" i="5"/>
  <c r="AH16" i="5"/>
  <c r="AK19" i="5"/>
  <c r="AK18" i="5"/>
  <c r="AK17" i="5"/>
  <c r="AI19" i="5"/>
  <c r="AI18" i="5"/>
  <c r="AI17" i="5"/>
  <c r="AI16" i="5"/>
  <c r="AJ19" i="5"/>
  <c r="AJ18" i="5"/>
  <c r="AJ17" i="5"/>
  <c r="AJ16" i="5"/>
  <c r="AK16" i="5"/>
  <c r="AK17" i="4"/>
  <c r="AT19" i="2"/>
  <c r="AT20" i="2"/>
  <c r="AS20" i="2"/>
  <c r="AT18" i="2"/>
  <c r="AU18" i="2"/>
  <c r="AS18" i="2"/>
  <c r="AR17" i="2"/>
  <c r="AS17" i="2"/>
  <c r="AT16" i="2"/>
  <c r="AQ18" i="2"/>
  <c r="AR18" i="2"/>
  <c r="AR19" i="2"/>
  <c r="AR17" i="3"/>
  <c r="AQ16" i="2"/>
  <c r="AS16" i="2"/>
  <c r="AU19" i="2"/>
  <c r="AR20" i="2"/>
  <c r="AS19" i="2"/>
  <c r="AR16" i="2"/>
  <c r="AU16" i="2"/>
  <c r="BH20" i="2" a="1"/>
  <c r="BH20" i="2"/>
  <c r="BW20" i="2"/>
  <c r="AU20" i="2"/>
  <c r="AU17" i="2"/>
  <c r="AQ17" i="2"/>
  <c r="AQ20" i="2"/>
  <c r="AQ19" i="2"/>
  <c r="AI18" i="6"/>
  <c r="AK19" i="6"/>
  <c r="AK16" i="6"/>
  <c r="AH16" i="6"/>
  <c r="AK18" i="6"/>
  <c r="AJ18" i="6"/>
  <c r="AJ16" i="6"/>
  <c r="AH18" i="6"/>
  <c r="AW3" i="6" a="1"/>
  <c r="AW3" i="6"/>
  <c r="AI16" i="6"/>
  <c r="AI17" i="6"/>
  <c r="AL17" i="4"/>
  <c r="AI18" i="4"/>
  <c r="AR18" i="3"/>
  <c r="AQ17" i="3"/>
  <c r="AL19" i="4"/>
  <c r="AQ19" i="3"/>
  <c r="AJ18" i="4"/>
  <c r="AK19" i="4"/>
  <c r="AJ19" i="4"/>
  <c r="AP6" i="8"/>
  <c r="F19" i="1"/>
  <c r="AQ16" i="3"/>
  <c r="AI19" i="4"/>
  <c r="AJ17" i="4"/>
  <c r="AK18" i="4"/>
  <c r="AP18" i="3"/>
  <c r="AP16" i="3"/>
  <c r="AP17" i="3"/>
  <c r="AQ18" i="3"/>
  <c r="AS19" i="3"/>
  <c r="AS16" i="3"/>
  <c r="AS17" i="3"/>
  <c r="AP19" i="3"/>
  <c r="AR19" i="3"/>
  <c r="BG15" i="3" a="1"/>
  <c r="BG15" i="3"/>
  <c r="AO6" i="8"/>
  <c r="E19" i="1"/>
  <c r="AS18" i="3"/>
  <c r="AR16" i="3"/>
  <c r="AM6" i="8"/>
  <c r="D52" i="1"/>
  <c r="C52" i="1"/>
  <c r="F52" i="1"/>
  <c r="F36" i="1"/>
  <c r="C36" i="1"/>
  <c r="D36" i="1"/>
  <c r="D27" i="1"/>
  <c r="F27" i="1"/>
  <c r="C27" i="1"/>
  <c r="D41" i="1"/>
  <c r="F41" i="1"/>
  <c r="C41" i="1"/>
  <c r="F44" i="1"/>
  <c r="C44" i="1"/>
  <c r="D44" i="1"/>
  <c r="E52" i="1"/>
  <c r="E36" i="1"/>
  <c r="F28" i="1"/>
  <c r="D28" i="1"/>
  <c r="C28" i="1"/>
  <c r="C361" i="1"/>
  <c r="E361" i="1"/>
  <c r="F361" i="1"/>
  <c r="E27" i="1"/>
  <c r="E41" i="1"/>
  <c r="C32" i="1"/>
  <c r="F32" i="1"/>
  <c r="D32" i="1"/>
  <c r="D47" i="1"/>
  <c r="C47" i="1"/>
  <c r="F47" i="1"/>
  <c r="D55" i="1"/>
  <c r="F55" i="1"/>
  <c r="C55" i="1"/>
  <c r="F29" i="1"/>
  <c r="D29" i="1"/>
  <c r="C29" i="1"/>
  <c r="D38" i="1"/>
  <c r="F38" i="1"/>
  <c r="C38" i="1"/>
  <c r="AN6" i="8"/>
  <c r="F39" i="1"/>
  <c r="C39" i="1"/>
  <c r="D39" i="1"/>
  <c r="D33" i="1"/>
  <c r="F33" i="1"/>
  <c r="C33" i="1"/>
  <c r="C49" i="1"/>
  <c r="D49" i="1"/>
  <c r="F49" i="1"/>
  <c r="D53" i="1"/>
  <c r="C53" i="1"/>
  <c r="F53" i="1"/>
  <c r="E360" i="1"/>
  <c r="C360" i="1"/>
  <c r="F360" i="1"/>
  <c r="D50" i="1"/>
  <c r="C50" i="1"/>
  <c r="F50" i="1"/>
  <c r="D31" i="1"/>
  <c r="F31" i="1"/>
  <c r="C31" i="1"/>
  <c r="D34" i="1"/>
  <c r="F34" i="1"/>
  <c r="C34" i="1"/>
  <c r="D40" i="1"/>
  <c r="F40" i="1"/>
  <c r="C40" i="1"/>
  <c r="E359" i="1"/>
  <c r="C359" i="1"/>
  <c r="E50" i="1"/>
  <c r="E44" i="1"/>
  <c r="D51" i="1"/>
  <c r="C51" i="1"/>
  <c r="F51" i="1"/>
  <c r="D48" i="1"/>
  <c r="C48" i="1"/>
  <c r="F48" i="1"/>
  <c r="D25" i="1"/>
  <c r="C25" i="1"/>
  <c r="F25" i="1"/>
  <c r="D359" i="1"/>
  <c r="C46" i="1"/>
  <c r="D46" i="1"/>
  <c r="F46" i="1"/>
  <c r="D54" i="1"/>
  <c r="F54" i="1"/>
  <c r="C54" i="1"/>
  <c r="D45" i="1"/>
  <c r="F45" i="1"/>
  <c r="C45" i="1"/>
  <c r="D37" i="1"/>
  <c r="C37" i="1"/>
  <c r="F37" i="1"/>
  <c r="E51" i="1"/>
  <c r="D35" i="1"/>
  <c r="F35" i="1"/>
  <c r="C35" i="1"/>
  <c r="C26" i="1"/>
  <c r="F26" i="1"/>
  <c r="D26" i="1"/>
  <c r="D361" i="1"/>
  <c r="BF2" i="7"/>
  <c r="BF35" i="7"/>
  <c r="BD2" i="7"/>
  <c r="BD35" i="7"/>
  <c r="BE2" i="7"/>
  <c r="BE35" i="7"/>
  <c r="AQ35" i="7"/>
  <c r="AK14" i="7"/>
  <c r="BG2" i="7"/>
  <c r="BG35" i="7"/>
  <c r="F43" i="1"/>
  <c r="C43" i="1"/>
  <c r="D43" i="1"/>
  <c r="E29" i="1"/>
  <c r="F42" i="1"/>
  <c r="C42" i="1"/>
  <c r="D42" i="1"/>
  <c r="E34" i="1"/>
  <c r="D30" i="1"/>
  <c r="F30" i="1"/>
  <c r="C30" i="1"/>
  <c r="E33" i="1"/>
  <c r="E40" i="1"/>
  <c r="E54" i="1"/>
  <c r="AW18" i="5" a="1"/>
  <c r="AW18" i="5"/>
  <c r="AX18" i="5" a="1"/>
  <c r="AX18" i="5"/>
  <c r="BF40" i="3" a="1"/>
  <c r="BF40" i="3"/>
  <c r="BD44" i="3" a="1"/>
  <c r="BD44" i="3"/>
  <c r="BP44" i="3"/>
  <c r="AW44" i="3"/>
  <c r="BD87" i="3" a="1"/>
  <c r="BD87" i="3"/>
  <c r="BD40" i="3" a="1"/>
  <c r="BD40" i="3"/>
  <c r="BP40" i="3"/>
  <c r="AW40" i="3"/>
  <c r="BD15" i="3" a="1"/>
  <c r="BD15" i="3"/>
  <c r="AV3" i="6" a="1"/>
  <c r="AV3" i="6"/>
  <c r="BH3" i="6"/>
  <c r="AO3" i="6"/>
  <c r="BJ20" i="2" a="1"/>
  <c r="BJ20" i="2"/>
  <c r="BY20" i="2"/>
  <c r="BE87" i="3" a="1"/>
  <c r="BE87" i="3"/>
  <c r="BQ87" i="3"/>
  <c r="AX87" i="3"/>
  <c r="BE15" i="3" a="1"/>
  <c r="BE15" i="3"/>
  <c r="BQ15" i="3"/>
  <c r="AX15" i="3"/>
  <c r="BE40" i="3" a="1"/>
  <c r="BE40" i="3"/>
  <c r="BQ40" i="3"/>
  <c r="AX40" i="3"/>
  <c r="BE67" i="3" a="1"/>
  <c r="BE67" i="3"/>
  <c r="BE44" i="3" a="1"/>
  <c r="BE44" i="3"/>
  <c r="BQ44" i="3"/>
  <c r="AX44" i="3"/>
  <c r="AU3" i="6" a="1"/>
  <c r="AU3" i="6"/>
  <c r="AW38" i="6" a="1"/>
  <c r="AW38" i="6"/>
  <c r="BI38" i="6"/>
  <c r="AP38" i="6"/>
  <c r="AW20" i="6" a="1"/>
  <c r="AW20" i="6"/>
  <c r="AV42" i="6" a="1"/>
  <c r="AV42" i="6"/>
  <c r="BH42" i="6"/>
  <c r="AO42" i="6"/>
  <c r="AY42" i="6" a="1"/>
  <c r="AY42" i="6"/>
  <c r="AX42" i="6" a="1"/>
  <c r="AX42" i="6"/>
  <c r="BJ42" i="6"/>
  <c r="AQ42" i="6"/>
  <c r="AX20" i="6" a="1"/>
  <c r="AX20" i="6"/>
  <c r="BJ20" i="6"/>
  <c r="AQ20" i="6"/>
  <c r="BF10" i="3" a="1"/>
  <c r="BF10" i="3"/>
  <c r="BR10" i="3"/>
  <c r="AY10" i="3"/>
  <c r="BF101" i="3" a="1"/>
  <c r="BF101" i="3"/>
  <c r="BR101" i="3"/>
  <c r="AY101" i="3"/>
  <c r="BD10" i="3" a="1"/>
  <c r="BD10" i="3"/>
  <c r="BP10" i="3"/>
  <c r="AW10" i="3"/>
  <c r="BD109" i="3" a="1"/>
  <c r="BD109" i="3"/>
  <c r="BP109" i="3"/>
  <c r="AW109" i="3"/>
  <c r="BD29" i="3" a="1"/>
  <c r="BD29" i="3"/>
  <c r="AW27" i="4" a="1"/>
  <c r="AW27" i="4"/>
  <c r="BI27" i="4"/>
  <c r="AP27" i="4"/>
  <c r="AX27" i="4" a="1"/>
  <c r="AX27" i="4"/>
  <c r="BJ27" i="4"/>
  <c r="AQ27" i="4"/>
  <c r="AX22" i="4" a="1"/>
  <c r="AX22" i="4"/>
  <c r="BJ22" i="4"/>
  <c r="AQ22" i="4"/>
  <c r="BE109" i="3" a="1"/>
  <c r="BE109" i="3"/>
  <c r="BE101" i="3" a="1"/>
  <c r="BE101" i="3"/>
  <c r="BQ101" i="3"/>
  <c r="AX101" i="3"/>
  <c r="BE29" i="3" a="1"/>
  <c r="BE29" i="3"/>
  <c r="BQ29" i="3"/>
  <c r="AX29" i="3"/>
  <c r="AV22" i="4" a="1"/>
  <c r="AV22" i="4"/>
  <c r="BH22" i="4"/>
  <c r="AO22" i="4"/>
  <c r="BL6" i="2" a="1"/>
  <c r="BL6" i="2"/>
  <c r="CA6" i="2"/>
  <c r="BL12" i="2" a="1"/>
  <c r="BL12" i="2"/>
  <c r="CA12" i="2"/>
  <c r="BL17" i="2" a="1"/>
  <c r="BL17" i="2"/>
  <c r="CA17" i="2"/>
  <c r="BL19" i="2" a="1"/>
  <c r="BL19" i="2"/>
  <c r="BL21" i="2" a="1"/>
  <c r="BL21" i="2"/>
  <c r="CA21" i="2"/>
  <c r="BL28" i="2" a="1"/>
  <c r="BL28" i="2"/>
  <c r="CA28" i="2"/>
  <c r="BL31" i="2" a="1"/>
  <c r="BL31" i="2"/>
  <c r="BL40" i="2" a="1"/>
  <c r="BL40" i="2"/>
  <c r="BL45" i="2" a="1"/>
  <c r="BL45" i="2"/>
  <c r="CA45" i="2"/>
  <c r="BL49" i="2" a="1"/>
  <c r="BL49" i="2"/>
  <c r="BL53" i="2" a="1"/>
  <c r="BL53" i="2"/>
  <c r="BL55" i="2" a="1"/>
  <c r="BL55" i="2"/>
  <c r="BL59" i="2" a="1"/>
  <c r="BL59" i="2"/>
  <c r="CA59" i="2"/>
  <c r="BL61" i="2" a="1"/>
  <c r="BL61" i="2"/>
  <c r="BL3" i="2" a="1"/>
  <c r="BL3" i="2"/>
  <c r="BL5" i="2" a="1"/>
  <c r="BL5" i="2"/>
  <c r="BL14" i="2" a="1"/>
  <c r="BL14" i="2"/>
  <c r="CA14" i="2"/>
  <c r="BL16" i="2" a="1"/>
  <c r="BL16" i="2"/>
  <c r="BL18" i="2" a="1"/>
  <c r="BL18" i="2"/>
  <c r="BL23" i="2" a="1"/>
  <c r="BL23" i="2"/>
  <c r="CA23" i="2"/>
  <c r="BL33" i="2" a="1"/>
  <c r="BL33" i="2"/>
  <c r="CA33" i="2"/>
  <c r="BL35" i="2" a="1"/>
  <c r="BL35" i="2"/>
  <c r="CA35" i="2"/>
  <c r="BL37" i="2" a="1"/>
  <c r="BL37" i="2"/>
  <c r="BL41" i="2" a="1"/>
  <c r="BL41" i="2"/>
  <c r="BL46" i="2" a="1"/>
  <c r="BL46" i="2"/>
  <c r="CA46" i="2"/>
  <c r="BL50" i="2" a="1"/>
  <c r="BL50" i="2"/>
  <c r="CA50" i="2"/>
  <c r="BL56" i="2" a="1"/>
  <c r="BL56" i="2"/>
  <c r="BL60" i="2" a="1"/>
  <c r="BL60" i="2"/>
  <c r="BL30" i="2" a="1"/>
  <c r="BL30" i="2"/>
  <c r="CA30" i="2"/>
  <c r="BL9" i="2" a="1"/>
  <c r="BL9" i="2"/>
  <c r="BL11" i="2" a="1"/>
  <c r="BL11" i="2"/>
  <c r="BL13" i="2" a="1"/>
  <c r="BL13" i="2"/>
  <c r="BL20" i="2" a="1"/>
  <c r="BL20" i="2"/>
  <c r="CA20" i="2"/>
  <c r="BL25" i="2" a="1"/>
  <c r="BL25" i="2"/>
  <c r="BL27" i="2" a="1"/>
  <c r="BL27" i="2"/>
  <c r="BL29" i="2" a="1"/>
  <c r="BL29" i="2"/>
  <c r="BL32" i="2" a="1"/>
  <c r="BL32" i="2"/>
  <c r="CA32" i="2"/>
  <c r="BL34" i="2" a="1"/>
  <c r="BL34" i="2"/>
  <c r="BL38" i="2" a="1"/>
  <c r="BL38" i="2"/>
  <c r="BL42" i="2" a="1"/>
  <c r="BL42" i="2"/>
  <c r="BL43" i="2" a="1"/>
  <c r="BL43" i="2"/>
  <c r="CA43" i="2"/>
  <c r="BL47" i="2" a="1"/>
  <c r="BL47" i="2"/>
  <c r="BL51" i="2" a="1"/>
  <c r="BL51" i="2"/>
  <c r="BL57" i="2" a="1"/>
  <c r="BL57" i="2"/>
  <c r="BL4" i="2" a="1"/>
  <c r="BL4" i="2"/>
  <c r="CA4" i="2"/>
  <c r="BL22" i="2" a="1"/>
  <c r="BL22" i="2"/>
  <c r="BL48" i="2" a="1"/>
  <c r="BL48" i="2"/>
  <c r="BL58" i="2" a="1"/>
  <c r="BL58" i="2"/>
  <c r="BL62" i="2" a="1"/>
  <c r="BL62" i="2"/>
  <c r="CA62" i="2"/>
  <c r="BL66" i="2" a="1"/>
  <c r="BL66" i="2"/>
  <c r="BL70" i="2" a="1"/>
  <c r="BL70" i="2"/>
  <c r="BL74" i="2" a="1"/>
  <c r="BL74" i="2"/>
  <c r="BL78" i="2" a="1"/>
  <c r="BL78" i="2"/>
  <c r="CA78" i="2"/>
  <c r="BL79" i="2" a="1"/>
  <c r="BL79" i="2"/>
  <c r="BL73" i="2" a="1"/>
  <c r="BL73" i="2"/>
  <c r="BL7" i="2" a="1"/>
  <c r="BL7" i="2"/>
  <c r="BL10" i="2" a="1"/>
  <c r="BL10" i="2"/>
  <c r="CA10" i="2"/>
  <c r="BL15" i="2" a="1"/>
  <c r="BL15" i="2"/>
  <c r="BL36" i="2" a="1"/>
  <c r="BL36" i="2"/>
  <c r="CA36" i="2"/>
  <c r="BL39" i="2" a="1"/>
  <c r="BL39" i="2"/>
  <c r="BL52" i="2" a="1"/>
  <c r="BL52" i="2"/>
  <c r="CA52" i="2"/>
  <c r="BL63" i="2" a="1"/>
  <c r="BL63" i="2"/>
  <c r="BL67" i="2" a="1"/>
  <c r="BL67" i="2"/>
  <c r="BL71" i="2" a="1"/>
  <c r="BL71" i="2"/>
  <c r="BL75" i="2" a="1"/>
  <c r="BL75" i="2"/>
  <c r="CA75" i="2"/>
  <c r="BL44" i="2" a="1"/>
  <c r="BL44" i="2"/>
  <c r="BL54" i="2" a="1"/>
  <c r="BL54" i="2"/>
  <c r="CA54" i="2"/>
  <c r="BL69" i="2" a="1"/>
  <c r="BL69" i="2"/>
  <c r="BL8" i="2" a="1"/>
  <c r="BL8" i="2"/>
  <c r="CA8" i="2"/>
  <c r="BL26" i="2" a="1"/>
  <c r="BL26" i="2"/>
  <c r="BL64" i="2" a="1"/>
  <c r="BL64" i="2"/>
  <c r="BL68" i="2" a="1"/>
  <c r="BL68" i="2"/>
  <c r="BL72" i="2" a="1"/>
  <c r="BL72" i="2"/>
  <c r="CA72" i="2"/>
  <c r="BL76" i="2" a="1"/>
  <c r="BL76" i="2"/>
  <c r="BL24" i="2" a="1"/>
  <c r="BL24" i="2"/>
  <c r="BL65" i="2" a="1"/>
  <c r="BL65" i="2"/>
  <c r="BL77" i="2" a="1"/>
  <c r="BL77" i="2"/>
  <c r="CA77" i="2"/>
  <c r="BH61" i="2" a="1"/>
  <c r="BH61" i="2"/>
  <c r="BH3" i="2" a="1"/>
  <c r="BH3" i="2"/>
  <c r="BH9" i="2" a="1"/>
  <c r="BH9" i="2"/>
  <c r="BW9" i="2"/>
  <c r="BH16" i="2" a="1"/>
  <c r="BH16" i="2"/>
  <c r="BW16" i="2"/>
  <c r="BH21" i="2" a="1"/>
  <c r="BH21" i="2"/>
  <c r="BH23" i="2" a="1"/>
  <c r="BH23" i="2"/>
  <c r="BH25" i="2" a="1"/>
  <c r="BH25" i="2"/>
  <c r="BH35" i="2" a="1"/>
  <c r="BH35" i="2"/>
  <c r="BW35" i="2"/>
  <c r="BH40" i="2" a="1"/>
  <c r="BH40" i="2"/>
  <c r="BH45" i="2" a="1"/>
  <c r="BH45" i="2"/>
  <c r="BW45" i="2"/>
  <c r="BH49" i="2" a="1"/>
  <c r="BH49" i="2"/>
  <c r="BH53" i="2" a="1"/>
  <c r="BH53" i="2"/>
  <c r="BW53" i="2"/>
  <c r="BH55" i="2" a="1"/>
  <c r="BH55" i="2"/>
  <c r="BH59" i="2" a="1"/>
  <c r="BH59" i="2"/>
  <c r="BH5" i="2" a="1"/>
  <c r="BH5" i="2"/>
  <c r="BH7" i="2" a="1"/>
  <c r="BH7" i="2"/>
  <c r="BW7" i="2"/>
  <c r="BH11" i="2" a="1"/>
  <c r="BH11" i="2"/>
  <c r="BH18" i="2" a="1"/>
  <c r="BH18" i="2"/>
  <c r="BW18" i="2"/>
  <c r="CK20" i="2"/>
  <c r="BH22" i="2" a="1"/>
  <c r="BH22" i="2"/>
  <c r="BW22" i="2"/>
  <c r="BH27" i="2" a="1"/>
  <c r="BH27" i="2"/>
  <c r="BH32" i="2" a="1"/>
  <c r="BH32" i="2"/>
  <c r="BH37" i="2" a="1"/>
  <c r="BH37" i="2"/>
  <c r="BH41" i="2" a="1"/>
  <c r="BH41" i="2"/>
  <c r="BW41" i="2"/>
  <c r="BH46" i="2" a="1"/>
  <c r="BH46" i="2"/>
  <c r="BH50" i="2" a="1"/>
  <c r="BH50" i="2"/>
  <c r="BH54" i="2" a="1"/>
  <c r="BH54" i="2"/>
  <c r="BH56" i="2" a="1"/>
  <c r="BH56" i="2"/>
  <c r="BW56" i="2"/>
  <c r="BH60" i="2" a="1"/>
  <c r="BH60" i="2"/>
  <c r="BH43" i="2" a="1"/>
  <c r="BH43" i="2"/>
  <c r="BH4" i="2" a="1"/>
  <c r="BH4" i="2"/>
  <c r="BH6" i="2" a="1"/>
  <c r="BH6" i="2"/>
  <c r="BW6" i="2"/>
  <c r="BH8" i="2" a="1"/>
  <c r="BH8" i="2"/>
  <c r="BH13" i="2" a="1"/>
  <c r="BH13" i="2"/>
  <c r="BH15" i="2" a="1"/>
  <c r="BH15" i="2"/>
  <c r="BH17" i="2" a="1"/>
  <c r="BH17" i="2"/>
  <c r="BW17" i="2"/>
  <c r="BH24" i="2" a="1"/>
  <c r="BH24" i="2"/>
  <c r="BH29" i="2" a="1"/>
  <c r="BH29" i="2"/>
  <c r="BH34" i="2" a="1"/>
  <c r="BH34" i="2"/>
  <c r="BH36" i="2" a="1"/>
  <c r="BH36" i="2"/>
  <c r="BW36" i="2"/>
  <c r="BH38" i="2" a="1"/>
  <c r="BH38" i="2"/>
  <c r="BH42" i="2" a="1"/>
  <c r="BH42" i="2"/>
  <c r="BW42" i="2"/>
  <c r="BH47" i="2" a="1"/>
  <c r="BH47" i="2"/>
  <c r="BH51" i="2" a="1"/>
  <c r="BH51" i="2"/>
  <c r="BW51" i="2"/>
  <c r="BH57" i="2" a="1"/>
  <c r="BH57" i="2"/>
  <c r="BH30" i="2" a="1"/>
  <c r="BH30" i="2"/>
  <c r="BW30" i="2"/>
  <c r="BH10" i="2" a="1"/>
  <c r="BH10" i="2"/>
  <c r="BH28" i="2" a="1"/>
  <c r="BH28" i="2"/>
  <c r="BW28" i="2"/>
  <c r="BH31" i="2" a="1"/>
  <c r="BH31" i="2"/>
  <c r="BH39" i="2" a="1"/>
  <c r="BH39" i="2"/>
  <c r="BH52" i="2" a="1"/>
  <c r="BH52" i="2"/>
  <c r="BH62" i="2" a="1"/>
  <c r="BH62" i="2"/>
  <c r="BW62" i="2"/>
  <c r="BH66" i="2" a="1"/>
  <c r="BH66" i="2"/>
  <c r="BH70" i="2" a="1"/>
  <c r="BH70" i="2"/>
  <c r="BH74" i="2" a="1"/>
  <c r="BH74" i="2"/>
  <c r="BH78" i="2" a="1"/>
  <c r="BH78" i="2"/>
  <c r="BW78" i="2"/>
  <c r="BH75" i="2" a="1"/>
  <c r="BH75" i="2"/>
  <c r="BH79" i="2" a="1"/>
  <c r="BH79" i="2"/>
  <c r="BH48" i="2" a="1"/>
  <c r="BH48" i="2"/>
  <c r="BH58" i="2" a="1"/>
  <c r="BH58" i="2"/>
  <c r="BW58" i="2"/>
  <c r="BH69" i="2" a="1"/>
  <c r="BH69" i="2"/>
  <c r="BW69" i="2"/>
  <c r="BH26" i="2" a="1"/>
  <c r="BH26" i="2"/>
  <c r="BH63" i="2" a="1"/>
  <c r="BH63" i="2"/>
  <c r="BH67" i="2" a="1"/>
  <c r="BH67" i="2"/>
  <c r="BW67" i="2"/>
  <c r="BH71" i="2" a="1"/>
  <c r="BH71" i="2"/>
  <c r="BH65" i="2" a="1"/>
  <c r="BH65" i="2"/>
  <c r="BH77" i="2" a="1"/>
  <c r="BH77" i="2"/>
  <c r="BH14" i="2" a="1"/>
  <c r="BH14" i="2"/>
  <c r="BW14" i="2"/>
  <c r="BH19" i="2" a="1"/>
  <c r="BH19" i="2"/>
  <c r="BH44" i="2" a="1"/>
  <c r="BH44" i="2"/>
  <c r="BW44" i="2"/>
  <c r="BH64" i="2" a="1"/>
  <c r="BH64" i="2"/>
  <c r="BH68" i="2" a="1"/>
  <c r="BH68" i="2"/>
  <c r="BW68" i="2"/>
  <c r="BH72" i="2" a="1"/>
  <c r="BH72" i="2"/>
  <c r="BH76" i="2" a="1"/>
  <c r="BH76" i="2"/>
  <c r="BH12" i="2" a="1"/>
  <c r="BH12" i="2"/>
  <c r="BH33" i="2" a="1"/>
  <c r="BH33" i="2"/>
  <c r="BW33" i="2"/>
  <c r="BH73" i="2" a="1"/>
  <c r="BH73" i="2"/>
  <c r="BI6" i="2" a="1"/>
  <c r="BI6" i="2"/>
  <c r="BI8" i="2" a="1"/>
  <c r="BI8" i="2"/>
  <c r="BI10" i="2" a="1"/>
  <c r="BI10" i="2"/>
  <c r="BX10" i="2"/>
  <c r="BI12" i="2" a="1"/>
  <c r="BI12" i="2"/>
  <c r="BI19" i="2" a="1"/>
  <c r="BI19" i="2"/>
  <c r="BI24" i="2" a="1"/>
  <c r="BI24" i="2"/>
  <c r="BI26" i="2" a="1"/>
  <c r="BI26" i="2"/>
  <c r="BX26" i="2"/>
  <c r="BI28" i="2" a="1"/>
  <c r="BI28" i="2"/>
  <c r="BI31" i="2" a="1"/>
  <c r="BI31" i="2"/>
  <c r="BX31" i="2"/>
  <c r="BI33" i="2" a="1"/>
  <c r="BI33" i="2"/>
  <c r="BI39" i="2" a="1"/>
  <c r="BI39" i="2"/>
  <c r="BX39" i="2"/>
  <c r="BI44" i="2" a="1"/>
  <c r="BI44" i="2"/>
  <c r="BI48" i="2" a="1"/>
  <c r="BI48" i="2"/>
  <c r="BI52" i="2" a="1"/>
  <c r="BI52" i="2"/>
  <c r="BI58" i="2" a="1"/>
  <c r="BI58" i="2"/>
  <c r="BX58" i="2"/>
  <c r="BI54" i="2" a="1"/>
  <c r="BI54" i="2"/>
  <c r="BX54" i="2"/>
  <c r="BI3" i="2" a="1"/>
  <c r="BI3" i="2"/>
  <c r="BI9" i="2" a="1"/>
  <c r="BI9" i="2"/>
  <c r="BI14" i="2" a="1"/>
  <c r="BI14" i="2"/>
  <c r="BX14" i="2"/>
  <c r="BI21" i="2" a="1"/>
  <c r="BI21" i="2"/>
  <c r="BI23" i="2" a="1"/>
  <c r="BI23" i="2"/>
  <c r="BI25" i="2" a="1"/>
  <c r="BI25" i="2"/>
  <c r="BI35" i="2" a="1"/>
  <c r="BI35" i="2"/>
  <c r="BX35" i="2"/>
  <c r="BI40" i="2" a="1"/>
  <c r="BI40" i="2"/>
  <c r="BI45" i="2" a="1"/>
  <c r="BI45" i="2"/>
  <c r="BI49" i="2" a="1"/>
  <c r="BI49" i="2"/>
  <c r="BI53" i="2" a="1"/>
  <c r="BI53" i="2"/>
  <c r="BX53" i="2"/>
  <c r="BI55" i="2" a="1"/>
  <c r="BI55" i="2"/>
  <c r="BI59" i="2" a="1"/>
  <c r="BI59" i="2"/>
  <c r="BI5" i="2" a="1"/>
  <c r="BI5" i="2"/>
  <c r="BI7" i="2" a="1"/>
  <c r="BI7" i="2"/>
  <c r="BX7" i="2"/>
  <c r="BI11" i="2" a="1"/>
  <c r="BI11" i="2"/>
  <c r="BI16" i="2" a="1"/>
  <c r="BI16" i="2"/>
  <c r="BI18" i="2" a="1"/>
  <c r="BI18" i="2"/>
  <c r="BI20" i="2" a="1"/>
  <c r="BI20" i="2"/>
  <c r="BX20" i="2"/>
  <c r="BI27" i="2" a="1"/>
  <c r="BI27" i="2"/>
  <c r="BI37" i="2" a="1"/>
  <c r="BI37" i="2"/>
  <c r="BX37" i="2"/>
  <c r="BI41" i="2" a="1"/>
  <c r="BI41" i="2"/>
  <c r="BI46" i="2" a="1"/>
  <c r="BI46" i="2"/>
  <c r="BX46" i="2"/>
  <c r="BI50" i="2" a="1"/>
  <c r="BI50" i="2"/>
  <c r="BI56" i="2" a="1"/>
  <c r="BI56" i="2"/>
  <c r="BI60" i="2" a="1"/>
  <c r="BI60" i="2"/>
  <c r="BI61" i="2" a="1"/>
  <c r="BI61" i="2"/>
  <c r="BX61" i="2"/>
  <c r="BI62" i="2" a="1"/>
  <c r="BI62" i="2"/>
  <c r="BI15" i="2" a="1"/>
  <c r="BI15" i="2"/>
  <c r="BI36" i="2" a="1"/>
  <c r="BI36" i="2"/>
  <c r="BI42" i="2" a="1"/>
  <c r="BI42" i="2"/>
  <c r="BX42" i="2"/>
  <c r="BI65" i="2" a="1"/>
  <c r="BI65" i="2"/>
  <c r="BI69" i="2" a="1"/>
  <c r="BI69" i="2"/>
  <c r="BI73" i="2" a="1"/>
  <c r="BI73" i="2"/>
  <c r="BI77" i="2" a="1"/>
  <c r="BI77" i="2"/>
  <c r="BX77" i="2"/>
  <c r="BI17" i="2" a="1"/>
  <c r="BI17" i="2"/>
  <c r="BI30" i="2" a="1"/>
  <c r="BI30" i="2"/>
  <c r="BX30" i="2"/>
  <c r="BI38" i="2" a="1"/>
  <c r="BI38" i="2"/>
  <c r="BI64" i="2" a="1"/>
  <c r="BI64" i="2"/>
  <c r="BX64" i="2"/>
  <c r="BI76" i="2" a="1"/>
  <c r="BI76" i="2"/>
  <c r="BI13" i="2" a="1"/>
  <c r="BI13" i="2"/>
  <c r="BI34" i="2" a="1"/>
  <c r="BI34" i="2"/>
  <c r="BI43" i="2" a="1"/>
  <c r="BI43" i="2"/>
  <c r="BX43" i="2"/>
  <c r="BI66" i="2" a="1"/>
  <c r="BI66" i="2"/>
  <c r="BI70" i="2" a="1"/>
  <c r="BI70" i="2"/>
  <c r="BI74" i="2" a="1"/>
  <c r="BI74" i="2"/>
  <c r="BI78" i="2" a="1"/>
  <c r="BI78" i="2"/>
  <c r="BX78" i="2"/>
  <c r="BI22" i="2" a="1"/>
  <c r="BI22" i="2"/>
  <c r="BI72" i="2" a="1"/>
  <c r="BI72" i="2"/>
  <c r="BX72" i="2"/>
  <c r="BI29" i="2" a="1"/>
  <c r="BI29" i="2"/>
  <c r="BI32" i="2" a="1"/>
  <c r="BI32" i="2"/>
  <c r="BX32" i="2"/>
  <c r="BI47" i="2" a="1"/>
  <c r="BI47" i="2"/>
  <c r="BI57" i="2" a="1"/>
  <c r="BI57" i="2"/>
  <c r="BI63" i="2" a="1"/>
  <c r="BI63" i="2"/>
  <c r="BI67" i="2" a="1"/>
  <c r="BI67" i="2"/>
  <c r="BX67" i="2"/>
  <c r="BI71" i="2" a="1"/>
  <c r="BI71" i="2"/>
  <c r="BI75" i="2" a="1"/>
  <c r="BI75" i="2"/>
  <c r="BI79" i="2" a="1"/>
  <c r="BI79" i="2"/>
  <c r="BI4" i="2" a="1"/>
  <c r="BI4" i="2"/>
  <c r="BX4" i="2"/>
  <c r="BI51" i="2" a="1"/>
  <c r="BI51" i="2"/>
  <c r="BI68" i="2" a="1"/>
  <c r="BI68" i="2"/>
  <c r="BJ54" i="2" a="1"/>
  <c r="BJ54" i="2"/>
  <c r="BJ4" i="2" a="1"/>
  <c r="BJ4" i="2"/>
  <c r="BY4" i="2"/>
  <c r="BJ11" i="2" a="1"/>
  <c r="BJ11" i="2"/>
  <c r="BJ13" i="2" a="1"/>
  <c r="BJ13" i="2"/>
  <c r="BJ15" i="2" a="1"/>
  <c r="BJ15" i="2"/>
  <c r="BY15" i="2"/>
  <c r="BJ22" i="2" a="1"/>
  <c r="BJ22" i="2"/>
  <c r="BY22" i="2"/>
  <c r="BJ27" i="2" a="1"/>
  <c r="BJ27" i="2"/>
  <c r="BJ29" i="2" a="1"/>
  <c r="BJ29" i="2"/>
  <c r="BJ30" i="2" a="1"/>
  <c r="BJ30" i="2"/>
  <c r="BJ32" i="2" a="1"/>
  <c r="BJ32" i="2"/>
  <c r="BY32" i="2"/>
  <c r="BJ34" i="2" a="1"/>
  <c r="BJ34" i="2"/>
  <c r="BJ36" i="2" a="1"/>
  <c r="BJ36" i="2"/>
  <c r="BY36" i="2"/>
  <c r="BJ38" i="2" a="1"/>
  <c r="BJ38" i="2"/>
  <c r="BJ42" i="2" a="1"/>
  <c r="BJ42" i="2"/>
  <c r="BY42" i="2"/>
  <c r="BJ43" i="2" a="1"/>
  <c r="BJ43" i="2"/>
  <c r="BJ47" i="2" a="1"/>
  <c r="BJ47" i="2"/>
  <c r="BJ51" i="2" a="1"/>
  <c r="BJ51" i="2"/>
  <c r="BJ57" i="2" a="1"/>
  <c r="BJ57" i="2"/>
  <c r="BY57" i="2"/>
  <c r="BJ6" i="2" a="1"/>
  <c r="BJ6" i="2"/>
  <c r="BJ8" i="2" a="1"/>
  <c r="BJ8" i="2"/>
  <c r="BJ10" i="2" a="1"/>
  <c r="BJ10" i="2"/>
  <c r="BJ12" i="2" a="1"/>
  <c r="BJ12" i="2"/>
  <c r="BY12" i="2"/>
  <c r="BJ17" i="2" a="1"/>
  <c r="BJ17" i="2"/>
  <c r="BJ24" i="2" a="1"/>
  <c r="BJ24" i="2"/>
  <c r="BJ26" i="2" a="1"/>
  <c r="BJ26" i="2"/>
  <c r="BJ28" i="2" a="1"/>
  <c r="BJ28" i="2"/>
  <c r="BY28" i="2"/>
  <c r="BJ31" i="2" a="1"/>
  <c r="BJ31" i="2"/>
  <c r="BJ39" i="2" a="1"/>
  <c r="BJ39" i="2"/>
  <c r="BJ44" i="2" a="1"/>
  <c r="BJ44" i="2"/>
  <c r="BJ48" i="2" a="1"/>
  <c r="BJ48" i="2"/>
  <c r="BY48" i="2"/>
  <c r="BJ52" i="2" a="1"/>
  <c r="BJ52" i="2"/>
  <c r="BJ58" i="2" a="1"/>
  <c r="BJ58" i="2"/>
  <c r="BJ14" i="2" a="1"/>
  <c r="BJ14" i="2"/>
  <c r="BJ19" i="2" a="1"/>
  <c r="BJ19" i="2"/>
  <c r="BY19" i="2"/>
  <c r="BJ21" i="2" a="1"/>
  <c r="BJ21" i="2"/>
  <c r="BJ23" i="2" a="1"/>
  <c r="BJ23" i="2"/>
  <c r="BJ33" i="2" a="1"/>
  <c r="BJ33" i="2"/>
  <c r="BJ40" i="2" a="1"/>
  <c r="BJ40" i="2"/>
  <c r="BJ45" i="2" a="1"/>
  <c r="BJ45" i="2"/>
  <c r="BJ49" i="2" a="1"/>
  <c r="BJ49" i="2"/>
  <c r="BJ53" i="2" a="1"/>
  <c r="BJ53" i="2"/>
  <c r="BJ55" i="2" a="1"/>
  <c r="BJ55" i="2"/>
  <c r="BY55" i="2"/>
  <c r="BJ59" i="2" a="1"/>
  <c r="BJ59" i="2"/>
  <c r="BJ7" i="2" a="1"/>
  <c r="BJ7" i="2"/>
  <c r="BJ25" i="2" a="1"/>
  <c r="BJ25" i="2"/>
  <c r="BY25" i="2"/>
  <c r="BJ64" i="2" a="1"/>
  <c r="BJ64" i="2"/>
  <c r="BY64" i="2"/>
  <c r="BJ68" i="2" a="1"/>
  <c r="BJ68" i="2"/>
  <c r="BJ72" i="2" a="1"/>
  <c r="BJ72" i="2"/>
  <c r="BJ76" i="2" a="1"/>
  <c r="BJ76" i="2"/>
  <c r="BJ77" i="2" a="1"/>
  <c r="BJ77" i="2"/>
  <c r="BJ71" i="2" a="1"/>
  <c r="BJ71" i="2"/>
  <c r="BJ5" i="2" a="1"/>
  <c r="BJ5" i="2"/>
  <c r="BY5" i="2"/>
  <c r="BJ18" i="2" a="1"/>
  <c r="BJ18" i="2"/>
  <c r="BJ46" i="2" a="1"/>
  <c r="BJ46" i="2"/>
  <c r="BY46" i="2"/>
  <c r="BJ56" i="2" a="1"/>
  <c r="BJ56" i="2"/>
  <c r="BJ62" i="2" a="1"/>
  <c r="BJ62" i="2"/>
  <c r="BJ65" i="2" a="1"/>
  <c r="BJ65" i="2"/>
  <c r="BY65" i="2"/>
  <c r="BJ69" i="2" a="1"/>
  <c r="BJ69" i="2"/>
  <c r="BJ73" i="2" a="1"/>
  <c r="BJ73" i="2"/>
  <c r="BJ35" i="2" a="1"/>
  <c r="BJ35" i="2"/>
  <c r="BJ67" i="2" a="1"/>
  <c r="BJ67" i="2"/>
  <c r="BJ79" i="2" a="1"/>
  <c r="BJ79" i="2"/>
  <c r="BY79" i="2"/>
  <c r="BJ3" i="2" a="1"/>
  <c r="BJ3" i="2"/>
  <c r="BY3" i="2"/>
  <c r="BJ16" i="2" a="1"/>
  <c r="BJ16" i="2"/>
  <c r="BJ37" i="2" a="1"/>
  <c r="BJ37" i="2"/>
  <c r="BY37" i="2"/>
  <c r="BJ50" i="2" a="1"/>
  <c r="BJ50" i="2"/>
  <c r="BJ60" i="2" a="1"/>
  <c r="BJ60" i="2"/>
  <c r="BJ66" i="2" a="1"/>
  <c r="BJ66" i="2"/>
  <c r="BJ70" i="2" a="1"/>
  <c r="BJ70" i="2"/>
  <c r="BY70" i="2"/>
  <c r="BA70" i="2"/>
  <c r="BJ74" i="2" a="1"/>
  <c r="BJ74" i="2"/>
  <c r="BJ78" i="2" a="1"/>
  <c r="BJ78" i="2"/>
  <c r="BJ9" i="2" a="1"/>
  <c r="BJ9" i="2"/>
  <c r="BJ41" i="2" a="1"/>
  <c r="BJ41" i="2"/>
  <c r="BJ61" i="2" a="1"/>
  <c r="BJ61" i="2"/>
  <c r="BJ63" i="2" a="1"/>
  <c r="BJ63" i="2"/>
  <c r="BJ75" i="2" a="1"/>
  <c r="BJ75" i="2"/>
  <c r="BK3" i="2" a="1"/>
  <c r="BK3" i="2"/>
  <c r="BK5" i="2" a="1"/>
  <c r="BK5" i="2"/>
  <c r="BK7" i="2" a="1"/>
  <c r="BK7" i="2"/>
  <c r="BK9" i="2" a="1"/>
  <c r="BK9" i="2"/>
  <c r="BK14" i="2" a="1"/>
  <c r="BK14" i="2"/>
  <c r="BK16" i="2" a="1"/>
  <c r="BK16" i="2"/>
  <c r="BZ16" i="2"/>
  <c r="BK18" i="2" a="1"/>
  <c r="BK18" i="2"/>
  <c r="BK25" i="2" a="1"/>
  <c r="BK25" i="2"/>
  <c r="BK35" i="2" a="1"/>
  <c r="BK35" i="2"/>
  <c r="BZ35" i="2"/>
  <c r="BK37" i="2" a="1"/>
  <c r="BK37" i="2"/>
  <c r="BZ37" i="2"/>
  <c r="BK41" i="2" a="1"/>
  <c r="BK41" i="2"/>
  <c r="BK46" i="2" a="1"/>
  <c r="BK46" i="2"/>
  <c r="BK50" i="2" a="1"/>
  <c r="BK50" i="2"/>
  <c r="BK56" i="2" a="1"/>
  <c r="BK56" i="2"/>
  <c r="BK60" i="2" a="1"/>
  <c r="BK60" i="2"/>
  <c r="BK61" i="2" a="1"/>
  <c r="BK61" i="2"/>
  <c r="BK11" i="2" a="1"/>
  <c r="BK11" i="2"/>
  <c r="BK13" i="2" a="1"/>
  <c r="BK13" i="2"/>
  <c r="BZ13" i="2"/>
  <c r="BK15" i="2" a="1"/>
  <c r="BK15" i="2"/>
  <c r="BK20" i="2" a="1"/>
  <c r="BK20" i="2"/>
  <c r="BK27" i="2" a="1"/>
  <c r="BK27" i="2"/>
  <c r="BK29" i="2" a="1"/>
  <c r="BK29" i="2"/>
  <c r="BK32" i="2" a="1"/>
  <c r="BK32" i="2"/>
  <c r="BK34" i="2" a="1"/>
  <c r="BK34" i="2"/>
  <c r="BK38" i="2" a="1"/>
  <c r="BK38" i="2"/>
  <c r="BK42" i="2" a="1"/>
  <c r="BK42" i="2"/>
  <c r="BK43" i="2" a="1"/>
  <c r="BK43" i="2"/>
  <c r="BK47" i="2" a="1"/>
  <c r="BK47" i="2"/>
  <c r="BK51" i="2" a="1"/>
  <c r="BK51" i="2"/>
  <c r="BZ51" i="2"/>
  <c r="BK57" i="2" a="1"/>
  <c r="BK57" i="2"/>
  <c r="BK4" i="2" a="1"/>
  <c r="BK4" i="2"/>
  <c r="BK8" i="2" a="1"/>
  <c r="BK8" i="2"/>
  <c r="BK10" i="2" a="1"/>
  <c r="BK10" i="2"/>
  <c r="BK17" i="2" a="1"/>
  <c r="BK17" i="2"/>
  <c r="BZ17" i="2"/>
  <c r="BK22" i="2" a="1"/>
  <c r="BK22" i="2"/>
  <c r="BK24" i="2" a="1"/>
  <c r="BK24" i="2"/>
  <c r="BK26" i="2" a="1"/>
  <c r="BK26" i="2"/>
  <c r="BK30" i="2" a="1"/>
  <c r="BK30" i="2"/>
  <c r="BZ30" i="2"/>
  <c r="BK31" i="2" a="1"/>
  <c r="BK31" i="2"/>
  <c r="BK36" i="2" a="1"/>
  <c r="BK36" i="2"/>
  <c r="BK39" i="2" a="1"/>
  <c r="BK39" i="2"/>
  <c r="BK44" i="2" a="1"/>
  <c r="BK44" i="2"/>
  <c r="BK48" i="2" a="1"/>
  <c r="BK48" i="2"/>
  <c r="BK52" i="2" a="1"/>
  <c r="BK52" i="2"/>
  <c r="BK54" i="2" a="1"/>
  <c r="BK54" i="2"/>
  <c r="BK58" i="2" a="1"/>
  <c r="BK58" i="2"/>
  <c r="BZ58" i="2"/>
  <c r="BK12" i="2" a="1"/>
  <c r="BK12" i="2"/>
  <c r="BK33" i="2" a="1"/>
  <c r="BK33" i="2"/>
  <c r="BK45" i="2" a="1"/>
  <c r="BK45" i="2"/>
  <c r="BK55" i="2" a="1"/>
  <c r="BK55" i="2"/>
  <c r="BZ55" i="2"/>
  <c r="BK63" i="2" a="1"/>
  <c r="BK63" i="2"/>
  <c r="BK67" i="2" a="1"/>
  <c r="BK67" i="2"/>
  <c r="BK71" i="2" a="1"/>
  <c r="BK71" i="2"/>
  <c r="BK75" i="2" a="1"/>
  <c r="BK75" i="2"/>
  <c r="BZ75" i="2"/>
  <c r="BK79" i="2" a="1"/>
  <c r="BK79" i="2"/>
  <c r="BK76" i="2" a="1"/>
  <c r="BK76" i="2"/>
  <c r="BZ76" i="2"/>
  <c r="BK66" i="2" a="1"/>
  <c r="BK66" i="2"/>
  <c r="BK78" i="2" a="1"/>
  <c r="BK78" i="2"/>
  <c r="BZ78" i="2"/>
  <c r="BK23" i="2" a="1"/>
  <c r="BK23" i="2"/>
  <c r="BK28" i="2" a="1"/>
  <c r="BK28" i="2"/>
  <c r="BK49" i="2" a="1"/>
  <c r="BK49" i="2"/>
  <c r="BK59" i="2" a="1"/>
  <c r="BK59" i="2"/>
  <c r="BK64" i="2" a="1"/>
  <c r="BK64" i="2"/>
  <c r="BK68" i="2" a="1"/>
  <c r="BK68" i="2"/>
  <c r="BK72" i="2" a="1"/>
  <c r="BK72" i="2"/>
  <c r="BK74" i="2" a="1"/>
  <c r="BK74" i="2"/>
  <c r="BK21" i="2" a="1"/>
  <c r="BK21" i="2"/>
  <c r="BK40" i="2" a="1"/>
  <c r="BK40" i="2"/>
  <c r="BK53" i="2" a="1"/>
  <c r="BK53" i="2"/>
  <c r="BK62" i="2" a="1"/>
  <c r="BK62" i="2"/>
  <c r="BK65" i="2" a="1"/>
  <c r="BK65" i="2"/>
  <c r="BK69" i="2" a="1"/>
  <c r="BK69" i="2"/>
  <c r="BK73" i="2" a="1"/>
  <c r="BK73" i="2"/>
  <c r="BK77" i="2" a="1"/>
  <c r="BK77" i="2"/>
  <c r="BK6" i="2" a="1"/>
  <c r="BK6" i="2"/>
  <c r="BK19" i="2" a="1"/>
  <c r="BK19" i="2"/>
  <c r="BZ19" i="2"/>
  <c r="BK70" i="2" a="1"/>
  <c r="BK70" i="2"/>
  <c r="BF48" i="3" a="1"/>
  <c r="BF48" i="3"/>
  <c r="BD54" i="3" a="1"/>
  <c r="BD54" i="3"/>
  <c r="BP54" i="3"/>
  <c r="AW54" i="3"/>
  <c r="AV38" i="6" a="1"/>
  <c r="AV38" i="6"/>
  <c r="BH38" i="6"/>
  <c r="AO38" i="6"/>
  <c r="BE54" i="3" a="1"/>
  <c r="BE54" i="3"/>
  <c r="BQ54" i="3"/>
  <c r="AX54" i="3"/>
  <c r="BE48" i="3" a="1"/>
  <c r="BE48" i="3"/>
  <c r="AU38" i="6" a="1"/>
  <c r="AU38" i="6"/>
  <c r="BG38" i="6"/>
  <c r="AN38" i="6"/>
  <c r="AV33" i="5" a="1"/>
  <c r="AV33" i="5"/>
  <c r="BI33" i="5"/>
  <c r="AN33" i="5"/>
  <c r="AW33" i="5" a="1"/>
  <c r="AW33" i="5"/>
  <c r="BJ33" i="5"/>
  <c r="AO33" i="5"/>
  <c r="AX33" i="5" a="1"/>
  <c r="AX33" i="5"/>
  <c r="BK33" i="5"/>
  <c r="AP33" i="5"/>
  <c r="AV15" i="4" a="1"/>
  <c r="AV15" i="4"/>
  <c r="BH15" i="4"/>
  <c r="AO15" i="4"/>
  <c r="AW26" i="6" a="1"/>
  <c r="AW26" i="6"/>
  <c r="BI26" i="6"/>
  <c r="AP26" i="6"/>
  <c r="AX15" i="4" a="1"/>
  <c r="AX15" i="4"/>
  <c r="BJ15" i="4"/>
  <c r="AQ15" i="4"/>
  <c r="AW25" i="6" a="1"/>
  <c r="AW25" i="6"/>
  <c r="BI25" i="6"/>
  <c r="AP25" i="6"/>
  <c r="AY6" i="5" a="1"/>
  <c r="AY6" i="5"/>
  <c r="BL6" i="5"/>
  <c r="AQ6" i="5"/>
  <c r="BF26" i="3" a="1"/>
  <c r="BF26" i="3"/>
  <c r="BR26" i="3"/>
  <c r="AY26" i="3"/>
  <c r="BD26" i="3" a="1"/>
  <c r="BD26" i="3"/>
  <c r="BP26" i="3"/>
  <c r="AW26" i="3"/>
  <c r="AW15" i="4" a="1"/>
  <c r="AW15" i="4"/>
  <c r="BI15" i="4"/>
  <c r="AP15" i="4"/>
  <c r="BE26" i="3" a="1"/>
  <c r="BE26" i="3"/>
  <c r="BQ26" i="3"/>
  <c r="AX26" i="3"/>
  <c r="AV15" i="5" a="1"/>
  <c r="AV15" i="5"/>
  <c r="BI15" i="5"/>
  <c r="AN15" i="5"/>
  <c r="AV24" i="5" a="1"/>
  <c r="AV24" i="5"/>
  <c r="BI24" i="5"/>
  <c r="AN24" i="5"/>
  <c r="AW15" i="5" a="1"/>
  <c r="AW15" i="5"/>
  <c r="BJ15" i="5"/>
  <c r="AO15" i="5"/>
  <c r="AW6" i="5" a="1"/>
  <c r="AW6" i="5"/>
  <c r="BJ6" i="5"/>
  <c r="AO6" i="5"/>
  <c r="AW24" i="5" a="1"/>
  <c r="AW24" i="5"/>
  <c r="BJ24" i="5"/>
  <c r="AO24" i="5"/>
  <c r="BG3" i="6"/>
  <c r="AN3" i="6"/>
  <c r="AU4" i="6" a="1"/>
  <c r="AU4" i="6"/>
  <c r="BG4" i="6"/>
  <c r="AN4" i="6"/>
  <c r="AU11" i="6" a="1"/>
  <c r="AU11" i="6"/>
  <c r="BG11" i="6"/>
  <c r="AN11" i="6"/>
  <c r="AU12" i="6" a="1"/>
  <c r="AU12" i="6"/>
  <c r="BG12" i="6"/>
  <c r="AN12" i="6"/>
  <c r="AU19" i="6" a="1"/>
  <c r="AU19" i="6"/>
  <c r="BG19" i="6"/>
  <c r="AN19" i="6"/>
  <c r="AU20" i="6" a="1"/>
  <c r="AU20" i="6"/>
  <c r="BG20" i="6"/>
  <c r="AN20" i="6"/>
  <c r="AU27" i="6" a="1"/>
  <c r="AU27" i="6"/>
  <c r="BG27" i="6"/>
  <c r="AN27" i="6"/>
  <c r="AU28" i="6" a="1"/>
  <c r="AU28" i="6"/>
  <c r="BG28" i="6"/>
  <c r="AN28" i="6"/>
  <c r="AU35" i="6" a="1"/>
  <c r="AU35" i="6"/>
  <c r="BG35" i="6"/>
  <c r="AN35" i="6"/>
  <c r="AU36" i="6" a="1"/>
  <c r="AU36" i="6"/>
  <c r="BG36" i="6"/>
  <c r="AN36" i="6"/>
  <c r="AU43" i="6" a="1"/>
  <c r="AU43" i="6"/>
  <c r="BG43" i="6"/>
  <c r="AN43" i="6"/>
  <c r="AU5" i="6" a="1"/>
  <c r="AU5" i="6"/>
  <c r="BG5" i="6"/>
  <c r="AN5" i="6"/>
  <c r="AU6" i="6" a="1"/>
  <c r="AU6" i="6"/>
  <c r="BG6" i="6"/>
  <c r="AN6" i="6"/>
  <c r="AU13" i="6" a="1"/>
  <c r="AU13" i="6"/>
  <c r="BG13" i="6"/>
  <c r="AN13" i="6"/>
  <c r="AU14" i="6" a="1"/>
  <c r="AU14" i="6"/>
  <c r="BG14" i="6"/>
  <c r="AN14" i="6"/>
  <c r="AU21" i="6" a="1"/>
  <c r="AU21" i="6"/>
  <c r="BG21" i="6"/>
  <c r="AN21" i="6"/>
  <c r="AU22" i="6" a="1"/>
  <c r="AU22" i="6"/>
  <c r="BG22" i="6"/>
  <c r="AN22" i="6"/>
  <c r="AU29" i="6" a="1"/>
  <c r="AU29" i="6"/>
  <c r="BG29" i="6"/>
  <c r="AN29" i="6"/>
  <c r="AU30" i="6" a="1"/>
  <c r="AU30" i="6"/>
  <c r="BG30" i="6"/>
  <c r="AN30" i="6"/>
  <c r="AU37" i="6" a="1"/>
  <c r="AU37" i="6"/>
  <c r="BG37" i="6"/>
  <c r="AN37" i="6"/>
  <c r="AU9" i="6" a="1"/>
  <c r="AU9" i="6"/>
  <c r="BG9" i="6"/>
  <c r="AN9" i="6"/>
  <c r="AU10" i="6" a="1"/>
  <c r="AU10" i="6"/>
  <c r="BG10" i="6"/>
  <c r="AN10" i="6"/>
  <c r="AU17" i="6" a="1"/>
  <c r="AU17" i="6"/>
  <c r="BG17" i="6"/>
  <c r="AN17" i="6"/>
  <c r="AU18" i="6" a="1"/>
  <c r="AU18" i="6"/>
  <c r="BG18" i="6"/>
  <c r="AN18" i="6"/>
  <c r="AU25" i="6" a="1"/>
  <c r="AU25" i="6"/>
  <c r="BG25" i="6"/>
  <c r="AN25" i="6"/>
  <c r="AU26" i="6" a="1"/>
  <c r="AU26" i="6"/>
  <c r="BG26" i="6"/>
  <c r="AN26" i="6"/>
  <c r="AU33" i="6" a="1"/>
  <c r="AU33" i="6"/>
  <c r="BG33" i="6"/>
  <c r="AN33" i="6"/>
  <c r="AU34" i="6" a="1"/>
  <c r="AU34" i="6"/>
  <c r="BG34" i="6"/>
  <c r="AN34" i="6"/>
  <c r="AU41" i="6" a="1"/>
  <c r="AU41" i="6"/>
  <c r="BG41" i="6"/>
  <c r="AN41" i="6"/>
  <c r="AU42" i="6" a="1"/>
  <c r="AU42" i="6"/>
  <c r="BG42" i="6"/>
  <c r="AN42" i="6"/>
  <c r="AU8" i="6" a="1"/>
  <c r="AU8" i="6"/>
  <c r="BG8" i="6"/>
  <c r="AN8" i="6"/>
  <c r="AU15" i="6" a="1"/>
  <c r="AU15" i="6"/>
  <c r="BG15" i="6"/>
  <c r="AN15" i="6"/>
  <c r="AU40" i="6" a="1"/>
  <c r="AU40" i="6"/>
  <c r="BG40" i="6"/>
  <c r="AN40" i="6"/>
  <c r="AU16" i="6" a="1"/>
  <c r="AU16" i="6"/>
  <c r="BG16" i="6"/>
  <c r="AN16" i="6"/>
  <c r="AU23" i="6" a="1"/>
  <c r="AU23" i="6"/>
  <c r="BG23" i="6"/>
  <c r="AN23" i="6"/>
  <c r="AU2" i="6" a="1"/>
  <c r="AU2" i="6"/>
  <c r="BG2" i="6"/>
  <c r="AN2" i="6"/>
  <c r="AU24" i="6" a="1"/>
  <c r="AU24" i="6"/>
  <c r="BG24" i="6"/>
  <c r="AN24" i="6"/>
  <c r="AU31" i="6" a="1"/>
  <c r="AU31" i="6"/>
  <c r="BG31" i="6"/>
  <c r="AN31" i="6"/>
  <c r="AU7" i="6" a="1"/>
  <c r="AU7" i="6"/>
  <c r="BG7" i="6"/>
  <c r="AN7" i="6"/>
  <c r="AU39" i="6" a="1"/>
  <c r="AU39" i="6"/>
  <c r="BG39" i="6"/>
  <c r="AN39" i="6"/>
  <c r="AU32" i="6" a="1"/>
  <c r="AU32" i="6"/>
  <c r="BG32" i="6"/>
  <c r="AN32" i="6"/>
  <c r="AW5" i="6" a="1"/>
  <c r="AW5" i="6"/>
  <c r="BI5" i="6"/>
  <c r="AP5" i="6"/>
  <c r="AW6" i="6" a="1"/>
  <c r="AW6" i="6"/>
  <c r="BI6" i="6"/>
  <c r="AP6" i="6"/>
  <c r="AW13" i="6" a="1"/>
  <c r="AW13" i="6"/>
  <c r="BI13" i="6"/>
  <c r="AP13" i="6"/>
  <c r="AW14" i="6" a="1"/>
  <c r="AW14" i="6"/>
  <c r="BI14" i="6"/>
  <c r="AP14" i="6"/>
  <c r="AW21" i="6" a="1"/>
  <c r="AW21" i="6"/>
  <c r="BI21" i="6"/>
  <c r="AP21" i="6"/>
  <c r="AW22" i="6" a="1"/>
  <c r="AW22" i="6"/>
  <c r="BI22" i="6"/>
  <c r="AP22" i="6"/>
  <c r="AW29" i="6" a="1"/>
  <c r="AW29" i="6"/>
  <c r="BI29" i="6"/>
  <c r="AP29" i="6"/>
  <c r="AW30" i="6" a="1"/>
  <c r="AW30" i="6"/>
  <c r="BI30" i="6"/>
  <c r="AP30" i="6"/>
  <c r="AW37" i="6" a="1"/>
  <c r="AW37" i="6"/>
  <c r="BI37" i="6"/>
  <c r="AP37" i="6"/>
  <c r="AW2" i="6" a="1"/>
  <c r="AW2" i="6"/>
  <c r="BI2" i="6"/>
  <c r="AP2" i="6"/>
  <c r="AW7" i="6" a="1"/>
  <c r="AW7" i="6"/>
  <c r="BI7" i="6"/>
  <c r="AP7" i="6"/>
  <c r="AW8" i="6" a="1"/>
  <c r="AW8" i="6"/>
  <c r="BI8" i="6"/>
  <c r="AP8" i="6"/>
  <c r="AW15" i="6" a="1"/>
  <c r="AW15" i="6"/>
  <c r="BI15" i="6"/>
  <c r="AP15" i="6"/>
  <c r="AW16" i="6" a="1"/>
  <c r="AW16" i="6"/>
  <c r="BI16" i="6"/>
  <c r="AP16" i="6"/>
  <c r="AW23" i="6" a="1"/>
  <c r="AW23" i="6"/>
  <c r="BI23" i="6"/>
  <c r="AP23" i="6"/>
  <c r="AW24" i="6" a="1"/>
  <c r="AW24" i="6"/>
  <c r="BI24" i="6"/>
  <c r="AP24" i="6"/>
  <c r="AW31" i="6" a="1"/>
  <c r="AW31" i="6"/>
  <c r="BI31" i="6"/>
  <c r="AP31" i="6"/>
  <c r="AW32" i="6" a="1"/>
  <c r="AW32" i="6"/>
  <c r="BI32" i="6"/>
  <c r="AP32" i="6"/>
  <c r="AW39" i="6" a="1"/>
  <c r="AW39" i="6"/>
  <c r="BI39" i="6"/>
  <c r="AP39" i="6"/>
  <c r="AW40" i="6" a="1"/>
  <c r="AW40" i="6"/>
  <c r="BI40" i="6"/>
  <c r="AP40" i="6"/>
  <c r="BI3" i="6"/>
  <c r="AP3" i="6"/>
  <c r="AW4" i="6" a="1"/>
  <c r="AW4" i="6"/>
  <c r="BI4" i="6"/>
  <c r="AP4" i="6"/>
  <c r="AW11" i="6" a="1"/>
  <c r="AW11" i="6"/>
  <c r="BI11" i="6"/>
  <c r="AP11" i="6"/>
  <c r="AW12" i="6" a="1"/>
  <c r="AW12" i="6"/>
  <c r="BI12" i="6"/>
  <c r="AP12" i="6"/>
  <c r="AW19" i="6" a="1"/>
  <c r="AW19" i="6"/>
  <c r="BI19" i="6"/>
  <c r="AP19" i="6"/>
  <c r="BI20" i="6"/>
  <c r="AP20" i="6"/>
  <c r="AW27" i="6" a="1"/>
  <c r="AW27" i="6"/>
  <c r="BI27" i="6"/>
  <c r="AP27" i="6"/>
  <c r="AW28" i="6" a="1"/>
  <c r="AW28" i="6"/>
  <c r="BI28" i="6"/>
  <c r="AP28" i="6"/>
  <c r="AW35" i="6" a="1"/>
  <c r="AW35" i="6"/>
  <c r="BI35" i="6"/>
  <c r="AP35" i="6"/>
  <c r="AW36" i="6" a="1"/>
  <c r="AW36" i="6"/>
  <c r="BI36" i="6"/>
  <c r="AP36" i="6"/>
  <c r="AW43" i="6" a="1"/>
  <c r="AW43" i="6"/>
  <c r="BI43" i="6"/>
  <c r="AP43" i="6"/>
  <c r="AW18" i="6" a="1"/>
  <c r="AW18" i="6"/>
  <c r="BI18" i="6"/>
  <c r="AP18" i="6"/>
  <c r="AW33" i="6" a="1"/>
  <c r="AW33" i="6"/>
  <c r="BI33" i="6"/>
  <c r="AP33" i="6"/>
  <c r="AW9" i="6" a="1"/>
  <c r="AW9" i="6"/>
  <c r="BI9" i="6"/>
  <c r="AP9" i="6"/>
  <c r="AW34" i="6" a="1"/>
  <c r="AW34" i="6"/>
  <c r="BI34" i="6"/>
  <c r="AP34" i="6"/>
  <c r="AW41" i="6" a="1"/>
  <c r="AW41" i="6"/>
  <c r="BI41" i="6"/>
  <c r="AP41" i="6"/>
  <c r="AW10" i="6" a="1"/>
  <c r="AW10" i="6"/>
  <c r="BI10" i="6"/>
  <c r="AP10" i="6"/>
  <c r="AW42" i="6" a="1"/>
  <c r="AW42" i="6"/>
  <c r="BI42" i="6"/>
  <c r="AP42" i="6"/>
  <c r="AW17" i="6" a="1"/>
  <c r="AW17" i="6"/>
  <c r="BI17" i="6"/>
  <c r="AP17" i="6"/>
  <c r="BE3" i="3" a="1"/>
  <c r="BE3" i="3"/>
  <c r="BQ3" i="3"/>
  <c r="AX3" i="3"/>
  <c r="BE13" i="3" a="1"/>
  <c r="BE13" i="3"/>
  <c r="BQ13" i="3"/>
  <c r="AX13" i="3"/>
  <c r="BE18" i="3" a="1"/>
  <c r="BE18" i="3"/>
  <c r="BQ18" i="3"/>
  <c r="AX18" i="3"/>
  <c r="BE19" i="3" a="1"/>
  <c r="BE19" i="3"/>
  <c r="BQ19" i="3"/>
  <c r="AX19" i="3"/>
  <c r="BE21" i="3" a="1"/>
  <c r="BE21" i="3"/>
  <c r="BQ21" i="3"/>
  <c r="AX21" i="3"/>
  <c r="BE25" i="3" a="1"/>
  <c r="BE25" i="3"/>
  <c r="BQ25" i="3"/>
  <c r="AX25" i="3"/>
  <c r="BE27" i="3" a="1"/>
  <c r="BE27" i="3"/>
  <c r="BQ27" i="3"/>
  <c r="AX27" i="3"/>
  <c r="BE28" i="3" a="1"/>
  <c r="BE28" i="3"/>
  <c r="BQ28" i="3"/>
  <c r="AX28" i="3"/>
  <c r="BE4" i="3" a="1"/>
  <c r="BE4" i="3"/>
  <c r="BQ4" i="3"/>
  <c r="AX4" i="3"/>
  <c r="BE5" i="3" a="1"/>
  <c r="BE5" i="3"/>
  <c r="BQ5" i="3"/>
  <c r="AX5" i="3"/>
  <c r="BE10" i="3" a="1"/>
  <c r="BE10" i="3"/>
  <c r="BQ10" i="3"/>
  <c r="AX10" i="3"/>
  <c r="BE11" i="3" a="1"/>
  <c r="BE11" i="3"/>
  <c r="BQ11" i="3"/>
  <c r="AX11" i="3"/>
  <c r="BE12" i="3" a="1"/>
  <c r="BE12" i="3"/>
  <c r="BQ12" i="3"/>
  <c r="AX12" i="3"/>
  <c r="BE14" i="3" a="1"/>
  <c r="BE14" i="3"/>
  <c r="BQ14" i="3"/>
  <c r="AX14" i="3"/>
  <c r="BE16" i="3" a="1"/>
  <c r="BE16" i="3"/>
  <c r="BQ16" i="3"/>
  <c r="AX16" i="3"/>
  <c r="BE17" i="3" a="1"/>
  <c r="BE17" i="3"/>
  <c r="BQ17" i="3"/>
  <c r="AX17" i="3"/>
  <c r="BE20" i="3" a="1"/>
  <c r="BE20" i="3"/>
  <c r="BQ20" i="3"/>
  <c r="AX20" i="3"/>
  <c r="BE22" i="3" a="1"/>
  <c r="BE22" i="3"/>
  <c r="BQ22" i="3"/>
  <c r="AX22" i="3"/>
  <c r="BE23" i="3" a="1"/>
  <c r="BE23" i="3"/>
  <c r="BQ23" i="3"/>
  <c r="AX23" i="3"/>
  <c r="BE24" i="3" a="1"/>
  <c r="BE24" i="3"/>
  <c r="BQ24" i="3"/>
  <c r="AX24" i="3"/>
  <c r="BE6" i="3" a="1"/>
  <c r="BE6" i="3"/>
  <c r="BQ6" i="3"/>
  <c r="AX6" i="3"/>
  <c r="BE7" i="3" a="1"/>
  <c r="BE7" i="3"/>
  <c r="BQ7" i="3"/>
  <c r="AX7" i="3"/>
  <c r="BE8" i="3" a="1"/>
  <c r="BE8" i="3"/>
  <c r="BQ8" i="3"/>
  <c r="AX8" i="3"/>
  <c r="BE9" i="3" a="1"/>
  <c r="BE9" i="3"/>
  <c r="BQ9" i="3"/>
  <c r="AX9" i="3"/>
  <c r="BE33" i="3" a="1"/>
  <c r="BE33" i="3"/>
  <c r="BQ33" i="3"/>
  <c r="AX33" i="3"/>
  <c r="BE34" i="3" a="1"/>
  <c r="BE34" i="3"/>
  <c r="BQ34" i="3"/>
  <c r="AX34" i="3"/>
  <c r="BE35" i="3" a="1"/>
  <c r="BE35" i="3"/>
  <c r="BQ35" i="3"/>
  <c r="AX35" i="3"/>
  <c r="BE36" i="3" a="1"/>
  <c r="BE36" i="3"/>
  <c r="BQ36" i="3"/>
  <c r="AX36" i="3"/>
  <c r="BE32" i="3" a="1"/>
  <c r="BE32" i="3"/>
  <c r="BQ32" i="3"/>
  <c r="AX32" i="3"/>
  <c r="BE41" i="3" a="1"/>
  <c r="BE41" i="3"/>
  <c r="BQ41" i="3"/>
  <c r="AX41" i="3"/>
  <c r="BE42" i="3" a="1"/>
  <c r="BE42" i="3"/>
  <c r="BQ42" i="3"/>
  <c r="AX42" i="3"/>
  <c r="BE43" i="3" a="1"/>
  <c r="BE43" i="3"/>
  <c r="BQ43" i="3"/>
  <c r="AX43" i="3"/>
  <c r="BE57" i="3" a="1"/>
  <c r="BE57" i="3"/>
  <c r="BQ57" i="3"/>
  <c r="AX57" i="3"/>
  <c r="BE58" i="3" a="1"/>
  <c r="BE58" i="3"/>
  <c r="BQ58" i="3"/>
  <c r="AX58" i="3"/>
  <c r="BE59" i="3" a="1"/>
  <c r="BE59" i="3"/>
  <c r="BQ59" i="3"/>
  <c r="AX59" i="3"/>
  <c r="BE63" i="3" a="1"/>
  <c r="BE63" i="3"/>
  <c r="BQ63" i="3"/>
  <c r="AX63" i="3"/>
  <c r="BQ67" i="3"/>
  <c r="AX67" i="3"/>
  <c r="BE71" i="3" a="1"/>
  <c r="BE71" i="3"/>
  <c r="BQ71" i="3"/>
  <c r="AX71" i="3"/>
  <c r="BE75" i="3" a="1"/>
  <c r="BE75" i="3"/>
  <c r="BQ75" i="3"/>
  <c r="AX75" i="3"/>
  <c r="BE79" i="3" a="1"/>
  <c r="BE79" i="3"/>
  <c r="BQ79" i="3"/>
  <c r="AX79" i="3"/>
  <c r="BE83" i="3" a="1"/>
  <c r="BE83" i="3"/>
  <c r="BQ83" i="3"/>
  <c r="AX83" i="3"/>
  <c r="BE90" i="3" a="1"/>
  <c r="BE90" i="3"/>
  <c r="BQ90" i="3"/>
  <c r="AX90" i="3"/>
  <c r="BE92" i="3" a="1"/>
  <c r="BE92" i="3"/>
  <c r="BQ92" i="3"/>
  <c r="AX92" i="3"/>
  <c r="BE93" i="3" a="1"/>
  <c r="BE93" i="3"/>
  <c r="BQ93" i="3"/>
  <c r="AX93" i="3"/>
  <c r="BE94" i="3" a="1"/>
  <c r="BE94" i="3"/>
  <c r="BQ94" i="3"/>
  <c r="AX94" i="3"/>
  <c r="BE95" i="3" a="1"/>
  <c r="BE95" i="3"/>
  <c r="BQ95" i="3"/>
  <c r="AX95" i="3"/>
  <c r="BE96" i="3" a="1"/>
  <c r="BE96" i="3"/>
  <c r="BQ96" i="3"/>
  <c r="AX96" i="3"/>
  <c r="BE97" i="3" a="1"/>
  <c r="BE97" i="3"/>
  <c r="BQ97" i="3"/>
  <c r="AX97" i="3"/>
  <c r="BE99" i="3" a="1"/>
  <c r="BE99" i="3"/>
  <c r="BQ99" i="3"/>
  <c r="AX99" i="3"/>
  <c r="BE37" i="3" a="1"/>
  <c r="BE37" i="3"/>
  <c r="BQ37" i="3"/>
  <c r="AX37" i="3"/>
  <c r="BE38" i="3" a="1"/>
  <c r="BE38" i="3"/>
  <c r="BQ38" i="3"/>
  <c r="AX38" i="3"/>
  <c r="BE39" i="3" a="1"/>
  <c r="BE39" i="3"/>
  <c r="BQ39" i="3"/>
  <c r="AX39" i="3"/>
  <c r="BE53" i="3" a="1"/>
  <c r="BE53" i="3"/>
  <c r="BQ53" i="3"/>
  <c r="AX53" i="3"/>
  <c r="BE55" i="3" a="1"/>
  <c r="BE55" i="3"/>
  <c r="BQ55" i="3"/>
  <c r="AX55" i="3"/>
  <c r="BE56" i="3" a="1"/>
  <c r="BE56" i="3"/>
  <c r="BQ56" i="3"/>
  <c r="AX56" i="3"/>
  <c r="BE62" i="3" a="1"/>
  <c r="BE62" i="3"/>
  <c r="BQ62" i="3"/>
  <c r="AX62" i="3"/>
  <c r="BE66" i="3" a="1"/>
  <c r="BE66" i="3"/>
  <c r="BQ66" i="3"/>
  <c r="AX66" i="3"/>
  <c r="BE70" i="3" a="1"/>
  <c r="BE70" i="3"/>
  <c r="BQ70" i="3"/>
  <c r="AX70" i="3"/>
  <c r="BE74" i="3" a="1"/>
  <c r="BE74" i="3"/>
  <c r="BQ74" i="3"/>
  <c r="AX74" i="3"/>
  <c r="BE78" i="3" a="1"/>
  <c r="BE78" i="3"/>
  <c r="BQ78" i="3"/>
  <c r="AX78" i="3"/>
  <c r="BE82" i="3" a="1"/>
  <c r="BE82" i="3"/>
  <c r="BQ82" i="3"/>
  <c r="AX82" i="3"/>
  <c r="BE98" i="3" a="1"/>
  <c r="BE98" i="3"/>
  <c r="BQ98" i="3"/>
  <c r="AX98" i="3"/>
  <c r="BE100" i="3" a="1"/>
  <c r="BE100" i="3"/>
  <c r="BQ100" i="3"/>
  <c r="AX100" i="3"/>
  <c r="BE30" i="3" a="1"/>
  <c r="BE30" i="3"/>
  <c r="BQ30" i="3"/>
  <c r="AX30" i="3"/>
  <c r="BE49" i="3" a="1"/>
  <c r="BE49" i="3"/>
  <c r="BQ49" i="3"/>
  <c r="AX49" i="3"/>
  <c r="BE50" i="3" a="1"/>
  <c r="BE50" i="3"/>
  <c r="BQ50" i="3"/>
  <c r="AX50" i="3"/>
  <c r="BE51" i="3" a="1"/>
  <c r="BE51" i="3"/>
  <c r="BQ51" i="3"/>
  <c r="AX51" i="3"/>
  <c r="BE52" i="3" a="1"/>
  <c r="BE52" i="3"/>
  <c r="BQ52" i="3"/>
  <c r="AX52" i="3"/>
  <c r="BE61" i="3" a="1"/>
  <c r="BE61" i="3"/>
  <c r="BQ61" i="3"/>
  <c r="AX61" i="3"/>
  <c r="BE65" i="3" a="1"/>
  <c r="BE65" i="3"/>
  <c r="BQ65" i="3"/>
  <c r="AX65" i="3"/>
  <c r="BE69" i="3" a="1"/>
  <c r="BE69" i="3"/>
  <c r="BQ69" i="3"/>
  <c r="AX69" i="3"/>
  <c r="BE73" i="3" a="1"/>
  <c r="BE73" i="3"/>
  <c r="BQ73" i="3"/>
  <c r="AX73" i="3"/>
  <c r="BE77" i="3" a="1"/>
  <c r="BE77" i="3"/>
  <c r="BQ77" i="3"/>
  <c r="AX77" i="3"/>
  <c r="BE81" i="3" a="1"/>
  <c r="BE81" i="3"/>
  <c r="BQ81" i="3"/>
  <c r="AX81" i="3"/>
  <c r="BE104" i="3" a="1"/>
  <c r="BE104" i="3"/>
  <c r="BQ104" i="3"/>
  <c r="AX104" i="3"/>
  <c r="BE105" i="3" a="1"/>
  <c r="BE105" i="3"/>
  <c r="BQ105" i="3"/>
  <c r="AX105" i="3"/>
  <c r="BE31" i="3" a="1"/>
  <c r="BE31" i="3"/>
  <c r="BQ31" i="3"/>
  <c r="AX31" i="3"/>
  <c r="BE47" i="3" a="1"/>
  <c r="BE47" i="3"/>
  <c r="BQ47" i="3"/>
  <c r="AX47" i="3"/>
  <c r="BE60" i="3" a="1"/>
  <c r="BE60" i="3"/>
  <c r="BQ60" i="3"/>
  <c r="AX60" i="3"/>
  <c r="BE76" i="3" a="1"/>
  <c r="BE76" i="3"/>
  <c r="BQ76" i="3"/>
  <c r="AX76" i="3"/>
  <c r="BE86" i="3" a="1"/>
  <c r="BE86" i="3"/>
  <c r="BQ86" i="3"/>
  <c r="AX86" i="3"/>
  <c r="BE103" i="3" a="1"/>
  <c r="BE103" i="3"/>
  <c r="BQ103" i="3"/>
  <c r="AX103" i="3"/>
  <c r="BE110" i="3" a="1"/>
  <c r="BE110" i="3"/>
  <c r="BQ110" i="3"/>
  <c r="AX110" i="3"/>
  <c r="BE111" i="3" a="1"/>
  <c r="BE111" i="3"/>
  <c r="BQ111" i="3"/>
  <c r="AX111" i="3"/>
  <c r="BE118" i="3" a="1"/>
  <c r="BE118" i="3"/>
  <c r="BQ118" i="3"/>
  <c r="AX118" i="3"/>
  <c r="BE119" i="3" a="1"/>
  <c r="BE119" i="3"/>
  <c r="BQ119" i="3"/>
  <c r="AX119" i="3"/>
  <c r="BE64" i="3" a="1"/>
  <c r="BE64" i="3"/>
  <c r="BQ64" i="3"/>
  <c r="AX64" i="3"/>
  <c r="BE85" i="3" a="1"/>
  <c r="BE85" i="3"/>
  <c r="BQ85" i="3"/>
  <c r="AX85" i="3"/>
  <c r="BQ109" i="3"/>
  <c r="AX109" i="3"/>
  <c r="BQ48" i="3"/>
  <c r="AX48" i="3"/>
  <c r="BE72" i="3" a="1"/>
  <c r="BE72" i="3"/>
  <c r="BQ72" i="3"/>
  <c r="AX72" i="3"/>
  <c r="BE91" i="3" a="1"/>
  <c r="BE91" i="3"/>
  <c r="BQ91" i="3"/>
  <c r="AX91" i="3"/>
  <c r="BE112" i="3" a="1"/>
  <c r="BE112" i="3"/>
  <c r="BQ112" i="3"/>
  <c r="AX112" i="3"/>
  <c r="BE113" i="3" a="1"/>
  <c r="BE113" i="3"/>
  <c r="BQ113" i="3"/>
  <c r="AX113" i="3"/>
  <c r="BE120" i="3" a="1"/>
  <c r="BE120" i="3"/>
  <c r="BQ120" i="3"/>
  <c r="AX120" i="3"/>
  <c r="BE121" i="3" a="1"/>
  <c r="BE121" i="3"/>
  <c r="BQ121" i="3"/>
  <c r="AX121" i="3"/>
  <c r="BE80" i="3" a="1"/>
  <c r="BE80" i="3"/>
  <c r="BQ80" i="3"/>
  <c r="AX80" i="3"/>
  <c r="BE106" i="3" a="1"/>
  <c r="BE106" i="3"/>
  <c r="BQ106" i="3"/>
  <c r="AX106" i="3"/>
  <c r="BE117" i="3" a="1"/>
  <c r="BE117" i="3"/>
  <c r="BQ117" i="3"/>
  <c r="AX117" i="3"/>
  <c r="BE45" i="3" a="1"/>
  <c r="BE45" i="3"/>
  <c r="BQ45" i="3"/>
  <c r="AX45" i="3"/>
  <c r="BE68" i="3" a="1"/>
  <c r="BE68" i="3"/>
  <c r="BQ68" i="3"/>
  <c r="AX68" i="3"/>
  <c r="BE84" i="3" a="1"/>
  <c r="BE84" i="3"/>
  <c r="BQ84" i="3"/>
  <c r="AX84" i="3"/>
  <c r="BE88" i="3" a="1"/>
  <c r="BE88" i="3"/>
  <c r="BQ88" i="3"/>
  <c r="AX88" i="3"/>
  <c r="BE102" i="3" a="1"/>
  <c r="BE102" i="3"/>
  <c r="BQ102" i="3"/>
  <c r="AX102" i="3"/>
  <c r="BE107" i="3" a="1"/>
  <c r="BE107" i="3"/>
  <c r="BQ107" i="3"/>
  <c r="AX107" i="3"/>
  <c r="BE114" i="3" a="1"/>
  <c r="BE114" i="3"/>
  <c r="BQ114" i="3"/>
  <c r="AX114" i="3"/>
  <c r="BE115" i="3" a="1"/>
  <c r="BE115" i="3"/>
  <c r="BQ115" i="3"/>
  <c r="AX115" i="3"/>
  <c r="BE122" i="3" a="1"/>
  <c r="BE122" i="3"/>
  <c r="BQ122" i="3"/>
  <c r="AX122" i="3"/>
  <c r="BE2" i="3" a="1"/>
  <c r="BE2" i="3"/>
  <c r="BQ2" i="3"/>
  <c r="AX2" i="3"/>
  <c r="BE46" i="3" a="1"/>
  <c r="BE46" i="3"/>
  <c r="BQ46" i="3"/>
  <c r="AX46" i="3"/>
  <c r="BE89" i="3" a="1"/>
  <c r="BE89" i="3"/>
  <c r="BQ89" i="3"/>
  <c r="AX89" i="3"/>
  <c r="BE108" i="3" a="1"/>
  <c r="BE108" i="3"/>
  <c r="BQ108" i="3"/>
  <c r="AX108" i="3"/>
  <c r="BE116" i="3" a="1"/>
  <c r="BE116" i="3"/>
  <c r="BQ116" i="3"/>
  <c r="AX116" i="3"/>
  <c r="AX32" i="5" a="1"/>
  <c r="AX32" i="5"/>
  <c r="BK32" i="5"/>
  <c r="AP32" i="5"/>
  <c r="AX25" i="5" a="1"/>
  <c r="AX25" i="5"/>
  <c r="BK25" i="5"/>
  <c r="AP25" i="5"/>
  <c r="AX24" i="5" a="1"/>
  <c r="AX24" i="5"/>
  <c r="BK24" i="5"/>
  <c r="AP24" i="5"/>
  <c r="AX17" i="5" a="1"/>
  <c r="AX17" i="5"/>
  <c r="BK17" i="5"/>
  <c r="AP17" i="5"/>
  <c r="AX16" i="5" a="1"/>
  <c r="AX16" i="5"/>
  <c r="BK16" i="5"/>
  <c r="AP16" i="5"/>
  <c r="AX9" i="5" a="1"/>
  <c r="AX9" i="5"/>
  <c r="BK9" i="5"/>
  <c r="AP9" i="5"/>
  <c r="AX8" i="5" a="1"/>
  <c r="AX8" i="5"/>
  <c r="BK8" i="5"/>
  <c r="AP8" i="5"/>
  <c r="AX31" i="5" a="1"/>
  <c r="AX31" i="5"/>
  <c r="BK31" i="5"/>
  <c r="AP31" i="5"/>
  <c r="AX30" i="5" a="1"/>
  <c r="AX30" i="5"/>
  <c r="BK30" i="5"/>
  <c r="AP30" i="5"/>
  <c r="AX23" i="5" a="1"/>
  <c r="AX23" i="5"/>
  <c r="BK23" i="5"/>
  <c r="AP23" i="5"/>
  <c r="AX22" i="5" a="1"/>
  <c r="AX22" i="5"/>
  <c r="BK22" i="5"/>
  <c r="AP22" i="5"/>
  <c r="AX15" i="5" a="1"/>
  <c r="AX15" i="5"/>
  <c r="BK15" i="5"/>
  <c r="AP15" i="5"/>
  <c r="AX14" i="5" a="1"/>
  <c r="AX14" i="5"/>
  <c r="BK14" i="5"/>
  <c r="AP14" i="5"/>
  <c r="AX7" i="5" a="1"/>
  <c r="AX7" i="5"/>
  <c r="BK7" i="5"/>
  <c r="AP7" i="5"/>
  <c r="AX6" i="5" a="1"/>
  <c r="AX6" i="5"/>
  <c r="BK6" i="5"/>
  <c r="AP6" i="5"/>
  <c r="AX35" i="5" a="1"/>
  <c r="AX35" i="5"/>
  <c r="BK35" i="5"/>
  <c r="AP35" i="5"/>
  <c r="AX34" i="5" a="1"/>
  <c r="AX34" i="5"/>
  <c r="BK34" i="5"/>
  <c r="AP34" i="5"/>
  <c r="AX27" i="5" a="1"/>
  <c r="AX27" i="5"/>
  <c r="BK27" i="5"/>
  <c r="AP27" i="5"/>
  <c r="AX26" i="5" a="1"/>
  <c r="AX26" i="5"/>
  <c r="BK26" i="5"/>
  <c r="AP26" i="5"/>
  <c r="AX19" i="5" a="1"/>
  <c r="AX19" i="5"/>
  <c r="BK19" i="5"/>
  <c r="AP19" i="5"/>
  <c r="BK18" i="5"/>
  <c r="AP18" i="5"/>
  <c r="AX11" i="5" a="1"/>
  <c r="AX11" i="5"/>
  <c r="BK11" i="5"/>
  <c r="AP11" i="5"/>
  <c r="AX10" i="5" a="1"/>
  <c r="AX10" i="5"/>
  <c r="BK10" i="5"/>
  <c r="AP10" i="5"/>
  <c r="AX3" i="5" a="1"/>
  <c r="AX3" i="5"/>
  <c r="BK3" i="5"/>
  <c r="AP3" i="5"/>
  <c r="AX2" i="5" a="1"/>
  <c r="AX2" i="5"/>
  <c r="AX29" i="5" a="1"/>
  <c r="AX29" i="5"/>
  <c r="BK29" i="5"/>
  <c r="AP29" i="5"/>
  <c r="AX4" i="5" a="1"/>
  <c r="AX4" i="5"/>
  <c r="BK4" i="5"/>
  <c r="AP4" i="5"/>
  <c r="AX28" i="5" a="1"/>
  <c r="AX28" i="5"/>
  <c r="BK28" i="5"/>
  <c r="AP28" i="5"/>
  <c r="AX21" i="5" a="1"/>
  <c r="AX21" i="5"/>
  <c r="BK21" i="5"/>
  <c r="AP21" i="5"/>
  <c r="AX20" i="5" a="1"/>
  <c r="AX20" i="5"/>
  <c r="BK20" i="5"/>
  <c r="AP20" i="5"/>
  <c r="AX13" i="5" a="1"/>
  <c r="AX13" i="5"/>
  <c r="BK13" i="5"/>
  <c r="AP13" i="5"/>
  <c r="AX12" i="5" a="1"/>
  <c r="AX12" i="5"/>
  <c r="BK12" i="5"/>
  <c r="AP12" i="5"/>
  <c r="AX5" i="5" a="1"/>
  <c r="AX5" i="5"/>
  <c r="BK5" i="5"/>
  <c r="AP5" i="5"/>
  <c r="AV25" i="4" a="1"/>
  <c r="AV25" i="4"/>
  <c r="BH25" i="4"/>
  <c r="AO25" i="4"/>
  <c r="AV24" i="4" a="1"/>
  <c r="AV24" i="4"/>
  <c r="BH24" i="4"/>
  <c r="AO24" i="4"/>
  <c r="AV17" i="4" a="1"/>
  <c r="AV17" i="4"/>
  <c r="BH17" i="4"/>
  <c r="AO17" i="4"/>
  <c r="AV16" i="4" a="1"/>
  <c r="AV16" i="4"/>
  <c r="BH16" i="4"/>
  <c r="AO16" i="4"/>
  <c r="AV9" i="4" a="1"/>
  <c r="AV9" i="4"/>
  <c r="BH9" i="4"/>
  <c r="AO9" i="4"/>
  <c r="AV8" i="4" a="1"/>
  <c r="AV8" i="4"/>
  <c r="BH8" i="4"/>
  <c r="AO8" i="4"/>
  <c r="AV23" i="4" a="1"/>
  <c r="AV23" i="4"/>
  <c r="BH23" i="4"/>
  <c r="AO23" i="4"/>
  <c r="AV14" i="4" a="1"/>
  <c r="AV14" i="4"/>
  <c r="BH14" i="4"/>
  <c r="AO14" i="4"/>
  <c r="AV7" i="4" a="1"/>
  <c r="AV7" i="4"/>
  <c r="BH7" i="4"/>
  <c r="AO7" i="4"/>
  <c r="AV6" i="4" a="1"/>
  <c r="AV6" i="4"/>
  <c r="BH6" i="4"/>
  <c r="AO6" i="4"/>
  <c r="AV29" i="4" a="1"/>
  <c r="AV29" i="4"/>
  <c r="BH29" i="4"/>
  <c r="AO29" i="4"/>
  <c r="AV28" i="4" a="1"/>
  <c r="AV28" i="4"/>
  <c r="BH28" i="4"/>
  <c r="AO28" i="4"/>
  <c r="AV21" i="4" a="1"/>
  <c r="AV21" i="4"/>
  <c r="BH21" i="4"/>
  <c r="AO21" i="4"/>
  <c r="AV20" i="4" a="1"/>
  <c r="AV20" i="4"/>
  <c r="BH20" i="4"/>
  <c r="AO20" i="4"/>
  <c r="AV13" i="4" a="1"/>
  <c r="AV13" i="4"/>
  <c r="BH13" i="4"/>
  <c r="AO13" i="4"/>
  <c r="AV12" i="4" a="1"/>
  <c r="AV12" i="4"/>
  <c r="BH12" i="4"/>
  <c r="AO12" i="4"/>
  <c r="AV5" i="4" a="1"/>
  <c r="AV5" i="4"/>
  <c r="AV4" i="4" a="1"/>
  <c r="AV4" i="4"/>
  <c r="BH4" i="4"/>
  <c r="AO4" i="4"/>
  <c r="AV2" i="4" a="1"/>
  <c r="AV2" i="4"/>
  <c r="BH2" i="4"/>
  <c r="AO2" i="4"/>
  <c r="AV26" i="4" a="1"/>
  <c r="AV26" i="4"/>
  <c r="BH26" i="4"/>
  <c r="AO26" i="4"/>
  <c r="AV19" i="4" a="1"/>
  <c r="AV19" i="4"/>
  <c r="BH19" i="4"/>
  <c r="AO19" i="4"/>
  <c r="AV18" i="4" a="1"/>
  <c r="AV18" i="4"/>
  <c r="BH18" i="4"/>
  <c r="AO18" i="4"/>
  <c r="AV11" i="4" a="1"/>
  <c r="AV11" i="4"/>
  <c r="BH11" i="4"/>
  <c r="AO11" i="4"/>
  <c r="AV10" i="4" a="1"/>
  <c r="AV10" i="4"/>
  <c r="BH10" i="4"/>
  <c r="AO10" i="4"/>
  <c r="AV3" i="4" a="1"/>
  <c r="AV3" i="4"/>
  <c r="BH3" i="4"/>
  <c r="AO3" i="4"/>
  <c r="AV27" i="4" a="1"/>
  <c r="AV27" i="4"/>
  <c r="BH27" i="4"/>
  <c r="AO27" i="4"/>
  <c r="BF30" i="3" a="1"/>
  <c r="BF30" i="3"/>
  <c r="BR30" i="3"/>
  <c r="AY30" i="3"/>
  <c r="BF31" i="3" a="1"/>
  <c r="BF31" i="3"/>
  <c r="BR31" i="3"/>
  <c r="AY31" i="3"/>
  <c r="BF32" i="3" a="1"/>
  <c r="BF32" i="3"/>
  <c r="BR32" i="3"/>
  <c r="AY32" i="3"/>
  <c r="BF33" i="3" a="1"/>
  <c r="BF33" i="3"/>
  <c r="BR33" i="3"/>
  <c r="AY33" i="3"/>
  <c r="BF18" i="3" a="1"/>
  <c r="BF18" i="3"/>
  <c r="BR18" i="3"/>
  <c r="AY18" i="3"/>
  <c r="BF27" i="3" a="1"/>
  <c r="BF27" i="3"/>
  <c r="BR27" i="3"/>
  <c r="AY27" i="3"/>
  <c r="BF28" i="3" a="1"/>
  <c r="BF28" i="3"/>
  <c r="BR28" i="3"/>
  <c r="AY28" i="3"/>
  <c r="BF29" i="3" a="1"/>
  <c r="BF29" i="3"/>
  <c r="BR29" i="3"/>
  <c r="AY29" i="3"/>
  <c r="BF3" i="3" a="1"/>
  <c r="BF3" i="3"/>
  <c r="BR3" i="3"/>
  <c r="AY3" i="3"/>
  <c r="BF4" i="3" a="1"/>
  <c r="BF4" i="3"/>
  <c r="BR4" i="3"/>
  <c r="AY4" i="3"/>
  <c r="BF12" i="3" a="1"/>
  <c r="BF12" i="3"/>
  <c r="BR12" i="3"/>
  <c r="AY12" i="3"/>
  <c r="BF13" i="3" a="1"/>
  <c r="BF13" i="3"/>
  <c r="BR13" i="3"/>
  <c r="AY13" i="3"/>
  <c r="BF14" i="3" a="1"/>
  <c r="BF14" i="3"/>
  <c r="BR14" i="3"/>
  <c r="AY14" i="3"/>
  <c r="BF15" i="3" a="1"/>
  <c r="BF15" i="3"/>
  <c r="BR15" i="3"/>
  <c r="AY15" i="3"/>
  <c r="BF16" i="3" a="1"/>
  <c r="BF16" i="3"/>
  <c r="BR16" i="3"/>
  <c r="AY16" i="3"/>
  <c r="BF17" i="3" a="1"/>
  <c r="BF17" i="3"/>
  <c r="BR17" i="3"/>
  <c r="AY17" i="3"/>
  <c r="BF19" i="3" a="1"/>
  <c r="BF19" i="3"/>
  <c r="BR19" i="3"/>
  <c r="AY19" i="3"/>
  <c r="BF20" i="3" a="1"/>
  <c r="BF20" i="3"/>
  <c r="BR20" i="3"/>
  <c r="AY20" i="3"/>
  <c r="BF21" i="3" a="1"/>
  <c r="BF21" i="3"/>
  <c r="BR21" i="3"/>
  <c r="AY21" i="3"/>
  <c r="BF22" i="3" a="1"/>
  <c r="BF22" i="3"/>
  <c r="BR22" i="3"/>
  <c r="AY22" i="3"/>
  <c r="BF23" i="3" a="1"/>
  <c r="BF23" i="3"/>
  <c r="BR23" i="3"/>
  <c r="AY23" i="3"/>
  <c r="BF24" i="3" a="1"/>
  <c r="BF24" i="3"/>
  <c r="BR24" i="3"/>
  <c r="AY24" i="3"/>
  <c r="BF25" i="3" a="1"/>
  <c r="BF25" i="3"/>
  <c r="BR25" i="3"/>
  <c r="AY25" i="3"/>
  <c r="BF7" i="3" a="1"/>
  <c r="BF7" i="3"/>
  <c r="BR7" i="3"/>
  <c r="AY7" i="3"/>
  <c r="BF11" i="3" a="1"/>
  <c r="BF11" i="3"/>
  <c r="BR11" i="3"/>
  <c r="AY11" i="3"/>
  <c r="BF46" i="3" a="1"/>
  <c r="BF46" i="3"/>
  <c r="BR46" i="3"/>
  <c r="AY46" i="3"/>
  <c r="BF47" i="3" a="1"/>
  <c r="BF47" i="3"/>
  <c r="BR47" i="3"/>
  <c r="AY47" i="3"/>
  <c r="BR48" i="3"/>
  <c r="AY48" i="3"/>
  <c r="BF49" i="3" a="1"/>
  <c r="BF49" i="3"/>
  <c r="BR49" i="3"/>
  <c r="AY49" i="3"/>
  <c r="BF60" i="3" a="1"/>
  <c r="BF60" i="3"/>
  <c r="BR60" i="3"/>
  <c r="AY60" i="3"/>
  <c r="BF64" i="3" a="1"/>
  <c r="BF64" i="3"/>
  <c r="BR64" i="3"/>
  <c r="AY64" i="3"/>
  <c r="BF68" i="3" a="1"/>
  <c r="BF68" i="3"/>
  <c r="BR68" i="3"/>
  <c r="AY68" i="3"/>
  <c r="BF72" i="3" a="1"/>
  <c r="BF72" i="3"/>
  <c r="BR72" i="3"/>
  <c r="AY72" i="3"/>
  <c r="BF76" i="3" a="1"/>
  <c r="BF76" i="3"/>
  <c r="BR76" i="3"/>
  <c r="AY76" i="3"/>
  <c r="BF80" i="3" a="1"/>
  <c r="BF80" i="3"/>
  <c r="BR80" i="3"/>
  <c r="AY80" i="3"/>
  <c r="BF84" i="3" a="1"/>
  <c r="BF84" i="3"/>
  <c r="BR84" i="3"/>
  <c r="AY84" i="3"/>
  <c r="BF85" i="3" a="1"/>
  <c r="BF85" i="3"/>
  <c r="BR85" i="3"/>
  <c r="AY85" i="3"/>
  <c r="BF86" i="3" a="1"/>
  <c r="BF86" i="3"/>
  <c r="BR86" i="3"/>
  <c r="AY86" i="3"/>
  <c r="BF88" i="3" a="1"/>
  <c r="BF88" i="3"/>
  <c r="BR88" i="3"/>
  <c r="AY88" i="3"/>
  <c r="BF105" i="3" a="1"/>
  <c r="BF105" i="3"/>
  <c r="BR105" i="3"/>
  <c r="AY105" i="3"/>
  <c r="BF106" i="3" a="1"/>
  <c r="BF106" i="3"/>
  <c r="BR106" i="3"/>
  <c r="AY106" i="3"/>
  <c r="BF8" i="3" a="1"/>
  <c r="BF8" i="3"/>
  <c r="BR8" i="3"/>
  <c r="AY8" i="3"/>
  <c r="BF35" i="3" a="1"/>
  <c r="BF35" i="3"/>
  <c r="BR35" i="3"/>
  <c r="AY35" i="3"/>
  <c r="BF42" i="3" a="1"/>
  <c r="BF42" i="3"/>
  <c r="BR42" i="3"/>
  <c r="AY42" i="3"/>
  <c r="BF43" i="3" a="1"/>
  <c r="BF43" i="3"/>
  <c r="BR43" i="3"/>
  <c r="AY43" i="3"/>
  <c r="BF44" i="3" a="1"/>
  <c r="BF44" i="3"/>
  <c r="BR44" i="3"/>
  <c r="AY44" i="3"/>
  <c r="BF45" i="3" a="1"/>
  <c r="BF45" i="3"/>
  <c r="BR45" i="3"/>
  <c r="AY45" i="3"/>
  <c r="BF58" i="3" a="1"/>
  <c r="BF58" i="3"/>
  <c r="BR58" i="3"/>
  <c r="AY58" i="3"/>
  <c r="BF59" i="3" a="1"/>
  <c r="BF59" i="3"/>
  <c r="BR59" i="3"/>
  <c r="AY59" i="3"/>
  <c r="BF63" i="3" a="1"/>
  <c r="BF63" i="3"/>
  <c r="BR63" i="3"/>
  <c r="AY63" i="3"/>
  <c r="BF67" i="3" a="1"/>
  <c r="BF67" i="3"/>
  <c r="BR67" i="3"/>
  <c r="AY67" i="3"/>
  <c r="BF71" i="3" a="1"/>
  <c r="BF71" i="3"/>
  <c r="BR71" i="3"/>
  <c r="AY71" i="3"/>
  <c r="BF75" i="3" a="1"/>
  <c r="BF75" i="3"/>
  <c r="BR75" i="3"/>
  <c r="AY75" i="3"/>
  <c r="BF79" i="3" a="1"/>
  <c r="BF79" i="3"/>
  <c r="BR79" i="3"/>
  <c r="AY79" i="3"/>
  <c r="BF83" i="3" a="1"/>
  <c r="BF83" i="3"/>
  <c r="BR83" i="3"/>
  <c r="AY83" i="3"/>
  <c r="BF87" i="3" a="1"/>
  <c r="BF87" i="3"/>
  <c r="BR87" i="3"/>
  <c r="AY87" i="3"/>
  <c r="BF89" i="3" a="1"/>
  <c r="BF89" i="3"/>
  <c r="BR89" i="3"/>
  <c r="AY89" i="3"/>
  <c r="BF90" i="3" a="1"/>
  <c r="BF90" i="3"/>
  <c r="BR90" i="3"/>
  <c r="AY90" i="3"/>
  <c r="BF91" i="3" a="1"/>
  <c r="BF91" i="3"/>
  <c r="BR91" i="3"/>
  <c r="AY91" i="3"/>
  <c r="BF92" i="3" a="1"/>
  <c r="BF92" i="3"/>
  <c r="BR92" i="3"/>
  <c r="AY92" i="3"/>
  <c r="BF93" i="3" a="1"/>
  <c r="BF93" i="3"/>
  <c r="BR93" i="3"/>
  <c r="AY93" i="3"/>
  <c r="BF94" i="3" a="1"/>
  <c r="BF94" i="3"/>
  <c r="BR94" i="3"/>
  <c r="AY94" i="3"/>
  <c r="BF96" i="3" a="1"/>
  <c r="BF96" i="3"/>
  <c r="BR96" i="3"/>
  <c r="AY96" i="3"/>
  <c r="BF5" i="3" a="1"/>
  <c r="BF5" i="3"/>
  <c r="BR5" i="3"/>
  <c r="AY5" i="3"/>
  <c r="BF9" i="3" a="1"/>
  <c r="BF9" i="3"/>
  <c r="BR9" i="3"/>
  <c r="AY9" i="3"/>
  <c r="BF38" i="3" a="1"/>
  <c r="BF38" i="3"/>
  <c r="BR38" i="3"/>
  <c r="AY38" i="3"/>
  <c r="BF39" i="3" a="1"/>
  <c r="BF39" i="3"/>
  <c r="BR39" i="3"/>
  <c r="AY39" i="3"/>
  <c r="BR40" i="3"/>
  <c r="AY40" i="3"/>
  <c r="BF41" i="3" a="1"/>
  <c r="BF41" i="3"/>
  <c r="BR41" i="3"/>
  <c r="AY41" i="3"/>
  <c r="BF54" i="3" a="1"/>
  <c r="BF54" i="3"/>
  <c r="BR54" i="3"/>
  <c r="AY54" i="3"/>
  <c r="BF55" i="3" a="1"/>
  <c r="BF55" i="3"/>
  <c r="BR55" i="3"/>
  <c r="AY55" i="3"/>
  <c r="BF56" i="3" a="1"/>
  <c r="BF56" i="3"/>
  <c r="BR56" i="3"/>
  <c r="AY56" i="3"/>
  <c r="BF57" i="3" a="1"/>
  <c r="BF57" i="3"/>
  <c r="BR57" i="3"/>
  <c r="AY57" i="3"/>
  <c r="BF62" i="3" a="1"/>
  <c r="BF62" i="3"/>
  <c r="BR62" i="3"/>
  <c r="AY62" i="3"/>
  <c r="BF66" i="3" a="1"/>
  <c r="BF66" i="3"/>
  <c r="BR66" i="3"/>
  <c r="AY66" i="3"/>
  <c r="BF70" i="3" a="1"/>
  <c r="BF70" i="3"/>
  <c r="BR70" i="3"/>
  <c r="AY70" i="3"/>
  <c r="BF74" i="3" a="1"/>
  <c r="BF74" i="3"/>
  <c r="BR74" i="3"/>
  <c r="AY74" i="3"/>
  <c r="BF78" i="3" a="1"/>
  <c r="BF78" i="3"/>
  <c r="BR78" i="3"/>
  <c r="AY78" i="3"/>
  <c r="BF82" i="3" a="1"/>
  <c r="BF82" i="3"/>
  <c r="BR82" i="3"/>
  <c r="AY82" i="3"/>
  <c r="BF95" i="3" a="1"/>
  <c r="BF95" i="3"/>
  <c r="BR95" i="3"/>
  <c r="AY95" i="3"/>
  <c r="BF97" i="3" a="1"/>
  <c r="BF97" i="3"/>
  <c r="BR97" i="3"/>
  <c r="AY97" i="3"/>
  <c r="BF98" i="3" a="1"/>
  <c r="BF98" i="3"/>
  <c r="BR98" i="3"/>
  <c r="AY98" i="3"/>
  <c r="BF99" i="3" a="1"/>
  <c r="BF99" i="3"/>
  <c r="BR99" i="3"/>
  <c r="AY99" i="3"/>
  <c r="BF100" i="3" a="1"/>
  <c r="BF100" i="3"/>
  <c r="BR100" i="3"/>
  <c r="AY100" i="3"/>
  <c r="BF102" i="3" a="1"/>
  <c r="BF102" i="3"/>
  <c r="BR102" i="3"/>
  <c r="AY102" i="3"/>
  <c r="BF51" i="3" a="1"/>
  <c r="BF51" i="3"/>
  <c r="BR51" i="3"/>
  <c r="AY51" i="3"/>
  <c r="BF65" i="3" a="1"/>
  <c r="BF65" i="3"/>
  <c r="BR65" i="3"/>
  <c r="AY65" i="3"/>
  <c r="BF81" i="3" a="1"/>
  <c r="BF81" i="3"/>
  <c r="BR81" i="3"/>
  <c r="AY81" i="3"/>
  <c r="BF107" i="3" a="1"/>
  <c r="BF107" i="3"/>
  <c r="BR107" i="3"/>
  <c r="AY107" i="3"/>
  <c r="BF108" i="3" a="1"/>
  <c r="BF108" i="3"/>
  <c r="BR108" i="3"/>
  <c r="AY108" i="3"/>
  <c r="BF115" i="3" a="1"/>
  <c r="BF115" i="3"/>
  <c r="BR115" i="3"/>
  <c r="AY115" i="3"/>
  <c r="BF116" i="3" a="1"/>
  <c r="BF116" i="3"/>
  <c r="BR116" i="3"/>
  <c r="AY116" i="3"/>
  <c r="BF50" i="3" a="1"/>
  <c r="BF50" i="3"/>
  <c r="BR50" i="3"/>
  <c r="AY50" i="3"/>
  <c r="BF114" i="3" a="1"/>
  <c r="BF114" i="3"/>
  <c r="BR114" i="3"/>
  <c r="AY114" i="3"/>
  <c r="BF34" i="3" a="1"/>
  <c r="BF34" i="3"/>
  <c r="BR34" i="3"/>
  <c r="AY34" i="3"/>
  <c r="BF52" i="3" a="1"/>
  <c r="BF52" i="3"/>
  <c r="BR52" i="3"/>
  <c r="AY52" i="3"/>
  <c r="BF61" i="3" a="1"/>
  <c r="BF61" i="3"/>
  <c r="BR61" i="3"/>
  <c r="AY61" i="3"/>
  <c r="BF77" i="3" a="1"/>
  <c r="BF77" i="3"/>
  <c r="BR77" i="3"/>
  <c r="AY77" i="3"/>
  <c r="BF103" i="3" a="1"/>
  <c r="BF103" i="3"/>
  <c r="BR103" i="3"/>
  <c r="AY103" i="3"/>
  <c r="BF109" i="3" a="1"/>
  <c r="BF109" i="3"/>
  <c r="BR109" i="3"/>
  <c r="AY109" i="3"/>
  <c r="BF110" i="3" a="1"/>
  <c r="BF110" i="3"/>
  <c r="BR110" i="3"/>
  <c r="AY110" i="3"/>
  <c r="BF117" i="3" a="1"/>
  <c r="BF117" i="3"/>
  <c r="BR117" i="3"/>
  <c r="AY117" i="3"/>
  <c r="BF118" i="3" a="1"/>
  <c r="BF118" i="3"/>
  <c r="BR118" i="3"/>
  <c r="AY118" i="3"/>
  <c r="BF2" i="3" a="1"/>
  <c r="BF2" i="3"/>
  <c r="BR2" i="3"/>
  <c r="AY2" i="3"/>
  <c r="BF121" i="3" a="1"/>
  <c r="BF121" i="3"/>
  <c r="BR121" i="3"/>
  <c r="AY121" i="3"/>
  <c r="BF6" i="3" a="1"/>
  <c r="BF6" i="3"/>
  <c r="BR6" i="3"/>
  <c r="AY6" i="3"/>
  <c r="BF36" i="3" a="1"/>
  <c r="BF36" i="3"/>
  <c r="BR36" i="3"/>
  <c r="AY36" i="3"/>
  <c r="BF53" i="3" a="1"/>
  <c r="BF53" i="3"/>
  <c r="BR53" i="3"/>
  <c r="AY53" i="3"/>
  <c r="BF73" i="3" a="1"/>
  <c r="BF73" i="3"/>
  <c r="BR73" i="3"/>
  <c r="AY73" i="3"/>
  <c r="BF111" i="3" a="1"/>
  <c r="BF111" i="3"/>
  <c r="BR111" i="3"/>
  <c r="AY111" i="3"/>
  <c r="BF112" i="3" a="1"/>
  <c r="BF112" i="3"/>
  <c r="BR112" i="3"/>
  <c r="AY112" i="3"/>
  <c r="BF119" i="3" a="1"/>
  <c r="BF119" i="3"/>
  <c r="BR119" i="3"/>
  <c r="AY119" i="3"/>
  <c r="BF120" i="3" a="1"/>
  <c r="BF120" i="3"/>
  <c r="BR120" i="3"/>
  <c r="AY120" i="3"/>
  <c r="BF37" i="3" a="1"/>
  <c r="BF37" i="3"/>
  <c r="BR37" i="3"/>
  <c r="AY37" i="3"/>
  <c r="BF69" i="3" a="1"/>
  <c r="BF69" i="3"/>
  <c r="BR69" i="3"/>
  <c r="AY69" i="3"/>
  <c r="BF104" i="3" a="1"/>
  <c r="BF104" i="3"/>
  <c r="BR104" i="3"/>
  <c r="AY104" i="3"/>
  <c r="BF113" i="3" a="1"/>
  <c r="BF113" i="3"/>
  <c r="BR113" i="3"/>
  <c r="AY113" i="3"/>
  <c r="BF122" i="3" a="1"/>
  <c r="BF122" i="3"/>
  <c r="BR122" i="3"/>
  <c r="AY122" i="3"/>
  <c r="BD5" i="3" a="1"/>
  <c r="BD5" i="3"/>
  <c r="BP5" i="3"/>
  <c r="AW5" i="3"/>
  <c r="BD6" i="3" a="1"/>
  <c r="BD6" i="3"/>
  <c r="BP6" i="3"/>
  <c r="AW6" i="3"/>
  <c r="BD8" i="3" a="1"/>
  <c r="BD8" i="3"/>
  <c r="BP8" i="3"/>
  <c r="AW8" i="3"/>
  <c r="BD11" i="3" a="1"/>
  <c r="BD11" i="3"/>
  <c r="BP11" i="3"/>
  <c r="AW11" i="3"/>
  <c r="BD12" i="3" a="1"/>
  <c r="BD12" i="3"/>
  <c r="BP12" i="3"/>
  <c r="AW12" i="3"/>
  <c r="BP15" i="3"/>
  <c r="AW15" i="3"/>
  <c r="BD17" i="3" a="1"/>
  <c r="BD17" i="3"/>
  <c r="BP17" i="3"/>
  <c r="AW17" i="3"/>
  <c r="BD23" i="3" a="1"/>
  <c r="BD23" i="3"/>
  <c r="BP23" i="3"/>
  <c r="AW23" i="3"/>
  <c r="BD36" i="3" a="1"/>
  <c r="BD36" i="3"/>
  <c r="BP36" i="3"/>
  <c r="AW36" i="3"/>
  <c r="BD7" i="3" a="1"/>
  <c r="BD7" i="3"/>
  <c r="BP7" i="3"/>
  <c r="AW7" i="3"/>
  <c r="BD9" i="3" a="1"/>
  <c r="BD9" i="3"/>
  <c r="BP9" i="3"/>
  <c r="AW9" i="3"/>
  <c r="BD32" i="3" a="1"/>
  <c r="BD32" i="3"/>
  <c r="BP32" i="3"/>
  <c r="AW32" i="3"/>
  <c r="BD33" i="3" a="1"/>
  <c r="BD33" i="3"/>
  <c r="BP33" i="3"/>
  <c r="AW33" i="3"/>
  <c r="BD28" i="3" a="1"/>
  <c r="BD28" i="3"/>
  <c r="BP28" i="3"/>
  <c r="AW28" i="3"/>
  <c r="BP29" i="3"/>
  <c r="AW29" i="3"/>
  <c r="BD30" i="3" a="1"/>
  <c r="BD30" i="3"/>
  <c r="BP30" i="3"/>
  <c r="AW30" i="3"/>
  <c r="BD31" i="3" a="1"/>
  <c r="BD31" i="3"/>
  <c r="BP31" i="3"/>
  <c r="AW31" i="3"/>
  <c r="BD4" i="3" a="1"/>
  <c r="BD4" i="3"/>
  <c r="BP4" i="3"/>
  <c r="AW4" i="3"/>
  <c r="BD16" i="3" a="1"/>
  <c r="BD16" i="3"/>
  <c r="BP16" i="3"/>
  <c r="AW16" i="3"/>
  <c r="BD20" i="3" a="1"/>
  <c r="BD20" i="3"/>
  <c r="BP20" i="3"/>
  <c r="AW20" i="3"/>
  <c r="BD24" i="3" a="1"/>
  <c r="BD24" i="3"/>
  <c r="BP24" i="3"/>
  <c r="AW24" i="3"/>
  <c r="BD35" i="3" a="1"/>
  <c r="BD35" i="3"/>
  <c r="BP35" i="3"/>
  <c r="AW35" i="3"/>
  <c r="BD37" i="3" a="1"/>
  <c r="BD37" i="3"/>
  <c r="BP37" i="3"/>
  <c r="AW37" i="3"/>
  <c r="BD38" i="3" a="1"/>
  <c r="BD38" i="3"/>
  <c r="BP38" i="3"/>
  <c r="AW38" i="3"/>
  <c r="BD39" i="3" a="1"/>
  <c r="BD39" i="3"/>
  <c r="BP39" i="3"/>
  <c r="AW39" i="3"/>
  <c r="BD52" i="3" a="1"/>
  <c r="BD52" i="3"/>
  <c r="BP52" i="3"/>
  <c r="AW52" i="3"/>
  <c r="BD53" i="3" a="1"/>
  <c r="BD53" i="3"/>
  <c r="BP53" i="3"/>
  <c r="AW53" i="3"/>
  <c r="BD55" i="3" a="1"/>
  <c r="BD55" i="3"/>
  <c r="BP55" i="3"/>
  <c r="AW55" i="3"/>
  <c r="BD62" i="3" a="1"/>
  <c r="BD62" i="3"/>
  <c r="BP62" i="3"/>
  <c r="AW62" i="3"/>
  <c r="BD66" i="3" a="1"/>
  <c r="BD66" i="3"/>
  <c r="BP66" i="3"/>
  <c r="AW66" i="3"/>
  <c r="BD70" i="3" a="1"/>
  <c r="BD70" i="3"/>
  <c r="BP70" i="3"/>
  <c r="AW70" i="3"/>
  <c r="BD74" i="3" a="1"/>
  <c r="BD74" i="3"/>
  <c r="BP74" i="3"/>
  <c r="AW74" i="3"/>
  <c r="BD78" i="3" a="1"/>
  <c r="BD78" i="3"/>
  <c r="BP78" i="3"/>
  <c r="AW78" i="3"/>
  <c r="BD82" i="3" a="1"/>
  <c r="BD82" i="3"/>
  <c r="BP82" i="3"/>
  <c r="AW82" i="3"/>
  <c r="BD101" i="3" a="1"/>
  <c r="BD101" i="3"/>
  <c r="BP101" i="3"/>
  <c r="AW101" i="3"/>
  <c r="BD103" i="3" a="1"/>
  <c r="BD103" i="3"/>
  <c r="BP103" i="3"/>
  <c r="AW103" i="3"/>
  <c r="BD104" i="3" a="1"/>
  <c r="BD104" i="3"/>
  <c r="BP104" i="3"/>
  <c r="AW104" i="3"/>
  <c r="BD13" i="3" a="1"/>
  <c r="BD13" i="3"/>
  <c r="BP13" i="3"/>
  <c r="AW13" i="3"/>
  <c r="BD21" i="3" a="1"/>
  <c r="BD21" i="3"/>
  <c r="BP21" i="3"/>
  <c r="AW21" i="3"/>
  <c r="BD25" i="3" a="1"/>
  <c r="BD25" i="3"/>
  <c r="BP25" i="3"/>
  <c r="AW25" i="3"/>
  <c r="BD48" i="3" a="1"/>
  <c r="BD48" i="3"/>
  <c r="BP48" i="3"/>
  <c r="AW48" i="3"/>
  <c r="BD49" i="3" a="1"/>
  <c r="BD49" i="3"/>
  <c r="BP49" i="3"/>
  <c r="AW49" i="3"/>
  <c r="BD50" i="3" a="1"/>
  <c r="BD50" i="3"/>
  <c r="BP50" i="3"/>
  <c r="AW50" i="3"/>
  <c r="BD51" i="3" a="1"/>
  <c r="BD51" i="3"/>
  <c r="BP51" i="3"/>
  <c r="AW51" i="3"/>
  <c r="BD61" i="3" a="1"/>
  <c r="BD61" i="3"/>
  <c r="BP61" i="3"/>
  <c r="AW61" i="3"/>
  <c r="BD65" i="3" a="1"/>
  <c r="BD65" i="3"/>
  <c r="BP65" i="3"/>
  <c r="AW65" i="3"/>
  <c r="BD69" i="3" a="1"/>
  <c r="BD69" i="3"/>
  <c r="BP69" i="3"/>
  <c r="AW69" i="3"/>
  <c r="BD73" i="3" a="1"/>
  <c r="BD73" i="3"/>
  <c r="BP73" i="3"/>
  <c r="AW73" i="3"/>
  <c r="BD77" i="3" a="1"/>
  <c r="BD77" i="3"/>
  <c r="BP77" i="3"/>
  <c r="AW77" i="3"/>
  <c r="BD81" i="3" a="1"/>
  <c r="BD81" i="3"/>
  <c r="BP81" i="3"/>
  <c r="AW81" i="3"/>
  <c r="BD86" i="3" a="1"/>
  <c r="BD86" i="3"/>
  <c r="BP86" i="3"/>
  <c r="AW86" i="3"/>
  <c r="BD14" i="3" a="1"/>
  <c r="BD14" i="3"/>
  <c r="BP14" i="3"/>
  <c r="AW14" i="3"/>
  <c r="BD18" i="3" a="1"/>
  <c r="BD18" i="3"/>
  <c r="BP18" i="3"/>
  <c r="AW18" i="3"/>
  <c r="BD22" i="3" a="1"/>
  <c r="BD22" i="3"/>
  <c r="BP22" i="3"/>
  <c r="AW22" i="3"/>
  <c r="BD34" i="3" a="1"/>
  <c r="BD34" i="3"/>
  <c r="BP34" i="3"/>
  <c r="AW34" i="3"/>
  <c r="BD45" i="3" a="1"/>
  <c r="BD45" i="3"/>
  <c r="BP45" i="3"/>
  <c r="AW45" i="3"/>
  <c r="BD46" i="3" a="1"/>
  <c r="BD46" i="3"/>
  <c r="BP46" i="3"/>
  <c r="AW46" i="3"/>
  <c r="BD47" i="3" a="1"/>
  <c r="BD47" i="3"/>
  <c r="BP47" i="3"/>
  <c r="AW47" i="3"/>
  <c r="BD60" i="3" a="1"/>
  <c r="BD60" i="3"/>
  <c r="BP60" i="3"/>
  <c r="AW60" i="3"/>
  <c r="BD64" i="3" a="1"/>
  <c r="BD64" i="3"/>
  <c r="BP64" i="3"/>
  <c r="AW64" i="3"/>
  <c r="BD68" i="3" a="1"/>
  <c r="BD68" i="3"/>
  <c r="BP68" i="3"/>
  <c r="AW68" i="3"/>
  <c r="BD72" i="3" a="1"/>
  <c r="BD72" i="3"/>
  <c r="BP72" i="3"/>
  <c r="AW72" i="3"/>
  <c r="BD76" i="3" a="1"/>
  <c r="BD76" i="3"/>
  <c r="BP76" i="3"/>
  <c r="AW76" i="3"/>
  <c r="BD80" i="3" a="1"/>
  <c r="BD80" i="3"/>
  <c r="BP80" i="3"/>
  <c r="AW80" i="3"/>
  <c r="BD84" i="3" a="1"/>
  <c r="BD84" i="3"/>
  <c r="BP84" i="3"/>
  <c r="AW84" i="3"/>
  <c r="BD85" i="3" a="1"/>
  <c r="BD85" i="3"/>
  <c r="BP85" i="3"/>
  <c r="AW85" i="3"/>
  <c r="BP87" i="3"/>
  <c r="AW87" i="3"/>
  <c r="BD88" i="3" a="1"/>
  <c r="BD88" i="3"/>
  <c r="BP88" i="3"/>
  <c r="AW88" i="3"/>
  <c r="BD89" i="3" a="1"/>
  <c r="BD89" i="3"/>
  <c r="BP89" i="3"/>
  <c r="AW89" i="3"/>
  <c r="BD90" i="3" a="1"/>
  <c r="BD90" i="3"/>
  <c r="BP90" i="3"/>
  <c r="AW90" i="3"/>
  <c r="BD91" i="3" a="1"/>
  <c r="BD91" i="3"/>
  <c r="BP91" i="3"/>
  <c r="AW91" i="3"/>
  <c r="BD92" i="3" a="1"/>
  <c r="BD92" i="3"/>
  <c r="BP92" i="3"/>
  <c r="AW92" i="3"/>
  <c r="BD94" i="3" a="1"/>
  <c r="BD94" i="3"/>
  <c r="BP94" i="3"/>
  <c r="AW94" i="3"/>
  <c r="BD43" i="3" a="1"/>
  <c r="BD43" i="3"/>
  <c r="BP43" i="3"/>
  <c r="AW43" i="3"/>
  <c r="BD56" i="3" a="1"/>
  <c r="BD56" i="3"/>
  <c r="BP56" i="3"/>
  <c r="AW56" i="3"/>
  <c r="BD71" i="3" a="1"/>
  <c r="BD71" i="3"/>
  <c r="BP71" i="3"/>
  <c r="AW71" i="3"/>
  <c r="BD98" i="3" a="1"/>
  <c r="BD98" i="3"/>
  <c r="BP98" i="3"/>
  <c r="AW98" i="3"/>
  <c r="BD105" i="3" a="1"/>
  <c r="BD105" i="3"/>
  <c r="BP105" i="3"/>
  <c r="AW105" i="3"/>
  <c r="BD113" i="3" a="1"/>
  <c r="BD113" i="3"/>
  <c r="BP113" i="3"/>
  <c r="AW113" i="3"/>
  <c r="BD114" i="3" a="1"/>
  <c r="BD114" i="3"/>
  <c r="BP114" i="3"/>
  <c r="AW114" i="3"/>
  <c r="BD121" i="3" a="1"/>
  <c r="BD121" i="3"/>
  <c r="BP121" i="3"/>
  <c r="AW121" i="3"/>
  <c r="BD122" i="3" a="1"/>
  <c r="BD122" i="3"/>
  <c r="BP122" i="3"/>
  <c r="AW122" i="3"/>
  <c r="BD42" i="3" a="1"/>
  <c r="BD42" i="3"/>
  <c r="BP42" i="3"/>
  <c r="AW42" i="3"/>
  <c r="BD75" i="3" a="1"/>
  <c r="BD75" i="3"/>
  <c r="BP75" i="3"/>
  <c r="AW75" i="3"/>
  <c r="BD97" i="3" a="1"/>
  <c r="BD97" i="3"/>
  <c r="BP97" i="3"/>
  <c r="AW97" i="3"/>
  <c r="BD112" i="3" a="1"/>
  <c r="BD112" i="3"/>
  <c r="BP112" i="3"/>
  <c r="AW112" i="3"/>
  <c r="BD120" i="3" a="1"/>
  <c r="BD120" i="3"/>
  <c r="BP120" i="3"/>
  <c r="AW120" i="3"/>
  <c r="BD2" i="3" a="1"/>
  <c r="BD2" i="3"/>
  <c r="BD3" i="3" a="1"/>
  <c r="BD3" i="3"/>
  <c r="BP3" i="3"/>
  <c r="AW3" i="3"/>
  <c r="BD19" i="3" a="1"/>
  <c r="BD19" i="3"/>
  <c r="BP19" i="3"/>
  <c r="AW19" i="3"/>
  <c r="BD57" i="3" a="1"/>
  <c r="BD57" i="3"/>
  <c r="BP57" i="3"/>
  <c r="AW57" i="3"/>
  <c r="BD67" i="3" a="1"/>
  <c r="BD67" i="3"/>
  <c r="BP67" i="3"/>
  <c r="AW67" i="3"/>
  <c r="BD83" i="3" a="1"/>
  <c r="BD83" i="3"/>
  <c r="BP83" i="3"/>
  <c r="AW83" i="3"/>
  <c r="BD95" i="3" a="1"/>
  <c r="BD95" i="3"/>
  <c r="BP95" i="3"/>
  <c r="AW95" i="3"/>
  <c r="BD99" i="3" a="1"/>
  <c r="BD99" i="3"/>
  <c r="BP99" i="3"/>
  <c r="AW99" i="3"/>
  <c r="BD102" i="3" a="1"/>
  <c r="BD102" i="3"/>
  <c r="BP102" i="3"/>
  <c r="AW102" i="3"/>
  <c r="BD107" i="3" a="1"/>
  <c r="BD107" i="3"/>
  <c r="BP107" i="3"/>
  <c r="AW107" i="3"/>
  <c r="BD108" i="3" a="1"/>
  <c r="BD108" i="3"/>
  <c r="BP108" i="3"/>
  <c r="AW108" i="3"/>
  <c r="BD115" i="3" a="1"/>
  <c r="BD115" i="3"/>
  <c r="BP115" i="3"/>
  <c r="AW115" i="3"/>
  <c r="BD116" i="3" a="1"/>
  <c r="BD116" i="3"/>
  <c r="BP116" i="3"/>
  <c r="AW116" i="3"/>
  <c r="BD93" i="3" a="1"/>
  <c r="BD93" i="3"/>
  <c r="BP93" i="3"/>
  <c r="AW93" i="3"/>
  <c r="BD111" i="3" a="1"/>
  <c r="BD111" i="3"/>
  <c r="BP111" i="3"/>
  <c r="AW111" i="3"/>
  <c r="BD41" i="3" a="1"/>
  <c r="BD41" i="3"/>
  <c r="BP41" i="3"/>
  <c r="AW41" i="3"/>
  <c r="BD58" i="3" a="1"/>
  <c r="BD58" i="3"/>
  <c r="BP58" i="3"/>
  <c r="AW58" i="3"/>
  <c r="BD63" i="3" a="1"/>
  <c r="BD63" i="3"/>
  <c r="BP63" i="3"/>
  <c r="AW63" i="3"/>
  <c r="BD79" i="3" a="1"/>
  <c r="BD79" i="3"/>
  <c r="BP79" i="3"/>
  <c r="AW79" i="3"/>
  <c r="BD96" i="3" a="1"/>
  <c r="BD96" i="3"/>
  <c r="BP96" i="3"/>
  <c r="AW96" i="3"/>
  <c r="BD100" i="3" a="1"/>
  <c r="BD100" i="3"/>
  <c r="BP100" i="3"/>
  <c r="AW100" i="3"/>
  <c r="BD106" i="3" a="1"/>
  <c r="BD106" i="3"/>
  <c r="BP106" i="3"/>
  <c r="AW106" i="3"/>
  <c r="BD110" i="3" a="1"/>
  <c r="BD110" i="3"/>
  <c r="BP110" i="3"/>
  <c r="AW110" i="3"/>
  <c r="BD117" i="3" a="1"/>
  <c r="BD117" i="3"/>
  <c r="BP117" i="3"/>
  <c r="AW117" i="3"/>
  <c r="BD118" i="3" a="1"/>
  <c r="BD118" i="3"/>
  <c r="BP118" i="3"/>
  <c r="AW118" i="3"/>
  <c r="BD27" i="3" a="1"/>
  <c r="BD27" i="3"/>
  <c r="BP27" i="3"/>
  <c r="AW27" i="3"/>
  <c r="BD59" i="3" a="1"/>
  <c r="BD59" i="3"/>
  <c r="BP59" i="3"/>
  <c r="AW59" i="3"/>
  <c r="BD119" i="3" a="1"/>
  <c r="BD119" i="3"/>
  <c r="BP119" i="3"/>
  <c r="AW119" i="3"/>
  <c r="BL2" i="2" a="1"/>
  <c r="BL2" i="2"/>
  <c r="BH2" i="2" a="1"/>
  <c r="BH2" i="2"/>
  <c r="AW29" i="4" a="1"/>
  <c r="AW29" i="4"/>
  <c r="BI29" i="4"/>
  <c r="AP29" i="4"/>
  <c r="AW22" i="4" a="1"/>
  <c r="AW22" i="4"/>
  <c r="BI22" i="4"/>
  <c r="AP22" i="4"/>
  <c r="AW21" i="4" a="1"/>
  <c r="AW21" i="4"/>
  <c r="BI21" i="4"/>
  <c r="AP21" i="4"/>
  <c r="AW14" i="4" a="1"/>
  <c r="AW14" i="4"/>
  <c r="BI14" i="4"/>
  <c r="AP14" i="4"/>
  <c r="AW13" i="4" a="1"/>
  <c r="AW13" i="4"/>
  <c r="BI13" i="4"/>
  <c r="AP13" i="4"/>
  <c r="AW6" i="4" a="1"/>
  <c r="AW6" i="4"/>
  <c r="BI6" i="4"/>
  <c r="AP6" i="4"/>
  <c r="AW5" i="4" a="1"/>
  <c r="AW5" i="4"/>
  <c r="BI5" i="4"/>
  <c r="AP5" i="4"/>
  <c r="AW28" i="4" a="1"/>
  <c r="AW28" i="4"/>
  <c r="BI28" i="4"/>
  <c r="AP28" i="4"/>
  <c r="AW20" i="4" a="1"/>
  <c r="AW20" i="4"/>
  <c r="BI20" i="4"/>
  <c r="AP20" i="4"/>
  <c r="AW19" i="4" a="1"/>
  <c r="AW19" i="4"/>
  <c r="BI19" i="4"/>
  <c r="AP19" i="4"/>
  <c r="AW12" i="4" a="1"/>
  <c r="AW12" i="4"/>
  <c r="BI12" i="4"/>
  <c r="AP12" i="4"/>
  <c r="AW11" i="4" a="1"/>
  <c r="AW11" i="4"/>
  <c r="BI11" i="4"/>
  <c r="AP11" i="4"/>
  <c r="AW4" i="4" a="1"/>
  <c r="AW4" i="4"/>
  <c r="BI4" i="4"/>
  <c r="AP4" i="4"/>
  <c r="AW3" i="4" a="1"/>
  <c r="AW3" i="4"/>
  <c r="BI3" i="4"/>
  <c r="AP3" i="4"/>
  <c r="AW2" i="4" a="1"/>
  <c r="AW2" i="4"/>
  <c r="BI2" i="4"/>
  <c r="AP2" i="4"/>
  <c r="AW26" i="4" a="1"/>
  <c r="AW26" i="4"/>
  <c r="BI26" i="4"/>
  <c r="AP26" i="4"/>
  <c r="AW25" i="4" a="1"/>
  <c r="AW25" i="4"/>
  <c r="BI25" i="4"/>
  <c r="AP25" i="4"/>
  <c r="AW18" i="4" a="1"/>
  <c r="AW18" i="4"/>
  <c r="BI18" i="4"/>
  <c r="AP18" i="4"/>
  <c r="AW17" i="4" a="1"/>
  <c r="AW17" i="4"/>
  <c r="BI17" i="4"/>
  <c r="AP17" i="4"/>
  <c r="AW10" i="4" a="1"/>
  <c r="AW10" i="4"/>
  <c r="BI10" i="4"/>
  <c r="AP10" i="4"/>
  <c r="AW9" i="4" a="1"/>
  <c r="AW9" i="4"/>
  <c r="BI9" i="4"/>
  <c r="AP9" i="4"/>
  <c r="AW8" i="4" a="1"/>
  <c r="AW8" i="4"/>
  <c r="BI8" i="4"/>
  <c r="AP8" i="4"/>
  <c r="AW7" i="4" a="1"/>
  <c r="AW7" i="4"/>
  <c r="BI7" i="4"/>
  <c r="AP7" i="4"/>
  <c r="AW24" i="4" a="1"/>
  <c r="AW24" i="4"/>
  <c r="BI24" i="4"/>
  <c r="AP24" i="4"/>
  <c r="AW16" i="4" a="1"/>
  <c r="AW16" i="4"/>
  <c r="BI16" i="4"/>
  <c r="AP16" i="4"/>
  <c r="AW23" i="4" a="1"/>
  <c r="AW23" i="4"/>
  <c r="BI23" i="4"/>
  <c r="AP23" i="4"/>
  <c r="AX29" i="4" a="1"/>
  <c r="AX29" i="4"/>
  <c r="BJ29" i="4"/>
  <c r="AQ29" i="4"/>
  <c r="AX26" i="4" a="1"/>
  <c r="AX26" i="4"/>
  <c r="BJ26" i="4"/>
  <c r="AQ26" i="4"/>
  <c r="AX19" i="4" a="1"/>
  <c r="AX19" i="4"/>
  <c r="BJ19" i="4"/>
  <c r="AQ19" i="4"/>
  <c r="AX18" i="4" a="1"/>
  <c r="AX18" i="4"/>
  <c r="BJ18" i="4"/>
  <c r="AQ18" i="4"/>
  <c r="AX11" i="4" a="1"/>
  <c r="AX11" i="4"/>
  <c r="BJ11" i="4"/>
  <c r="AQ11" i="4"/>
  <c r="AX10" i="4" a="1"/>
  <c r="AX10" i="4"/>
  <c r="BJ10" i="4"/>
  <c r="AQ10" i="4"/>
  <c r="AX3" i="4" a="1"/>
  <c r="AX3" i="4"/>
  <c r="BJ3" i="4"/>
  <c r="AQ3" i="4"/>
  <c r="AX2" i="4" a="1"/>
  <c r="AX2" i="4"/>
  <c r="BJ2" i="4"/>
  <c r="AQ2" i="4"/>
  <c r="AX25" i="4" a="1"/>
  <c r="AX25" i="4"/>
  <c r="BJ25" i="4"/>
  <c r="AQ25" i="4"/>
  <c r="AX24" i="4" a="1"/>
  <c r="AX24" i="4"/>
  <c r="BJ24" i="4"/>
  <c r="AQ24" i="4"/>
  <c r="AX17" i="4" a="1"/>
  <c r="AX17" i="4"/>
  <c r="BJ17" i="4"/>
  <c r="AQ17" i="4"/>
  <c r="AX16" i="4" a="1"/>
  <c r="AX16" i="4"/>
  <c r="BJ16" i="4"/>
  <c r="AQ16" i="4"/>
  <c r="AX9" i="4" a="1"/>
  <c r="AX9" i="4"/>
  <c r="BJ9" i="4"/>
  <c r="AQ9" i="4"/>
  <c r="AX8" i="4" a="1"/>
  <c r="AX8" i="4"/>
  <c r="BJ8" i="4"/>
  <c r="AQ8" i="4"/>
  <c r="AX23" i="4" a="1"/>
  <c r="AX23" i="4"/>
  <c r="BJ23" i="4"/>
  <c r="AQ23" i="4"/>
  <c r="AX14" i="4" a="1"/>
  <c r="AX14" i="4"/>
  <c r="BJ14" i="4"/>
  <c r="AQ14" i="4"/>
  <c r="AX7" i="4" a="1"/>
  <c r="AX7" i="4"/>
  <c r="BJ7" i="4"/>
  <c r="AQ7" i="4"/>
  <c r="AX6" i="4" a="1"/>
  <c r="AX6" i="4"/>
  <c r="BJ6" i="4"/>
  <c r="AQ6" i="4"/>
  <c r="AX4" i="4" a="1"/>
  <c r="AX4" i="4"/>
  <c r="BJ4" i="4"/>
  <c r="AQ4" i="4"/>
  <c r="AX28" i="4" a="1"/>
  <c r="AX28" i="4"/>
  <c r="BJ28" i="4"/>
  <c r="AQ28" i="4"/>
  <c r="AX21" i="4" a="1"/>
  <c r="AX21" i="4"/>
  <c r="BJ21" i="4"/>
  <c r="AQ21" i="4"/>
  <c r="AX20" i="4" a="1"/>
  <c r="AX20" i="4"/>
  <c r="BJ20" i="4"/>
  <c r="AQ20" i="4"/>
  <c r="AX13" i="4" a="1"/>
  <c r="AX13" i="4"/>
  <c r="BJ13" i="4"/>
  <c r="AQ13" i="4"/>
  <c r="AX5" i="4" a="1"/>
  <c r="AX5" i="4"/>
  <c r="BJ5" i="4"/>
  <c r="AQ5" i="4"/>
  <c r="AX12" i="4" a="1"/>
  <c r="AX12" i="4"/>
  <c r="BJ12" i="4"/>
  <c r="AQ12" i="4"/>
  <c r="AV8" i="6" a="1"/>
  <c r="AV8" i="6"/>
  <c r="BH8" i="6"/>
  <c r="AO8" i="6"/>
  <c r="AV9" i="6" a="1"/>
  <c r="AV9" i="6"/>
  <c r="BH9" i="6"/>
  <c r="AO9" i="6"/>
  <c r="BH16" i="6"/>
  <c r="AO16" i="6"/>
  <c r="AV17" i="6" a="1"/>
  <c r="AV17" i="6"/>
  <c r="BH17" i="6"/>
  <c r="AO17" i="6"/>
  <c r="AV24" i="6" a="1"/>
  <c r="AV24" i="6"/>
  <c r="BH24" i="6"/>
  <c r="AO24" i="6"/>
  <c r="AV25" i="6" a="1"/>
  <c r="AV25" i="6"/>
  <c r="BH25" i="6"/>
  <c r="AO25" i="6"/>
  <c r="AV32" i="6" a="1"/>
  <c r="AV32" i="6"/>
  <c r="BH32" i="6"/>
  <c r="AO32" i="6"/>
  <c r="AV33" i="6" a="1"/>
  <c r="AV33" i="6"/>
  <c r="BH33" i="6"/>
  <c r="AO33" i="6"/>
  <c r="AV40" i="6" a="1"/>
  <c r="AV40" i="6"/>
  <c r="BH40" i="6"/>
  <c r="AO40" i="6"/>
  <c r="AV41" i="6" a="1"/>
  <c r="AV41" i="6"/>
  <c r="BH41" i="6"/>
  <c r="AO41" i="6"/>
  <c r="AV10" i="6" a="1"/>
  <c r="AV10" i="6"/>
  <c r="BH10" i="6"/>
  <c r="AO10" i="6"/>
  <c r="AV11" i="6" a="1"/>
  <c r="AV11" i="6"/>
  <c r="BH11" i="6"/>
  <c r="AO11" i="6"/>
  <c r="AV18" i="6" a="1"/>
  <c r="AV18" i="6"/>
  <c r="BH18" i="6"/>
  <c r="AO18" i="6"/>
  <c r="AV19" i="6" a="1"/>
  <c r="AV19" i="6"/>
  <c r="BH19" i="6"/>
  <c r="AO19" i="6"/>
  <c r="AV26" i="6" a="1"/>
  <c r="AV26" i="6"/>
  <c r="BH26" i="6"/>
  <c r="AO26" i="6"/>
  <c r="AV27" i="6" a="1"/>
  <c r="AV27" i="6"/>
  <c r="BH27" i="6"/>
  <c r="AO27" i="6"/>
  <c r="AV34" i="6" a="1"/>
  <c r="AV34" i="6"/>
  <c r="BH34" i="6"/>
  <c r="AO34" i="6"/>
  <c r="AV35" i="6" a="1"/>
  <c r="AV35" i="6"/>
  <c r="BH35" i="6"/>
  <c r="AO35" i="6"/>
  <c r="AV43" i="6" a="1"/>
  <c r="AV43" i="6"/>
  <c r="BH43" i="6"/>
  <c r="AO43" i="6"/>
  <c r="AV2" i="6" a="1"/>
  <c r="AV2" i="6"/>
  <c r="BH2" i="6"/>
  <c r="AO2" i="6"/>
  <c r="AV6" i="6" a="1"/>
  <c r="AV6" i="6"/>
  <c r="BH6" i="6"/>
  <c r="AO6" i="6"/>
  <c r="AV7" i="6" a="1"/>
  <c r="AV7" i="6"/>
  <c r="BH7" i="6"/>
  <c r="AO7" i="6"/>
  <c r="AV14" i="6" a="1"/>
  <c r="AV14" i="6"/>
  <c r="BH14" i="6"/>
  <c r="AO14" i="6"/>
  <c r="AV15" i="6" a="1"/>
  <c r="AV15" i="6"/>
  <c r="BH15" i="6"/>
  <c r="AO15" i="6"/>
  <c r="AV22" i="6" a="1"/>
  <c r="AV22" i="6"/>
  <c r="BH22" i="6"/>
  <c r="AO22" i="6"/>
  <c r="AV23" i="6" a="1"/>
  <c r="AV23" i="6"/>
  <c r="BH23" i="6"/>
  <c r="AO23" i="6"/>
  <c r="AV30" i="6" a="1"/>
  <c r="AV30" i="6"/>
  <c r="BH30" i="6"/>
  <c r="AO30" i="6"/>
  <c r="AV31" i="6" a="1"/>
  <c r="AV31" i="6"/>
  <c r="BH31" i="6"/>
  <c r="AO31" i="6"/>
  <c r="AV39" i="6" a="1"/>
  <c r="AV39" i="6"/>
  <c r="BH39" i="6"/>
  <c r="AO39" i="6"/>
  <c r="AV4" i="6" a="1"/>
  <c r="AV4" i="6"/>
  <c r="BH4" i="6"/>
  <c r="AO4" i="6"/>
  <c r="AV29" i="6" a="1"/>
  <c r="AV29" i="6"/>
  <c r="BH29" i="6"/>
  <c r="AO29" i="6"/>
  <c r="AV36" i="6" a="1"/>
  <c r="AV36" i="6"/>
  <c r="BH36" i="6"/>
  <c r="AO36" i="6"/>
  <c r="AV5" i="6" a="1"/>
  <c r="AV5" i="6"/>
  <c r="BH5" i="6"/>
  <c r="AO5" i="6"/>
  <c r="AV12" i="6" a="1"/>
  <c r="AV12" i="6"/>
  <c r="BH12" i="6"/>
  <c r="AO12" i="6"/>
  <c r="AV37" i="6" a="1"/>
  <c r="AV37" i="6"/>
  <c r="BH37" i="6"/>
  <c r="AO37" i="6"/>
  <c r="AV13" i="6" a="1"/>
  <c r="AV13" i="6"/>
  <c r="BH13" i="6"/>
  <c r="AO13" i="6"/>
  <c r="AV20" i="6" a="1"/>
  <c r="AV20" i="6"/>
  <c r="BH20" i="6"/>
  <c r="AO20" i="6"/>
  <c r="AV21" i="6" a="1"/>
  <c r="AV21" i="6"/>
  <c r="BH21" i="6"/>
  <c r="AO21" i="6"/>
  <c r="AV28" i="6" a="1"/>
  <c r="AV28" i="6"/>
  <c r="BH28" i="6"/>
  <c r="AO28" i="6"/>
  <c r="BI2" i="2" a="1"/>
  <c r="BI2" i="2"/>
  <c r="BJ2" i="2" a="1"/>
  <c r="BJ2" i="2"/>
  <c r="AV31" i="5" a="1"/>
  <c r="AV31" i="5"/>
  <c r="BI31" i="5"/>
  <c r="AN31" i="5"/>
  <c r="AV30" i="5" a="1"/>
  <c r="AV30" i="5"/>
  <c r="BI30" i="5"/>
  <c r="AN30" i="5"/>
  <c r="AV23" i="5" a="1"/>
  <c r="AV23" i="5"/>
  <c r="BI23" i="5"/>
  <c r="AN23" i="5"/>
  <c r="AV22" i="5" a="1"/>
  <c r="AV22" i="5"/>
  <c r="BI22" i="5"/>
  <c r="AN22" i="5"/>
  <c r="AV14" i="5" a="1"/>
  <c r="AV14" i="5"/>
  <c r="BI14" i="5"/>
  <c r="AN14" i="5"/>
  <c r="AV7" i="5" a="1"/>
  <c r="AV7" i="5"/>
  <c r="BI7" i="5"/>
  <c r="AN7" i="5"/>
  <c r="AV6" i="5" a="1"/>
  <c r="AV6" i="5"/>
  <c r="BI6" i="5"/>
  <c r="AN6" i="5"/>
  <c r="AV2" i="5" a="1"/>
  <c r="AV2" i="5"/>
  <c r="AV29" i="5" a="1"/>
  <c r="AV29" i="5"/>
  <c r="BI29" i="5"/>
  <c r="AN29" i="5"/>
  <c r="AV28" i="5" a="1"/>
  <c r="AV28" i="5"/>
  <c r="BI28" i="5"/>
  <c r="AN28" i="5"/>
  <c r="AV21" i="5" a="1"/>
  <c r="AV21" i="5"/>
  <c r="BI21" i="5"/>
  <c r="AN21" i="5"/>
  <c r="AV20" i="5" a="1"/>
  <c r="AV20" i="5"/>
  <c r="BI20" i="5"/>
  <c r="AN20" i="5"/>
  <c r="AV13" i="5" a="1"/>
  <c r="AV13" i="5"/>
  <c r="BI13" i="5"/>
  <c r="AN13" i="5"/>
  <c r="AV12" i="5" a="1"/>
  <c r="AV12" i="5"/>
  <c r="BI12" i="5"/>
  <c r="AN12" i="5"/>
  <c r="AV5" i="5" a="1"/>
  <c r="AV5" i="5"/>
  <c r="BI5" i="5"/>
  <c r="AN5" i="5"/>
  <c r="AV4" i="5" a="1"/>
  <c r="AV4" i="5"/>
  <c r="BI4" i="5"/>
  <c r="AN4" i="5"/>
  <c r="AV32" i="5" a="1"/>
  <c r="AV32" i="5"/>
  <c r="BI32" i="5"/>
  <c r="AN32" i="5"/>
  <c r="AV25" i="5" a="1"/>
  <c r="AV25" i="5"/>
  <c r="BI25" i="5"/>
  <c r="AN25" i="5"/>
  <c r="AV17" i="5" a="1"/>
  <c r="AV17" i="5"/>
  <c r="BI17" i="5"/>
  <c r="AN17" i="5"/>
  <c r="AV16" i="5" a="1"/>
  <c r="AV16" i="5"/>
  <c r="BI16" i="5"/>
  <c r="AN16" i="5"/>
  <c r="AV9" i="5" a="1"/>
  <c r="AV9" i="5"/>
  <c r="BI9" i="5"/>
  <c r="AN9" i="5"/>
  <c r="AV8" i="5" a="1"/>
  <c r="AV8" i="5"/>
  <c r="BI8" i="5"/>
  <c r="AN8" i="5"/>
  <c r="AV26" i="5" a="1"/>
  <c r="AV26" i="5"/>
  <c r="BI26" i="5"/>
  <c r="AN26" i="5"/>
  <c r="AV19" i="5" a="1"/>
  <c r="AV19" i="5"/>
  <c r="BI19" i="5"/>
  <c r="AN19" i="5"/>
  <c r="AV18" i="5" a="1"/>
  <c r="AV18" i="5"/>
  <c r="BI18" i="5"/>
  <c r="AN18" i="5"/>
  <c r="AV11" i="5" a="1"/>
  <c r="AV11" i="5"/>
  <c r="BI11" i="5"/>
  <c r="AN11" i="5"/>
  <c r="AV35" i="5" a="1"/>
  <c r="AV35" i="5"/>
  <c r="BI35" i="5"/>
  <c r="AN35" i="5"/>
  <c r="AV10" i="5" a="1"/>
  <c r="AV10" i="5"/>
  <c r="BI10" i="5"/>
  <c r="AN10" i="5"/>
  <c r="AV3" i="5" a="1"/>
  <c r="AV3" i="5"/>
  <c r="BI3" i="5"/>
  <c r="AN3" i="5"/>
  <c r="AV27" i="5" a="1"/>
  <c r="AV27" i="5"/>
  <c r="BI27" i="5"/>
  <c r="AN27" i="5"/>
  <c r="AV34" i="5" a="1"/>
  <c r="AV34" i="5"/>
  <c r="BI34" i="5"/>
  <c r="AN34" i="5"/>
  <c r="AW35" i="5" a="1"/>
  <c r="AW35" i="5"/>
  <c r="BJ35" i="5"/>
  <c r="AO35" i="5"/>
  <c r="AW28" i="5" a="1"/>
  <c r="AW28" i="5"/>
  <c r="BJ28" i="5"/>
  <c r="AO28" i="5"/>
  <c r="AW27" i="5" a="1"/>
  <c r="AW27" i="5"/>
  <c r="BJ27" i="5"/>
  <c r="AO27" i="5"/>
  <c r="AW20" i="5" a="1"/>
  <c r="AW20" i="5"/>
  <c r="BJ20" i="5"/>
  <c r="AO20" i="5"/>
  <c r="AW19" i="5" a="1"/>
  <c r="AW19" i="5"/>
  <c r="BJ19" i="5"/>
  <c r="AO19" i="5"/>
  <c r="AW12" i="5" a="1"/>
  <c r="AW12" i="5"/>
  <c r="BJ12" i="5"/>
  <c r="AO12" i="5"/>
  <c r="AW11" i="5" a="1"/>
  <c r="AW11" i="5"/>
  <c r="BJ11" i="5"/>
  <c r="AO11" i="5"/>
  <c r="AW4" i="5" a="1"/>
  <c r="AW4" i="5"/>
  <c r="BJ4" i="5"/>
  <c r="AO4" i="5"/>
  <c r="AW3" i="5" a="1"/>
  <c r="AW3" i="5"/>
  <c r="BJ3" i="5"/>
  <c r="AO3" i="5"/>
  <c r="AW34" i="5" a="1"/>
  <c r="AW34" i="5"/>
  <c r="BJ34" i="5"/>
  <c r="AO34" i="5"/>
  <c r="AW26" i="5" a="1"/>
  <c r="AW26" i="5"/>
  <c r="BJ26" i="5"/>
  <c r="AO26" i="5"/>
  <c r="AW25" i="5" a="1"/>
  <c r="AW25" i="5"/>
  <c r="BJ25" i="5"/>
  <c r="AO25" i="5"/>
  <c r="BJ18" i="5"/>
  <c r="AO18" i="5"/>
  <c r="AW17" i="5" a="1"/>
  <c r="AW17" i="5"/>
  <c r="BJ17" i="5"/>
  <c r="AO17" i="5"/>
  <c r="AW10" i="5" a="1"/>
  <c r="AW10" i="5"/>
  <c r="BJ10" i="5"/>
  <c r="AO10" i="5"/>
  <c r="AW9" i="5" a="1"/>
  <c r="AW9" i="5"/>
  <c r="BJ9" i="5"/>
  <c r="AO9" i="5"/>
  <c r="AW2" i="5" a="1"/>
  <c r="AW2" i="5"/>
  <c r="AW30" i="5" a="1"/>
  <c r="AW30" i="5"/>
  <c r="BJ30" i="5"/>
  <c r="AO30" i="5"/>
  <c r="AW29" i="5" a="1"/>
  <c r="AW29" i="5"/>
  <c r="BJ29" i="5"/>
  <c r="AO29" i="5"/>
  <c r="AW22" i="5" a="1"/>
  <c r="AW22" i="5"/>
  <c r="BJ22" i="5"/>
  <c r="AO22" i="5"/>
  <c r="AW21" i="5" a="1"/>
  <c r="AW21" i="5"/>
  <c r="BJ21" i="5"/>
  <c r="AO21" i="5"/>
  <c r="AW14" i="5" a="1"/>
  <c r="AW14" i="5"/>
  <c r="BJ14" i="5"/>
  <c r="AO14" i="5"/>
  <c r="AW13" i="5" a="1"/>
  <c r="AW13" i="5"/>
  <c r="BJ13" i="5"/>
  <c r="AO13" i="5"/>
  <c r="AW5" i="5" a="1"/>
  <c r="AW5" i="5"/>
  <c r="BJ5" i="5"/>
  <c r="AO5" i="5"/>
  <c r="AW8" i="5" a="1"/>
  <c r="AW8" i="5"/>
  <c r="BJ8" i="5"/>
  <c r="AO8" i="5"/>
  <c r="AW32" i="5" a="1"/>
  <c r="AW32" i="5"/>
  <c r="BJ32" i="5"/>
  <c r="AO32" i="5"/>
  <c r="AW7" i="5" a="1"/>
  <c r="AW7" i="5"/>
  <c r="BJ7" i="5"/>
  <c r="AO7" i="5"/>
  <c r="AW31" i="5" a="1"/>
  <c r="AW31" i="5"/>
  <c r="BJ31" i="5"/>
  <c r="AO31" i="5"/>
  <c r="AW16" i="5" a="1"/>
  <c r="AW16" i="5"/>
  <c r="BJ16" i="5"/>
  <c r="AO16" i="5"/>
  <c r="AW23" i="5" a="1"/>
  <c r="AW23" i="5"/>
  <c r="BJ23" i="5"/>
  <c r="AO23" i="5"/>
  <c r="AL18" i="5"/>
  <c r="AL17" i="5"/>
  <c r="AY29" i="5" a="1"/>
  <c r="AY29" i="5"/>
  <c r="BL29" i="5"/>
  <c r="AQ29" i="5"/>
  <c r="AY31" i="5" a="1"/>
  <c r="AY31" i="5"/>
  <c r="BL31" i="5"/>
  <c r="AQ31" i="5"/>
  <c r="AY33" i="5" a="1"/>
  <c r="AY33" i="5"/>
  <c r="BL33" i="5"/>
  <c r="AQ33" i="5"/>
  <c r="AY35" i="5" a="1"/>
  <c r="AY35" i="5"/>
  <c r="BL35" i="5"/>
  <c r="AQ35" i="5"/>
  <c r="AY4" i="5" a="1"/>
  <c r="AY4" i="5"/>
  <c r="BL4" i="5"/>
  <c r="AQ4" i="5"/>
  <c r="AY14" i="5" a="1"/>
  <c r="AY14" i="5"/>
  <c r="BL14" i="5"/>
  <c r="AQ14" i="5"/>
  <c r="AY20" i="5" a="1"/>
  <c r="AY20" i="5"/>
  <c r="BL20" i="5"/>
  <c r="AQ20" i="5"/>
  <c r="AY26" i="5" a="1"/>
  <c r="AY26" i="5"/>
  <c r="BL26" i="5"/>
  <c r="AQ26" i="5"/>
  <c r="AY3" i="5" a="1"/>
  <c r="AY3" i="5"/>
  <c r="BL3" i="5"/>
  <c r="AQ3" i="5"/>
  <c r="AY5" i="5" a="1"/>
  <c r="AY5" i="5"/>
  <c r="BL5" i="5"/>
  <c r="AQ5" i="5"/>
  <c r="AY7" i="5" a="1"/>
  <c r="AY7" i="5"/>
  <c r="BL7" i="5"/>
  <c r="AQ7" i="5"/>
  <c r="AY9" i="5" a="1"/>
  <c r="AY9" i="5"/>
  <c r="BL9" i="5"/>
  <c r="AQ9" i="5"/>
  <c r="AY11" i="5" a="1"/>
  <c r="AY11" i="5"/>
  <c r="BL11" i="5"/>
  <c r="AQ11" i="5"/>
  <c r="AY13" i="5" a="1"/>
  <c r="AY13" i="5"/>
  <c r="BL13" i="5"/>
  <c r="AQ13" i="5"/>
  <c r="AY15" i="5" a="1"/>
  <c r="AY15" i="5"/>
  <c r="BL15" i="5"/>
  <c r="AQ15" i="5"/>
  <c r="AY17" i="5" a="1"/>
  <c r="AY17" i="5"/>
  <c r="BL17" i="5"/>
  <c r="AQ17" i="5"/>
  <c r="AY19" i="5" a="1"/>
  <c r="AY19" i="5"/>
  <c r="BL19" i="5"/>
  <c r="AQ19" i="5"/>
  <c r="AY21" i="5" a="1"/>
  <c r="AY21" i="5"/>
  <c r="BL21" i="5"/>
  <c r="AQ21" i="5"/>
  <c r="AY23" i="5" a="1"/>
  <c r="AY23" i="5"/>
  <c r="BL23" i="5"/>
  <c r="AQ23" i="5"/>
  <c r="AY25" i="5" a="1"/>
  <c r="AY25" i="5"/>
  <c r="BL25" i="5"/>
  <c r="AQ25" i="5"/>
  <c r="AY27" i="5" a="1"/>
  <c r="AY27" i="5"/>
  <c r="BL27" i="5"/>
  <c r="AQ27" i="5"/>
  <c r="AY8" i="5" a="1"/>
  <c r="AY8" i="5"/>
  <c r="BL8" i="5"/>
  <c r="AQ8" i="5"/>
  <c r="AY12" i="5" a="1"/>
  <c r="AY12" i="5"/>
  <c r="BL12" i="5"/>
  <c r="AQ12" i="5"/>
  <c r="AY18" i="5" a="1"/>
  <c r="AY18" i="5"/>
  <c r="BL18" i="5"/>
  <c r="AQ18" i="5"/>
  <c r="AY28" i="5" a="1"/>
  <c r="AY28" i="5"/>
  <c r="BL28" i="5"/>
  <c r="AQ28" i="5"/>
  <c r="AY30" i="5" a="1"/>
  <c r="AY30" i="5"/>
  <c r="BL30" i="5"/>
  <c r="AQ30" i="5"/>
  <c r="AY32" i="5" a="1"/>
  <c r="AY32" i="5"/>
  <c r="BL32" i="5"/>
  <c r="AQ32" i="5"/>
  <c r="AY34" i="5" a="1"/>
  <c r="AY34" i="5"/>
  <c r="BL34" i="5"/>
  <c r="AQ34" i="5"/>
  <c r="AY10" i="5" a="1"/>
  <c r="AY10" i="5"/>
  <c r="BL10" i="5"/>
  <c r="AQ10" i="5"/>
  <c r="AY16" i="5" a="1"/>
  <c r="AY16" i="5"/>
  <c r="BL16" i="5"/>
  <c r="AQ16" i="5"/>
  <c r="AY22" i="5" a="1"/>
  <c r="AY22" i="5"/>
  <c r="BL22" i="5"/>
  <c r="AQ22" i="5"/>
  <c r="AY24" i="5" a="1"/>
  <c r="AY24" i="5"/>
  <c r="BL24" i="5"/>
  <c r="AQ24" i="5"/>
  <c r="AY2" i="5" a="1"/>
  <c r="AY2" i="5"/>
  <c r="AL19" i="5"/>
  <c r="AL16" i="5"/>
  <c r="CM28" i="2"/>
  <c r="CG75" i="2"/>
  <c r="CM12" i="2"/>
  <c r="W13" i="8"/>
  <c r="CG13" i="2"/>
  <c r="BA32" i="2"/>
  <c r="BB78" i="2"/>
  <c r="CG55" i="2"/>
  <c r="AV19" i="2"/>
  <c r="CM22" i="2"/>
  <c r="BA4" i="2"/>
  <c r="CF65" i="2"/>
  <c r="BK2" i="2" a="1"/>
  <c r="BK2" i="2"/>
  <c r="CE46" i="2"/>
  <c r="BA48" i="2"/>
  <c r="CG16" i="2"/>
  <c r="CE39" i="2"/>
  <c r="CF57" i="2"/>
  <c r="BA55" i="2"/>
  <c r="CH62" i="2"/>
  <c r="CG37" i="2"/>
  <c r="CG17" i="2"/>
  <c r="CE77" i="2"/>
  <c r="AV17" i="2"/>
  <c r="CM42" i="2"/>
  <c r="BA19" i="2"/>
  <c r="AV18" i="2"/>
  <c r="AV20" i="2"/>
  <c r="CO14" i="2"/>
  <c r="CK56" i="2"/>
  <c r="CD14" i="2"/>
  <c r="CH77" i="2"/>
  <c r="AY33" i="2"/>
  <c r="CH52" i="2"/>
  <c r="BC33" i="2"/>
  <c r="CK35" i="2"/>
  <c r="AX34" i="6" a="1"/>
  <c r="AX34" i="6"/>
  <c r="BJ34" i="6"/>
  <c r="AQ34" i="6"/>
  <c r="CH46" i="2"/>
  <c r="CH72" i="2"/>
  <c r="CO45" i="2"/>
  <c r="CH43" i="2"/>
  <c r="CH21" i="2"/>
  <c r="BC4" i="2"/>
  <c r="CE14" i="2"/>
  <c r="AZ58" i="2"/>
  <c r="CL4" i="2"/>
  <c r="AZ42" i="2"/>
  <c r="CL64" i="2"/>
  <c r="CE32" i="2"/>
  <c r="AY51" i="2"/>
  <c r="CK41" i="2"/>
  <c r="AY22" i="2"/>
  <c r="CD36" i="2"/>
  <c r="AY62" i="2"/>
  <c r="AY78" i="2"/>
  <c r="BC10" i="2"/>
  <c r="CO8" i="2"/>
  <c r="CO75" i="2"/>
  <c r="CO59" i="2"/>
  <c r="CO30" i="2"/>
  <c r="CL10" i="2"/>
  <c r="AZ53" i="2"/>
  <c r="CE35" i="2"/>
  <c r="CL7" i="2"/>
  <c r="AZ78" i="2"/>
  <c r="AY28" i="2"/>
  <c r="CK17" i="2"/>
  <c r="AY6" i="2"/>
  <c r="AY53" i="2"/>
  <c r="CH32" i="2"/>
  <c r="CO20" i="2"/>
  <c r="BC28" i="2"/>
  <c r="BC6" i="2"/>
  <c r="CL67" i="2"/>
  <c r="CL20" i="2"/>
  <c r="AZ26" i="2"/>
  <c r="CE61" i="2"/>
  <c r="AZ43" i="2"/>
  <c r="CD16" i="2"/>
  <c r="AY68" i="2"/>
  <c r="AY7" i="2"/>
  <c r="CD58" i="2"/>
  <c r="AV16" i="2"/>
  <c r="AX14" i="6" a="1"/>
  <c r="AX14" i="6"/>
  <c r="BJ14" i="6"/>
  <c r="AQ14" i="6"/>
  <c r="V13" i="8"/>
  <c r="AM18" i="4"/>
  <c r="AY8" i="4" a="1"/>
  <c r="AY8" i="4"/>
  <c r="BK8" i="4"/>
  <c r="AR8" i="4"/>
  <c r="AX23" i="6" a="1"/>
  <c r="AX23" i="6"/>
  <c r="BJ23" i="6"/>
  <c r="AQ23" i="6"/>
  <c r="AL18" i="6"/>
  <c r="AX39" i="6" a="1"/>
  <c r="AX39" i="6"/>
  <c r="BJ39" i="6"/>
  <c r="AQ39" i="6"/>
  <c r="AX24" i="6" a="1"/>
  <c r="AX24" i="6"/>
  <c r="BJ24" i="6"/>
  <c r="AQ24" i="6"/>
  <c r="AX19" i="6" a="1"/>
  <c r="AX19" i="6"/>
  <c r="BJ19" i="6"/>
  <c r="AQ19" i="6"/>
  <c r="AX11" i="6" a="1"/>
  <c r="AX11" i="6"/>
  <c r="BJ11" i="6"/>
  <c r="AQ11" i="6"/>
  <c r="AX17" i="6" a="1"/>
  <c r="AX17" i="6"/>
  <c r="BJ17" i="6"/>
  <c r="AQ17" i="6"/>
  <c r="AX26" i="6" a="1"/>
  <c r="AX26" i="6"/>
  <c r="BJ26" i="6"/>
  <c r="AQ26" i="6"/>
  <c r="AX37" i="6" a="1"/>
  <c r="AX37" i="6"/>
  <c r="BJ37" i="6"/>
  <c r="AQ37" i="6"/>
  <c r="AX30" i="6" a="1"/>
  <c r="AX30" i="6"/>
  <c r="BJ30" i="6"/>
  <c r="AQ30" i="6"/>
  <c r="AX41" i="6" a="1"/>
  <c r="AX41" i="6"/>
  <c r="BJ41" i="6"/>
  <c r="AQ41" i="6"/>
  <c r="BJ16" i="6"/>
  <c r="AQ16" i="6"/>
  <c r="AL16" i="6"/>
  <c r="AX10" i="6" a="1"/>
  <c r="AX10" i="6"/>
  <c r="BJ10" i="6"/>
  <c r="AQ10" i="6"/>
  <c r="AX40" i="6" a="1"/>
  <c r="AX40" i="6"/>
  <c r="BJ40" i="6"/>
  <c r="AQ40" i="6"/>
  <c r="AX38" i="6" a="1"/>
  <c r="AX38" i="6"/>
  <c r="BJ38" i="6"/>
  <c r="AQ38" i="6"/>
  <c r="AL19" i="6"/>
  <c r="AX43" i="6" a="1"/>
  <c r="AX43" i="6"/>
  <c r="BJ43" i="6"/>
  <c r="AQ43" i="6"/>
  <c r="AX36" i="6" a="1"/>
  <c r="AX36" i="6"/>
  <c r="BJ36" i="6"/>
  <c r="AQ36" i="6"/>
  <c r="AX6" i="6" a="1"/>
  <c r="AX6" i="6"/>
  <c r="BJ6" i="6"/>
  <c r="AQ6" i="6"/>
  <c r="AX4" i="6" a="1"/>
  <c r="AX4" i="6"/>
  <c r="BJ4" i="6"/>
  <c r="AQ4" i="6"/>
  <c r="AL17" i="6"/>
  <c r="AX5" i="6" a="1"/>
  <c r="AX5" i="6"/>
  <c r="BJ5" i="6"/>
  <c r="AQ5" i="6"/>
  <c r="AX32" i="6" a="1"/>
  <c r="AX32" i="6"/>
  <c r="BJ32" i="6"/>
  <c r="AQ32" i="6"/>
  <c r="AX2" i="6" a="1"/>
  <c r="AX2" i="6"/>
  <c r="BJ2" i="6"/>
  <c r="AQ2" i="6"/>
  <c r="AX13" i="6" a="1"/>
  <c r="AX13" i="6"/>
  <c r="BJ13" i="6"/>
  <c r="AQ13" i="6"/>
  <c r="AX25" i="6" a="1"/>
  <c r="AX25" i="6"/>
  <c r="BJ25" i="6"/>
  <c r="AQ25" i="6"/>
  <c r="AX8" i="6" a="1"/>
  <c r="AX8" i="6"/>
  <c r="BJ8" i="6"/>
  <c r="AQ8" i="6"/>
  <c r="AX28" i="6" a="1"/>
  <c r="AX28" i="6"/>
  <c r="BJ28" i="6"/>
  <c r="AQ28" i="6"/>
  <c r="AX33" i="6" a="1"/>
  <c r="AX33" i="6"/>
  <c r="BJ33" i="6"/>
  <c r="AQ33" i="6"/>
  <c r="AX21" i="6" a="1"/>
  <c r="AX21" i="6"/>
  <c r="BJ21" i="6"/>
  <c r="AQ21" i="6"/>
  <c r="AX9" i="6" a="1"/>
  <c r="AX9" i="6"/>
  <c r="BJ9" i="6"/>
  <c r="AQ9" i="6"/>
  <c r="AX35" i="6" a="1"/>
  <c r="AX35" i="6"/>
  <c r="BJ35" i="6"/>
  <c r="AQ35" i="6"/>
  <c r="AX15" i="6" a="1"/>
  <c r="AX15" i="6"/>
  <c r="BJ15" i="6"/>
  <c r="AQ15" i="6"/>
  <c r="AX12" i="6" a="1"/>
  <c r="AX12" i="6"/>
  <c r="BJ12" i="6"/>
  <c r="AQ12" i="6"/>
  <c r="AX22" i="6" a="1"/>
  <c r="AX22" i="6"/>
  <c r="BJ22" i="6"/>
  <c r="AQ22" i="6"/>
  <c r="AX7" i="6" a="1"/>
  <c r="AX7" i="6"/>
  <c r="BJ7" i="6"/>
  <c r="AQ7" i="6"/>
  <c r="AX3" i="6" a="1"/>
  <c r="AX3" i="6"/>
  <c r="BJ3" i="6"/>
  <c r="AQ3" i="6"/>
  <c r="AX18" i="6" a="1"/>
  <c r="AX18" i="6"/>
  <c r="BJ18" i="6"/>
  <c r="AQ18" i="6"/>
  <c r="AX29" i="6" a="1"/>
  <c r="AX29" i="6"/>
  <c r="BJ29" i="6"/>
  <c r="AQ29" i="6"/>
  <c r="AX31" i="6" a="1"/>
  <c r="AX31" i="6"/>
  <c r="BJ31" i="6"/>
  <c r="AQ31" i="6"/>
  <c r="AX27" i="6" a="1"/>
  <c r="AX27" i="6"/>
  <c r="BJ27" i="6"/>
  <c r="AQ27" i="6"/>
  <c r="AY28" i="4" a="1"/>
  <c r="AY28" i="4"/>
  <c r="BK28" i="4"/>
  <c r="AR28" i="4"/>
  <c r="AY5" i="4" a="1"/>
  <c r="AY5" i="4"/>
  <c r="BK5" i="4"/>
  <c r="AR5" i="4"/>
  <c r="AY17" i="4" a="1"/>
  <c r="AY17" i="4"/>
  <c r="BK17" i="4"/>
  <c r="AR17" i="4"/>
  <c r="AM19" i="4"/>
  <c r="AM17" i="4"/>
  <c r="AY24" i="4" a="1"/>
  <c r="AY24" i="4"/>
  <c r="BK24" i="4"/>
  <c r="AR24" i="4"/>
  <c r="AY20" i="4" a="1"/>
  <c r="AY20" i="4"/>
  <c r="BK20" i="4"/>
  <c r="AR20" i="4"/>
  <c r="AY15" i="4" a="1"/>
  <c r="AY15" i="4"/>
  <c r="BK15" i="4"/>
  <c r="AR15" i="4"/>
  <c r="AY22" i="4" a="1"/>
  <c r="AY22" i="4"/>
  <c r="BK22" i="4"/>
  <c r="AR22" i="4"/>
  <c r="AY2" i="4" a="1"/>
  <c r="AY2" i="4"/>
  <c r="BK2" i="4"/>
  <c r="AR2" i="4"/>
  <c r="AY25" i="4" a="1"/>
  <c r="AY25" i="4"/>
  <c r="BK25" i="4"/>
  <c r="AR25" i="4"/>
  <c r="AY10" i="4" a="1"/>
  <c r="AY10" i="4"/>
  <c r="BK10" i="4"/>
  <c r="AR10" i="4"/>
  <c r="AY16" i="4" a="1"/>
  <c r="AY16" i="4"/>
  <c r="BK16" i="4"/>
  <c r="AR16" i="4"/>
  <c r="AY11" i="4" a="1"/>
  <c r="AY11" i="4"/>
  <c r="BK11" i="4"/>
  <c r="AR11" i="4"/>
  <c r="AY23" i="4" a="1"/>
  <c r="AY23" i="4"/>
  <c r="BK23" i="4"/>
  <c r="AR23" i="4"/>
  <c r="AM16" i="4"/>
  <c r="AY4" i="4" a="1"/>
  <c r="AY4" i="4"/>
  <c r="BK4" i="4"/>
  <c r="AR4" i="4"/>
  <c r="AT16" i="3"/>
  <c r="AY13" i="4" a="1"/>
  <c r="AY13" i="4"/>
  <c r="BK13" i="4"/>
  <c r="AR13" i="4"/>
  <c r="AY26" i="4" a="1"/>
  <c r="AY26" i="4"/>
  <c r="BK26" i="4"/>
  <c r="AR26" i="4"/>
  <c r="AY7" i="4" a="1"/>
  <c r="AY7" i="4"/>
  <c r="BK7" i="4"/>
  <c r="AR7" i="4"/>
  <c r="AY29" i="4" a="1"/>
  <c r="AY29" i="4"/>
  <c r="BK29" i="4"/>
  <c r="AR29" i="4"/>
  <c r="AY21" i="4" a="1"/>
  <c r="AY21" i="4"/>
  <c r="BK21" i="4"/>
  <c r="AR21" i="4"/>
  <c r="AY14" i="4" a="1"/>
  <c r="AY14" i="4"/>
  <c r="BK14" i="4"/>
  <c r="AR14" i="4"/>
  <c r="AY6" i="4" a="1"/>
  <c r="AY6" i="4"/>
  <c r="AY9" i="4" a="1"/>
  <c r="AY9" i="4"/>
  <c r="BK9" i="4"/>
  <c r="AR9" i="4"/>
  <c r="AY18" i="4" a="1"/>
  <c r="AY18" i="4"/>
  <c r="BK18" i="4"/>
  <c r="AR18" i="4"/>
  <c r="AY3" i="4" a="1"/>
  <c r="AY3" i="4"/>
  <c r="BK3" i="4"/>
  <c r="AR3" i="4"/>
  <c r="AY27" i="4" a="1"/>
  <c r="AY27" i="4"/>
  <c r="BK27" i="4"/>
  <c r="AR27" i="4"/>
  <c r="AY19" i="4" a="1"/>
  <c r="AY19" i="4"/>
  <c r="BK19" i="4"/>
  <c r="AR19" i="4"/>
  <c r="AY12" i="4" a="1"/>
  <c r="AY12" i="4"/>
  <c r="BK12" i="4"/>
  <c r="AR12" i="4"/>
  <c r="C19" i="1"/>
  <c r="T13" i="8"/>
  <c r="AT19" i="3"/>
  <c r="AT18" i="3"/>
  <c r="AT17" i="3"/>
  <c r="C24" i="1"/>
  <c r="D24" i="1"/>
  <c r="F24" i="1"/>
  <c r="D19" i="1"/>
  <c r="U13" i="8"/>
  <c r="D13" i="1"/>
  <c r="AJ15" i="7"/>
  <c r="AL15" i="7"/>
  <c r="F13" i="1"/>
  <c r="C13" i="1"/>
  <c r="AI15" i="7"/>
  <c r="E24" i="1"/>
  <c r="E13" i="1"/>
  <c r="AK15" i="7"/>
  <c r="CM25" i="2"/>
  <c r="CN35" i="2"/>
  <c r="CF37" i="2"/>
  <c r="BX2" i="2"/>
  <c r="AZ2" i="2"/>
  <c r="CD2" i="2"/>
  <c r="BW2" i="2"/>
  <c r="CG6" i="2"/>
  <c r="BZ6" i="2"/>
  <c r="BB6" i="2"/>
  <c r="CG21" i="2"/>
  <c r="BZ21" i="2"/>
  <c r="BZ23" i="2"/>
  <c r="BB23" i="2"/>
  <c r="BZ63" i="2"/>
  <c r="BB63" i="2"/>
  <c r="CG31" i="2"/>
  <c r="BZ31" i="2"/>
  <c r="CG4" i="2"/>
  <c r="BZ4" i="2"/>
  <c r="BB4" i="2"/>
  <c r="CN32" i="2"/>
  <c r="BZ32" i="2"/>
  <c r="BZ60" i="2"/>
  <c r="BB60" i="2"/>
  <c r="CG18" i="2"/>
  <c r="BZ18" i="2"/>
  <c r="BY63" i="2"/>
  <c r="BA63" i="2"/>
  <c r="BY60" i="2"/>
  <c r="BA60" i="2"/>
  <c r="CM56" i="2"/>
  <c r="BY56" i="2"/>
  <c r="BA56" i="2"/>
  <c r="BY68" i="2"/>
  <c r="BA68" i="2"/>
  <c r="CF45" i="2"/>
  <c r="BY45" i="2"/>
  <c r="BA45" i="2"/>
  <c r="CM52" i="2"/>
  <c r="BY52" i="2"/>
  <c r="CM6" i="2"/>
  <c r="BY6" i="2"/>
  <c r="BA6" i="2"/>
  <c r="CM34" i="2"/>
  <c r="BY34" i="2"/>
  <c r="CM11" i="2"/>
  <c r="BY11" i="2"/>
  <c r="BA11" i="2"/>
  <c r="CE71" i="2"/>
  <c r="BX71" i="2"/>
  <c r="CE22" i="2"/>
  <c r="BX22" i="2"/>
  <c r="AZ22" i="2"/>
  <c r="BX76" i="2"/>
  <c r="AZ76" i="2"/>
  <c r="BX62" i="2"/>
  <c r="AZ62" i="2"/>
  <c r="BX27" i="2"/>
  <c r="AZ27" i="2"/>
  <c r="CE55" i="2"/>
  <c r="BX55" i="2"/>
  <c r="AZ55" i="2"/>
  <c r="CL21" i="2"/>
  <c r="BX21" i="2"/>
  <c r="CL44" i="2"/>
  <c r="BX44" i="2"/>
  <c r="AZ44" i="2"/>
  <c r="CL12" i="2"/>
  <c r="BX12" i="2"/>
  <c r="CK72" i="2"/>
  <c r="BW72" i="2"/>
  <c r="AY72" i="2"/>
  <c r="CD71" i="2"/>
  <c r="BW71" i="2"/>
  <c r="CD66" i="2"/>
  <c r="BW66" i="2"/>
  <c r="AY66" i="2"/>
  <c r="CK57" i="2"/>
  <c r="BW57" i="2"/>
  <c r="CD24" i="2"/>
  <c r="BW24" i="2"/>
  <c r="AY24" i="2"/>
  <c r="CK60" i="2"/>
  <c r="BW60" i="2"/>
  <c r="CD27" i="2"/>
  <c r="BW27" i="2"/>
  <c r="AY27" i="2"/>
  <c r="CK40" i="2"/>
  <c r="BW40" i="2"/>
  <c r="CK61" i="2"/>
  <c r="BW61" i="2"/>
  <c r="AY61" i="2"/>
  <c r="CA26" i="2"/>
  <c r="BC26" i="2"/>
  <c r="CO63" i="2"/>
  <c r="CA63" i="2"/>
  <c r="BC63" i="2"/>
  <c r="CH79" i="2"/>
  <c r="CA79" i="2"/>
  <c r="CH47" i="2"/>
  <c r="CA47" i="2"/>
  <c r="BC47" i="2"/>
  <c r="CA25" i="2"/>
  <c r="BC25" i="2"/>
  <c r="CA16" i="2"/>
  <c r="BC16" i="2"/>
  <c r="CO49" i="2"/>
  <c r="CA49" i="2"/>
  <c r="BZ2" i="2"/>
  <c r="BB2" i="2"/>
  <c r="CN77" i="2"/>
  <c r="BZ77" i="2"/>
  <c r="BZ62" i="2"/>
  <c r="BB62" i="2"/>
  <c r="CG74" i="2"/>
  <c r="BZ74" i="2"/>
  <c r="CG59" i="2"/>
  <c r="BZ59" i="2"/>
  <c r="BB59" i="2"/>
  <c r="CG44" i="2"/>
  <c r="BZ44" i="2"/>
  <c r="CN57" i="2"/>
  <c r="BZ57" i="2"/>
  <c r="CG42" i="2"/>
  <c r="BZ42" i="2"/>
  <c r="CG29" i="2"/>
  <c r="BZ29" i="2"/>
  <c r="CG56" i="2"/>
  <c r="BZ56" i="2"/>
  <c r="CN5" i="2"/>
  <c r="BZ5" i="2"/>
  <c r="BB5" i="2"/>
  <c r="CF61" i="2"/>
  <c r="BY61" i="2"/>
  <c r="CM74" i="2"/>
  <c r="BY74" i="2"/>
  <c r="BA74" i="2"/>
  <c r="BY50" i="2"/>
  <c r="BA50" i="2"/>
  <c r="BY69" i="2"/>
  <c r="BA69" i="2"/>
  <c r="BY77" i="2"/>
  <c r="BA77" i="2"/>
  <c r="BY40" i="2"/>
  <c r="BA40" i="2"/>
  <c r="CA2" i="2"/>
  <c r="BC2" i="2"/>
  <c r="BZ65" i="2"/>
  <c r="BB65" i="2"/>
  <c r="BZ64" i="2"/>
  <c r="BB64" i="2"/>
  <c r="CN79" i="2"/>
  <c r="BZ79" i="2"/>
  <c r="BB79" i="2"/>
  <c r="BZ12" i="2"/>
  <c r="BB12" i="2"/>
  <c r="BZ48" i="2"/>
  <c r="BB48" i="2"/>
  <c r="CG22" i="2"/>
  <c r="BZ22" i="2"/>
  <c r="CG43" i="2"/>
  <c r="BZ43" i="2"/>
  <c r="BB43" i="2"/>
  <c r="CG15" i="2"/>
  <c r="BZ15" i="2"/>
  <c r="CN41" i="2"/>
  <c r="BZ41" i="2"/>
  <c r="BB41" i="2"/>
  <c r="CG7" i="2"/>
  <c r="BZ7" i="2"/>
  <c r="BY78" i="2"/>
  <c r="BA78" i="2"/>
  <c r="BY73" i="2"/>
  <c r="BA73" i="2"/>
  <c r="BY71" i="2"/>
  <c r="BA71" i="2"/>
  <c r="CF59" i="2"/>
  <c r="BY59" i="2"/>
  <c r="CM21" i="2"/>
  <c r="BY21" i="2"/>
  <c r="BA21" i="2"/>
  <c r="BY31" i="2"/>
  <c r="BA31" i="2"/>
  <c r="CF17" i="2"/>
  <c r="BY17" i="2"/>
  <c r="BA17" i="2"/>
  <c r="CF43" i="2"/>
  <c r="BY43" i="2"/>
  <c r="CF27" i="2"/>
  <c r="BY27" i="2"/>
  <c r="BA27" i="2"/>
  <c r="CL51" i="2"/>
  <c r="BX51" i="2"/>
  <c r="CE47" i="2"/>
  <c r="BX47" i="2"/>
  <c r="AZ47" i="2"/>
  <c r="CE66" i="2"/>
  <c r="BX66" i="2"/>
  <c r="BX17" i="2"/>
  <c r="AZ17" i="2"/>
  <c r="CE65" i="2"/>
  <c r="BX65" i="2"/>
  <c r="AZ65" i="2"/>
  <c r="CL50" i="2"/>
  <c r="BX50" i="2"/>
  <c r="CE11" i="2"/>
  <c r="BX11" i="2"/>
  <c r="AZ11" i="2"/>
  <c r="CL40" i="2"/>
  <c r="BX40" i="2"/>
  <c r="AZ40" i="2"/>
  <c r="BX28" i="2"/>
  <c r="AZ28" i="2"/>
  <c r="CD73" i="2"/>
  <c r="BW73" i="2"/>
  <c r="AY73" i="2"/>
  <c r="BW19" i="2"/>
  <c r="AY19" i="2"/>
  <c r="BW75" i="2"/>
  <c r="AY75" i="2"/>
  <c r="CD31" i="2"/>
  <c r="BW31" i="2"/>
  <c r="BW38" i="2"/>
  <c r="AY38" i="2"/>
  <c r="BW8" i="2"/>
  <c r="AY8" i="2"/>
  <c r="BW46" i="2"/>
  <c r="AY46" i="2"/>
  <c r="BW11" i="2"/>
  <c r="AY11" i="2"/>
  <c r="CD55" i="2"/>
  <c r="BW55" i="2"/>
  <c r="AY55" i="2"/>
  <c r="BW21" i="2"/>
  <c r="AY21" i="2"/>
  <c r="CA76" i="2"/>
  <c r="BC76" i="2"/>
  <c r="CA44" i="2"/>
  <c r="BC44" i="2"/>
  <c r="CA15" i="2"/>
  <c r="BC15" i="2"/>
  <c r="CH66" i="2"/>
  <c r="CA66" i="2"/>
  <c r="CA22" i="2"/>
  <c r="BC22" i="2"/>
  <c r="CH34" i="2"/>
  <c r="CA34" i="2"/>
  <c r="BC34" i="2"/>
  <c r="CO9" i="2"/>
  <c r="CA9" i="2"/>
  <c r="BC9" i="2"/>
  <c r="CA61" i="2"/>
  <c r="BC61" i="2"/>
  <c r="CM2" i="2"/>
  <c r="BY2" i="2"/>
  <c r="BA2" i="2"/>
  <c r="CG70" i="2"/>
  <c r="BZ70" i="2"/>
  <c r="CN73" i="2"/>
  <c r="BZ73" i="2"/>
  <c r="CN53" i="2"/>
  <c r="BZ53" i="2"/>
  <c r="CG72" i="2"/>
  <c r="BZ72" i="2"/>
  <c r="BB72" i="2"/>
  <c r="BZ49" i="2"/>
  <c r="BB49" i="2"/>
  <c r="CG66" i="2"/>
  <c r="BZ66" i="2"/>
  <c r="BB66" i="2"/>
  <c r="BZ71" i="2"/>
  <c r="BB71" i="2"/>
  <c r="BZ45" i="2"/>
  <c r="BB45" i="2"/>
  <c r="CG54" i="2"/>
  <c r="BZ54" i="2"/>
  <c r="BB54" i="2"/>
  <c r="CN39" i="2"/>
  <c r="BZ39" i="2"/>
  <c r="BB39" i="2"/>
  <c r="CN26" i="2"/>
  <c r="BZ26" i="2"/>
  <c r="BZ10" i="2"/>
  <c r="BB10" i="2"/>
  <c r="CG38" i="2"/>
  <c r="BZ38" i="2"/>
  <c r="CN27" i="2"/>
  <c r="BZ27" i="2"/>
  <c r="BB27" i="2"/>
  <c r="BZ11" i="2"/>
  <c r="BB11" i="2"/>
  <c r="BZ50" i="2"/>
  <c r="BB50" i="2"/>
  <c r="CN14" i="2"/>
  <c r="BZ14" i="2"/>
  <c r="CG3" i="2"/>
  <c r="BZ3" i="2"/>
  <c r="BB3" i="2"/>
  <c r="CF41" i="2"/>
  <c r="BY41" i="2"/>
  <c r="BY67" i="2"/>
  <c r="BA67" i="2"/>
  <c r="BY18" i="2"/>
  <c r="BA18" i="2"/>
  <c r="CM76" i="2"/>
  <c r="BY76" i="2"/>
  <c r="BA76" i="2"/>
  <c r="BY53" i="2"/>
  <c r="BA53" i="2"/>
  <c r="CM33" i="2"/>
  <c r="BY33" i="2"/>
  <c r="BA33" i="2"/>
  <c r="CF14" i="2"/>
  <c r="BY14" i="2"/>
  <c r="BY44" i="2"/>
  <c r="BA44" i="2"/>
  <c r="CM26" i="2"/>
  <c r="BY26" i="2"/>
  <c r="CM10" i="2"/>
  <c r="BY10" i="2"/>
  <c r="BA10" i="2"/>
  <c r="CM51" i="2"/>
  <c r="BY51" i="2"/>
  <c r="CM38" i="2"/>
  <c r="BY38" i="2"/>
  <c r="BA38" i="2"/>
  <c r="CF30" i="2"/>
  <c r="BY30" i="2"/>
  <c r="CF54" i="2"/>
  <c r="BY54" i="2"/>
  <c r="BA54" i="2"/>
  <c r="CE79" i="2"/>
  <c r="BX79" i="2"/>
  <c r="BX63" i="2"/>
  <c r="AZ63" i="2"/>
  <c r="CE29" i="2"/>
  <c r="BX29" i="2"/>
  <c r="AZ29" i="2"/>
  <c r="BX74" i="2"/>
  <c r="AZ74" i="2"/>
  <c r="BX34" i="2"/>
  <c r="AZ34" i="2"/>
  <c r="BX38" i="2"/>
  <c r="AZ38" i="2"/>
  <c r="CE73" i="2"/>
  <c r="BX73" i="2"/>
  <c r="CE36" i="2"/>
  <c r="BX36" i="2"/>
  <c r="AZ36" i="2"/>
  <c r="CE60" i="2"/>
  <c r="BX60" i="2"/>
  <c r="CE41" i="2"/>
  <c r="BX41" i="2"/>
  <c r="CL18" i="2"/>
  <c r="BX18" i="2"/>
  <c r="BX5" i="2"/>
  <c r="AZ5" i="2"/>
  <c r="CE49" i="2"/>
  <c r="BX49" i="2"/>
  <c r="AZ49" i="2"/>
  <c r="CE25" i="2"/>
  <c r="BX25" i="2"/>
  <c r="AZ25" i="2"/>
  <c r="BX9" i="2"/>
  <c r="AZ9" i="2"/>
  <c r="BX52" i="2"/>
  <c r="AZ52" i="2"/>
  <c r="CE33" i="2"/>
  <c r="BX33" i="2"/>
  <c r="CE24" i="2"/>
  <c r="BX24" i="2"/>
  <c r="AZ24" i="2"/>
  <c r="CE8" i="2"/>
  <c r="BX8" i="2"/>
  <c r="BW12" i="2"/>
  <c r="AY12" i="2"/>
  <c r="BW64" i="2"/>
  <c r="AY64" i="2"/>
  <c r="BW77" i="2"/>
  <c r="AY77" i="2"/>
  <c r="CD63" i="2"/>
  <c r="BW63" i="2"/>
  <c r="CK48" i="2"/>
  <c r="BW48" i="2"/>
  <c r="AY48" i="2"/>
  <c r="CD74" i="2"/>
  <c r="BW74" i="2"/>
  <c r="BW52" i="2"/>
  <c r="AY52" i="2"/>
  <c r="CD10" i="2"/>
  <c r="BW10" i="2"/>
  <c r="BW47" i="2"/>
  <c r="AY47" i="2"/>
  <c r="BW34" i="2"/>
  <c r="AY34" i="2"/>
  <c r="CK15" i="2"/>
  <c r="BW15" i="2"/>
  <c r="AY15" i="2"/>
  <c r="CK4" i="2"/>
  <c r="BW4" i="2"/>
  <c r="AY4" i="2"/>
  <c r="CD54" i="2"/>
  <c r="BW54" i="2"/>
  <c r="AY54" i="2"/>
  <c r="BW37" i="2"/>
  <c r="AY37" i="2"/>
  <c r="BW5" i="2"/>
  <c r="AY5" i="2"/>
  <c r="CK49" i="2"/>
  <c r="BW49" i="2"/>
  <c r="CK25" i="2"/>
  <c r="BW25" i="2"/>
  <c r="AY25" i="2"/>
  <c r="CH65" i="2"/>
  <c r="CA65" i="2"/>
  <c r="CA68" i="2"/>
  <c r="BC68" i="2"/>
  <c r="CO69" i="2"/>
  <c r="CA69" i="2"/>
  <c r="CO71" i="2"/>
  <c r="CA71" i="2"/>
  <c r="BC71" i="2"/>
  <c r="CA39" i="2"/>
  <c r="BC39" i="2"/>
  <c r="CO7" i="2"/>
  <c r="CA7" i="2"/>
  <c r="CA74" i="2"/>
  <c r="BC74" i="2"/>
  <c r="CO58" i="2"/>
  <c r="CA58" i="2"/>
  <c r="BC58" i="2"/>
  <c r="CA57" i="2"/>
  <c r="BC57" i="2"/>
  <c r="CO42" i="2"/>
  <c r="CA42" i="2"/>
  <c r="BC42" i="2"/>
  <c r="CA29" i="2"/>
  <c r="BC29" i="2"/>
  <c r="CO13" i="2"/>
  <c r="CA13" i="2"/>
  <c r="BC13" i="2"/>
  <c r="CO60" i="2"/>
  <c r="CA60" i="2"/>
  <c r="CO41" i="2"/>
  <c r="CA41" i="2"/>
  <c r="CA5" i="2"/>
  <c r="BC5" i="2"/>
  <c r="CH55" i="2"/>
  <c r="CA55" i="2"/>
  <c r="CH40" i="2"/>
  <c r="CA40" i="2"/>
  <c r="BC40" i="2"/>
  <c r="CH19" i="2"/>
  <c r="CA19" i="2"/>
  <c r="BC19" i="2"/>
  <c r="CN69" i="2"/>
  <c r="BZ69" i="2"/>
  <c r="BB69" i="2"/>
  <c r="CN40" i="2"/>
  <c r="BZ40" i="2"/>
  <c r="BB40" i="2"/>
  <c r="BZ68" i="2"/>
  <c r="BB68" i="2"/>
  <c r="CG28" i="2"/>
  <c r="BZ28" i="2"/>
  <c r="BB28" i="2"/>
  <c r="CN67" i="2"/>
  <c r="BZ67" i="2"/>
  <c r="CN33" i="2"/>
  <c r="BZ33" i="2"/>
  <c r="BZ52" i="2"/>
  <c r="BB52" i="2"/>
  <c r="BZ36" i="2"/>
  <c r="BB36" i="2"/>
  <c r="BZ24" i="2"/>
  <c r="BB24" i="2"/>
  <c r="CN8" i="2"/>
  <c r="BZ8" i="2"/>
  <c r="BB8" i="2"/>
  <c r="CG47" i="2"/>
  <c r="BZ47" i="2"/>
  <c r="BZ34" i="2"/>
  <c r="BB34" i="2"/>
  <c r="CG20" i="2"/>
  <c r="BZ20" i="2"/>
  <c r="BZ61" i="2"/>
  <c r="BB61" i="2"/>
  <c r="BZ46" i="2"/>
  <c r="BB46" i="2"/>
  <c r="CG25" i="2"/>
  <c r="BZ25" i="2"/>
  <c r="BB25" i="2"/>
  <c r="CG9" i="2"/>
  <c r="BZ9" i="2"/>
  <c r="CM75" i="2"/>
  <c r="BY75" i="2"/>
  <c r="BA75" i="2"/>
  <c r="BY9" i="2"/>
  <c r="BA9" i="2"/>
  <c r="BY66" i="2"/>
  <c r="BA66" i="2"/>
  <c r="CM16" i="2"/>
  <c r="BY16" i="2"/>
  <c r="CM35" i="2"/>
  <c r="BY35" i="2"/>
  <c r="BY62" i="2"/>
  <c r="BA62" i="2"/>
  <c r="CM72" i="2"/>
  <c r="BY72" i="2"/>
  <c r="BA72" i="2"/>
  <c r="BY7" i="2"/>
  <c r="BA7" i="2"/>
  <c r="CF49" i="2"/>
  <c r="BY49" i="2"/>
  <c r="BA49" i="2"/>
  <c r="BY23" i="2"/>
  <c r="BA23" i="2"/>
  <c r="BY58" i="2"/>
  <c r="BA58" i="2"/>
  <c r="BY39" i="2"/>
  <c r="BA39" i="2"/>
  <c r="CM24" i="2"/>
  <c r="BY24" i="2"/>
  <c r="BA24" i="2"/>
  <c r="BY8" i="2"/>
  <c r="BA8" i="2"/>
  <c r="BY47" i="2"/>
  <c r="BA47" i="2"/>
  <c r="CM29" i="2"/>
  <c r="BY29" i="2"/>
  <c r="CF13" i="2"/>
  <c r="BY13" i="2"/>
  <c r="BA13" i="2"/>
  <c r="CL68" i="2"/>
  <c r="BX68" i="2"/>
  <c r="AZ68" i="2"/>
  <c r="CL75" i="2"/>
  <c r="BX75" i="2"/>
  <c r="AZ75" i="2"/>
  <c r="BX57" i="2"/>
  <c r="AZ57" i="2"/>
  <c r="BX70" i="2"/>
  <c r="AZ70" i="2"/>
  <c r="CL13" i="2"/>
  <c r="BX13" i="2"/>
  <c r="CE69" i="2"/>
  <c r="BX69" i="2"/>
  <c r="AZ69" i="2"/>
  <c r="CE15" i="2"/>
  <c r="BX15" i="2"/>
  <c r="CE56" i="2"/>
  <c r="BX56" i="2"/>
  <c r="AZ56" i="2"/>
  <c r="CE16" i="2"/>
  <c r="BX16" i="2"/>
  <c r="BX59" i="2"/>
  <c r="AZ59" i="2"/>
  <c r="CE45" i="2"/>
  <c r="BX45" i="2"/>
  <c r="CL23" i="2"/>
  <c r="BX23" i="2"/>
  <c r="AZ23" i="2"/>
  <c r="CL3" i="2"/>
  <c r="BX3" i="2"/>
  <c r="CE48" i="2"/>
  <c r="BX48" i="2"/>
  <c r="AZ48" i="2"/>
  <c r="CE19" i="2"/>
  <c r="BX19" i="2"/>
  <c r="CL6" i="2"/>
  <c r="BX6" i="2"/>
  <c r="AZ6" i="2"/>
  <c r="BW76" i="2"/>
  <c r="AY76" i="2"/>
  <c r="CD65" i="2"/>
  <c r="BW65" i="2"/>
  <c r="AY65" i="2"/>
  <c r="CK26" i="2"/>
  <c r="BW26" i="2"/>
  <c r="AY26" i="2"/>
  <c r="BW79" i="2"/>
  <c r="AY79" i="2"/>
  <c r="BW70" i="2"/>
  <c r="AY70" i="2"/>
  <c r="BW39" i="2"/>
  <c r="AY39" i="2"/>
  <c r="CK29" i="2"/>
  <c r="BW29" i="2"/>
  <c r="BW13" i="2"/>
  <c r="AY13" i="2"/>
  <c r="CK43" i="2"/>
  <c r="BW43" i="2"/>
  <c r="CD50" i="2"/>
  <c r="BW50" i="2"/>
  <c r="AY50" i="2"/>
  <c r="CD32" i="2"/>
  <c r="BW32" i="2"/>
  <c r="AY32" i="2"/>
  <c r="BW59" i="2"/>
  <c r="AY59" i="2"/>
  <c r="CD23" i="2"/>
  <c r="BW23" i="2"/>
  <c r="CD3" i="2"/>
  <c r="BW3" i="2"/>
  <c r="AY3" i="2"/>
  <c r="CA24" i="2"/>
  <c r="BC24" i="2"/>
  <c r="CH64" i="2"/>
  <c r="CA64" i="2"/>
  <c r="CO67" i="2"/>
  <c r="CA67" i="2"/>
  <c r="CO73" i="2"/>
  <c r="CA73" i="2"/>
  <c r="BC73" i="2"/>
  <c r="CH70" i="2"/>
  <c r="CA70" i="2"/>
  <c r="CO48" i="2"/>
  <c r="CA48" i="2"/>
  <c r="BC48" i="2"/>
  <c r="CA51" i="2"/>
  <c r="BC51" i="2"/>
  <c r="CA38" i="2"/>
  <c r="BC38" i="2"/>
  <c r="CO27" i="2"/>
  <c r="CA27" i="2"/>
  <c r="CA11" i="2"/>
  <c r="BC11" i="2"/>
  <c r="CA56" i="2"/>
  <c r="BC56" i="2"/>
  <c r="CH37" i="2"/>
  <c r="CA37" i="2"/>
  <c r="BC37" i="2"/>
  <c r="CA18" i="2"/>
  <c r="BC18" i="2"/>
  <c r="CH3" i="2"/>
  <c r="CA3" i="2"/>
  <c r="BC3" i="2"/>
  <c r="CH53" i="2"/>
  <c r="CA53" i="2"/>
  <c r="CA31" i="2"/>
  <c r="BC31" i="2"/>
  <c r="CF7" i="2"/>
  <c r="AI46" i="6"/>
  <c r="AI47" i="6"/>
  <c r="AI45" i="6"/>
  <c r="AI48" i="6"/>
  <c r="AH46" i="6"/>
  <c r="AH48" i="6"/>
  <c r="AH45" i="6"/>
  <c r="AH47" i="6"/>
  <c r="AK48" i="6"/>
  <c r="AK45" i="6"/>
  <c r="AK47" i="6"/>
  <c r="AK46" i="6"/>
  <c r="AJ47" i="6"/>
  <c r="AJ46" i="6"/>
  <c r="AJ45" i="6"/>
  <c r="AJ48" i="6"/>
  <c r="BB9" i="2"/>
  <c r="CL70" i="2"/>
  <c r="CN28" i="2"/>
  <c r="AS32" i="5"/>
  <c r="H313" i="1"/>
  <c r="CF58" i="2"/>
  <c r="CG12" i="2"/>
  <c r="CN6" i="2"/>
  <c r="AS33" i="5"/>
  <c r="H314" i="1"/>
  <c r="CF11" i="2"/>
  <c r="AZ33" i="2"/>
  <c r="CN55" i="2"/>
  <c r="AJ45" i="4"/>
  <c r="AJ44" i="4"/>
  <c r="AK45" i="4"/>
  <c r="AK44" i="4"/>
  <c r="CM58" i="2"/>
  <c r="CM7" i="2"/>
  <c r="CL33" i="2"/>
  <c r="CN9" i="2"/>
  <c r="CF26" i="2"/>
  <c r="CE70" i="2"/>
  <c r="CN3" i="2"/>
  <c r="CN12" i="2"/>
  <c r="CN43" i="2"/>
  <c r="CE44" i="2"/>
  <c r="CF32" i="2"/>
  <c r="BP2" i="3"/>
  <c r="AW2" i="3"/>
  <c r="AP68" i="3"/>
  <c r="BD124" i="3"/>
  <c r="BF124" i="3"/>
  <c r="BE124" i="3"/>
  <c r="CG2" i="2"/>
  <c r="BA26" i="2"/>
  <c r="CG63" i="2"/>
  <c r="CM32" i="2"/>
  <c r="CN66" i="2"/>
  <c r="AQ79" i="3"/>
  <c r="AR79" i="3"/>
  <c r="AR68" i="3"/>
  <c r="AR72" i="3"/>
  <c r="AR76" i="3"/>
  <c r="AR70" i="3"/>
  <c r="AR69" i="3"/>
  <c r="AR77" i="3"/>
  <c r="AR67" i="3"/>
  <c r="AR71" i="3"/>
  <c r="AR75" i="3"/>
  <c r="AR74" i="3"/>
  <c r="AR73" i="3"/>
  <c r="AQ67" i="3"/>
  <c r="AQ71" i="3"/>
  <c r="AQ75" i="3"/>
  <c r="AQ73" i="3"/>
  <c r="AQ72" i="3"/>
  <c r="AQ70" i="3"/>
  <c r="AQ74" i="3"/>
  <c r="AQ69" i="3"/>
  <c r="AQ77" i="3"/>
  <c r="AQ68" i="3"/>
  <c r="AQ76" i="3"/>
  <c r="BA22" i="2"/>
  <c r="CN2" i="2"/>
  <c r="BB55" i="2"/>
  <c r="CG57" i="2"/>
  <c r="CN50" i="2"/>
  <c r="CF33" i="2"/>
  <c r="BB22" i="2"/>
  <c r="CN22" i="2"/>
  <c r="BB47" i="2"/>
  <c r="CG68" i="2"/>
  <c r="BA12" i="2"/>
  <c r="CN68" i="2"/>
  <c r="BD34" i="5"/>
  <c r="AS28" i="5"/>
  <c r="C309" i="1"/>
  <c r="BC28" i="5"/>
  <c r="AS4" i="5"/>
  <c r="C285" i="1"/>
  <c r="BC4" i="5"/>
  <c r="AS26" i="5"/>
  <c r="C307" i="1"/>
  <c r="BC26" i="5"/>
  <c r="BC25" i="5"/>
  <c r="AS25" i="5"/>
  <c r="C306" i="1"/>
  <c r="BC17" i="5"/>
  <c r="AS17" i="5"/>
  <c r="D298" i="1"/>
  <c r="BC9" i="5"/>
  <c r="AS9" i="5"/>
  <c r="C290" i="1"/>
  <c r="AS24" i="5"/>
  <c r="C305" i="1"/>
  <c r="BC24" i="5"/>
  <c r="AS6" i="5"/>
  <c r="C287" i="1"/>
  <c r="BC6" i="5"/>
  <c r="BC29" i="5"/>
  <c r="AS29" i="5"/>
  <c r="C310" i="1"/>
  <c r="BF24" i="5"/>
  <c r="BF6" i="5"/>
  <c r="BF28" i="5"/>
  <c r="BF27" i="5"/>
  <c r="BF19" i="5"/>
  <c r="BF11" i="5"/>
  <c r="BF3" i="5"/>
  <c r="BF4" i="5"/>
  <c r="BF29" i="5"/>
  <c r="BD21" i="5"/>
  <c r="BD13" i="5"/>
  <c r="BD5" i="5"/>
  <c r="BD31" i="5"/>
  <c r="BD28" i="5"/>
  <c r="BD20" i="5"/>
  <c r="BD12" i="5"/>
  <c r="BD4" i="5"/>
  <c r="BE26" i="5"/>
  <c r="BE18" i="5"/>
  <c r="BE10" i="5"/>
  <c r="BE35" i="5"/>
  <c r="BE30" i="5"/>
  <c r="BE23" i="5"/>
  <c r="BE15" i="5"/>
  <c r="BE7" i="5"/>
  <c r="AS20" i="5"/>
  <c r="C301" i="1"/>
  <c r="BC20" i="5"/>
  <c r="BC34" i="5"/>
  <c r="AS34" i="5"/>
  <c r="D315" i="1"/>
  <c r="AS22" i="5"/>
  <c r="D303" i="1"/>
  <c r="BC22" i="5"/>
  <c r="AS23" i="5"/>
  <c r="C304" i="1"/>
  <c r="BC23" i="5"/>
  <c r="BC15" i="5"/>
  <c r="AS15" i="5"/>
  <c r="C296" i="1"/>
  <c r="BC7" i="5"/>
  <c r="AS7" i="5"/>
  <c r="D288" i="1"/>
  <c r="AS18" i="5"/>
  <c r="D299" i="1"/>
  <c r="BC18" i="5"/>
  <c r="BC35" i="5"/>
  <c r="AS35" i="5"/>
  <c r="C316" i="1"/>
  <c r="BF22" i="5"/>
  <c r="BF34" i="5"/>
  <c r="BF18" i="5"/>
  <c r="BF25" i="5"/>
  <c r="BF17" i="5"/>
  <c r="BF9" i="5"/>
  <c r="BF26" i="5"/>
  <c r="BF35" i="5"/>
  <c r="BD27" i="5"/>
  <c r="BD19" i="5"/>
  <c r="BD11" i="5"/>
  <c r="BD3" i="5"/>
  <c r="BD29" i="5"/>
  <c r="BD26" i="5"/>
  <c r="BD18" i="5"/>
  <c r="BD10" i="5"/>
  <c r="BE24" i="5"/>
  <c r="BE16" i="5"/>
  <c r="BE8" i="5"/>
  <c r="BE29" i="5"/>
  <c r="BE33" i="5"/>
  <c r="BE21" i="5"/>
  <c r="BE13" i="5"/>
  <c r="BE5" i="5"/>
  <c r="AS14" i="5"/>
  <c r="C295" i="1"/>
  <c r="BC14" i="5"/>
  <c r="BC32" i="5"/>
  <c r="BC16" i="5"/>
  <c r="AS16" i="5"/>
  <c r="D297" i="1"/>
  <c r="BC21" i="5"/>
  <c r="AS21" i="5"/>
  <c r="C302" i="1"/>
  <c r="AS13" i="5"/>
  <c r="E294" i="1"/>
  <c r="BC13" i="5"/>
  <c r="AS5" i="5"/>
  <c r="C286" i="1"/>
  <c r="BC5" i="5"/>
  <c r="BC12" i="5"/>
  <c r="AS12" i="5"/>
  <c r="D293" i="1"/>
  <c r="BC33" i="5"/>
  <c r="BF16" i="5"/>
  <c r="BF32" i="5"/>
  <c r="BF12" i="5"/>
  <c r="BF23" i="5"/>
  <c r="BF15" i="5"/>
  <c r="BF7" i="5"/>
  <c r="BF20" i="5"/>
  <c r="BF33" i="5"/>
  <c r="BD25" i="5"/>
  <c r="BD17" i="5"/>
  <c r="BD9" i="5"/>
  <c r="BD32" i="5"/>
  <c r="BD30" i="5"/>
  <c r="BD24" i="5"/>
  <c r="BD16" i="5"/>
  <c r="BD8" i="5"/>
  <c r="BK2" i="5"/>
  <c r="AP2" i="5"/>
  <c r="AX37" i="5"/>
  <c r="BE22" i="5"/>
  <c r="BE14" i="5"/>
  <c r="BE6" i="5"/>
  <c r="BE34" i="5"/>
  <c r="BE27" i="5"/>
  <c r="BE19" i="5"/>
  <c r="BE11" i="5"/>
  <c r="BE3" i="5"/>
  <c r="BI2" i="5"/>
  <c r="AN2" i="5"/>
  <c r="AV37" i="5"/>
  <c r="AS8" i="5"/>
  <c r="E289" i="1"/>
  <c r="BC8" i="5"/>
  <c r="AS30" i="5"/>
  <c r="E311" i="1"/>
  <c r="BC30" i="5"/>
  <c r="AS27" i="5"/>
  <c r="D308" i="1"/>
  <c r="BC27" i="5"/>
  <c r="AS19" i="5"/>
  <c r="C300" i="1"/>
  <c r="BC19" i="5"/>
  <c r="AS11" i="5"/>
  <c r="C292" i="1"/>
  <c r="BC11" i="5"/>
  <c r="BC3" i="5"/>
  <c r="AS3" i="5"/>
  <c r="D284" i="1"/>
  <c r="BC10" i="5"/>
  <c r="AS10" i="5"/>
  <c r="D291" i="1"/>
  <c r="AS31" i="5"/>
  <c r="C312" i="1"/>
  <c r="BC31" i="5"/>
  <c r="BL2" i="5"/>
  <c r="AQ2" i="5"/>
  <c r="AY37" i="5"/>
  <c r="BF10" i="5"/>
  <c r="BF30" i="5"/>
  <c r="BF8" i="5"/>
  <c r="BF21" i="5"/>
  <c r="BF13" i="5"/>
  <c r="BF5" i="5"/>
  <c r="BF14" i="5"/>
  <c r="BF31" i="5"/>
  <c r="BJ2" i="5"/>
  <c r="AO2" i="5"/>
  <c r="AW37" i="5"/>
  <c r="BD23" i="5"/>
  <c r="BD15" i="5"/>
  <c r="BD7" i="5"/>
  <c r="BD33" i="5"/>
  <c r="BD35" i="5"/>
  <c r="BD22" i="5"/>
  <c r="BD14" i="5"/>
  <c r="BD6" i="5"/>
  <c r="BE31" i="5"/>
  <c r="BE20" i="5"/>
  <c r="BE12" i="5"/>
  <c r="BE4" i="5"/>
  <c r="BE32" i="5"/>
  <c r="BE25" i="5"/>
  <c r="BE17" i="5"/>
  <c r="BE9" i="5"/>
  <c r="BE28" i="5"/>
  <c r="CF22" i="2"/>
  <c r="BB21" i="2"/>
  <c r="CN21" i="2"/>
  <c r="AY31" i="2"/>
  <c r="CE40" i="2"/>
  <c r="BB29" i="2"/>
  <c r="CF75" i="2"/>
  <c r="CF12" i="2"/>
  <c r="CF28" i="2"/>
  <c r="BB57" i="2"/>
  <c r="CN47" i="2"/>
  <c r="CK71" i="2"/>
  <c r="CN46" i="2"/>
  <c r="CG67" i="2"/>
  <c r="BA57" i="2"/>
  <c r="CO74" i="2"/>
  <c r="CG36" i="2"/>
  <c r="CF39" i="2"/>
  <c r="CN71" i="2"/>
  <c r="CN15" i="2"/>
  <c r="CL39" i="2"/>
  <c r="BB77" i="2"/>
  <c r="BB42" i="2"/>
  <c r="BA65" i="2"/>
  <c r="CN78" i="2"/>
  <c r="CM30" i="2"/>
  <c r="CF73" i="2"/>
  <c r="CL15" i="2"/>
  <c r="CG5" i="2"/>
  <c r="CN34" i="2"/>
  <c r="CM77" i="2"/>
  <c r="BA28" i="2"/>
  <c r="CM61" i="2"/>
  <c r="CE12" i="2"/>
  <c r="CL79" i="2"/>
  <c r="CL66" i="2"/>
  <c r="CN36" i="2"/>
  <c r="CG46" i="2"/>
  <c r="BB67" i="2"/>
  <c r="CG45" i="2"/>
  <c r="CF53" i="2"/>
  <c r="CH63" i="2"/>
  <c r="CM73" i="2"/>
  <c r="BC45" i="2"/>
  <c r="CM49" i="2"/>
  <c r="CM78" i="2"/>
  <c r="CF77" i="2"/>
  <c r="BA61" i="2"/>
  <c r="CK36" i="2"/>
  <c r="CO62" i="2"/>
  <c r="CG35" i="2"/>
  <c r="CN45" i="2"/>
  <c r="CF63" i="2"/>
  <c r="CD64" i="2"/>
  <c r="BA35" i="2"/>
  <c r="CF2" i="2"/>
  <c r="BB73" i="2"/>
  <c r="CN17" i="2"/>
  <c r="CF78" i="2"/>
  <c r="BC62" i="2"/>
  <c r="BB35" i="2"/>
  <c r="BB15" i="2"/>
  <c r="CN29" i="2"/>
  <c r="CN42" i="2"/>
  <c r="CL78" i="2"/>
  <c r="CF56" i="2"/>
  <c r="CG78" i="2"/>
  <c r="CF71" i="2"/>
  <c r="BB18" i="2"/>
  <c r="BB53" i="2"/>
  <c r="CF74" i="2"/>
  <c r="CM39" i="2"/>
  <c r="CL29" i="2"/>
  <c r="CO38" i="2"/>
  <c r="BB17" i="2"/>
  <c r="CG34" i="2"/>
  <c r="CM65" i="2"/>
  <c r="CD41" i="2"/>
  <c r="AZ39" i="2"/>
  <c r="AZ66" i="2"/>
  <c r="CH69" i="2"/>
  <c r="CO22" i="2"/>
  <c r="CG77" i="2"/>
  <c r="CL62" i="2"/>
  <c r="BA30" i="2"/>
  <c r="CM63" i="2"/>
  <c r="CD33" i="2"/>
  <c r="CL11" i="2"/>
  <c r="CM57" i="2"/>
  <c r="BB74" i="2"/>
  <c r="CG39" i="2"/>
  <c r="CG53" i="2"/>
  <c r="CD61" i="2"/>
  <c r="CK28" i="2"/>
  <c r="CL32" i="2"/>
  <c r="AZ18" i="2"/>
  <c r="CK62" i="2"/>
  <c r="AY57" i="2"/>
  <c r="BC69" i="2"/>
  <c r="CO79" i="2"/>
  <c r="CD35" i="2"/>
  <c r="CL69" i="2"/>
  <c r="CO26" i="2"/>
  <c r="CG73" i="2"/>
  <c r="CG71" i="2"/>
  <c r="CD79" i="2"/>
  <c r="AZ12" i="2"/>
  <c r="AZ79" i="2"/>
  <c r="CO40" i="2"/>
  <c r="CG79" i="2"/>
  <c r="CM53" i="2"/>
  <c r="AY14" i="2"/>
  <c r="CM71" i="2"/>
  <c r="CH30" i="2"/>
  <c r="CN18" i="2"/>
  <c r="BE4" i="4"/>
  <c r="BB24" i="6"/>
  <c r="CM37" i="2"/>
  <c r="CM60" i="2"/>
  <c r="CL19" i="2"/>
  <c r="CO5" i="2"/>
  <c r="CG11" i="2"/>
  <c r="BA25" i="2"/>
  <c r="CF60" i="2"/>
  <c r="CN20" i="2"/>
  <c r="CD53" i="2"/>
  <c r="BB16" i="2"/>
  <c r="BB37" i="2"/>
  <c r="AZ21" i="2"/>
  <c r="CN48" i="2"/>
  <c r="CK34" i="2"/>
  <c r="CL47" i="2"/>
  <c r="CL48" i="2"/>
  <c r="CG14" i="2"/>
  <c r="CO33" i="2"/>
  <c r="CO21" i="2"/>
  <c r="CK6" i="2"/>
  <c r="CF18" i="2"/>
  <c r="CM59" i="2"/>
  <c r="CF9" i="2"/>
  <c r="CH56" i="2"/>
  <c r="CM47" i="2"/>
  <c r="CH25" i="2"/>
  <c r="CO77" i="2"/>
  <c r="CN65" i="2"/>
  <c r="CF19" i="2"/>
  <c r="CK52" i="2"/>
  <c r="AY23" i="2"/>
  <c r="CG61" i="2"/>
  <c r="CK11" i="2"/>
  <c r="CG23" i="2"/>
  <c r="CF72" i="2"/>
  <c r="BA51" i="2"/>
  <c r="BB31" i="2"/>
  <c r="CE2" i="2"/>
  <c r="CF66" i="2"/>
  <c r="CF24" i="2"/>
  <c r="BC29" i="4"/>
  <c r="BB24" i="4"/>
  <c r="CK73" i="2"/>
  <c r="AY71" i="2"/>
  <c r="AZ32" i="2"/>
  <c r="AZ15" i="2"/>
  <c r="BC7" i="2"/>
  <c r="CD62" i="2"/>
  <c r="AY36" i="2"/>
  <c r="CH8" i="2"/>
  <c r="CK33" i="2"/>
  <c r="AY35" i="2"/>
  <c r="CH59" i="2"/>
  <c r="CD28" i="2"/>
  <c r="CO11" i="2"/>
  <c r="CK79" i="2"/>
  <c r="AY41" i="2"/>
  <c r="CO44" i="2"/>
  <c r="CE13" i="2"/>
  <c r="AZ64" i="2"/>
  <c r="CL71" i="2"/>
  <c r="CE4" i="2"/>
  <c r="CE18" i="2"/>
  <c r="CH26" i="2"/>
  <c r="CH45" i="2"/>
  <c r="CH38" i="2"/>
  <c r="CH7" i="2"/>
  <c r="CH11" i="2"/>
  <c r="CD57" i="2"/>
  <c r="CH74" i="2"/>
  <c r="CH22" i="2"/>
  <c r="CH44" i="2"/>
  <c r="CO46" i="2"/>
  <c r="AZ13" i="2"/>
  <c r="CL24" i="2"/>
  <c r="BC8" i="2"/>
  <c r="CK14" i="2"/>
  <c r="CK64" i="2"/>
  <c r="CM45" i="2"/>
  <c r="CF35" i="2"/>
  <c r="AY10" i="2"/>
  <c r="BC59" i="2"/>
  <c r="CN74" i="2"/>
  <c r="CG41" i="2"/>
  <c r="CE78" i="2"/>
  <c r="CE62" i="2"/>
  <c r="BC79" i="2"/>
  <c r="AZ45" i="2"/>
  <c r="BA37" i="2"/>
  <c r="CF4" i="2"/>
  <c r="CF68" i="2"/>
  <c r="CO47" i="2"/>
  <c r="CK19" i="2"/>
  <c r="CL74" i="2"/>
  <c r="CO57" i="2"/>
  <c r="BC60" i="2"/>
  <c r="CN38" i="2"/>
  <c r="CD72" i="2"/>
  <c r="CK37" i="2"/>
  <c r="CO18" i="2"/>
  <c r="BB75" i="2"/>
  <c r="CG62" i="2"/>
  <c r="CF42" i="2"/>
  <c r="AY60" i="2"/>
  <c r="AY63" i="2"/>
  <c r="BB33" i="2"/>
  <c r="CN10" i="2"/>
  <c r="BB13" i="2"/>
  <c r="CD22" i="2"/>
  <c r="CE6" i="2"/>
  <c r="CG69" i="2"/>
  <c r="CN64" i="2"/>
  <c r="BA41" i="2"/>
  <c r="CK12" i="2"/>
  <c r="CD13" i="2"/>
  <c r="CK68" i="2"/>
  <c r="BE24" i="4"/>
  <c r="CM68" i="2"/>
  <c r="CM40" i="2"/>
  <c r="CM54" i="2"/>
  <c r="CE27" i="2"/>
  <c r="CL36" i="2"/>
  <c r="BC43" i="2"/>
  <c r="CH31" i="2"/>
  <c r="CG60" i="2"/>
  <c r="BB26" i="2"/>
  <c r="CN56" i="2"/>
  <c r="BA52" i="2"/>
  <c r="CF50" i="2"/>
  <c r="CM4" i="2"/>
  <c r="CM43" i="2"/>
  <c r="CD37" i="2"/>
  <c r="AZ8" i="2"/>
  <c r="BC27" i="2"/>
  <c r="BC14" i="2"/>
  <c r="CN13" i="2"/>
  <c r="CN75" i="2"/>
  <c r="CN11" i="2"/>
  <c r="CH61" i="2"/>
  <c r="CG32" i="2"/>
  <c r="CK32" i="2"/>
  <c r="CG10" i="2"/>
  <c r="BA34" i="2"/>
  <c r="BB21" i="4"/>
  <c r="CF38" i="2"/>
  <c r="CM27" i="2"/>
  <c r="CK21" i="2"/>
  <c r="CL27" i="2"/>
  <c r="BB38" i="2"/>
  <c r="CG26" i="2"/>
  <c r="BA43" i="2"/>
  <c r="AZ19" i="2"/>
  <c r="CE34" i="2"/>
  <c r="CH27" i="2"/>
  <c r="CO52" i="2"/>
  <c r="CD46" i="2"/>
  <c r="CL65" i="2"/>
  <c r="CE7" i="2"/>
  <c r="BB32" i="2"/>
  <c r="BC66" i="2"/>
  <c r="CF40" i="2"/>
  <c r="CD15" i="2"/>
  <c r="CE58" i="2"/>
  <c r="CH67" i="2"/>
  <c r="CF52" i="2"/>
  <c r="CM50" i="2"/>
  <c r="BB4" i="4"/>
  <c r="CD51" i="2"/>
  <c r="CD21" i="2"/>
  <c r="CK53" i="2"/>
  <c r="CD77" i="2"/>
  <c r="CL17" i="2"/>
  <c r="CL58" i="2"/>
  <c r="BC67" i="2"/>
  <c r="CH60" i="2"/>
  <c r="CK51" i="2"/>
  <c r="CL34" i="2"/>
  <c r="AZ7" i="2"/>
  <c r="CM41" i="2"/>
  <c r="CK47" i="2"/>
  <c r="CL73" i="2"/>
  <c r="CN7" i="2"/>
  <c r="BB20" i="2"/>
  <c r="BD17" i="4"/>
  <c r="CD44" i="2"/>
  <c r="CK44" i="2"/>
  <c r="CE31" i="2"/>
  <c r="CL31" i="2"/>
  <c r="BC78" i="2"/>
  <c r="CO78" i="2"/>
  <c r="BC20" i="2"/>
  <c r="CH20" i="2"/>
  <c r="CH50" i="2"/>
  <c r="CO50" i="2"/>
  <c r="CK9" i="2"/>
  <c r="AY9" i="2"/>
  <c r="CD45" i="2"/>
  <c r="AY45" i="2"/>
  <c r="AY69" i="2"/>
  <c r="CK69" i="2"/>
  <c r="CM79" i="2"/>
  <c r="BA79" i="2"/>
  <c r="CN19" i="2"/>
  <c r="BB19" i="2"/>
  <c r="CN4" i="2"/>
  <c r="BA36" i="2"/>
  <c r="CM36" i="2"/>
  <c r="CM44" i="2"/>
  <c r="CF44" i="2"/>
  <c r="CK59" i="2"/>
  <c r="CD59" i="2"/>
  <c r="BA59" i="2"/>
  <c r="CM9" i="2"/>
  <c r="BC21" i="2"/>
  <c r="CO56" i="2"/>
  <c r="BC49" i="2"/>
  <c r="CE57" i="2"/>
  <c r="CH33" i="2"/>
  <c r="CG50" i="2"/>
  <c r="BC46" i="2"/>
  <c r="CG48" i="2"/>
  <c r="CM19" i="2"/>
  <c r="AZ54" i="2"/>
  <c r="CL54" i="2"/>
  <c r="BC23" i="2"/>
  <c r="CH23" i="2"/>
  <c r="CK3" i="2"/>
  <c r="CM31" i="2"/>
  <c r="CF31" i="2"/>
  <c r="CN30" i="2"/>
  <c r="CG30" i="2"/>
  <c r="CM64" i="2"/>
  <c r="CF64" i="2"/>
  <c r="BA20" i="2"/>
  <c r="CM20" i="2"/>
  <c r="CM46" i="2"/>
  <c r="CF46" i="2"/>
  <c r="CN54" i="2"/>
  <c r="CL55" i="2"/>
  <c r="CL22" i="2"/>
  <c r="BC17" i="2"/>
  <c r="CO17" i="2"/>
  <c r="CL30" i="2"/>
  <c r="AZ30" i="2"/>
  <c r="CE30" i="2"/>
  <c r="BC36" i="2"/>
  <c r="CO36" i="2"/>
  <c r="BC12" i="2"/>
  <c r="CH12" i="2"/>
  <c r="CK54" i="2"/>
  <c r="AY18" i="2"/>
  <c r="CK18" i="2"/>
  <c r="AY56" i="2"/>
  <c r="CD56" i="2"/>
  <c r="CM5" i="2"/>
  <c r="CF5" i="2"/>
  <c r="CG51" i="2"/>
  <c r="BB51" i="2"/>
  <c r="BA14" i="2"/>
  <c r="CM14" i="2"/>
  <c r="BA3" i="2"/>
  <c r="CM3" i="2"/>
  <c r="CN37" i="2"/>
  <c r="CD18" i="2"/>
  <c r="CO55" i="2"/>
  <c r="BC77" i="2"/>
  <c r="CG24" i="2"/>
  <c r="CG19" i="2"/>
  <c r="CN51" i="2"/>
  <c r="CN25" i="2"/>
  <c r="CL28" i="2"/>
  <c r="CE28" i="2"/>
  <c r="CL25" i="2"/>
  <c r="CH16" i="2"/>
  <c r="CO16" i="2"/>
  <c r="CG58" i="2"/>
  <c r="CN58" i="2"/>
  <c r="CM48" i="2"/>
  <c r="CM18" i="2"/>
  <c r="CF23" i="2"/>
  <c r="CD38" i="2"/>
  <c r="CK77" i="2"/>
  <c r="CD19" i="2"/>
  <c r="CE64" i="2"/>
  <c r="CE17" i="2"/>
  <c r="CE74" i="2"/>
  <c r="AZ4" i="2"/>
  <c r="CE76" i="2"/>
  <c r="CO3" i="2"/>
  <c r="CH57" i="2"/>
  <c r="CO43" i="2"/>
  <c r="CH49" i="2"/>
  <c r="CH9" i="2"/>
  <c r="CO31" i="2"/>
  <c r="CG27" i="2"/>
  <c r="CN60" i="2"/>
  <c r="CN16" i="2"/>
  <c r="CN70" i="2"/>
  <c r="BB14" i="2"/>
  <c r="BB56" i="2"/>
  <c r="CF47" i="2"/>
  <c r="CK55" i="2"/>
  <c r="CL57" i="2"/>
  <c r="CL77" i="2"/>
  <c r="CL46" i="2"/>
  <c r="CE38" i="2"/>
  <c r="BC55" i="2"/>
  <c r="BC52" i="2"/>
  <c r="CH48" i="2"/>
  <c r="CN24" i="2"/>
  <c r="CD69" i="2"/>
  <c r="BA64" i="2"/>
  <c r="BA46" i="2"/>
  <c r="CD8" i="2"/>
  <c r="CO23" i="2"/>
  <c r="CM62" i="2"/>
  <c r="BA5" i="2"/>
  <c r="CM13" i="2"/>
  <c r="AY20" i="2"/>
  <c r="AZ31" i="2"/>
  <c r="CH42" i="2"/>
  <c r="CF34" i="2"/>
  <c r="CF20" i="2"/>
  <c r="CF76" i="2"/>
  <c r="CH58" i="2"/>
  <c r="CG52" i="2"/>
  <c r="AY42" i="2"/>
  <c r="CK42" i="2"/>
  <c r="CE37" i="2"/>
  <c r="AZ37" i="2"/>
  <c r="CH24" i="2"/>
  <c r="CO24" i="2"/>
  <c r="AY40" i="2"/>
  <c r="CD40" i="2"/>
  <c r="CL72" i="2"/>
  <c r="CE72" i="2"/>
  <c r="AZ72" i="2"/>
  <c r="CO19" i="2"/>
  <c r="AY30" i="2"/>
  <c r="CD30" i="2"/>
  <c r="CM67" i="2"/>
  <c r="CF67" i="2"/>
  <c r="CG76" i="2"/>
  <c r="CN76" i="2"/>
  <c r="CF55" i="2"/>
  <c r="CM55" i="2"/>
  <c r="CN44" i="2"/>
  <c r="BB44" i="2"/>
  <c r="CF48" i="2"/>
  <c r="CM23" i="2"/>
  <c r="AZ71" i="2"/>
  <c r="CL76" i="2"/>
  <c r="BB70" i="2"/>
  <c r="CD52" i="2"/>
  <c r="CL38" i="2"/>
  <c r="CD20" i="2"/>
  <c r="CF36" i="2"/>
  <c r="CL56" i="2"/>
  <c r="CD67" i="2"/>
  <c r="CK67" i="2"/>
  <c r="BC35" i="2"/>
  <c r="CH35" i="2"/>
  <c r="CH54" i="2"/>
  <c r="BC54" i="2"/>
  <c r="CD76" i="2"/>
  <c r="CK76" i="2"/>
  <c r="BA15" i="2"/>
  <c r="CM15" i="2"/>
  <c r="BA16" i="2"/>
  <c r="CF16" i="2"/>
  <c r="CK38" i="2"/>
  <c r="CD6" i="2"/>
  <c r="CK31" i="2"/>
  <c r="CK65" i="2"/>
  <c r="CD9" i="2"/>
  <c r="CK30" i="2"/>
  <c r="CE21" i="2"/>
  <c r="AZ77" i="2"/>
  <c r="AZ46" i="2"/>
  <c r="CL8" i="2"/>
  <c r="CE75" i="2"/>
  <c r="CO25" i="2"/>
  <c r="CH14" i="2"/>
  <c r="CG64" i="2"/>
  <c r="CK46" i="2"/>
  <c r="AZ20" i="2"/>
  <c r="CH17" i="2"/>
  <c r="CG65" i="2"/>
  <c r="CD49" i="2"/>
  <c r="CO61" i="2"/>
  <c r="CO54" i="2"/>
  <c r="CO10" i="2"/>
  <c r="BB30" i="2"/>
  <c r="BB58" i="2"/>
  <c r="CN72" i="2"/>
  <c r="CF79" i="2"/>
  <c r="CF62" i="2"/>
  <c r="CF15" i="2"/>
  <c r="CK45" i="2"/>
  <c r="CL37" i="2"/>
  <c r="CF3" i="2"/>
  <c r="CL45" i="2"/>
  <c r="AZ73" i="2"/>
  <c r="CO12" i="2"/>
  <c r="CN52" i="2"/>
  <c r="BB76" i="2"/>
  <c r="BB7" i="2"/>
  <c r="CG33" i="2"/>
  <c r="CF8" i="2"/>
  <c r="CO34" i="2"/>
  <c r="CG49" i="2"/>
  <c r="CL2" i="2"/>
  <c r="CM66" i="2"/>
  <c r="CD11" i="2"/>
  <c r="CD4" i="2"/>
  <c r="CN23" i="2"/>
  <c r="BA29" i="2"/>
  <c r="CM69" i="2"/>
  <c r="AY17" i="2"/>
  <c r="CF70" i="2"/>
  <c r="BJ81" i="2"/>
  <c r="CN31" i="2"/>
  <c r="CO29" i="2"/>
  <c r="CM17" i="2"/>
  <c r="CG8" i="2"/>
  <c r="CN61" i="2"/>
  <c r="BK81" i="2"/>
  <c r="CF10" i="2"/>
  <c r="CF51" i="2"/>
  <c r="CK63" i="2"/>
  <c r="CM70" i="2"/>
  <c r="CN59" i="2"/>
  <c r="CG40" i="2"/>
  <c r="CH29" i="2"/>
  <c r="CN63" i="2"/>
  <c r="BA42" i="2"/>
  <c r="CF29" i="2"/>
  <c r="CF69" i="2"/>
  <c r="CM8" i="2"/>
  <c r="CF6" i="2"/>
  <c r="CN49" i="2"/>
  <c r="CO15" i="2"/>
  <c r="CF25" i="2"/>
  <c r="CF21" i="2"/>
  <c r="CO37" i="2"/>
  <c r="CN62" i="2"/>
  <c r="CE42" i="2"/>
  <c r="CO72" i="2"/>
  <c r="CE5" i="2"/>
  <c r="BC53" i="2"/>
  <c r="CO76" i="2"/>
  <c r="CK39" i="2"/>
  <c r="BC30" i="2"/>
  <c r="AZ16" i="2"/>
  <c r="CE23" i="2"/>
  <c r="AZ61" i="2"/>
  <c r="CE3" i="2"/>
  <c r="AY43" i="2"/>
  <c r="CK27" i="2"/>
  <c r="CL16" i="2"/>
  <c r="CE50" i="2"/>
  <c r="CL5" i="2"/>
  <c r="AZ3" i="2"/>
  <c r="CH76" i="2"/>
  <c r="CK66" i="2"/>
  <c r="CD39" i="2"/>
  <c r="CL61" i="2"/>
  <c r="AZ50" i="2"/>
  <c r="CH13" i="2"/>
  <c r="CH6" i="2"/>
  <c r="CD43" i="2"/>
  <c r="CK10" i="2"/>
  <c r="CO53" i="2"/>
  <c r="CO6" i="2"/>
  <c r="CH73" i="2"/>
  <c r="CD48" i="2"/>
  <c r="CL52" i="2"/>
  <c r="BC65" i="2"/>
  <c r="CH2" i="2"/>
  <c r="CL35" i="2"/>
  <c r="CE59" i="2"/>
  <c r="CE54" i="2"/>
  <c r="CL9" i="2"/>
  <c r="CO68" i="2"/>
  <c r="CO35" i="2"/>
  <c r="CO28" i="2"/>
  <c r="CK7" i="2"/>
  <c r="CD68" i="2"/>
  <c r="AY74" i="2"/>
  <c r="AY67" i="2"/>
  <c r="BH81" i="2"/>
  <c r="CL59" i="2"/>
  <c r="CE20" i="2"/>
  <c r="CE9" i="2"/>
  <c r="CH68" i="2"/>
  <c r="CO66" i="2"/>
  <c r="CH28" i="2"/>
  <c r="CD7" i="2"/>
  <c r="CD47" i="2"/>
  <c r="CK74" i="2"/>
  <c r="AY2" i="2"/>
  <c r="CD29" i="2"/>
  <c r="CD26" i="2"/>
  <c r="CD25" i="2"/>
  <c r="CL42" i="2"/>
  <c r="CO4" i="2"/>
  <c r="CO64" i="2"/>
  <c r="CD78" i="2"/>
  <c r="CK70" i="2"/>
  <c r="BI81" i="2"/>
  <c r="CH18" i="2"/>
  <c r="CH51" i="2"/>
  <c r="CL41" i="2"/>
  <c r="CH15" i="2"/>
  <c r="CO32" i="2"/>
  <c r="CK24" i="2"/>
  <c r="CE10" i="2"/>
  <c r="CK58" i="2"/>
  <c r="CD12" i="2"/>
  <c r="CL26" i="2"/>
  <c r="CL63" i="2"/>
  <c r="CH75" i="2"/>
  <c r="BC10" i="4"/>
  <c r="CK2" i="2"/>
  <c r="AY29" i="2"/>
  <c r="CE51" i="2"/>
  <c r="CL49" i="2"/>
  <c r="CL14" i="2"/>
  <c r="CH4" i="2"/>
  <c r="BC64" i="2"/>
  <c r="CK5" i="2"/>
  <c r="CH5" i="2"/>
  <c r="CO51" i="2"/>
  <c r="CL43" i="2"/>
  <c r="CH39" i="2"/>
  <c r="CK16" i="2"/>
  <c r="AZ10" i="2"/>
  <c r="AY58" i="2"/>
  <c r="CD60" i="2"/>
  <c r="CK13" i="2"/>
  <c r="CL60" i="2"/>
  <c r="BC16" i="4"/>
  <c r="CK23" i="2"/>
  <c r="CD17" i="2"/>
  <c r="AZ51" i="2"/>
  <c r="CE68" i="2"/>
  <c r="AZ14" i="2"/>
  <c r="BC72" i="2"/>
  <c r="CH71" i="2"/>
  <c r="CD75" i="2"/>
  <c r="CO2" i="2"/>
  <c r="BC70" i="2"/>
  <c r="CK50" i="2"/>
  <c r="AY16" i="2"/>
  <c r="CE67" i="2"/>
  <c r="CL53" i="2"/>
  <c r="CH41" i="2"/>
  <c r="BE28" i="4"/>
  <c r="BE26" i="4"/>
  <c r="BC20" i="4"/>
  <c r="BB9" i="6"/>
  <c r="BC26" i="4"/>
  <c r="CK78" i="2"/>
  <c r="CD5" i="2"/>
  <c r="CK75" i="2"/>
  <c r="CK22" i="2"/>
  <c r="CD70" i="2"/>
  <c r="CE43" i="2"/>
  <c r="AZ41" i="2"/>
  <c r="CH78" i="2"/>
  <c r="BL81" i="2"/>
  <c r="CO70" i="2"/>
  <c r="CO39" i="2"/>
  <c r="BC32" i="2"/>
  <c r="CK8" i="2"/>
  <c r="AY44" i="2"/>
  <c r="CD42" i="2"/>
  <c r="AY49" i="2"/>
  <c r="CD34" i="2"/>
  <c r="CH36" i="2"/>
  <c r="BC50" i="2"/>
  <c r="CH10" i="2"/>
  <c r="CE26" i="2"/>
  <c r="CE52" i="2"/>
  <c r="AZ67" i="2"/>
  <c r="AZ60" i="2"/>
  <c r="CE63" i="2"/>
  <c r="AZ35" i="2"/>
  <c r="CE53" i="2"/>
  <c r="BC75" i="2"/>
  <c r="CO65" i="2"/>
  <c r="BC41" i="2"/>
  <c r="AS26" i="4"/>
  <c r="D279" i="1"/>
  <c r="BE16" i="4"/>
  <c r="BB19" i="6"/>
  <c r="BD19" i="6"/>
  <c r="AS16" i="4"/>
  <c r="E269" i="1"/>
  <c r="BC8" i="4"/>
  <c r="AS3" i="4"/>
  <c r="D256" i="1"/>
  <c r="AS21" i="4"/>
  <c r="D274" i="1"/>
  <c r="BB23" i="4"/>
  <c r="BD4" i="4"/>
  <c r="BC34" i="6"/>
  <c r="BC43" i="6"/>
  <c r="BC4" i="4"/>
  <c r="AS4" i="4"/>
  <c r="C257" i="1"/>
  <c r="BC24" i="4"/>
  <c r="BB27" i="6"/>
  <c r="BC40" i="6"/>
  <c r="BB10" i="4"/>
  <c r="BE8" i="4"/>
  <c r="AS24" i="4"/>
  <c r="F277" i="1"/>
  <c r="BC23" i="4"/>
  <c r="BC35" i="6"/>
  <c r="BD10" i="4"/>
  <c r="AS10" i="4"/>
  <c r="E263" i="1"/>
  <c r="BE23" i="4"/>
  <c r="AS8" i="4"/>
  <c r="D261" i="1"/>
  <c r="BB18" i="4"/>
  <c r="BA34" i="6"/>
  <c r="BD3" i="6"/>
  <c r="BD26" i="4"/>
  <c r="BD11" i="4"/>
  <c r="BC27" i="4"/>
  <c r="BB20" i="4"/>
  <c r="BB15" i="4"/>
  <c r="BB18" i="6"/>
  <c r="BB39" i="6"/>
  <c r="BA13" i="6"/>
  <c r="BB25" i="6"/>
  <c r="BA15" i="6"/>
  <c r="BC11" i="6"/>
  <c r="BB41" i="6"/>
  <c r="BA21" i="6"/>
  <c r="BD26" i="6"/>
  <c r="BA18" i="6"/>
  <c r="BC23" i="6"/>
  <c r="BB2" i="6"/>
  <c r="BE14" i="4"/>
  <c r="BC21" i="4"/>
  <c r="BE27" i="4"/>
  <c r="BB40" i="6"/>
  <c r="BB11" i="4"/>
  <c r="AS14" i="4"/>
  <c r="C267" i="1"/>
  <c r="BD39" i="6"/>
  <c r="BD24" i="6"/>
  <c r="BD36" i="6"/>
  <c r="BA6" i="6"/>
  <c r="BC13" i="6"/>
  <c r="AR9" i="6"/>
  <c r="C324" i="1"/>
  <c r="BC8" i="6"/>
  <c r="AR41" i="6"/>
  <c r="C356" i="1"/>
  <c r="BD20" i="4"/>
  <c r="BB26" i="4"/>
  <c r="BC41" i="6"/>
  <c r="BA41" i="6"/>
  <c r="AR39" i="6"/>
  <c r="F354" i="1"/>
  <c r="AS11" i="4"/>
  <c r="E264" i="1"/>
  <c r="BE20" i="4"/>
  <c r="AX31" i="4"/>
  <c r="BC27" i="6"/>
  <c r="BC26" i="6"/>
  <c r="AS15" i="4"/>
  <c r="D268" i="1"/>
  <c r="BA20" i="6"/>
  <c r="BD41" i="6"/>
  <c r="BC6" i="6"/>
  <c r="E256" i="1"/>
  <c r="BA8" i="6"/>
  <c r="AR3" i="6"/>
  <c r="D318" i="1"/>
  <c r="AR20" i="6"/>
  <c r="C335" i="1"/>
  <c r="AR8" i="6"/>
  <c r="C323" i="1"/>
  <c r="BC24" i="6"/>
  <c r="BB21" i="6"/>
  <c r="BA19" i="6"/>
  <c r="BC19" i="6"/>
  <c r="AR19" i="6"/>
  <c r="E334" i="1"/>
  <c r="BD35" i="6"/>
  <c r="BC9" i="6"/>
  <c r="BB35" i="6"/>
  <c r="BA40" i="6"/>
  <c r="BC28" i="6"/>
  <c r="BB30" i="6"/>
  <c r="BA14" i="6"/>
  <c r="AR37" i="6"/>
  <c r="F352" i="1"/>
  <c r="BA29" i="6"/>
  <c r="BC5" i="6"/>
  <c r="BB12" i="6"/>
  <c r="BA42" i="6"/>
  <c r="BC7" i="6"/>
  <c r="AR38" i="6"/>
  <c r="C353" i="1"/>
  <c r="BC32" i="6"/>
  <c r="BD25" i="6"/>
  <c r="BD11" i="6"/>
  <c r="BD43" i="6"/>
  <c r="AR33" i="6"/>
  <c r="D348" i="1"/>
  <c r="BB26" i="6"/>
  <c r="AR13" i="6"/>
  <c r="D328" i="1"/>
  <c r="AR27" i="6"/>
  <c r="E342" i="1"/>
  <c r="AR10" i="6"/>
  <c r="E325" i="1"/>
  <c r="BC16" i="6"/>
  <c r="BA12" i="6"/>
  <c r="BD23" i="6"/>
  <c r="BD17" i="6"/>
  <c r="BA24" i="6"/>
  <c r="AR24" i="6"/>
  <c r="F339" i="1"/>
  <c r="AR35" i="6"/>
  <c r="AW45" i="6"/>
  <c r="BB15" i="6"/>
  <c r="BA35" i="6"/>
  <c r="AR16" i="6"/>
  <c r="D331" i="1"/>
  <c r="BC29" i="6"/>
  <c r="BB23" i="6"/>
  <c r="BD18" i="6"/>
  <c r="BB8" i="6"/>
  <c r="AR6" i="6"/>
  <c r="E321" i="1"/>
  <c r="AR18" i="6"/>
  <c r="F333" i="1"/>
  <c r="BD9" i="6"/>
  <c r="AQ45" i="6"/>
  <c r="AK21" i="6"/>
  <c r="BB3" i="6"/>
  <c r="BB43" i="6"/>
  <c r="BD40" i="6"/>
  <c r="BC36" i="6"/>
  <c r="AR15" i="6"/>
  <c r="E330" i="1"/>
  <c r="AR5" i="6"/>
  <c r="D320" i="1"/>
  <c r="AR28" i="6"/>
  <c r="F343" i="1"/>
  <c r="BB17" i="6"/>
  <c r="AR43" i="6"/>
  <c r="E358" i="1"/>
  <c r="BA9" i="6"/>
  <c r="BB16" i="6"/>
  <c r="AR17" i="6"/>
  <c r="E332" i="1"/>
  <c r="BD13" i="6"/>
  <c r="AR23" i="6"/>
  <c r="C338" i="1"/>
  <c r="AR11" i="6"/>
  <c r="F326" i="1"/>
  <c r="BB5" i="6"/>
  <c r="BA43" i="6"/>
  <c r="BA3" i="6"/>
  <c r="BA27" i="6"/>
  <c r="BC14" i="6"/>
  <c r="BC3" i="6"/>
  <c r="AR26" i="6"/>
  <c r="C341" i="1"/>
  <c r="BB13" i="6"/>
  <c r="BA17" i="6"/>
  <c r="BA26" i="6"/>
  <c r="BA23" i="6"/>
  <c r="BB6" i="6"/>
  <c r="BA36" i="6"/>
  <c r="AR40" i="6"/>
  <c r="C355" i="1"/>
  <c r="BA33" i="6"/>
  <c r="BA5" i="6"/>
  <c r="BD27" i="6"/>
  <c r="AR29" i="6"/>
  <c r="D344" i="1"/>
  <c r="BD16" i="6"/>
  <c r="AX45" i="6"/>
  <c r="BB33" i="6"/>
  <c r="BD15" i="6"/>
  <c r="BA39" i="6"/>
  <c r="BD8" i="6"/>
  <c r="BA11" i="6"/>
  <c r="AR32" i="6"/>
  <c r="C347" i="1"/>
  <c r="AR31" i="6"/>
  <c r="E346" i="1"/>
  <c r="BB10" i="6"/>
  <c r="BC17" i="6"/>
  <c r="AR7" i="6"/>
  <c r="D322" i="1"/>
  <c r="BC22" i="6"/>
  <c r="BC18" i="6"/>
  <c r="BC39" i="6"/>
  <c r="BC25" i="6"/>
  <c r="BB20" i="6"/>
  <c r="AR34" i="6"/>
  <c r="C349" i="1"/>
  <c r="BD37" i="6"/>
  <c r="BC15" i="6"/>
  <c r="BD30" i="6"/>
  <c r="BD29" i="6"/>
  <c r="BC33" i="6"/>
  <c r="BC12" i="6"/>
  <c r="BA22" i="6"/>
  <c r="BD22" i="6"/>
  <c r="BA31" i="6"/>
  <c r="BC31" i="6"/>
  <c r="BD21" i="6"/>
  <c r="BB7" i="6"/>
  <c r="AU45" i="6"/>
  <c r="AR12" i="6"/>
  <c r="E327" i="1"/>
  <c r="BA10" i="6"/>
  <c r="BB34" i="6"/>
  <c r="BC37" i="6"/>
  <c r="AR14" i="6"/>
  <c r="BB14" i="6"/>
  <c r="BB31" i="6"/>
  <c r="BC38" i="6"/>
  <c r="BA32" i="6"/>
  <c r="BC42" i="6"/>
  <c r="AR42" i="6"/>
  <c r="AR25" i="6"/>
  <c r="F340" i="1"/>
  <c r="BD10" i="6"/>
  <c r="AR30" i="6"/>
  <c r="BD20" i="6"/>
  <c r="BC10" i="6"/>
  <c r="BA37" i="6"/>
  <c r="BC21" i="6"/>
  <c r="BB37" i="6"/>
  <c r="AR21" i="6"/>
  <c r="D336" i="1"/>
  <c r="BA28" i="6"/>
  <c r="BC30" i="6"/>
  <c r="BA30" i="6"/>
  <c r="BD32" i="6"/>
  <c r="BB38" i="6"/>
  <c r="BC20" i="6"/>
  <c r="BB42" i="6"/>
  <c r="BD34" i="6"/>
  <c r="BD7" i="6"/>
  <c r="BB29" i="6"/>
  <c r="BD31" i="6"/>
  <c r="BD5" i="6"/>
  <c r="BD6" i="6"/>
  <c r="BA7" i="6"/>
  <c r="BB32" i="6"/>
  <c r="AP45" i="6"/>
  <c r="AJ21" i="6"/>
  <c r="BA38" i="6"/>
  <c r="BD28" i="6"/>
  <c r="BB28" i="6"/>
  <c r="AR22" i="6"/>
  <c r="BB22" i="6"/>
  <c r="BD33" i="6"/>
  <c r="BA16" i="6"/>
  <c r="BB11" i="6"/>
  <c r="BD38" i="6"/>
  <c r="BD42" i="6"/>
  <c r="AV45" i="6"/>
  <c r="BD12" i="6"/>
  <c r="BA25" i="6"/>
  <c r="AR36" i="6"/>
  <c r="BB36" i="6"/>
  <c r="BD14" i="6"/>
  <c r="BB27" i="4"/>
  <c r="BE21" i="4"/>
  <c r="BB29" i="4"/>
  <c r="BC11" i="4"/>
  <c r="AS27" i="4"/>
  <c r="C280" i="1"/>
  <c r="BE11" i="4"/>
  <c r="AS20" i="4"/>
  <c r="D273" i="1"/>
  <c r="BB3" i="4"/>
  <c r="AS23" i="4"/>
  <c r="E276" i="1"/>
  <c r="BD16" i="4"/>
  <c r="BD21" i="4"/>
  <c r="BD3" i="4"/>
  <c r="BB16" i="4"/>
  <c r="BD23" i="4"/>
  <c r="BE10" i="4"/>
  <c r="BC14" i="4"/>
  <c r="BE3" i="4"/>
  <c r="BC3" i="4"/>
  <c r="BD8" i="4"/>
  <c r="BD14" i="4"/>
  <c r="BB14" i="4"/>
  <c r="AS25" i="4"/>
  <c r="E278" i="1"/>
  <c r="AS19" i="4"/>
  <c r="C272" i="1"/>
  <c r="BC15" i="4"/>
  <c r="BC17" i="4"/>
  <c r="AS29" i="4"/>
  <c r="F282" i="1"/>
  <c r="BE9" i="4"/>
  <c r="BD24" i="4"/>
  <c r="BD29" i="4"/>
  <c r="BC18" i="4"/>
  <c r="BD15" i="4"/>
  <c r="AS9" i="4"/>
  <c r="F262" i="1"/>
  <c r="BE17" i="4"/>
  <c r="AW31" i="4"/>
  <c r="BD9" i="4"/>
  <c r="BB17" i="4"/>
  <c r="BE29" i="4"/>
  <c r="BE15" i="4"/>
  <c r="BB9" i="4"/>
  <c r="BC9" i="4"/>
  <c r="AS17" i="4"/>
  <c r="BD27" i="4"/>
  <c r="BB8" i="4"/>
  <c r="BD19" i="4"/>
  <c r="BD7" i="4"/>
  <c r="BC13" i="4"/>
  <c r="BE13" i="4"/>
  <c r="BB13" i="4"/>
  <c r="BD13" i="4"/>
  <c r="BD22" i="4"/>
  <c r="BC22" i="4"/>
  <c r="AS22" i="4"/>
  <c r="F275" i="1"/>
  <c r="BB22" i="4"/>
  <c r="AS28" i="4"/>
  <c r="BD28" i="4"/>
  <c r="BC28" i="4"/>
  <c r="BC12" i="4"/>
  <c r="BB12" i="4"/>
  <c r="BD12" i="4"/>
  <c r="AS7" i="4"/>
  <c r="BE7" i="4"/>
  <c r="BB7" i="4"/>
  <c r="BH5" i="4"/>
  <c r="AO5" i="4"/>
  <c r="AO31" i="4"/>
  <c r="AI21" i="4"/>
  <c r="AV31" i="4"/>
  <c r="BE22" i="4"/>
  <c r="BB28" i="4"/>
  <c r="BC25" i="4"/>
  <c r="BD25" i="4"/>
  <c r="BE25" i="4"/>
  <c r="BB25" i="4"/>
  <c r="BD18" i="4"/>
  <c r="BE18" i="4"/>
  <c r="AS18" i="4"/>
  <c r="E271" i="1"/>
  <c r="BB19" i="4"/>
  <c r="BE19" i="4"/>
  <c r="BC19" i="4"/>
  <c r="BK6" i="4"/>
  <c r="AR6" i="4"/>
  <c r="AR31" i="4"/>
  <c r="AL21" i="4"/>
  <c r="AY31" i="4"/>
  <c r="AO45" i="6"/>
  <c r="AI21" i="6"/>
  <c r="BC2" i="6"/>
  <c r="BD2" i="6"/>
  <c r="BA2" i="6"/>
  <c r="BC7" i="4"/>
  <c r="AS12" i="4"/>
  <c r="F265" i="1"/>
  <c r="AR2" i="6"/>
  <c r="F317" i="1"/>
  <c r="AS13" i="4"/>
  <c r="D266" i="1"/>
  <c r="BE12" i="4"/>
  <c r="AY124" i="3"/>
  <c r="AR21" i="3"/>
  <c r="BA4" i="6"/>
  <c r="BC4" i="6"/>
  <c r="AR4" i="6"/>
  <c r="BB4" i="6"/>
  <c r="BD4" i="6"/>
  <c r="AN45" i="6"/>
  <c r="AH21" i="6"/>
  <c r="AX124" i="3"/>
  <c r="AQ21" i="3"/>
  <c r="BD2" i="4"/>
  <c r="AQ31" i="4"/>
  <c r="AK21" i="4"/>
  <c r="AS2" i="4"/>
  <c r="E255" i="1"/>
  <c r="BB2" i="4"/>
  <c r="BE2" i="4"/>
  <c r="AP31" i="4"/>
  <c r="AJ21" i="4"/>
  <c r="BC2" i="4"/>
  <c r="BP2" i="2"/>
  <c r="D313" i="1"/>
  <c r="BS60" i="2"/>
  <c r="BR68" i="2"/>
  <c r="BE31" i="2"/>
  <c r="C85" i="1"/>
  <c r="BQ78" i="2"/>
  <c r="BS38" i="2"/>
  <c r="BR62" i="2"/>
  <c r="BR22" i="2"/>
  <c r="E309" i="1"/>
  <c r="BE61" i="2"/>
  <c r="BT12" i="2"/>
  <c r="BE7" i="2"/>
  <c r="H61" i="1"/>
  <c r="E314" i="1"/>
  <c r="AP73" i="3"/>
  <c r="BR12" i="2"/>
  <c r="AP77" i="3"/>
  <c r="BE11" i="2"/>
  <c r="F65" i="1"/>
  <c r="AI45" i="4"/>
  <c r="AI44" i="4"/>
  <c r="AL44" i="4"/>
  <c r="AL45" i="4"/>
  <c r="AP75" i="3"/>
  <c r="AP76" i="3"/>
  <c r="AW124" i="3"/>
  <c r="AP21" i="3"/>
  <c r="AP71" i="3"/>
  <c r="AP70" i="3"/>
  <c r="AP72" i="3"/>
  <c r="AP67" i="3"/>
  <c r="AP74" i="3"/>
  <c r="AP79" i="3"/>
  <c r="BT28" i="2"/>
  <c r="AP69" i="3"/>
  <c r="AQ78" i="2"/>
  <c r="AT80" i="2"/>
  <c r="AR78" i="2"/>
  <c r="AU78" i="2"/>
  <c r="AR80" i="2"/>
  <c r="AS80" i="2"/>
  <c r="AS78" i="2"/>
  <c r="AQ80" i="2"/>
  <c r="AT78" i="2"/>
  <c r="AU80" i="2"/>
  <c r="E310" i="1"/>
  <c r="BP6" i="2"/>
  <c r="BT67" i="2"/>
  <c r="D287" i="1"/>
  <c r="E287" i="1"/>
  <c r="D304" i="1"/>
  <c r="E303" i="1"/>
  <c r="E313" i="1"/>
  <c r="E301" i="1"/>
  <c r="D290" i="1"/>
  <c r="F301" i="1"/>
  <c r="F303" i="1"/>
  <c r="F304" i="1"/>
  <c r="D307" i="1"/>
  <c r="F307" i="1"/>
  <c r="E307" i="1"/>
  <c r="BT34" i="2"/>
  <c r="BQ5" i="2"/>
  <c r="BE33" i="2"/>
  <c r="E87" i="1"/>
  <c r="BP63" i="2"/>
  <c r="D309" i="1"/>
  <c r="F309" i="1"/>
  <c r="BS47" i="2"/>
  <c r="BS24" i="2"/>
  <c r="F306" i="1"/>
  <c r="E306" i="1"/>
  <c r="F314" i="1"/>
  <c r="F290" i="1"/>
  <c r="E290" i="1"/>
  <c r="D314" i="1"/>
  <c r="D306" i="1"/>
  <c r="D285" i="1"/>
  <c r="F288" i="1"/>
  <c r="F289" i="1"/>
  <c r="C289" i="1"/>
  <c r="D310" i="1"/>
  <c r="F305" i="1"/>
  <c r="F287" i="1"/>
  <c r="C291" i="1"/>
  <c r="C303" i="1"/>
  <c r="BE39" i="2"/>
  <c r="D93" i="1"/>
  <c r="C288" i="1"/>
  <c r="F310" i="1"/>
  <c r="D295" i="1"/>
  <c r="F294" i="1"/>
  <c r="E295" i="1"/>
  <c r="F295" i="1"/>
  <c r="BE12" i="2"/>
  <c r="BP62" i="2"/>
  <c r="D316" i="1"/>
  <c r="F313" i="1"/>
  <c r="BP5" i="2"/>
  <c r="BS39" i="2"/>
  <c r="D296" i="1"/>
  <c r="F291" i="1"/>
  <c r="C313" i="1"/>
  <c r="F316" i="1"/>
  <c r="C299" i="1"/>
  <c r="BS62" i="2"/>
  <c r="E293" i="1"/>
  <c r="F296" i="1"/>
  <c r="F293" i="1"/>
  <c r="F297" i="1"/>
  <c r="C293" i="1"/>
  <c r="F299" i="1"/>
  <c r="E308" i="1"/>
  <c r="E299" i="1"/>
  <c r="C284" i="1"/>
  <c r="E316" i="1"/>
  <c r="D294" i="1"/>
  <c r="C314" i="1"/>
  <c r="E304" i="1"/>
  <c r="F300" i="1"/>
  <c r="D289" i="1"/>
  <c r="D300" i="1"/>
  <c r="E288" i="1"/>
  <c r="D301" i="1"/>
  <c r="F284" i="1"/>
  <c r="E292" i="1"/>
  <c r="E285" i="1"/>
  <c r="F312" i="1"/>
  <c r="F286" i="1"/>
  <c r="F302" i="1"/>
  <c r="F311" i="1"/>
  <c r="AN37" i="5"/>
  <c r="AH23" i="5"/>
  <c r="AS2" i="5"/>
  <c r="C283" i="1"/>
  <c r="BC2" i="5"/>
  <c r="BC37" i="5"/>
  <c r="D311" i="1"/>
  <c r="C294" i="1"/>
  <c r="E305" i="1"/>
  <c r="F298" i="1"/>
  <c r="AO37" i="5"/>
  <c r="AI23" i="5"/>
  <c r="BD2" i="5"/>
  <c r="BD37" i="5"/>
  <c r="AQ37" i="5"/>
  <c r="AK23" i="5"/>
  <c r="BF2" i="5"/>
  <c r="BF37" i="5"/>
  <c r="C311" i="1"/>
  <c r="E284" i="1"/>
  <c r="E300" i="1"/>
  <c r="E315" i="1"/>
  <c r="C297" i="1"/>
  <c r="D292" i="1"/>
  <c r="E296" i="1"/>
  <c r="E291" i="1"/>
  <c r="D286" i="1"/>
  <c r="D302" i="1"/>
  <c r="F285" i="1"/>
  <c r="F292" i="1"/>
  <c r="F308" i="1"/>
  <c r="D312" i="1"/>
  <c r="E298" i="1"/>
  <c r="E312" i="1"/>
  <c r="C308" i="1"/>
  <c r="AP37" i="5"/>
  <c r="AJ23" i="5"/>
  <c r="BE2" i="5"/>
  <c r="BE37" i="5"/>
  <c r="D305" i="1"/>
  <c r="E286" i="1"/>
  <c r="E302" i="1"/>
  <c r="E297" i="1"/>
  <c r="F315" i="1"/>
  <c r="C315" i="1"/>
  <c r="C298" i="1"/>
  <c r="C343" i="1"/>
  <c r="E277" i="1"/>
  <c r="BE18" i="2"/>
  <c r="D72" i="1"/>
  <c r="BS79" i="2"/>
  <c r="BR57" i="2"/>
  <c r="BQ11" i="2"/>
  <c r="BE53" i="2"/>
  <c r="C107" i="1"/>
  <c r="BS8" i="2"/>
  <c r="BT57" i="2"/>
  <c r="BP57" i="2"/>
  <c r="BR28" i="2"/>
  <c r="BR18" i="2"/>
  <c r="BQ79" i="2"/>
  <c r="BQ28" i="2"/>
  <c r="BS57" i="2"/>
  <c r="BQ68" i="2"/>
  <c r="BQ42" i="2"/>
  <c r="BQ43" i="2"/>
  <c r="BQ71" i="2"/>
  <c r="BS12" i="2"/>
  <c r="BQ39" i="2"/>
  <c r="C326" i="1"/>
  <c r="D335" i="1"/>
  <c r="BQ77" i="2"/>
  <c r="BE59" i="2"/>
  <c r="G113" i="1"/>
  <c r="BE35" i="2"/>
  <c r="G89" i="1"/>
  <c r="BT53" i="2"/>
  <c r="CW53" i="2"/>
  <c r="BR53" i="2"/>
  <c r="BE5" i="2"/>
  <c r="BT62" i="2"/>
  <c r="BP47" i="2"/>
  <c r="BQ62" i="2"/>
  <c r="BQ12" i="2"/>
  <c r="BR47" i="2"/>
  <c r="BT18" i="2"/>
  <c r="CW18" i="2"/>
  <c r="BR39" i="2"/>
  <c r="BQ33" i="2"/>
  <c r="BQ47" i="2"/>
  <c r="BT39" i="2"/>
  <c r="BR45" i="2"/>
  <c r="BP39" i="2"/>
  <c r="BP18" i="2"/>
  <c r="BT45" i="2"/>
  <c r="BR79" i="2"/>
  <c r="BE62" i="2"/>
  <c r="BP12" i="2"/>
  <c r="BT5" i="2"/>
  <c r="BS43" i="2"/>
  <c r="BS11" i="2"/>
  <c r="BP11" i="2"/>
  <c r="BT47" i="2"/>
  <c r="BQ53" i="2"/>
  <c r="BS28" i="2"/>
  <c r="BE57" i="2"/>
  <c r="CS57" i="2"/>
  <c r="BP28" i="2"/>
  <c r="BS18" i="2"/>
  <c r="BR11" i="2"/>
  <c r="BE2" i="2"/>
  <c r="D56" i="1"/>
  <c r="BP74" i="2"/>
  <c r="BT11" i="2"/>
  <c r="BR59" i="2"/>
  <c r="BS53" i="2"/>
  <c r="BQ57" i="2"/>
  <c r="BQ18" i="2"/>
  <c r="BP53" i="2"/>
  <c r="BE28" i="2"/>
  <c r="BQ31" i="2"/>
  <c r="BT37" i="2"/>
  <c r="BT77" i="2"/>
  <c r="BP60" i="2"/>
  <c r="BT60" i="2"/>
  <c r="BR38" i="2"/>
  <c r="BP10" i="2"/>
  <c r="BS31" i="2"/>
  <c r="CV31" i="2"/>
  <c r="BP23" i="2"/>
  <c r="BE65" i="2"/>
  <c r="C119" i="1"/>
  <c r="BT59" i="2"/>
  <c r="BE43" i="2"/>
  <c r="CT43" i="2"/>
  <c r="BP31" i="2"/>
  <c r="BT78" i="2"/>
  <c r="BS37" i="2"/>
  <c r="BT43" i="2"/>
  <c r="BE74" i="2"/>
  <c r="CS74" i="2"/>
  <c r="BQ38" i="2"/>
  <c r="BP78" i="2"/>
  <c r="BP68" i="2"/>
  <c r="BP77" i="2"/>
  <c r="BR77" i="2"/>
  <c r="BQ59" i="2"/>
  <c r="BT54" i="2"/>
  <c r="BR9" i="2"/>
  <c r="BS78" i="2"/>
  <c r="BP22" i="2"/>
  <c r="BS77" i="2"/>
  <c r="BP59" i="2"/>
  <c r="BP38" i="2"/>
  <c r="BT16" i="2"/>
  <c r="BR26" i="2"/>
  <c r="BQ66" i="2"/>
  <c r="BT68" i="2"/>
  <c r="BS68" i="2"/>
  <c r="BE22" i="2"/>
  <c r="CU22" i="2"/>
  <c r="BE78" i="2"/>
  <c r="BS59" i="2"/>
  <c r="BE38" i="2"/>
  <c r="BR35" i="2"/>
  <c r="CU35" i="2"/>
  <c r="BE10" i="2"/>
  <c r="BR37" i="2"/>
  <c r="BP65" i="2"/>
  <c r="BP15" i="2"/>
  <c r="BQ22" i="2"/>
  <c r="BT22" i="2"/>
  <c r="BR78" i="2"/>
  <c r="BT38" i="2"/>
  <c r="BS22" i="2"/>
  <c r="BR31" i="2"/>
  <c r="E257" i="1"/>
  <c r="D263" i="1"/>
  <c r="C330" i="1"/>
  <c r="C354" i="1"/>
  <c r="F328" i="1"/>
  <c r="E339" i="1"/>
  <c r="C328" i="1"/>
  <c r="C346" i="1"/>
  <c r="BE76" i="2"/>
  <c r="G130" i="1"/>
  <c r="BR46" i="2"/>
  <c r="BE45" i="2"/>
  <c r="CW45" i="2"/>
  <c r="BE8" i="2"/>
  <c r="CV8" i="2"/>
  <c r="BP41" i="2"/>
  <c r="BS51" i="2"/>
  <c r="BP21" i="2"/>
  <c r="BR8" i="2"/>
  <c r="BR51" i="2"/>
  <c r="BE73" i="2"/>
  <c r="F127" i="1"/>
  <c r="BP42" i="2"/>
  <c r="BS71" i="2"/>
  <c r="BP30" i="2"/>
  <c r="BR17" i="2"/>
  <c r="BS23" i="2"/>
  <c r="BQ21" i="2"/>
  <c r="BR43" i="2"/>
  <c r="BS34" i="2"/>
  <c r="BP14" i="2"/>
  <c r="BT27" i="2"/>
  <c r="BP33" i="2"/>
  <c r="BT79" i="2"/>
  <c r="BT63" i="2"/>
  <c r="BT8" i="2"/>
  <c r="BS45" i="2"/>
  <c r="BQ45" i="2"/>
  <c r="BS6" i="2"/>
  <c r="BP8" i="2"/>
  <c r="BE6" i="2"/>
  <c r="D60" i="1"/>
  <c r="BP45" i="2"/>
  <c r="BQ8" i="2"/>
  <c r="BP51" i="2"/>
  <c r="BP27" i="2"/>
  <c r="BT42" i="2"/>
  <c r="BP35" i="2"/>
  <c r="BR63" i="2"/>
  <c r="BR10" i="2"/>
  <c r="BQ10" i="2"/>
  <c r="BP46" i="2"/>
  <c r="BP17" i="2"/>
  <c r="BE23" i="2"/>
  <c r="D77" i="1"/>
  <c r="BQ74" i="2"/>
  <c r="BQ63" i="2"/>
  <c r="BQ37" i="2"/>
  <c r="BS2" i="2"/>
  <c r="BP34" i="2"/>
  <c r="BT46" i="2"/>
  <c r="BT33" i="2"/>
  <c r="BQ46" i="2"/>
  <c r="BE79" i="2"/>
  <c r="BT71" i="2"/>
  <c r="BR74" i="2"/>
  <c r="BQ35" i="2"/>
  <c r="BT17" i="2"/>
  <c r="BP37" i="2"/>
  <c r="BT65" i="2"/>
  <c r="CW65" i="2"/>
  <c r="BP43" i="2"/>
  <c r="BS21" i="2"/>
  <c r="BE63" i="2"/>
  <c r="D117" i="1"/>
  <c r="BQ65" i="2"/>
  <c r="CT65" i="2"/>
  <c r="BS15" i="2"/>
  <c r="BT51" i="2"/>
  <c r="BR2" i="2"/>
  <c r="BT73" i="2"/>
  <c r="BE51" i="2"/>
  <c r="CU51" i="2"/>
  <c r="BE21" i="2"/>
  <c r="D75" i="1"/>
  <c r="BP71" i="2"/>
  <c r="BE34" i="2"/>
  <c r="D88" i="1"/>
  <c r="BP73" i="2"/>
  <c r="BR42" i="2"/>
  <c r="BE17" i="2"/>
  <c r="BE46" i="2"/>
  <c r="BT74" i="2"/>
  <c r="BR33" i="2"/>
  <c r="BS17" i="2"/>
  <c r="BE15" i="2"/>
  <c r="D69" i="1"/>
  <c r="BR73" i="2"/>
  <c r="BS74" i="2"/>
  <c r="BT10" i="2"/>
  <c r="CW10" i="2"/>
  <c r="BE42" i="2"/>
  <c r="BR21" i="2"/>
  <c r="BS63" i="2"/>
  <c r="BP79" i="2"/>
  <c r="BT15" i="2"/>
  <c r="BE37" i="2"/>
  <c r="C91" i="1"/>
  <c r="BR71" i="2"/>
  <c r="BR15" i="2"/>
  <c r="BS46" i="2"/>
  <c r="BQ17" i="2"/>
  <c r="BE71" i="2"/>
  <c r="C125" i="1"/>
  <c r="BQ34" i="2"/>
  <c r="BQ51" i="2"/>
  <c r="BT24" i="2"/>
  <c r="BQ27" i="2"/>
  <c r="BQ23" i="2"/>
  <c r="BR30" i="2"/>
  <c r="BR34" i="2"/>
  <c r="BS35" i="2"/>
  <c r="CV35" i="2"/>
  <c r="BQ15" i="2"/>
  <c r="BT2" i="2"/>
  <c r="BQ73" i="2"/>
  <c r="BS33" i="2"/>
  <c r="BQ2" i="2"/>
  <c r="BR65" i="2"/>
  <c r="BT21" i="2"/>
  <c r="BS10" i="2"/>
  <c r="BS65" i="2"/>
  <c r="BP50" i="2"/>
  <c r="BE49" i="2"/>
  <c r="F103" i="1"/>
  <c r="BQ32" i="2"/>
  <c r="BP76" i="2"/>
  <c r="BQ52" i="2"/>
  <c r="BR36" i="2"/>
  <c r="BQ29" i="2"/>
  <c r="BR13" i="2"/>
  <c r="BS4" i="2"/>
  <c r="BE55" i="2"/>
  <c r="D109" i="1"/>
  <c r="BP69" i="2"/>
  <c r="E282" i="1"/>
  <c r="C264" i="1"/>
  <c r="F264" i="1"/>
  <c r="D278" i="1"/>
  <c r="D264" i="1"/>
  <c r="E261" i="1"/>
  <c r="D271" i="1"/>
  <c r="D358" i="1"/>
  <c r="F336" i="1"/>
  <c r="C317" i="1"/>
  <c r="BT44" i="2"/>
  <c r="BQ40" i="2"/>
  <c r="BQ20" i="2"/>
  <c r="BP64" i="2"/>
  <c r="BQ75" i="2"/>
  <c r="BR14" i="2"/>
  <c r="BP25" i="2"/>
  <c r="BT3" i="2"/>
  <c r="BE56" i="2"/>
  <c r="G110" i="1"/>
  <c r="BE19" i="2"/>
  <c r="F73" i="1"/>
  <c r="BS41" i="2"/>
  <c r="BR58" i="2"/>
  <c r="BE27" i="2"/>
  <c r="G81" i="1"/>
  <c r="BR27" i="2"/>
  <c r="BE68" i="2"/>
  <c r="BT23" i="2"/>
  <c r="BQ30" i="2"/>
  <c r="BS27" i="2"/>
  <c r="BQ60" i="2"/>
  <c r="BR23" i="2"/>
  <c r="CU23" i="2"/>
  <c r="BT35" i="2"/>
  <c r="CW35" i="2"/>
  <c r="BS48" i="2"/>
  <c r="BE60" i="2"/>
  <c r="D114" i="1"/>
  <c r="BR60" i="2"/>
  <c r="BP24" i="2"/>
  <c r="BT31" i="2"/>
  <c r="BR70" i="2"/>
  <c r="BE30" i="2"/>
  <c r="CS30" i="2"/>
  <c r="BE77" i="2"/>
  <c r="E131" i="1"/>
  <c r="BS42" i="2"/>
  <c r="BQ36" i="2"/>
  <c r="BE4" i="2"/>
  <c r="E58" i="1"/>
  <c r="BS40" i="2"/>
  <c r="BQ69" i="2"/>
  <c r="BQ41" i="2"/>
  <c r="BQ76" i="2"/>
  <c r="CT76" i="2"/>
  <c r="BS64" i="2"/>
  <c r="BE47" i="2"/>
  <c r="BS70" i="2"/>
  <c r="BS73" i="2"/>
  <c r="BT41" i="2"/>
  <c r="BT48" i="2"/>
  <c r="BT30" i="2"/>
  <c r="BS5" i="2"/>
  <c r="CV5" i="2"/>
  <c r="BR5" i="2"/>
  <c r="BS30" i="2"/>
  <c r="BR69" i="2"/>
  <c r="BS9" i="2"/>
  <c r="BQ6" i="2"/>
  <c r="D255" i="1"/>
  <c r="F266" i="1"/>
  <c r="C265" i="1"/>
  <c r="E265" i="1"/>
  <c r="F272" i="1"/>
  <c r="C256" i="1"/>
  <c r="D272" i="1"/>
  <c r="F256" i="1"/>
  <c r="E273" i="1"/>
  <c r="F355" i="1"/>
  <c r="D356" i="1"/>
  <c r="D355" i="1"/>
  <c r="E355" i="1"/>
  <c r="F320" i="1"/>
  <c r="D333" i="1"/>
  <c r="E333" i="1"/>
  <c r="D325" i="1"/>
  <c r="C321" i="1"/>
  <c r="C352" i="1"/>
  <c r="BQ56" i="2"/>
  <c r="BP66" i="2"/>
  <c r="BT69" i="2"/>
  <c r="BS61" i="2"/>
  <c r="CV61" i="2"/>
  <c r="BE40" i="2"/>
  <c r="D94" i="1"/>
  <c r="D262" i="1"/>
  <c r="C273" i="1"/>
  <c r="BP61" i="2"/>
  <c r="CS61" i="2"/>
  <c r="BE36" i="2"/>
  <c r="C90" i="1"/>
  <c r="C274" i="1"/>
  <c r="BS69" i="2"/>
  <c r="F263" i="1"/>
  <c r="E272" i="1"/>
  <c r="D317" i="1"/>
  <c r="C320" i="1"/>
  <c r="E274" i="1"/>
  <c r="F273" i="1"/>
  <c r="F356" i="1"/>
  <c r="D352" i="1"/>
  <c r="BS66" i="2"/>
  <c r="BP72" i="2"/>
  <c r="BS52" i="2"/>
  <c r="BR56" i="2"/>
  <c r="F274" i="1"/>
  <c r="F269" i="1"/>
  <c r="BT6" i="2"/>
  <c r="BP58" i="2"/>
  <c r="BQ61" i="2"/>
  <c r="CT61" i="2"/>
  <c r="BE52" i="2"/>
  <c r="D106" i="1"/>
  <c r="BT7" i="2"/>
  <c r="BE64" i="2"/>
  <c r="C118" i="1"/>
  <c r="BE69" i="2"/>
  <c r="F123" i="1"/>
  <c r="C333" i="1"/>
  <c r="F332" i="1"/>
  <c r="C269" i="1"/>
  <c r="E352" i="1"/>
  <c r="BE54" i="2"/>
  <c r="CW54" i="2"/>
  <c r="BP75" i="2"/>
  <c r="BR75" i="2"/>
  <c r="E267" i="1"/>
  <c r="BP29" i="2"/>
  <c r="BR66" i="2"/>
  <c r="BS25" i="2"/>
  <c r="C277" i="1"/>
  <c r="D269" i="1"/>
  <c r="BS56" i="2"/>
  <c r="BR6" i="2"/>
  <c r="BR76" i="2"/>
  <c r="CU76" i="2"/>
  <c r="BR54" i="2"/>
  <c r="BQ25" i="2"/>
  <c r="E317" i="1"/>
  <c r="F334" i="1"/>
  <c r="E320" i="1"/>
  <c r="C279" i="1"/>
  <c r="BR55" i="2"/>
  <c r="BE29" i="2"/>
  <c r="G83" i="1"/>
  <c r="BS54" i="2"/>
  <c r="BE9" i="2"/>
  <c r="BS26" i="2"/>
  <c r="BR3" i="2"/>
  <c r="BQ55" i="2"/>
  <c r="BE14" i="2"/>
  <c r="F68" i="1"/>
  <c r="BR19" i="2"/>
  <c r="BT36" i="2"/>
  <c r="BT20" i="2"/>
  <c r="BQ44" i="2"/>
  <c r="BT56" i="2"/>
  <c r="BQ4" i="2"/>
  <c r="BP20" i="2"/>
  <c r="BS13" i="2"/>
  <c r="BT66" i="2"/>
  <c r="BE3" i="2"/>
  <c r="BQ16" i="2"/>
  <c r="BP36" i="2"/>
  <c r="BP52" i="2"/>
  <c r="BS16" i="2"/>
  <c r="BA81" i="2"/>
  <c r="AS22" i="2"/>
  <c r="BS55" i="2"/>
  <c r="BP56" i="2"/>
  <c r="BP44" i="2"/>
  <c r="BE66" i="2"/>
  <c r="G120" i="1"/>
  <c r="BS44" i="2"/>
  <c r="BS19" i="2"/>
  <c r="BE16" i="2"/>
  <c r="C70" i="1"/>
  <c r="BT4" i="2"/>
  <c r="BT19" i="2"/>
  <c r="BQ9" i="2"/>
  <c r="BT61" i="2"/>
  <c r="CW61" i="2"/>
  <c r="BP16" i="2"/>
  <c r="BR64" i="2"/>
  <c r="BT29" i="2"/>
  <c r="BE26" i="2"/>
  <c r="E80" i="1"/>
  <c r="BR29" i="2"/>
  <c r="BP9" i="2"/>
  <c r="BT64" i="2"/>
  <c r="CW64" i="2"/>
  <c r="BS20" i="2"/>
  <c r="BR20" i="2"/>
  <c r="BP13" i="2"/>
  <c r="BB81" i="2"/>
  <c r="AT22" i="2"/>
  <c r="BQ7" i="2"/>
  <c r="BT9" i="2"/>
  <c r="BT75" i="2"/>
  <c r="BE20" i="2"/>
  <c r="C74" i="1"/>
  <c r="BT55" i="2"/>
  <c r="BP19" i="2"/>
  <c r="BS76" i="2"/>
  <c r="BP3" i="2"/>
  <c r="BR16" i="2"/>
  <c r="BR44" i="2"/>
  <c r="BT52" i="2"/>
  <c r="BP54" i="2"/>
  <c r="BR7" i="2"/>
  <c r="BR52" i="2"/>
  <c r="BS7" i="2"/>
  <c r="BP7" i="2"/>
  <c r="BT13" i="2"/>
  <c r="BE44" i="2"/>
  <c r="G98" i="1"/>
  <c r="BS36" i="2"/>
  <c r="BP55" i="2"/>
  <c r="BT72" i="2"/>
  <c r="BQ3" i="2"/>
  <c r="BE75" i="2"/>
  <c r="C129" i="1"/>
  <c r="BP4" i="2"/>
  <c r="BS29" i="2"/>
  <c r="BS3" i="2"/>
  <c r="BP26" i="2"/>
  <c r="BQ54" i="2"/>
  <c r="BS75" i="2"/>
  <c r="BQ19" i="2"/>
  <c r="BR4" i="2"/>
  <c r="BE13" i="2"/>
  <c r="D67" i="1"/>
  <c r="BQ13" i="2"/>
  <c r="BP40" i="2"/>
  <c r="BT40" i="2"/>
  <c r="BR61" i="2"/>
  <c r="CU61" i="2"/>
  <c r="BQ64" i="2"/>
  <c r="BR40" i="2"/>
  <c r="BT76" i="2"/>
  <c r="BE58" i="2"/>
  <c r="F112" i="1"/>
  <c r="BQ58" i="2"/>
  <c r="BS58" i="2"/>
  <c r="BT14" i="2"/>
  <c r="BT25" i="2"/>
  <c r="BQ48" i="2"/>
  <c r="BE41" i="2"/>
  <c r="D95" i="1"/>
  <c r="BE25" i="2"/>
  <c r="C79" i="1"/>
  <c r="BR25" i="2"/>
  <c r="F279" i="1"/>
  <c r="BQ24" i="2"/>
  <c r="BR50" i="2"/>
  <c r="F261" i="1"/>
  <c r="C336" i="1"/>
  <c r="F325" i="1"/>
  <c r="D321" i="1"/>
  <c r="E356" i="1"/>
  <c r="E348" i="1"/>
  <c r="BQ72" i="2"/>
  <c r="BQ26" i="2"/>
  <c r="BR41" i="2"/>
  <c r="BS72" i="2"/>
  <c r="BP48" i="2"/>
  <c r="BR72" i="2"/>
  <c r="BP70" i="2"/>
  <c r="BS50" i="2"/>
  <c r="BS14" i="2"/>
  <c r="BT26" i="2"/>
  <c r="BQ14" i="2"/>
  <c r="BT58" i="2"/>
  <c r="F267" i="1"/>
  <c r="BQ67" i="2"/>
  <c r="D267" i="1"/>
  <c r="E266" i="1"/>
  <c r="C348" i="1"/>
  <c r="C271" i="1"/>
  <c r="E326" i="1"/>
  <c r="D323" i="1"/>
  <c r="D330" i="1"/>
  <c r="C325" i="1"/>
  <c r="F346" i="1"/>
  <c r="F358" i="1"/>
  <c r="D346" i="1"/>
  <c r="F348" i="1"/>
  <c r="BE72" i="2"/>
  <c r="F126" i="1"/>
  <c r="BR24" i="2"/>
  <c r="BQ70" i="2"/>
  <c r="BE24" i="2"/>
  <c r="F330" i="1"/>
  <c r="BE48" i="2"/>
  <c r="F102" i="1"/>
  <c r="BE70" i="2"/>
  <c r="BR48" i="2"/>
  <c r="D277" i="1"/>
  <c r="D275" i="1"/>
  <c r="D265" i="1"/>
  <c r="C261" i="1"/>
  <c r="BT70" i="2"/>
  <c r="E262" i="1"/>
  <c r="C266" i="1"/>
  <c r="E323" i="1"/>
  <c r="D326" i="1"/>
  <c r="F323" i="1"/>
  <c r="F321" i="1"/>
  <c r="E349" i="1"/>
  <c r="C358" i="1"/>
  <c r="E279" i="1"/>
  <c r="E76" i="1"/>
  <c r="D115" i="1"/>
  <c r="BS67" i="2"/>
  <c r="BE50" i="2"/>
  <c r="F104" i="1"/>
  <c r="AY81" i="2"/>
  <c r="BP32" i="2"/>
  <c r="BQ50" i="2"/>
  <c r="BT50" i="2"/>
  <c r="BS32" i="2"/>
  <c r="BR32" i="2"/>
  <c r="BC81" i="2"/>
  <c r="AU22" i="2"/>
  <c r="BR67" i="2"/>
  <c r="AZ81" i="2"/>
  <c r="AR22" i="2"/>
  <c r="BP67" i="2"/>
  <c r="BT49" i="2"/>
  <c r="BE32" i="2"/>
  <c r="D86" i="1"/>
  <c r="BP49" i="2"/>
  <c r="BT32" i="2"/>
  <c r="BS49" i="2"/>
  <c r="BQ49" i="2"/>
  <c r="BE67" i="2"/>
  <c r="C121" i="1"/>
  <c r="BR49" i="2"/>
  <c r="C276" i="1"/>
  <c r="C318" i="1"/>
  <c r="D339" i="1"/>
  <c r="E324" i="1"/>
  <c r="F271" i="1"/>
  <c r="E328" i="1"/>
  <c r="E354" i="1"/>
  <c r="F257" i="1"/>
  <c r="D257" i="1"/>
  <c r="E318" i="1"/>
  <c r="E280" i="1"/>
  <c r="C263" i="1"/>
  <c r="C339" i="1"/>
  <c r="E347" i="1"/>
  <c r="F324" i="1"/>
  <c r="D327" i="1"/>
  <c r="F276" i="1"/>
  <c r="D354" i="1"/>
  <c r="D343" i="1"/>
  <c r="F318" i="1"/>
  <c r="D324" i="1"/>
  <c r="E343" i="1"/>
  <c r="D280" i="1"/>
  <c r="F280" i="1"/>
  <c r="F335" i="1"/>
  <c r="F327" i="1"/>
  <c r="D276" i="1"/>
  <c r="D341" i="1"/>
  <c r="F331" i="1"/>
  <c r="E268" i="1"/>
  <c r="F268" i="1"/>
  <c r="D353" i="1"/>
  <c r="C327" i="1"/>
  <c r="C344" i="1"/>
  <c r="C268" i="1"/>
  <c r="E335" i="1"/>
  <c r="C331" i="1"/>
  <c r="F344" i="1"/>
  <c r="C342" i="1"/>
  <c r="F353" i="1"/>
  <c r="F347" i="1"/>
  <c r="F338" i="1"/>
  <c r="F341" i="1"/>
  <c r="C322" i="1"/>
  <c r="C350" i="1"/>
  <c r="D350" i="1"/>
  <c r="E331" i="1"/>
  <c r="E338" i="1"/>
  <c r="D342" i="1"/>
  <c r="E353" i="1"/>
  <c r="D347" i="1"/>
  <c r="D338" i="1"/>
  <c r="E341" i="1"/>
  <c r="D340" i="1"/>
  <c r="F350" i="1"/>
  <c r="E350" i="1"/>
  <c r="C334" i="1"/>
  <c r="D334" i="1"/>
  <c r="E344" i="1"/>
  <c r="F342" i="1"/>
  <c r="BC45" i="6"/>
  <c r="E18" i="1"/>
  <c r="BD45" i="6"/>
  <c r="AK22" i="6"/>
  <c r="D332" i="1"/>
  <c r="D349" i="1"/>
  <c r="C332" i="1"/>
  <c r="BB45" i="6"/>
  <c r="AI22" i="6"/>
  <c r="F349" i="1"/>
  <c r="E322" i="1"/>
  <c r="F322" i="1"/>
  <c r="BA45" i="6"/>
  <c r="C18" i="1"/>
  <c r="C351" i="1"/>
  <c r="E351" i="1"/>
  <c r="D351" i="1"/>
  <c r="F351" i="1"/>
  <c r="C337" i="1"/>
  <c r="D337" i="1"/>
  <c r="E340" i="1"/>
  <c r="C340" i="1"/>
  <c r="E329" i="1"/>
  <c r="C329" i="1"/>
  <c r="F329" i="1"/>
  <c r="E357" i="1"/>
  <c r="C357" i="1"/>
  <c r="D357" i="1"/>
  <c r="F357" i="1"/>
  <c r="C345" i="1"/>
  <c r="E345" i="1"/>
  <c r="F345" i="1"/>
  <c r="E336" i="1"/>
  <c r="E337" i="1"/>
  <c r="D329" i="1"/>
  <c r="F337" i="1"/>
  <c r="D345" i="1"/>
  <c r="C275" i="1"/>
  <c r="F255" i="1"/>
  <c r="E275" i="1"/>
  <c r="F278" i="1"/>
  <c r="C278" i="1"/>
  <c r="C282" i="1"/>
  <c r="D282" i="1"/>
  <c r="C270" i="1"/>
  <c r="E270" i="1"/>
  <c r="D270" i="1"/>
  <c r="F270" i="1"/>
  <c r="C262" i="1"/>
  <c r="G115" i="1"/>
  <c r="AS6" i="4"/>
  <c r="BC6" i="4"/>
  <c r="BB6" i="4"/>
  <c r="BE6" i="4"/>
  <c r="BD6" i="4"/>
  <c r="F260" i="1"/>
  <c r="C260" i="1"/>
  <c r="E260" i="1"/>
  <c r="D260" i="1"/>
  <c r="C281" i="1"/>
  <c r="F281" i="1"/>
  <c r="D281" i="1"/>
  <c r="F85" i="1"/>
  <c r="E281" i="1"/>
  <c r="BC5" i="4"/>
  <c r="BE5" i="4"/>
  <c r="BB5" i="4"/>
  <c r="BD5" i="4"/>
  <c r="AS5" i="4"/>
  <c r="F319" i="1"/>
  <c r="D319" i="1"/>
  <c r="E319" i="1"/>
  <c r="D85" i="1"/>
  <c r="E85" i="1"/>
  <c r="C319" i="1"/>
  <c r="C255" i="1"/>
  <c r="G85" i="1"/>
  <c r="F115" i="1"/>
  <c r="E115" i="1"/>
  <c r="C115" i="1"/>
  <c r="CU68" i="2"/>
  <c r="CU12" i="2"/>
  <c r="CV11" i="2"/>
  <c r="CU31" i="2"/>
  <c r="G65" i="1"/>
  <c r="CU11" i="2"/>
  <c r="CW31" i="2"/>
  <c r="E61" i="1"/>
  <c r="CS31" i="2"/>
  <c r="CT31" i="2"/>
  <c r="AQ22" i="2"/>
  <c r="BE81" i="2"/>
  <c r="CS47" i="2"/>
  <c r="CW28" i="2"/>
  <c r="CW11" i="2"/>
  <c r="E65" i="1"/>
  <c r="C65" i="1"/>
  <c r="D65" i="1"/>
  <c r="CS11" i="2"/>
  <c r="CT11" i="2"/>
  <c r="AU82" i="2"/>
  <c r="AR82" i="2"/>
  <c r="AT82" i="2"/>
  <c r="AU93" i="2"/>
  <c r="AU95" i="2"/>
  <c r="AR95" i="2"/>
  <c r="AR93" i="2"/>
  <c r="AS95" i="2"/>
  <c r="AS93" i="2"/>
  <c r="AT93" i="2"/>
  <c r="AT95" i="2"/>
  <c r="AQ95" i="2"/>
  <c r="AQ93" i="2"/>
  <c r="AQ82" i="2"/>
  <c r="AS82" i="2"/>
  <c r="C87" i="1"/>
  <c r="F87" i="1"/>
  <c r="G87" i="1"/>
  <c r="D87" i="1"/>
  <c r="CW33" i="2"/>
  <c r="E89" i="1"/>
  <c r="C56" i="1"/>
  <c r="E97" i="1"/>
  <c r="CS35" i="2"/>
  <c r="CV39" i="2"/>
  <c r="CW39" i="2"/>
  <c r="C111" i="1"/>
  <c r="D111" i="1"/>
  <c r="E111" i="1"/>
  <c r="F89" i="1"/>
  <c r="CT12" i="2"/>
  <c r="CS5" i="2"/>
  <c r="E93" i="1"/>
  <c r="CU39" i="2"/>
  <c r="CV43" i="2"/>
  <c r="D283" i="1"/>
  <c r="G107" i="1"/>
  <c r="CV33" i="2"/>
  <c r="CU33" i="2"/>
  <c r="CS33" i="2"/>
  <c r="CT33" i="2"/>
  <c r="CV57" i="2"/>
  <c r="E72" i="1"/>
  <c r="CU59" i="2"/>
  <c r="CV24" i="2"/>
  <c r="E66" i="1"/>
  <c r="F76" i="1"/>
  <c r="C97" i="1"/>
  <c r="D82" i="1"/>
  <c r="CW43" i="2"/>
  <c r="C76" i="1"/>
  <c r="D76" i="1"/>
  <c r="CU71" i="2"/>
  <c r="E82" i="1"/>
  <c r="G76" i="1"/>
  <c r="G97" i="1"/>
  <c r="G56" i="1"/>
  <c r="E56" i="1"/>
  <c r="CT28" i="2"/>
  <c r="CT2" i="2"/>
  <c r="CU2" i="2"/>
  <c r="CV22" i="2"/>
  <c r="CU28" i="2"/>
  <c r="C72" i="1"/>
  <c r="C93" i="1"/>
  <c r="C89" i="1"/>
  <c r="D89" i="1"/>
  <c r="D107" i="1"/>
  <c r="F93" i="1"/>
  <c r="D97" i="1"/>
  <c r="G72" i="1"/>
  <c r="E108" i="1"/>
  <c r="CS18" i="2"/>
  <c r="CV53" i="2"/>
  <c r="CV21" i="2"/>
  <c r="G93" i="1"/>
  <c r="G82" i="1"/>
  <c r="F97" i="1"/>
  <c r="CS43" i="2"/>
  <c r="CT35" i="2"/>
  <c r="CV2" i="2"/>
  <c r="CU43" i="2"/>
  <c r="CW38" i="2"/>
  <c r="CS53" i="2"/>
  <c r="CW62" i="2"/>
  <c r="CS39" i="2"/>
  <c r="CT39" i="2"/>
  <c r="G111" i="1"/>
  <c r="F111" i="1"/>
  <c r="C82" i="1"/>
  <c r="F107" i="1"/>
  <c r="F56" i="1"/>
  <c r="F72" i="1"/>
  <c r="E107" i="1"/>
  <c r="F82" i="1"/>
  <c r="CS2" i="2"/>
  <c r="CW7" i="2"/>
  <c r="CW2" i="2"/>
  <c r="CT18" i="2"/>
  <c r="CV18" i="2"/>
  <c r="CT53" i="2"/>
  <c r="CU53" i="2"/>
  <c r="CU18" i="2"/>
  <c r="F66" i="1"/>
  <c r="CS12" i="2"/>
  <c r="CW12" i="2"/>
  <c r="CV12" i="2"/>
  <c r="C66" i="1"/>
  <c r="G66" i="1"/>
  <c r="D66" i="1"/>
  <c r="CS22" i="2"/>
  <c r="CT22" i="2"/>
  <c r="CT57" i="2"/>
  <c r="E67" i="1"/>
  <c r="E283" i="1"/>
  <c r="F283" i="1"/>
  <c r="AI24" i="5"/>
  <c r="D17" i="1"/>
  <c r="D62" i="1"/>
  <c r="E17" i="1"/>
  <c r="AJ24" i="5"/>
  <c r="F17" i="1"/>
  <c r="AK24" i="5"/>
  <c r="G62" i="1"/>
  <c r="D119" i="1"/>
  <c r="AH24" i="5"/>
  <c r="C17" i="1"/>
  <c r="G114" i="1"/>
  <c r="CW68" i="2"/>
  <c r="CT77" i="2"/>
  <c r="D59" i="1"/>
  <c r="E105" i="1"/>
  <c r="G59" i="1"/>
  <c r="G103" i="1"/>
  <c r="G60" i="1"/>
  <c r="CU62" i="2"/>
  <c r="CV28" i="2"/>
  <c r="CW57" i="2"/>
  <c r="CU57" i="2"/>
  <c r="D103" i="1"/>
  <c r="F60" i="1"/>
  <c r="D91" i="1"/>
  <c r="D84" i="1"/>
  <c r="C116" i="1"/>
  <c r="CT59" i="2"/>
  <c r="C105" i="1"/>
  <c r="C59" i="1"/>
  <c r="D92" i="1"/>
  <c r="CV37" i="2"/>
  <c r="C77" i="1"/>
  <c r="E60" i="1"/>
  <c r="CV49" i="2"/>
  <c r="CW49" i="2"/>
  <c r="G105" i="1"/>
  <c r="E130" i="1"/>
  <c r="G116" i="1"/>
  <c r="F91" i="1"/>
  <c r="G77" i="1"/>
  <c r="F59" i="1"/>
  <c r="E77" i="1"/>
  <c r="C60" i="1"/>
  <c r="E103" i="1"/>
  <c r="C130" i="1"/>
  <c r="CU49" i="2"/>
  <c r="CT38" i="2"/>
  <c r="CS6" i="2"/>
  <c r="E91" i="1"/>
  <c r="CS62" i="2"/>
  <c r="C103" i="1"/>
  <c r="D113" i="1"/>
  <c r="CS4" i="2"/>
  <c r="CU6" i="2"/>
  <c r="CS76" i="2"/>
  <c r="CT51" i="2"/>
  <c r="CT42" i="2"/>
  <c r="CV59" i="2"/>
  <c r="G91" i="1"/>
  <c r="C113" i="1"/>
  <c r="E59" i="1"/>
  <c r="D105" i="1"/>
  <c r="F116" i="1"/>
  <c r="E116" i="1"/>
  <c r="E92" i="1"/>
  <c r="F130" i="1"/>
  <c r="F113" i="1"/>
  <c r="CS49" i="2"/>
  <c r="CV38" i="2"/>
  <c r="CT5" i="2"/>
  <c r="CV62" i="2"/>
  <c r="CW59" i="2"/>
  <c r="CW23" i="2"/>
  <c r="CW76" i="2"/>
  <c r="CV76" i="2"/>
  <c r="CW6" i="2"/>
  <c r="CT23" i="2"/>
  <c r="CT17" i="2"/>
  <c r="CS37" i="2"/>
  <c r="CV6" i="2"/>
  <c r="CV23" i="2"/>
  <c r="CS10" i="2"/>
  <c r="CU78" i="2"/>
  <c r="CS59" i="2"/>
  <c r="CW5" i="2"/>
  <c r="D116" i="1"/>
  <c r="F77" i="1"/>
  <c r="E113" i="1"/>
  <c r="F105" i="1"/>
  <c r="C92" i="1"/>
  <c r="G92" i="1"/>
  <c r="D130" i="1"/>
  <c r="F92" i="1"/>
  <c r="CT49" i="2"/>
  <c r="CT62" i="2"/>
  <c r="CT6" i="2"/>
  <c r="CU5" i="2"/>
  <c r="CT79" i="2"/>
  <c r="E132" i="1"/>
  <c r="D73" i="1"/>
  <c r="C64" i="1"/>
  <c r="CV45" i="2"/>
  <c r="C132" i="1"/>
  <c r="CV14" i="2"/>
  <c r="D128" i="1"/>
  <c r="F132" i="1"/>
  <c r="E99" i="1"/>
  <c r="CW74" i="2"/>
  <c r="CT37" i="2"/>
  <c r="CS51" i="2"/>
  <c r="CS38" i="2"/>
  <c r="CW25" i="2"/>
  <c r="CW51" i="2"/>
  <c r="CS23" i="2"/>
  <c r="CS28" i="2"/>
  <c r="CU37" i="2"/>
  <c r="CU38" i="2"/>
  <c r="CV60" i="2"/>
  <c r="CV30" i="2"/>
  <c r="CV42" i="2"/>
  <c r="F62" i="1"/>
  <c r="D118" i="1"/>
  <c r="CU65" i="2"/>
  <c r="CS63" i="2"/>
  <c r="F64" i="1"/>
  <c r="E101" i="1"/>
  <c r="CU45" i="2"/>
  <c r="CS78" i="2"/>
  <c r="F99" i="1"/>
  <c r="G99" i="1"/>
  <c r="E68" i="1"/>
  <c r="C95" i="1"/>
  <c r="D64" i="1"/>
  <c r="G117" i="1"/>
  <c r="CU47" i="2"/>
  <c r="CU10" i="2"/>
  <c r="CW78" i="2"/>
  <c r="C99" i="1"/>
  <c r="CT78" i="2"/>
  <c r="D99" i="1"/>
  <c r="G132" i="1"/>
  <c r="E64" i="1"/>
  <c r="E128" i="1"/>
  <c r="C128" i="1"/>
  <c r="E98" i="1"/>
  <c r="D132" i="1"/>
  <c r="G126" i="1"/>
  <c r="G128" i="1"/>
  <c r="F128" i="1"/>
  <c r="G64" i="1"/>
  <c r="CW36" i="2"/>
  <c r="CV19" i="2"/>
  <c r="CV46" i="2"/>
  <c r="CW22" i="2"/>
  <c r="CV78" i="2"/>
  <c r="CW37" i="2"/>
  <c r="G119" i="1"/>
  <c r="CS8" i="2"/>
  <c r="CS65" i="2"/>
  <c r="CW8" i="2"/>
  <c r="CW34" i="2"/>
  <c r="CV15" i="2"/>
  <c r="CV65" i="2"/>
  <c r="CT8" i="2"/>
  <c r="G79" i="1"/>
  <c r="E62" i="1"/>
  <c r="G112" i="1"/>
  <c r="G118" i="1"/>
  <c r="F118" i="1"/>
  <c r="E119" i="1"/>
  <c r="F119" i="1"/>
  <c r="D112" i="1"/>
  <c r="CU8" i="2"/>
  <c r="CU46" i="2"/>
  <c r="C100" i="1"/>
  <c r="C62" i="1"/>
  <c r="F67" i="1"/>
  <c r="CS68" i="2"/>
  <c r="CU70" i="2"/>
  <c r="CT40" i="2"/>
  <c r="CV10" i="2"/>
  <c r="CV74" i="2"/>
  <c r="CT74" i="2"/>
  <c r="CT25" i="2"/>
  <c r="CW60" i="2"/>
  <c r="CU74" i="2"/>
  <c r="E109" i="1"/>
  <c r="D110" i="1"/>
  <c r="D81" i="1"/>
  <c r="G109" i="1"/>
  <c r="G78" i="1"/>
  <c r="F110" i="1"/>
  <c r="CU21" i="2"/>
  <c r="C127" i="1"/>
  <c r="CW55" i="2"/>
  <c r="E120" i="1"/>
  <c r="F106" i="1"/>
  <c r="C106" i="1"/>
  <c r="CU44" i="2"/>
  <c r="CU77" i="2"/>
  <c r="CU54" i="2"/>
  <c r="E81" i="1"/>
  <c r="C94" i="1"/>
  <c r="C81" i="1"/>
  <c r="D104" i="1"/>
  <c r="G90" i="1"/>
  <c r="G125" i="1"/>
  <c r="CS79" i="2"/>
  <c r="D131" i="1"/>
  <c r="CS27" i="2"/>
  <c r="CT10" i="2"/>
  <c r="CS45" i="2"/>
  <c r="CT45" i="2"/>
  <c r="CU20" i="2"/>
  <c r="CV40" i="2"/>
  <c r="CU36" i="2"/>
  <c r="CV73" i="2"/>
  <c r="CV51" i="2"/>
  <c r="CV9" i="2"/>
  <c r="G127" i="1"/>
  <c r="F125" i="1"/>
  <c r="E110" i="1"/>
  <c r="G75" i="1"/>
  <c r="CT73" i="2"/>
  <c r="CS21" i="2"/>
  <c r="C75" i="1"/>
  <c r="CT56" i="2"/>
  <c r="CV71" i="2"/>
  <c r="CU79" i="2"/>
  <c r="CW79" i="2"/>
  <c r="CW77" i="2"/>
  <c r="CW27" i="2"/>
  <c r="CS73" i="2"/>
  <c r="CT55" i="2"/>
  <c r="CS55" i="2"/>
  <c r="CS56" i="2"/>
  <c r="CW56" i="2"/>
  <c r="CU55" i="2"/>
  <c r="CU56" i="2"/>
  <c r="F81" i="1"/>
  <c r="C110" i="1"/>
  <c r="D133" i="1"/>
  <c r="C133" i="1"/>
  <c r="F133" i="1"/>
  <c r="E125" i="1"/>
  <c r="CW16" i="2"/>
  <c r="CT21" i="2"/>
  <c r="CT71" i="2"/>
  <c r="CV79" i="2"/>
  <c r="E133" i="1"/>
  <c r="CS77" i="2"/>
  <c r="CT27" i="2"/>
  <c r="CU73" i="2"/>
  <c r="C109" i="1"/>
  <c r="CV55" i="2"/>
  <c r="CV56" i="2"/>
  <c r="E75" i="1"/>
  <c r="CW42" i="2"/>
  <c r="CV34" i="2"/>
  <c r="CW73" i="2"/>
  <c r="G131" i="1"/>
  <c r="E127" i="1"/>
  <c r="F109" i="1"/>
  <c r="D127" i="1"/>
  <c r="G133" i="1"/>
  <c r="C131" i="1"/>
  <c r="F75" i="1"/>
  <c r="F131" i="1"/>
  <c r="D125" i="1"/>
  <c r="CW21" i="2"/>
  <c r="CV77" i="2"/>
  <c r="CW9" i="2"/>
  <c r="CV27" i="2"/>
  <c r="CU27" i="2"/>
  <c r="CU19" i="2"/>
  <c r="CW17" i="2"/>
  <c r="CS71" i="2"/>
  <c r="CW71" i="2"/>
  <c r="E112" i="1"/>
  <c r="D102" i="1"/>
  <c r="G71" i="1"/>
  <c r="G94" i="1"/>
  <c r="E90" i="1"/>
  <c r="F61" i="1"/>
  <c r="E73" i="1"/>
  <c r="C73" i="1"/>
  <c r="CS7" i="2"/>
  <c r="CU17" i="2"/>
  <c r="D71" i="1"/>
  <c r="CV48" i="2"/>
  <c r="CS54" i="2"/>
  <c r="D90" i="1"/>
  <c r="CT54" i="2"/>
  <c r="CV63" i="2"/>
  <c r="E94" i="1"/>
  <c r="D79" i="1"/>
  <c r="CW58" i="2"/>
  <c r="CW40" i="2"/>
  <c r="CV36" i="2"/>
  <c r="CV7" i="2"/>
  <c r="CW52" i="2"/>
  <c r="CS13" i="2"/>
  <c r="CW19" i="2"/>
  <c r="CS36" i="2"/>
  <c r="CS14" i="2"/>
  <c r="D108" i="1"/>
  <c r="C86" i="1"/>
  <c r="E79" i="1"/>
  <c r="C67" i="1"/>
  <c r="F90" i="1"/>
  <c r="G67" i="1"/>
  <c r="C112" i="1"/>
  <c r="F94" i="1"/>
  <c r="E117" i="1"/>
  <c r="F117" i="1"/>
  <c r="E71" i="1"/>
  <c r="D74" i="1"/>
  <c r="G106" i="1"/>
  <c r="E106" i="1"/>
  <c r="F71" i="1"/>
  <c r="F108" i="1"/>
  <c r="CS52" i="2"/>
  <c r="C61" i="1"/>
  <c r="CV17" i="2"/>
  <c r="CW63" i="2"/>
  <c r="CT52" i="2"/>
  <c r="C108" i="1"/>
  <c r="CT63" i="2"/>
  <c r="CV58" i="2"/>
  <c r="CU40" i="2"/>
  <c r="CT19" i="2"/>
  <c r="CU52" i="2"/>
  <c r="CS19" i="2"/>
  <c r="CS20" i="2"/>
  <c r="CW20" i="2"/>
  <c r="CV54" i="2"/>
  <c r="G108" i="1"/>
  <c r="F79" i="1"/>
  <c r="C117" i="1"/>
  <c r="G61" i="1"/>
  <c r="D61" i="1"/>
  <c r="E74" i="1"/>
  <c r="C71" i="1"/>
  <c r="G74" i="1"/>
  <c r="F74" i="1"/>
  <c r="G73" i="1"/>
  <c r="CS40" i="2"/>
  <c r="CT58" i="2"/>
  <c r="CT13" i="2"/>
  <c r="CW13" i="2"/>
  <c r="CU7" i="2"/>
  <c r="CT7" i="2"/>
  <c r="CS3" i="2"/>
  <c r="CS75" i="2"/>
  <c r="CV52" i="2"/>
  <c r="CT36" i="2"/>
  <c r="CS25" i="2"/>
  <c r="CT20" i="2"/>
  <c r="CU13" i="2"/>
  <c r="CS46" i="2"/>
  <c r="CS17" i="2"/>
  <c r="CU63" i="2"/>
  <c r="F88" i="1"/>
  <c r="C114" i="1"/>
  <c r="E88" i="1"/>
  <c r="F57" i="1"/>
  <c r="G101" i="1"/>
  <c r="CV47" i="2"/>
  <c r="D101" i="1"/>
  <c r="CU42" i="2"/>
  <c r="E96" i="1"/>
  <c r="CV16" i="2"/>
  <c r="CT60" i="2"/>
  <c r="CS34" i="2"/>
  <c r="CS29" i="2"/>
  <c r="CT68" i="2"/>
  <c r="E122" i="1"/>
  <c r="CT15" i="2"/>
  <c r="CT46" i="2"/>
  <c r="E100" i="1"/>
  <c r="E114" i="1"/>
  <c r="D122" i="1"/>
  <c r="G100" i="1"/>
  <c r="G96" i="1"/>
  <c r="F114" i="1"/>
  <c r="C122" i="1"/>
  <c r="D100" i="1"/>
  <c r="C101" i="1"/>
  <c r="F122" i="1"/>
  <c r="CW47" i="2"/>
  <c r="CS42" i="2"/>
  <c r="CU34" i="2"/>
  <c r="C83" i="1"/>
  <c r="CT47" i="2"/>
  <c r="CV68" i="2"/>
  <c r="CU15" i="2"/>
  <c r="CS15" i="2"/>
  <c r="CW46" i="2"/>
  <c r="CS60" i="2"/>
  <c r="E69" i="1"/>
  <c r="G69" i="1"/>
  <c r="C88" i="1"/>
  <c r="D96" i="1"/>
  <c r="F69" i="1"/>
  <c r="F96" i="1"/>
  <c r="C96" i="1"/>
  <c r="C69" i="1"/>
  <c r="F100" i="1"/>
  <c r="G122" i="1"/>
  <c r="G88" i="1"/>
  <c r="F101" i="1"/>
  <c r="CU26" i="2"/>
  <c r="CT34" i="2"/>
  <c r="CW15" i="2"/>
  <c r="CV25" i="2"/>
  <c r="CS58" i="2"/>
  <c r="CV69" i="2"/>
  <c r="CU30" i="2"/>
  <c r="CU60" i="2"/>
  <c r="CW4" i="2"/>
  <c r="CU58" i="2"/>
  <c r="CS24" i="2"/>
  <c r="CV20" i="2"/>
  <c r="CW66" i="2"/>
  <c r="D68" i="1"/>
  <c r="F98" i="1"/>
  <c r="G58" i="1"/>
  <c r="C120" i="1"/>
  <c r="E84" i="1"/>
  <c r="CW30" i="2"/>
  <c r="CW44" i="2"/>
  <c r="CS66" i="2"/>
  <c r="CV64" i="2"/>
  <c r="CW24" i="2"/>
  <c r="C58" i="1"/>
  <c r="CV70" i="2"/>
  <c r="CT64" i="2"/>
  <c r="CS44" i="2"/>
  <c r="CW3" i="2"/>
  <c r="CT4" i="2"/>
  <c r="F58" i="1"/>
  <c r="D98" i="1"/>
  <c r="D120" i="1"/>
  <c r="C98" i="1"/>
  <c r="D58" i="1"/>
  <c r="G84" i="1"/>
  <c r="E78" i="1"/>
  <c r="F78" i="1"/>
  <c r="CT30" i="2"/>
  <c r="CV66" i="2"/>
  <c r="CU66" i="2"/>
  <c r="CS64" i="2"/>
  <c r="C78" i="1"/>
  <c r="CV4" i="2"/>
  <c r="F120" i="1"/>
  <c r="F84" i="1"/>
  <c r="C84" i="1"/>
  <c r="E118" i="1"/>
  <c r="D78" i="1"/>
  <c r="CT66" i="2"/>
  <c r="CU64" i="2"/>
  <c r="CT24" i="2"/>
  <c r="CT41" i="2"/>
  <c r="CU4" i="2"/>
  <c r="CU75" i="2"/>
  <c r="CV44" i="2"/>
  <c r="CV13" i="2"/>
  <c r="CT44" i="2"/>
  <c r="CT9" i="2"/>
  <c r="CU69" i="2"/>
  <c r="G86" i="1"/>
  <c r="E86" i="1"/>
  <c r="D18" i="1"/>
  <c r="D63" i="1"/>
  <c r="G129" i="1"/>
  <c r="G123" i="1"/>
  <c r="F129" i="1"/>
  <c r="G68" i="1"/>
  <c r="CW69" i="2"/>
  <c r="CT69" i="2"/>
  <c r="CW75" i="2"/>
  <c r="CT75" i="2"/>
  <c r="CS41" i="2"/>
  <c r="CW41" i="2"/>
  <c r="CW14" i="2"/>
  <c r="CS9" i="2"/>
  <c r="G63" i="1"/>
  <c r="CT14" i="2"/>
  <c r="C68" i="1"/>
  <c r="E126" i="1"/>
  <c r="F95" i="1"/>
  <c r="CS69" i="2"/>
  <c r="C123" i="1"/>
  <c r="D129" i="1"/>
  <c r="CV41" i="2"/>
  <c r="CU14" i="2"/>
  <c r="CU9" i="2"/>
  <c r="CS70" i="2"/>
  <c r="CU41" i="2"/>
  <c r="CV75" i="2"/>
  <c r="CU16" i="2"/>
  <c r="CW29" i="2"/>
  <c r="E129" i="1"/>
  <c r="D126" i="1"/>
  <c r="C63" i="1"/>
  <c r="E63" i="1"/>
  <c r="F63" i="1"/>
  <c r="E123" i="1"/>
  <c r="E95" i="1"/>
  <c r="D123" i="1"/>
  <c r="G95" i="1"/>
  <c r="E70" i="1"/>
  <c r="E83" i="1"/>
  <c r="F80" i="1"/>
  <c r="G80" i="1"/>
  <c r="E57" i="1"/>
  <c r="G57" i="1"/>
  <c r="CT26" i="2"/>
  <c r="CS16" i="2"/>
  <c r="G70" i="1"/>
  <c r="CT29" i="2"/>
  <c r="CW48" i="2"/>
  <c r="CV3" i="2"/>
  <c r="CW72" i="2"/>
  <c r="D70" i="1"/>
  <c r="F70" i="1"/>
  <c r="E102" i="1"/>
  <c r="D80" i="1"/>
  <c r="D57" i="1"/>
  <c r="CS26" i="2"/>
  <c r="CT16" i="2"/>
  <c r="CU29" i="2"/>
  <c r="CT3" i="2"/>
  <c r="C57" i="1"/>
  <c r="CU3" i="2"/>
  <c r="G102" i="1"/>
  <c r="C102" i="1"/>
  <c r="F83" i="1"/>
  <c r="C80" i="1"/>
  <c r="D83" i="1"/>
  <c r="CV26" i="2"/>
  <c r="CV29" i="2"/>
  <c r="CU72" i="2"/>
  <c r="CS72" i="2"/>
  <c r="BR81" i="2"/>
  <c r="AS23" i="2"/>
  <c r="BS81" i="2"/>
  <c r="F14" i="1"/>
  <c r="CU24" i="2"/>
  <c r="BT81" i="2"/>
  <c r="G14" i="1"/>
  <c r="G21" i="1"/>
  <c r="CV72" i="2"/>
  <c r="CU25" i="2"/>
  <c r="C104" i="1"/>
  <c r="E124" i="1"/>
  <c r="D124" i="1"/>
  <c r="CT70" i="2"/>
  <c r="F124" i="1"/>
  <c r="G124" i="1"/>
  <c r="F121" i="1"/>
  <c r="BQ81" i="2"/>
  <c r="D14" i="1"/>
  <c r="G104" i="1"/>
  <c r="C124" i="1"/>
  <c r="CW50" i="2"/>
  <c r="CW26" i="2"/>
  <c r="CW70" i="2"/>
  <c r="CS48" i="2"/>
  <c r="CU48" i="2"/>
  <c r="CT72" i="2"/>
  <c r="C126" i="1"/>
  <c r="BP81" i="2"/>
  <c r="C14" i="1"/>
  <c r="CT48" i="2"/>
  <c r="F86" i="1"/>
  <c r="CU32" i="2"/>
  <c r="CS32" i="2"/>
  <c r="CT32" i="2"/>
  <c r="CV32" i="2"/>
  <c r="CW32" i="2"/>
  <c r="E104" i="1"/>
  <c r="CV50" i="2"/>
  <c r="CT50" i="2"/>
  <c r="CS50" i="2"/>
  <c r="CU50" i="2"/>
  <c r="D121" i="1"/>
  <c r="CW67" i="2"/>
  <c r="CS67" i="2"/>
  <c r="CV67" i="2"/>
  <c r="CU67" i="2"/>
  <c r="CT67" i="2"/>
  <c r="G121" i="1"/>
  <c r="E121" i="1"/>
  <c r="F18" i="1"/>
  <c r="AH22" i="6"/>
  <c r="AJ22" i="6"/>
  <c r="BD31" i="4"/>
  <c r="AK22" i="4"/>
  <c r="BB31" i="4"/>
  <c r="AI22" i="4"/>
  <c r="BC31" i="4"/>
  <c r="D16" i="1"/>
  <c r="BE31" i="4"/>
  <c r="F16" i="1"/>
  <c r="D259" i="1"/>
  <c r="C259" i="1"/>
  <c r="E259" i="1"/>
  <c r="E258" i="1"/>
  <c r="C258" i="1"/>
  <c r="D258" i="1"/>
  <c r="F258" i="1"/>
  <c r="F259" i="1"/>
  <c r="AT23" i="2"/>
  <c r="AQ23" i="2"/>
  <c r="AR23" i="2"/>
  <c r="AU23" i="2"/>
  <c r="E14" i="1"/>
  <c r="C16" i="1"/>
  <c r="CS81" i="2"/>
  <c r="CU81" i="2"/>
  <c r="CT81" i="2"/>
  <c r="CW81" i="2"/>
  <c r="CV81" i="2"/>
  <c r="E16" i="1"/>
  <c r="AL22" i="4"/>
  <c r="AJ22" i="4"/>
  <c r="BG13" i="3" a="1"/>
  <c r="BG13" i="3"/>
  <c r="BS13" i="3"/>
  <c r="AZ13" i="3"/>
  <c r="BG32" i="3" a="1"/>
  <c r="BG32" i="3"/>
  <c r="BS32" i="3"/>
  <c r="AZ32" i="3"/>
  <c r="BG88" i="3" a="1"/>
  <c r="BG88" i="3"/>
  <c r="BS88" i="3"/>
  <c r="AZ88" i="3"/>
  <c r="BG65" i="3" a="1"/>
  <c r="BG65" i="3"/>
  <c r="BS65" i="3"/>
  <c r="AZ65" i="3"/>
  <c r="BG106" i="3" a="1"/>
  <c r="BG106" i="3"/>
  <c r="BS106" i="3"/>
  <c r="AZ106" i="3"/>
  <c r="BG58" i="3" a="1"/>
  <c r="BG58" i="3"/>
  <c r="BS58" i="3"/>
  <c r="AZ58" i="3"/>
  <c r="BG12" i="3" a="1"/>
  <c r="BG12" i="3"/>
  <c r="BS12" i="3"/>
  <c r="AZ12" i="3"/>
  <c r="BG95" i="3" a="1"/>
  <c r="BG95" i="3"/>
  <c r="BS95" i="3"/>
  <c r="AZ95" i="3"/>
  <c r="BG43" i="3" a="1"/>
  <c r="BG43" i="3"/>
  <c r="BS43" i="3"/>
  <c r="AZ43" i="3"/>
  <c r="BG71" i="3" a="1"/>
  <c r="BG71" i="3"/>
  <c r="BS71" i="3"/>
  <c r="AZ71" i="3"/>
  <c r="BG105" i="3" a="1"/>
  <c r="BG105" i="3"/>
  <c r="BS105" i="3"/>
  <c r="AZ105" i="3"/>
  <c r="BG18" i="3" a="1"/>
  <c r="BG18" i="3"/>
  <c r="BS18" i="3"/>
  <c r="AZ18" i="3"/>
  <c r="BG60" i="3" a="1"/>
  <c r="BG60" i="3"/>
  <c r="BS60" i="3"/>
  <c r="AZ60" i="3"/>
  <c r="BG16" i="3" a="1"/>
  <c r="BG16" i="3"/>
  <c r="BS16" i="3"/>
  <c r="AZ16" i="3"/>
  <c r="BG84" i="3" a="1"/>
  <c r="BG84" i="3"/>
  <c r="BS84" i="3"/>
  <c r="AZ84" i="3"/>
  <c r="BG67" i="3" a="1"/>
  <c r="BG67" i="3"/>
  <c r="BS67" i="3"/>
  <c r="AZ67" i="3"/>
  <c r="BG26" i="3" a="1"/>
  <c r="BG26" i="3"/>
  <c r="BS26" i="3"/>
  <c r="AZ26" i="3"/>
  <c r="BG75" i="3" a="1"/>
  <c r="BG75" i="3"/>
  <c r="BS75" i="3"/>
  <c r="AZ75" i="3"/>
  <c r="BG122" i="3" a="1"/>
  <c r="BG122" i="3"/>
  <c r="BS122" i="3"/>
  <c r="AZ122" i="3"/>
  <c r="BG9" i="3" a="1"/>
  <c r="BG9" i="3"/>
  <c r="BS9" i="3"/>
  <c r="AZ9" i="3"/>
  <c r="BG54" i="3" a="1"/>
  <c r="BG54" i="3"/>
  <c r="BS54" i="3"/>
  <c r="AZ54" i="3"/>
  <c r="BG24" i="3" a="1"/>
  <c r="BG24" i="3"/>
  <c r="BS24" i="3"/>
  <c r="AZ24" i="3"/>
  <c r="BG114" i="3" a="1"/>
  <c r="BG114" i="3"/>
  <c r="BS114" i="3"/>
  <c r="AZ114" i="3"/>
  <c r="BL114" i="3"/>
  <c r="BG20" i="3" a="1"/>
  <c r="BG20" i="3"/>
  <c r="BS20" i="3"/>
  <c r="AZ20" i="3"/>
  <c r="BG10" i="3" a="1"/>
  <c r="BG10" i="3"/>
  <c r="BS10" i="3"/>
  <c r="AZ10" i="3"/>
  <c r="BG93" i="3" a="1"/>
  <c r="BG93" i="3"/>
  <c r="BS93" i="3"/>
  <c r="AZ93" i="3"/>
  <c r="BG38" i="3" a="1"/>
  <c r="BG38" i="3"/>
  <c r="BS38" i="3"/>
  <c r="AZ38" i="3"/>
  <c r="BG55" i="3" a="1"/>
  <c r="BG55" i="3"/>
  <c r="BS55" i="3"/>
  <c r="AZ55" i="3"/>
  <c r="BG11" i="3" a="1"/>
  <c r="BG11" i="3"/>
  <c r="BS11" i="3"/>
  <c r="AZ11" i="3"/>
  <c r="BG4" i="3" a="1"/>
  <c r="BG4" i="3"/>
  <c r="BS4" i="3"/>
  <c r="AZ4" i="3"/>
  <c r="BG25" i="3" a="1"/>
  <c r="BG25" i="3"/>
  <c r="BS25" i="3"/>
  <c r="AZ25" i="3"/>
  <c r="BL25" i="3"/>
  <c r="BG90" i="3" a="1"/>
  <c r="BG90" i="3"/>
  <c r="BS90" i="3"/>
  <c r="AZ90" i="3"/>
  <c r="BG8" i="3" a="1"/>
  <c r="BG8" i="3"/>
  <c r="BS8" i="3"/>
  <c r="AZ8" i="3"/>
  <c r="BG21" i="3" a="1"/>
  <c r="BG21" i="3"/>
  <c r="BS21" i="3"/>
  <c r="AZ21" i="3"/>
  <c r="BG22" i="3" a="1"/>
  <c r="BG22" i="3"/>
  <c r="BS22" i="3"/>
  <c r="AZ22" i="3"/>
  <c r="BG68" i="3" a="1"/>
  <c r="BG68" i="3"/>
  <c r="BS68" i="3"/>
  <c r="AZ68" i="3"/>
  <c r="BM68" i="3"/>
  <c r="BG85" i="3" a="1"/>
  <c r="BG85" i="3"/>
  <c r="BS85" i="3"/>
  <c r="AZ85" i="3"/>
  <c r="BG102" i="3" a="1"/>
  <c r="BG102" i="3"/>
  <c r="BS102" i="3"/>
  <c r="AZ102" i="3"/>
  <c r="BJ102" i="3"/>
  <c r="BG119" i="3" a="1"/>
  <c r="BG119" i="3"/>
  <c r="BS119" i="3"/>
  <c r="AZ119" i="3"/>
  <c r="BG34" i="3" a="1"/>
  <c r="BG34" i="3"/>
  <c r="BS34" i="3"/>
  <c r="AZ34" i="3"/>
  <c r="BG78" i="3" a="1"/>
  <c r="BG78" i="3"/>
  <c r="BS78" i="3"/>
  <c r="AZ78" i="3"/>
  <c r="BG63" i="3" a="1"/>
  <c r="BG63" i="3"/>
  <c r="BS63" i="3"/>
  <c r="AZ63" i="3"/>
  <c r="BG31" i="3" a="1"/>
  <c r="BG31" i="3"/>
  <c r="BS31" i="3"/>
  <c r="AZ31" i="3"/>
  <c r="BG17" i="3" a="1"/>
  <c r="BG17" i="3"/>
  <c r="BS17" i="3"/>
  <c r="AZ17" i="3"/>
  <c r="BG109" i="3" a="1"/>
  <c r="BG109" i="3"/>
  <c r="BS109" i="3"/>
  <c r="AZ109" i="3"/>
  <c r="BG6" i="3" a="1"/>
  <c r="BG6" i="3"/>
  <c r="BS6" i="3"/>
  <c r="AZ6" i="3"/>
  <c r="BG35" i="3" a="1"/>
  <c r="BG35" i="3"/>
  <c r="BS35" i="3"/>
  <c r="AZ35" i="3"/>
  <c r="BG83" i="3" a="1"/>
  <c r="BG83" i="3"/>
  <c r="BS83" i="3"/>
  <c r="AZ83" i="3"/>
  <c r="BG97" i="3" a="1"/>
  <c r="BG97" i="3"/>
  <c r="BS97" i="3"/>
  <c r="AZ97" i="3"/>
  <c r="BG107" i="3" a="1"/>
  <c r="BG107" i="3"/>
  <c r="BS107" i="3"/>
  <c r="AZ107" i="3"/>
  <c r="BG77" i="3" a="1"/>
  <c r="BG77" i="3"/>
  <c r="BS77" i="3"/>
  <c r="AZ77" i="3"/>
  <c r="BG89" i="3" a="1"/>
  <c r="BG89" i="3"/>
  <c r="BS89" i="3"/>
  <c r="AZ89" i="3"/>
  <c r="BG40" i="3" a="1"/>
  <c r="BG40" i="3"/>
  <c r="BS40" i="3"/>
  <c r="AZ40" i="3"/>
  <c r="BG120" i="3" a="1"/>
  <c r="BG120" i="3"/>
  <c r="BS120" i="3"/>
  <c r="AZ120" i="3"/>
  <c r="BG73" i="3" a="1"/>
  <c r="BG73" i="3"/>
  <c r="BS73" i="3"/>
  <c r="AZ73" i="3"/>
  <c r="BG5" i="3" a="1"/>
  <c r="BG5" i="3"/>
  <c r="BS5" i="3"/>
  <c r="AZ5" i="3"/>
  <c r="BG39" i="3" a="1"/>
  <c r="BG39" i="3"/>
  <c r="BS39" i="3"/>
  <c r="AZ39" i="3"/>
  <c r="BG42" i="3" a="1"/>
  <c r="BG42" i="3"/>
  <c r="BS42" i="3"/>
  <c r="AZ42" i="3"/>
  <c r="BG91" i="3" a="1"/>
  <c r="BG91" i="3"/>
  <c r="BS91" i="3"/>
  <c r="AZ91" i="3"/>
  <c r="BG117" i="3" a="1"/>
  <c r="BG117" i="3"/>
  <c r="BS117" i="3"/>
  <c r="AZ117" i="3"/>
  <c r="BG41" i="3" a="1"/>
  <c r="BG41" i="3"/>
  <c r="BS41" i="3"/>
  <c r="AZ41" i="3"/>
  <c r="BG29" i="3" a="1"/>
  <c r="BG29" i="3"/>
  <c r="BS29" i="3"/>
  <c r="AZ29" i="3"/>
  <c r="BG104" i="3" a="1"/>
  <c r="BG104" i="3"/>
  <c r="BS104" i="3"/>
  <c r="AZ104" i="3"/>
  <c r="BG80" i="3" a="1"/>
  <c r="BG80" i="3"/>
  <c r="BS80" i="3"/>
  <c r="AZ80" i="3"/>
  <c r="BG74" i="3" a="1"/>
  <c r="BG74" i="3"/>
  <c r="BS74" i="3"/>
  <c r="AZ74" i="3"/>
  <c r="BA74" i="3"/>
  <c r="BG76" i="3" a="1"/>
  <c r="BG76" i="3"/>
  <c r="BS76" i="3"/>
  <c r="AZ76" i="3"/>
  <c r="BG33" i="3" a="1"/>
  <c r="BG33" i="3"/>
  <c r="BS33" i="3"/>
  <c r="AZ33" i="3"/>
  <c r="BG116" i="3" a="1"/>
  <c r="BG116" i="3"/>
  <c r="BS116" i="3"/>
  <c r="AZ116" i="3"/>
  <c r="BG70" i="3" a="1"/>
  <c r="BG70" i="3"/>
  <c r="BS70" i="3"/>
  <c r="AZ70" i="3"/>
  <c r="BG49" i="3" a="1"/>
  <c r="BG49" i="3"/>
  <c r="BS49" i="3"/>
  <c r="AZ49" i="3"/>
  <c r="BG96" i="3" a="1"/>
  <c r="BG96" i="3"/>
  <c r="BS96" i="3"/>
  <c r="AZ96" i="3"/>
  <c r="BG79" i="3" a="1"/>
  <c r="BG79" i="3"/>
  <c r="BS79" i="3"/>
  <c r="AZ79" i="3"/>
  <c r="BG111" i="3" a="1"/>
  <c r="BG111" i="3"/>
  <c r="BS111" i="3"/>
  <c r="AZ111" i="3"/>
  <c r="BG100" i="3" a="1"/>
  <c r="BG100" i="3"/>
  <c r="BS100" i="3"/>
  <c r="AZ100" i="3"/>
  <c r="BG52" i="3" a="1"/>
  <c r="BG52" i="3"/>
  <c r="BS52" i="3"/>
  <c r="AZ52" i="3"/>
  <c r="BG46" i="3" a="1"/>
  <c r="BG46" i="3"/>
  <c r="BS46" i="3"/>
  <c r="AZ46" i="3"/>
  <c r="BG57" i="3" a="1"/>
  <c r="BG57" i="3"/>
  <c r="BS57" i="3"/>
  <c r="AZ57" i="3"/>
  <c r="BG59" i="3" a="1"/>
  <c r="BG59" i="3"/>
  <c r="BS59" i="3"/>
  <c r="AZ59" i="3"/>
  <c r="BG110" i="3" a="1"/>
  <c r="BG110" i="3"/>
  <c r="BS110" i="3"/>
  <c r="AZ110" i="3"/>
  <c r="BG51" i="3" a="1"/>
  <c r="BG51" i="3"/>
  <c r="BS51" i="3"/>
  <c r="AZ51" i="3"/>
  <c r="BG30" i="3" a="1"/>
  <c r="BG30" i="3"/>
  <c r="BS30" i="3"/>
  <c r="AZ30" i="3"/>
  <c r="BG112" i="3" a="1"/>
  <c r="BG112" i="3"/>
  <c r="BS112" i="3"/>
  <c r="AZ112" i="3"/>
  <c r="BG56" i="3" a="1"/>
  <c r="BG56" i="3"/>
  <c r="BS56" i="3"/>
  <c r="AZ56" i="3"/>
  <c r="BG23" i="3" a="1"/>
  <c r="BG23" i="3"/>
  <c r="BS23" i="3"/>
  <c r="AZ23" i="3"/>
  <c r="BG72" i="3" a="1"/>
  <c r="BG72" i="3"/>
  <c r="BS72" i="3"/>
  <c r="AZ72" i="3"/>
  <c r="BG47" i="3" a="1"/>
  <c r="BG47" i="3"/>
  <c r="BS47" i="3"/>
  <c r="AZ47" i="3"/>
  <c r="BG69" i="3" a="1"/>
  <c r="BG69" i="3"/>
  <c r="BS69" i="3"/>
  <c r="AZ69" i="3"/>
  <c r="BG7" i="3" a="1"/>
  <c r="BG7" i="3"/>
  <c r="BS7" i="3"/>
  <c r="AZ7" i="3"/>
  <c r="BG81" i="3" a="1"/>
  <c r="BG81" i="3"/>
  <c r="BS81" i="3"/>
  <c r="AZ81" i="3"/>
  <c r="BA81" i="3"/>
  <c r="BG118" i="3" a="1"/>
  <c r="BG118" i="3"/>
  <c r="BS118" i="3"/>
  <c r="AZ118" i="3"/>
  <c r="BG3" i="3" a="1"/>
  <c r="BG3" i="3"/>
  <c r="BS3" i="3"/>
  <c r="AZ3" i="3"/>
  <c r="BG82" i="3" a="1"/>
  <c r="BG82" i="3"/>
  <c r="BS82" i="3"/>
  <c r="AZ82" i="3"/>
  <c r="BG48" i="3" a="1"/>
  <c r="BG48" i="3"/>
  <c r="BS48" i="3"/>
  <c r="AZ48" i="3"/>
  <c r="BG44" i="3" a="1"/>
  <c r="BG44" i="3"/>
  <c r="BS44" i="3"/>
  <c r="AZ44" i="3"/>
  <c r="BG61" i="3" a="1"/>
  <c r="BG61" i="3"/>
  <c r="BS61" i="3"/>
  <c r="AZ61" i="3"/>
  <c r="BS15" i="3"/>
  <c r="AZ15" i="3"/>
  <c r="BG64" i="3" a="1"/>
  <c r="BG64" i="3"/>
  <c r="BS64" i="3"/>
  <c r="AZ64" i="3"/>
  <c r="BG36" i="3" a="1"/>
  <c r="BG36" i="3"/>
  <c r="BS36" i="3"/>
  <c r="AZ36" i="3"/>
  <c r="BG115" i="3" a="1"/>
  <c r="BG115" i="3"/>
  <c r="BS115" i="3"/>
  <c r="AZ115" i="3"/>
  <c r="BG98" i="3" a="1"/>
  <c r="BG98" i="3"/>
  <c r="BS98" i="3"/>
  <c r="AZ98" i="3"/>
  <c r="BG53" i="3" a="1"/>
  <c r="BG53" i="3"/>
  <c r="BS53" i="3"/>
  <c r="AZ53" i="3"/>
  <c r="BG28" i="3" a="1"/>
  <c r="BG28" i="3"/>
  <c r="BS28" i="3"/>
  <c r="AZ28" i="3"/>
  <c r="BG92" i="3" a="1"/>
  <c r="BG92" i="3"/>
  <c r="BS92" i="3"/>
  <c r="AZ92" i="3"/>
  <c r="BG50" i="3" a="1"/>
  <c r="BG50" i="3"/>
  <c r="BS50" i="3"/>
  <c r="AZ50" i="3"/>
  <c r="BG62" i="3" a="1"/>
  <c r="BG62" i="3"/>
  <c r="BS62" i="3"/>
  <c r="AZ62" i="3"/>
  <c r="BG19" i="3" a="1"/>
  <c r="BG19" i="3"/>
  <c r="BS19" i="3"/>
  <c r="AZ19" i="3"/>
  <c r="BG45" i="3" a="1"/>
  <c r="BG45" i="3"/>
  <c r="BS45" i="3"/>
  <c r="AZ45" i="3"/>
  <c r="BG2" i="3" a="1"/>
  <c r="BG2" i="3"/>
  <c r="BG103" i="3" a="1"/>
  <c r="BG103" i="3"/>
  <c r="BS103" i="3"/>
  <c r="AZ103" i="3"/>
  <c r="BG113" i="3" a="1"/>
  <c r="BG113" i="3"/>
  <c r="BS113" i="3"/>
  <c r="AZ113" i="3"/>
  <c r="BG87" i="3" a="1"/>
  <c r="BG87" i="3"/>
  <c r="BS87" i="3"/>
  <c r="AZ87" i="3"/>
  <c r="BG14" i="3" a="1"/>
  <c r="BG14" i="3"/>
  <c r="BS14" i="3"/>
  <c r="AZ14" i="3"/>
  <c r="BG121" i="3" a="1"/>
  <c r="BG121" i="3"/>
  <c r="BS121" i="3"/>
  <c r="AZ121" i="3"/>
  <c r="BG37" i="3" a="1"/>
  <c r="BG37" i="3"/>
  <c r="BS37" i="3"/>
  <c r="AZ37" i="3"/>
  <c r="BG101" i="3" a="1"/>
  <c r="BG101" i="3"/>
  <c r="BS101" i="3"/>
  <c r="AZ101" i="3"/>
  <c r="BG86" i="3" a="1"/>
  <c r="BG86" i="3"/>
  <c r="BS86" i="3"/>
  <c r="AZ86" i="3"/>
  <c r="BG94" i="3" a="1"/>
  <c r="BG94" i="3"/>
  <c r="BS94" i="3"/>
  <c r="AZ94" i="3"/>
  <c r="BG99" i="3" a="1"/>
  <c r="BG99" i="3"/>
  <c r="BS99" i="3"/>
  <c r="AZ99" i="3"/>
  <c r="BG108" i="3" a="1"/>
  <c r="BG108" i="3"/>
  <c r="BS108" i="3"/>
  <c r="AZ108" i="3"/>
  <c r="BG66" i="3" a="1"/>
  <c r="BG66" i="3"/>
  <c r="BS66" i="3"/>
  <c r="AZ66" i="3"/>
  <c r="BG27" i="3" a="1"/>
  <c r="BG27" i="3"/>
  <c r="BS27" i="3"/>
  <c r="AZ27" i="3"/>
  <c r="BS2" i="3"/>
  <c r="AZ2" i="3"/>
  <c r="AS69" i="3"/>
  <c r="BG124" i="3"/>
  <c r="AS79" i="3"/>
  <c r="AS74" i="3"/>
  <c r="AS72" i="3"/>
  <c r="AS76" i="3"/>
  <c r="AS71" i="3"/>
  <c r="AS70" i="3"/>
  <c r="BM102" i="3"/>
  <c r="BJ62" i="3"/>
  <c r="BM62" i="3"/>
  <c r="BL62" i="3"/>
  <c r="BA62" i="3"/>
  <c r="F194" i="1"/>
  <c r="BK62" i="3"/>
  <c r="BM7" i="3"/>
  <c r="BL7" i="3"/>
  <c r="BK7" i="3"/>
  <c r="BJ7" i="3"/>
  <c r="BA7" i="3"/>
  <c r="F139" i="1"/>
  <c r="BJ46" i="3"/>
  <c r="BK46" i="3"/>
  <c r="BL46" i="3"/>
  <c r="BM46" i="3"/>
  <c r="BA46" i="3"/>
  <c r="BM89" i="3"/>
  <c r="BK89" i="3"/>
  <c r="BL89" i="3"/>
  <c r="BJ89" i="3"/>
  <c r="BA89" i="3"/>
  <c r="F221" i="1"/>
  <c r="BM6" i="3"/>
  <c r="BJ6" i="3"/>
  <c r="BL6" i="3"/>
  <c r="BK6" i="3"/>
  <c r="BA6" i="3"/>
  <c r="F138" i="1"/>
  <c r="BK119" i="3"/>
  <c r="BJ119" i="3"/>
  <c r="BL119" i="3"/>
  <c r="BM119" i="3"/>
  <c r="BA119" i="3"/>
  <c r="F251" i="1"/>
  <c r="BK38" i="3"/>
  <c r="BJ38" i="3"/>
  <c r="BL38" i="3"/>
  <c r="BA38" i="3"/>
  <c r="F170" i="1"/>
  <c r="BM38" i="3"/>
  <c r="BJ13" i="3"/>
  <c r="BM13" i="3"/>
  <c r="BL13" i="3"/>
  <c r="BK13" i="3"/>
  <c r="BA13" i="3"/>
  <c r="BL27" i="3"/>
  <c r="BM27" i="3"/>
  <c r="BJ27" i="3"/>
  <c r="BK27" i="3"/>
  <c r="BA27" i="3"/>
  <c r="BL108" i="3"/>
  <c r="BM108" i="3"/>
  <c r="BJ108" i="3"/>
  <c r="BK108" i="3"/>
  <c r="BA108" i="3"/>
  <c r="BM86" i="3"/>
  <c r="BJ86" i="3"/>
  <c r="BA86" i="3"/>
  <c r="F218" i="1"/>
  <c r="BK86" i="3"/>
  <c r="BL86" i="3"/>
  <c r="BK87" i="3"/>
  <c r="BJ87" i="3"/>
  <c r="BL87" i="3"/>
  <c r="BM87" i="3"/>
  <c r="BA87" i="3"/>
  <c r="F219" i="1"/>
  <c r="BK50" i="3"/>
  <c r="BL50" i="3"/>
  <c r="BM50" i="3"/>
  <c r="BA50" i="3"/>
  <c r="BJ50" i="3"/>
  <c r="BL53" i="3"/>
  <c r="BJ53" i="3"/>
  <c r="BM53" i="3"/>
  <c r="BK53" i="3"/>
  <c r="BA53" i="3"/>
  <c r="F185" i="1"/>
  <c r="BK36" i="3"/>
  <c r="BM36" i="3"/>
  <c r="BJ36" i="3"/>
  <c r="BL36" i="3"/>
  <c r="BA36" i="3"/>
  <c r="F168" i="1"/>
  <c r="BM61" i="3"/>
  <c r="BJ61" i="3"/>
  <c r="BL61" i="3"/>
  <c r="BA61" i="3"/>
  <c r="F193" i="1"/>
  <c r="BK61" i="3"/>
  <c r="BM82" i="3"/>
  <c r="BJ82" i="3"/>
  <c r="BL82" i="3"/>
  <c r="BK82" i="3"/>
  <c r="BA82" i="3"/>
  <c r="F214" i="1"/>
  <c r="BK69" i="3"/>
  <c r="BJ69" i="3"/>
  <c r="BM69" i="3"/>
  <c r="BL69" i="3"/>
  <c r="BA69" i="3"/>
  <c r="F201" i="1"/>
  <c r="BK56" i="3"/>
  <c r="BL56" i="3"/>
  <c r="BM56" i="3"/>
  <c r="BJ56" i="3"/>
  <c r="BA56" i="3"/>
  <c r="BJ51" i="3"/>
  <c r="BM51" i="3"/>
  <c r="BL51" i="3"/>
  <c r="BK51" i="3"/>
  <c r="BA51" i="3"/>
  <c r="F183" i="1"/>
  <c r="BL52" i="3"/>
  <c r="BM52" i="3"/>
  <c r="BJ52" i="3"/>
  <c r="BK52" i="3"/>
  <c r="BA52" i="3"/>
  <c r="F184" i="1"/>
  <c r="BM49" i="3"/>
  <c r="BK49" i="3"/>
  <c r="BJ49" i="3"/>
  <c r="BL49" i="3"/>
  <c r="BA49" i="3"/>
  <c r="F181" i="1"/>
  <c r="BL33" i="3"/>
  <c r="BK33" i="3"/>
  <c r="BM33" i="3"/>
  <c r="BJ33" i="3"/>
  <c r="BA33" i="3"/>
  <c r="F165" i="1"/>
  <c r="BJ91" i="3"/>
  <c r="BM91" i="3"/>
  <c r="BK91" i="3"/>
  <c r="BL91" i="3"/>
  <c r="BA91" i="3"/>
  <c r="BM120" i="3"/>
  <c r="BJ120" i="3"/>
  <c r="BK120" i="3"/>
  <c r="BA120" i="3"/>
  <c r="F252" i="1"/>
  <c r="BL120" i="3"/>
  <c r="BJ77" i="3"/>
  <c r="BK77" i="3"/>
  <c r="BL77" i="3"/>
  <c r="BM77" i="3"/>
  <c r="BA77" i="3"/>
  <c r="BJ83" i="3"/>
  <c r="BM83" i="3"/>
  <c r="BK83" i="3"/>
  <c r="BL83" i="3"/>
  <c r="BA83" i="3"/>
  <c r="BL16" i="3"/>
  <c r="BJ16" i="3"/>
  <c r="BM16" i="3"/>
  <c r="BA16" i="3"/>
  <c r="F148" i="1"/>
  <c r="BK16" i="3"/>
  <c r="BJ37" i="3"/>
  <c r="BK37" i="3"/>
  <c r="BM37" i="3"/>
  <c r="BA37" i="3"/>
  <c r="F169" i="1"/>
  <c r="BL37" i="3"/>
  <c r="BK115" i="3"/>
  <c r="BL115" i="3"/>
  <c r="BJ115" i="3"/>
  <c r="BM115" i="3"/>
  <c r="BA115" i="3"/>
  <c r="BM23" i="3"/>
  <c r="BK23" i="3"/>
  <c r="BJ23" i="3"/>
  <c r="BL23" i="3"/>
  <c r="BA23" i="3"/>
  <c r="BM29" i="3"/>
  <c r="BJ29" i="3"/>
  <c r="BL29" i="3"/>
  <c r="BK29" i="3"/>
  <c r="BA29" i="3"/>
  <c r="BJ97" i="3"/>
  <c r="BL97" i="3"/>
  <c r="BK97" i="3"/>
  <c r="BM97" i="3"/>
  <c r="BA97" i="3"/>
  <c r="F229" i="1"/>
  <c r="BA99" i="3"/>
  <c r="BJ99" i="3"/>
  <c r="BK99" i="3"/>
  <c r="BL99" i="3"/>
  <c r="BM99" i="3"/>
  <c r="BK113" i="3"/>
  <c r="BL113" i="3"/>
  <c r="BA113" i="3"/>
  <c r="BM113" i="3"/>
  <c r="BJ113" i="3"/>
  <c r="BJ92" i="3"/>
  <c r="BM92" i="3"/>
  <c r="BK92" i="3"/>
  <c r="BL92" i="3"/>
  <c r="BA92" i="3"/>
  <c r="F224" i="1"/>
  <c r="BJ64" i="3"/>
  <c r="BL64" i="3"/>
  <c r="BA64" i="3"/>
  <c r="BM64" i="3"/>
  <c r="BK64" i="3"/>
  <c r="BL44" i="3"/>
  <c r="BM44" i="3"/>
  <c r="BJ44" i="3"/>
  <c r="BA44" i="3"/>
  <c r="F176" i="1"/>
  <c r="BK44" i="3"/>
  <c r="BK47" i="3"/>
  <c r="BJ47" i="3"/>
  <c r="BM47" i="3"/>
  <c r="BL47" i="3"/>
  <c r="BA47" i="3"/>
  <c r="F179" i="1"/>
  <c r="BL100" i="3"/>
  <c r="BM100" i="3"/>
  <c r="BJ100" i="3"/>
  <c r="BK100" i="3"/>
  <c r="BA100" i="3"/>
  <c r="BL79" i="3"/>
  <c r="BJ79" i="3"/>
  <c r="BM79" i="3"/>
  <c r="BK79" i="3"/>
  <c r="BA79" i="3"/>
  <c r="F211" i="1"/>
  <c r="BL70" i="3"/>
  <c r="BJ70" i="3"/>
  <c r="BM70" i="3"/>
  <c r="BK70" i="3"/>
  <c r="BA70" i="3"/>
  <c r="BL76" i="3"/>
  <c r="BM76" i="3"/>
  <c r="BK76" i="3"/>
  <c r="BJ76" i="3"/>
  <c r="BA76" i="3"/>
  <c r="BM80" i="3"/>
  <c r="BJ80" i="3"/>
  <c r="BK80" i="3"/>
  <c r="BL80" i="3"/>
  <c r="BA80" i="3"/>
  <c r="BL41" i="3"/>
  <c r="BJ41" i="3"/>
  <c r="BM41" i="3"/>
  <c r="BK41" i="3"/>
  <c r="BA41" i="3"/>
  <c r="F173" i="1"/>
  <c r="BL5" i="3"/>
  <c r="BK5" i="3"/>
  <c r="BJ5" i="3"/>
  <c r="BM5" i="3"/>
  <c r="BA5" i="3"/>
  <c r="BM40" i="3"/>
  <c r="BK40" i="3"/>
  <c r="BL40" i="3"/>
  <c r="BJ40" i="3"/>
  <c r="BA40" i="3"/>
  <c r="F172" i="1"/>
  <c r="BK35" i="3"/>
  <c r="BJ35" i="3"/>
  <c r="BL35" i="3"/>
  <c r="BM35" i="3"/>
  <c r="BA35" i="3"/>
  <c r="BJ109" i="3"/>
  <c r="BL109" i="3"/>
  <c r="BM109" i="3"/>
  <c r="BK109" i="3"/>
  <c r="BA109" i="3"/>
  <c r="D213" i="1"/>
  <c r="E213" i="1"/>
  <c r="C213" i="1"/>
  <c r="BK71" i="3"/>
  <c r="BL71" i="3"/>
  <c r="BM71" i="3"/>
  <c r="BJ71" i="3"/>
  <c r="BA71" i="3"/>
  <c r="F203" i="1"/>
  <c r="BJ106" i="3"/>
  <c r="BM106" i="3"/>
  <c r="BK106" i="3"/>
  <c r="BL106" i="3"/>
  <c r="BA106" i="3"/>
  <c r="F238" i="1"/>
  <c r="BM94" i="3"/>
  <c r="BJ94" i="3"/>
  <c r="BA94" i="3"/>
  <c r="BL94" i="3"/>
  <c r="BK94" i="3"/>
  <c r="BA2" i="3"/>
  <c r="BK2" i="3"/>
  <c r="AZ124" i="3"/>
  <c r="AS21" i="3"/>
  <c r="BJ2" i="3"/>
  <c r="BM2" i="3"/>
  <c r="BL2" i="3"/>
  <c r="BJ118" i="3"/>
  <c r="BM118" i="3"/>
  <c r="BL118" i="3"/>
  <c r="BK118" i="3"/>
  <c r="BA118" i="3"/>
  <c r="BK30" i="3"/>
  <c r="BL30" i="3"/>
  <c r="BM30" i="3"/>
  <c r="BJ30" i="3"/>
  <c r="BA30" i="3"/>
  <c r="F162" i="1"/>
  <c r="BJ117" i="3"/>
  <c r="BM117" i="3"/>
  <c r="BL117" i="3"/>
  <c r="BK117" i="3"/>
  <c r="BA117" i="3"/>
  <c r="F249" i="1"/>
  <c r="BL39" i="3"/>
  <c r="BJ39" i="3"/>
  <c r="BK39" i="3"/>
  <c r="BA39" i="3"/>
  <c r="F171" i="1"/>
  <c r="BM39" i="3"/>
  <c r="BJ31" i="3"/>
  <c r="BL31" i="3"/>
  <c r="BK31" i="3"/>
  <c r="BA31" i="3"/>
  <c r="F163" i="1"/>
  <c r="BM31" i="3"/>
  <c r="BL101" i="3"/>
  <c r="BK101" i="3"/>
  <c r="BM101" i="3"/>
  <c r="BJ101" i="3"/>
  <c r="BA101" i="3"/>
  <c r="F233" i="1"/>
  <c r="BJ121" i="3"/>
  <c r="BL121" i="3"/>
  <c r="BK121" i="3"/>
  <c r="BM121" i="3"/>
  <c r="BA121" i="3"/>
  <c r="BL45" i="3"/>
  <c r="BK45" i="3"/>
  <c r="BM45" i="3"/>
  <c r="BJ45" i="3"/>
  <c r="BA45" i="3"/>
  <c r="F177" i="1"/>
  <c r="BL14" i="3"/>
  <c r="BJ14" i="3"/>
  <c r="BK14" i="3"/>
  <c r="BM14" i="3"/>
  <c r="BA14" i="3"/>
  <c r="BL103" i="3"/>
  <c r="BK103" i="3"/>
  <c r="BJ103" i="3"/>
  <c r="BM103" i="3"/>
  <c r="BA103" i="3"/>
  <c r="F235" i="1"/>
  <c r="BK19" i="3"/>
  <c r="BL19" i="3"/>
  <c r="BJ19" i="3"/>
  <c r="BA19" i="3"/>
  <c r="BM19" i="3"/>
  <c r="BK28" i="3"/>
  <c r="BL28" i="3"/>
  <c r="BJ28" i="3"/>
  <c r="BM28" i="3"/>
  <c r="BA28" i="3"/>
  <c r="BM98" i="3"/>
  <c r="BK98" i="3"/>
  <c r="BL98" i="3"/>
  <c r="BJ98" i="3"/>
  <c r="BA98" i="3"/>
  <c r="F230" i="1"/>
  <c r="BM15" i="3"/>
  <c r="BJ15" i="3"/>
  <c r="BL15" i="3"/>
  <c r="BK15" i="3"/>
  <c r="BA15" i="3"/>
  <c r="BM48" i="3"/>
  <c r="BK48" i="3"/>
  <c r="BJ48" i="3"/>
  <c r="BL48" i="3"/>
  <c r="BA48" i="3"/>
  <c r="BM3" i="3"/>
  <c r="BK3" i="3"/>
  <c r="BL3" i="3"/>
  <c r="BJ3" i="3"/>
  <c r="BA3" i="3"/>
  <c r="BK72" i="3"/>
  <c r="BM72" i="3"/>
  <c r="BJ72" i="3"/>
  <c r="BL72" i="3"/>
  <c r="BA72" i="3"/>
  <c r="BK112" i="3"/>
  <c r="BL112" i="3"/>
  <c r="BJ112" i="3"/>
  <c r="BM112" i="3"/>
  <c r="BA112" i="3"/>
  <c r="F244" i="1"/>
  <c r="BM57" i="3"/>
  <c r="BL57" i="3"/>
  <c r="BK57" i="3"/>
  <c r="BJ57" i="3"/>
  <c r="BA57" i="3"/>
  <c r="F189" i="1"/>
  <c r="BM96" i="3"/>
  <c r="BK96" i="3"/>
  <c r="BL96" i="3"/>
  <c r="BJ96" i="3"/>
  <c r="BA96" i="3"/>
  <c r="F228" i="1"/>
  <c r="BK116" i="3"/>
  <c r="BM116" i="3"/>
  <c r="BL116" i="3"/>
  <c r="BJ116" i="3"/>
  <c r="BA116" i="3"/>
  <c r="BK104" i="3"/>
  <c r="BJ104" i="3"/>
  <c r="BM104" i="3"/>
  <c r="BL104" i="3"/>
  <c r="BA104" i="3"/>
  <c r="BM42" i="3"/>
  <c r="BL42" i="3"/>
  <c r="BJ42" i="3"/>
  <c r="BK42" i="3"/>
  <c r="BA42" i="3"/>
  <c r="BJ73" i="3"/>
  <c r="BL73" i="3"/>
  <c r="BM73" i="3"/>
  <c r="BK73" i="3"/>
  <c r="BA73" i="3"/>
  <c r="BJ107" i="3"/>
  <c r="BL107" i="3"/>
  <c r="BK107" i="3"/>
  <c r="BM107" i="3"/>
  <c r="BA107" i="3"/>
  <c r="F239" i="1"/>
  <c r="BK17" i="3"/>
  <c r="BM17" i="3"/>
  <c r="BL17" i="3"/>
  <c r="BJ17" i="3"/>
  <c r="BA17" i="3"/>
  <c r="BJ85" i="3"/>
  <c r="BM85" i="3"/>
  <c r="BL85" i="3"/>
  <c r="BK85" i="3"/>
  <c r="BA85" i="3"/>
  <c r="BJ66" i="3"/>
  <c r="BL66" i="3"/>
  <c r="BK66" i="3"/>
  <c r="BK63" i="3"/>
  <c r="BM63" i="3"/>
  <c r="BJ63" i="3"/>
  <c r="BA63" i="3"/>
  <c r="F195" i="1"/>
  <c r="BL63" i="3"/>
  <c r="BK90" i="3"/>
  <c r="BJ90" i="3"/>
  <c r="BM90" i="3"/>
  <c r="BL90" i="3"/>
  <c r="BL110" i="3"/>
  <c r="BM110" i="3"/>
  <c r="BK110" i="3"/>
  <c r="BJ110" i="3"/>
  <c r="BA110" i="3"/>
  <c r="F242" i="1"/>
  <c r="BM20" i="3"/>
  <c r="BL20" i="3"/>
  <c r="BJ20" i="3"/>
  <c r="BK20" i="3"/>
  <c r="BA20" i="3"/>
  <c r="F152" i="1"/>
  <c r="BL24" i="3"/>
  <c r="BK24" i="3"/>
  <c r="BJ24" i="3"/>
  <c r="BM24" i="3"/>
  <c r="BA24" i="3"/>
  <c r="F156" i="1"/>
  <c r="BL122" i="3"/>
  <c r="BM122" i="3"/>
  <c r="BJ122" i="3"/>
  <c r="BK122" i="3"/>
  <c r="BA122" i="3"/>
  <c r="F254" i="1"/>
  <c r="BJ26" i="3"/>
  <c r="BM26" i="3"/>
  <c r="BL26" i="3"/>
  <c r="BA26" i="3"/>
  <c r="BK84" i="3"/>
  <c r="BL84" i="3"/>
  <c r="BJ84" i="3"/>
  <c r="BM84" i="3"/>
  <c r="BA84" i="3"/>
  <c r="F216" i="1"/>
  <c r="BJ43" i="3"/>
  <c r="BM43" i="3"/>
  <c r="BK43" i="3"/>
  <c r="BL43" i="3"/>
  <c r="BA43" i="3"/>
  <c r="BK58" i="3"/>
  <c r="BL58" i="3"/>
  <c r="BM58" i="3"/>
  <c r="BJ58" i="3"/>
  <c r="BM88" i="3"/>
  <c r="BJ88" i="3"/>
  <c r="BL88" i="3"/>
  <c r="BA88" i="3"/>
  <c r="D206" i="1"/>
  <c r="E206" i="1"/>
  <c r="C206" i="1"/>
  <c r="BA90" i="3"/>
  <c r="F222" i="1"/>
  <c r="BK88" i="3"/>
  <c r="BK78" i="3"/>
  <c r="BL78" i="3"/>
  <c r="BJ78" i="3"/>
  <c r="BM78" i="3"/>
  <c r="BM21" i="3"/>
  <c r="BL21" i="3"/>
  <c r="BK21" i="3"/>
  <c r="BJ21" i="3"/>
  <c r="BA21" i="3"/>
  <c r="BL55" i="3"/>
  <c r="BJ55" i="3"/>
  <c r="BM55" i="3"/>
  <c r="BA55" i="3"/>
  <c r="BK55" i="3"/>
  <c r="BL93" i="3"/>
  <c r="BJ93" i="3"/>
  <c r="BM93" i="3"/>
  <c r="BK93" i="3"/>
  <c r="BL18" i="3"/>
  <c r="BM18" i="3"/>
  <c r="BJ18" i="3"/>
  <c r="BK18" i="3"/>
  <c r="BA18" i="3"/>
  <c r="BM12" i="3"/>
  <c r="BJ12" i="3"/>
  <c r="BK12" i="3"/>
  <c r="BL12" i="3"/>
  <c r="BA12" i="3"/>
  <c r="F144" i="1"/>
  <c r="BM32" i="3"/>
  <c r="BJ32" i="3"/>
  <c r="BL32" i="3"/>
  <c r="BA32" i="3"/>
  <c r="BK32" i="3"/>
  <c r="BK26" i="3"/>
  <c r="BL59" i="3"/>
  <c r="BK59" i="3"/>
  <c r="BJ59" i="3"/>
  <c r="BM59" i="3"/>
  <c r="BA59" i="3"/>
  <c r="F191" i="1"/>
  <c r="BK111" i="3"/>
  <c r="BJ111" i="3"/>
  <c r="BL111" i="3"/>
  <c r="BA111" i="3"/>
  <c r="F243" i="1"/>
  <c r="BJ81" i="3"/>
  <c r="BL81" i="3"/>
  <c r="BK81" i="3"/>
  <c r="BM81" i="3"/>
  <c r="F213" i="1"/>
  <c r="BL4" i="3"/>
  <c r="BM4" i="3"/>
  <c r="BJ4" i="3"/>
  <c r="BK4" i="3"/>
  <c r="BA4" i="3"/>
  <c r="F136" i="1"/>
  <c r="BK74" i="3"/>
  <c r="BM74" i="3"/>
  <c r="F206" i="1"/>
  <c r="BL74" i="3"/>
  <c r="BJ74" i="3"/>
  <c r="BA66" i="3"/>
  <c r="BL8" i="3"/>
  <c r="BM8" i="3"/>
  <c r="BJ8" i="3"/>
  <c r="BA8" i="3"/>
  <c r="F140" i="1"/>
  <c r="BK8" i="3"/>
  <c r="BM25" i="3"/>
  <c r="BK25" i="3"/>
  <c r="BA25" i="3"/>
  <c r="F157" i="1"/>
  <c r="BJ25" i="3"/>
  <c r="BJ11" i="3"/>
  <c r="BM11" i="3"/>
  <c r="BL11" i="3"/>
  <c r="BK11" i="3"/>
  <c r="BA11" i="3"/>
  <c r="BK114" i="3"/>
  <c r="BM114" i="3"/>
  <c r="BJ114" i="3"/>
  <c r="BA114" i="3"/>
  <c r="BJ54" i="3"/>
  <c r="BM54" i="3"/>
  <c r="BK54" i="3"/>
  <c r="BL54" i="3"/>
  <c r="BK75" i="3"/>
  <c r="BM75" i="3"/>
  <c r="BL75" i="3"/>
  <c r="BA75" i="3"/>
  <c r="F207" i="1"/>
  <c r="BJ75" i="3"/>
  <c r="BJ67" i="3"/>
  <c r="BM67" i="3"/>
  <c r="BK67" i="3"/>
  <c r="BL67" i="3"/>
  <c r="BA67" i="3"/>
  <c r="F199" i="1"/>
  <c r="BL60" i="3"/>
  <c r="BK60" i="3"/>
  <c r="BA60" i="3"/>
  <c r="F192" i="1"/>
  <c r="BM60" i="3"/>
  <c r="BA58" i="3"/>
  <c r="BK65" i="3"/>
  <c r="BL65" i="3"/>
  <c r="BM65" i="3"/>
  <c r="BJ65" i="3"/>
  <c r="BA65" i="3"/>
  <c r="BA78" i="3"/>
  <c r="BA93" i="3"/>
  <c r="BA54" i="3"/>
  <c r="F186" i="1"/>
  <c r="BM66" i="3"/>
  <c r="BJ60" i="3"/>
  <c r="BJ22" i="3"/>
  <c r="BL22" i="3"/>
  <c r="BM22" i="3"/>
  <c r="BA22" i="3"/>
  <c r="F154" i="1"/>
  <c r="BJ34" i="3"/>
  <c r="BL34" i="3"/>
  <c r="BM34" i="3"/>
  <c r="BK34" i="3"/>
  <c r="BA34" i="3"/>
  <c r="F166" i="1"/>
  <c r="BL102" i="3"/>
  <c r="BK102" i="3"/>
  <c r="BA102" i="3"/>
  <c r="F234" i="1"/>
  <c r="BL68" i="3"/>
  <c r="BK68" i="3"/>
  <c r="BJ68" i="3"/>
  <c r="BA68" i="3"/>
  <c r="F200" i="1"/>
  <c r="BL10" i="3"/>
  <c r="BM10" i="3"/>
  <c r="BK10" i="3"/>
  <c r="BJ10" i="3"/>
  <c r="BA10" i="3"/>
  <c r="F142" i="1"/>
  <c r="BL9" i="3"/>
  <c r="BK9" i="3"/>
  <c r="BJ9" i="3"/>
  <c r="BM9" i="3"/>
  <c r="BA9" i="3"/>
  <c r="BM105" i="3"/>
  <c r="BK105" i="3"/>
  <c r="BJ105" i="3"/>
  <c r="BL105" i="3"/>
  <c r="BA105" i="3"/>
  <c r="BJ95" i="3"/>
  <c r="BL95" i="3"/>
  <c r="BK95" i="3"/>
  <c r="BM95" i="3"/>
  <c r="BA95" i="3"/>
  <c r="BK22" i="3"/>
  <c r="BM111" i="3"/>
  <c r="AS67" i="3"/>
  <c r="AS68" i="3"/>
  <c r="AS77" i="3"/>
  <c r="AS75" i="3"/>
  <c r="AS73" i="3"/>
  <c r="AP91" i="3"/>
  <c r="AP87" i="3"/>
  <c r="AP96" i="3"/>
  <c r="AP84" i="3"/>
  <c r="AP94" i="3"/>
  <c r="AP90" i="3"/>
  <c r="AP86" i="3"/>
  <c r="AP88" i="3"/>
  <c r="AP93" i="3"/>
  <c r="AP89" i="3"/>
  <c r="AP85" i="3"/>
  <c r="AP92" i="3"/>
  <c r="AS86" i="3"/>
  <c r="AS90" i="3"/>
  <c r="AS94" i="3"/>
  <c r="AS85" i="3"/>
  <c r="AS89" i="3"/>
  <c r="AS93" i="3"/>
  <c r="AS96" i="3"/>
  <c r="AS84" i="3"/>
  <c r="AS88" i="3"/>
  <c r="AS92" i="3"/>
  <c r="AS87" i="3"/>
  <c r="AS91" i="3"/>
  <c r="AR85" i="3"/>
  <c r="AR89" i="3"/>
  <c r="AR93" i="3"/>
  <c r="AR86" i="3"/>
  <c r="AR90" i="3"/>
  <c r="AR94" i="3"/>
  <c r="AR96" i="3"/>
  <c r="AR84" i="3"/>
  <c r="AR88" i="3"/>
  <c r="AR92" i="3"/>
  <c r="AR87" i="3"/>
  <c r="AR91" i="3"/>
  <c r="AQ96" i="3"/>
  <c r="AQ84" i="3"/>
  <c r="AQ88" i="3"/>
  <c r="AQ92" i="3"/>
  <c r="AQ87" i="3"/>
  <c r="AQ91" i="3"/>
  <c r="AQ85" i="3"/>
  <c r="AQ89" i="3"/>
  <c r="AQ93" i="3"/>
  <c r="AQ86" i="3"/>
  <c r="AQ90" i="3"/>
  <c r="AQ94" i="3"/>
  <c r="C198" i="1"/>
  <c r="E198" i="1"/>
  <c r="D198" i="1"/>
  <c r="E158" i="1"/>
  <c r="D158" i="1"/>
  <c r="C158" i="1"/>
  <c r="D217" i="1"/>
  <c r="C217" i="1"/>
  <c r="E217" i="1"/>
  <c r="C248" i="1"/>
  <c r="D248" i="1"/>
  <c r="E248" i="1"/>
  <c r="D180" i="1"/>
  <c r="C180" i="1"/>
  <c r="E180" i="1"/>
  <c r="C146" i="1"/>
  <c r="E146" i="1"/>
  <c r="D146" i="1"/>
  <c r="E253" i="1"/>
  <c r="C253" i="1"/>
  <c r="D253" i="1"/>
  <c r="C250" i="1"/>
  <c r="D250" i="1"/>
  <c r="E250" i="1"/>
  <c r="E134" i="1"/>
  <c r="D134" i="1"/>
  <c r="C134" i="1"/>
  <c r="E137" i="1"/>
  <c r="D137" i="1"/>
  <c r="C137" i="1"/>
  <c r="D212" i="1"/>
  <c r="C212" i="1"/>
  <c r="E212" i="1"/>
  <c r="E232" i="1"/>
  <c r="C232" i="1"/>
  <c r="D232" i="1"/>
  <c r="C231" i="1"/>
  <c r="E231" i="1"/>
  <c r="D231" i="1"/>
  <c r="C161" i="1"/>
  <c r="E161" i="1"/>
  <c r="D161" i="1"/>
  <c r="E247" i="1"/>
  <c r="D247" i="1"/>
  <c r="C247" i="1"/>
  <c r="E223" i="1"/>
  <c r="C223" i="1"/>
  <c r="D223" i="1"/>
  <c r="E240" i="1"/>
  <c r="D240" i="1"/>
  <c r="C240" i="1"/>
  <c r="E166" i="1"/>
  <c r="C166" i="1"/>
  <c r="D166" i="1"/>
  <c r="D210" i="1"/>
  <c r="E210" i="1"/>
  <c r="C210" i="1"/>
  <c r="C207" i="1"/>
  <c r="E207" i="1"/>
  <c r="D207" i="1"/>
  <c r="C243" i="1"/>
  <c r="D243" i="1"/>
  <c r="E243" i="1"/>
  <c r="E150" i="1"/>
  <c r="C150" i="1"/>
  <c r="D150" i="1"/>
  <c r="D187" i="1"/>
  <c r="E187" i="1"/>
  <c r="C187" i="1"/>
  <c r="F210" i="1"/>
  <c r="C175" i="1"/>
  <c r="D175" i="1"/>
  <c r="E175" i="1"/>
  <c r="F175" i="1"/>
  <c r="C152" i="1"/>
  <c r="D152" i="1"/>
  <c r="E152" i="1"/>
  <c r="C230" i="1"/>
  <c r="E230" i="1"/>
  <c r="D230" i="1"/>
  <c r="D151" i="1"/>
  <c r="C151" i="1"/>
  <c r="E151" i="1"/>
  <c r="F151" i="1"/>
  <c r="E203" i="1"/>
  <c r="C203" i="1"/>
  <c r="D203" i="1"/>
  <c r="E176" i="1"/>
  <c r="C176" i="1"/>
  <c r="D176" i="1"/>
  <c r="F231" i="1"/>
  <c r="C148" i="1"/>
  <c r="D148" i="1"/>
  <c r="E148" i="1"/>
  <c r="F223" i="1"/>
  <c r="C193" i="1"/>
  <c r="E193" i="1"/>
  <c r="D193" i="1"/>
  <c r="F240" i="1"/>
  <c r="E251" i="1"/>
  <c r="C251" i="1"/>
  <c r="D251" i="1"/>
  <c r="E227" i="1"/>
  <c r="D227" i="1"/>
  <c r="C227" i="1"/>
  <c r="E141" i="1"/>
  <c r="C141" i="1"/>
  <c r="D141" i="1"/>
  <c r="E200" i="1"/>
  <c r="D200" i="1"/>
  <c r="C200" i="1"/>
  <c r="C190" i="1"/>
  <c r="E190" i="1"/>
  <c r="D190" i="1"/>
  <c r="E143" i="1"/>
  <c r="C143" i="1"/>
  <c r="D143" i="1"/>
  <c r="C239" i="1"/>
  <c r="E239" i="1"/>
  <c r="D239" i="1"/>
  <c r="E174" i="1"/>
  <c r="C174" i="1"/>
  <c r="D174" i="1"/>
  <c r="D189" i="1"/>
  <c r="C189" i="1"/>
  <c r="E189" i="1"/>
  <c r="D204" i="1"/>
  <c r="C204" i="1"/>
  <c r="E204" i="1"/>
  <c r="C226" i="1"/>
  <c r="D226" i="1"/>
  <c r="E226" i="1"/>
  <c r="E167" i="1"/>
  <c r="D167" i="1"/>
  <c r="C167" i="1"/>
  <c r="F212" i="1"/>
  <c r="D202" i="1"/>
  <c r="E202" i="1"/>
  <c r="C202" i="1"/>
  <c r="C196" i="1"/>
  <c r="E196" i="1"/>
  <c r="D196" i="1"/>
  <c r="D245" i="1"/>
  <c r="C245" i="1"/>
  <c r="E245" i="1"/>
  <c r="F247" i="1"/>
  <c r="D209" i="1"/>
  <c r="C209" i="1"/>
  <c r="E209" i="1"/>
  <c r="E181" i="1"/>
  <c r="D181" i="1"/>
  <c r="C181" i="1"/>
  <c r="D201" i="1"/>
  <c r="C201" i="1"/>
  <c r="E201" i="1"/>
  <c r="E218" i="1"/>
  <c r="D218" i="1"/>
  <c r="C218" i="1"/>
  <c r="D139" i="1"/>
  <c r="C139" i="1"/>
  <c r="E139" i="1"/>
  <c r="D234" i="1"/>
  <c r="C234" i="1"/>
  <c r="E234" i="1"/>
  <c r="D199" i="1"/>
  <c r="E199" i="1"/>
  <c r="C199" i="1"/>
  <c r="C136" i="1"/>
  <c r="D136" i="1"/>
  <c r="E136" i="1"/>
  <c r="D191" i="1"/>
  <c r="C191" i="1"/>
  <c r="E191" i="1"/>
  <c r="E164" i="1"/>
  <c r="D164" i="1"/>
  <c r="C164" i="1"/>
  <c r="F164" i="1"/>
  <c r="E153" i="1"/>
  <c r="D153" i="1"/>
  <c r="C153" i="1"/>
  <c r="E254" i="1"/>
  <c r="C254" i="1"/>
  <c r="D254" i="1"/>
  <c r="E149" i="1"/>
  <c r="D149" i="1"/>
  <c r="C149" i="1"/>
  <c r="E205" i="1"/>
  <c r="D205" i="1"/>
  <c r="C205" i="1"/>
  <c r="F174" i="1"/>
  <c r="D236" i="1"/>
  <c r="C236" i="1"/>
  <c r="E236" i="1"/>
  <c r="F248" i="1"/>
  <c r="D244" i="1"/>
  <c r="E244" i="1"/>
  <c r="C244" i="1"/>
  <c r="F204" i="1"/>
  <c r="E135" i="1"/>
  <c r="D135" i="1"/>
  <c r="C135" i="1"/>
  <c r="D147" i="1"/>
  <c r="E147" i="1"/>
  <c r="C147" i="1"/>
  <c r="D160" i="1"/>
  <c r="C160" i="1"/>
  <c r="E160" i="1"/>
  <c r="F160" i="1"/>
  <c r="E235" i="1"/>
  <c r="D235" i="1"/>
  <c r="C235" i="1"/>
  <c r="F146" i="1"/>
  <c r="C177" i="1"/>
  <c r="D177" i="1"/>
  <c r="E177" i="1"/>
  <c r="D233" i="1"/>
  <c r="C233" i="1"/>
  <c r="E233" i="1"/>
  <c r="C163" i="1"/>
  <c r="D163" i="1"/>
  <c r="E163" i="1"/>
  <c r="E162" i="1"/>
  <c r="D162" i="1"/>
  <c r="C162" i="1"/>
  <c r="F250" i="1"/>
  <c r="BL124" i="3"/>
  <c r="F134" i="1"/>
  <c r="D241" i="1"/>
  <c r="C241" i="1"/>
  <c r="E241" i="1"/>
  <c r="D172" i="1"/>
  <c r="E172" i="1"/>
  <c r="C172" i="1"/>
  <c r="E173" i="1"/>
  <c r="C173" i="1"/>
  <c r="D173" i="1"/>
  <c r="D208" i="1"/>
  <c r="E208" i="1"/>
  <c r="C208" i="1"/>
  <c r="F202" i="1"/>
  <c r="C211" i="1"/>
  <c r="E211" i="1"/>
  <c r="D211" i="1"/>
  <c r="E179" i="1"/>
  <c r="D179" i="1"/>
  <c r="C179" i="1"/>
  <c r="E229" i="1"/>
  <c r="D229" i="1"/>
  <c r="C229" i="1"/>
  <c r="F161" i="1"/>
  <c r="E155" i="1"/>
  <c r="C155" i="1"/>
  <c r="D155" i="1"/>
  <c r="C215" i="1"/>
  <c r="D215" i="1"/>
  <c r="E215" i="1"/>
  <c r="F209" i="1"/>
  <c r="E165" i="1"/>
  <c r="D165" i="1"/>
  <c r="C165" i="1"/>
  <c r="E184" i="1"/>
  <c r="D184" i="1"/>
  <c r="C184" i="1"/>
  <c r="C188" i="1"/>
  <c r="D188" i="1"/>
  <c r="E188" i="1"/>
  <c r="D168" i="1"/>
  <c r="C168" i="1"/>
  <c r="E168" i="1"/>
  <c r="C159" i="1"/>
  <c r="E159" i="1"/>
  <c r="D159" i="1"/>
  <c r="F159" i="1"/>
  <c r="C138" i="1"/>
  <c r="E138" i="1"/>
  <c r="D138" i="1"/>
  <c r="C178" i="1"/>
  <c r="D178" i="1"/>
  <c r="E178" i="1"/>
  <c r="F178" i="1"/>
  <c r="F141" i="1"/>
  <c r="C225" i="1"/>
  <c r="D225" i="1"/>
  <c r="E225" i="1"/>
  <c r="F143" i="1"/>
  <c r="E140" i="1"/>
  <c r="C140" i="1"/>
  <c r="D140" i="1"/>
  <c r="F253" i="1"/>
  <c r="D249" i="1"/>
  <c r="C249" i="1"/>
  <c r="E249" i="1"/>
  <c r="BJ124" i="3"/>
  <c r="D224" i="1"/>
  <c r="E224" i="1"/>
  <c r="C224" i="1"/>
  <c r="D252" i="1"/>
  <c r="C252" i="1"/>
  <c r="E252" i="1"/>
  <c r="D183" i="1"/>
  <c r="E183" i="1"/>
  <c r="C183" i="1"/>
  <c r="D185" i="1"/>
  <c r="E185" i="1"/>
  <c r="C185" i="1"/>
  <c r="C219" i="1"/>
  <c r="E219" i="1"/>
  <c r="D219" i="1"/>
  <c r="C145" i="1"/>
  <c r="D145" i="1"/>
  <c r="E145" i="1"/>
  <c r="D221" i="1"/>
  <c r="C221" i="1"/>
  <c r="E221" i="1"/>
  <c r="D237" i="1"/>
  <c r="E237" i="1"/>
  <c r="C237" i="1"/>
  <c r="D142" i="1"/>
  <c r="E142" i="1"/>
  <c r="C142" i="1"/>
  <c r="E197" i="1"/>
  <c r="D197" i="1"/>
  <c r="C197" i="1"/>
  <c r="E192" i="1"/>
  <c r="C192" i="1"/>
  <c r="D192" i="1"/>
  <c r="F227" i="1"/>
  <c r="F237" i="1"/>
  <c r="E154" i="1"/>
  <c r="D154" i="1"/>
  <c r="C154" i="1"/>
  <c r="D186" i="1"/>
  <c r="C186" i="1"/>
  <c r="E186" i="1"/>
  <c r="F197" i="1"/>
  <c r="C246" i="1"/>
  <c r="E246" i="1"/>
  <c r="D246" i="1"/>
  <c r="F246" i="1"/>
  <c r="C157" i="1"/>
  <c r="E157" i="1"/>
  <c r="D157" i="1"/>
  <c r="C144" i="1"/>
  <c r="D144" i="1"/>
  <c r="E144" i="1"/>
  <c r="F150" i="1"/>
  <c r="F225" i="1"/>
  <c r="F187" i="1"/>
  <c r="F153" i="1"/>
  <c r="C222" i="1"/>
  <c r="E222" i="1"/>
  <c r="D222" i="1"/>
  <c r="C220" i="1"/>
  <c r="E220" i="1"/>
  <c r="D220" i="1"/>
  <c r="F220" i="1"/>
  <c r="F190" i="1"/>
  <c r="E216" i="1"/>
  <c r="D216" i="1"/>
  <c r="C216" i="1"/>
  <c r="F158" i="1"/>
  <c r="D156" i="1"/>
  <c r="C156" i="1"/>
  <c r="E156" i="1"/>
  <c r="C242" i="1"/>
  <c r="E242" i="1"/>
  <c r="D242" i="1"/>
  <c r="C195" i="1"/>
  <c r="D195" i="1"/>
  <c r="E195" i="1"/>
  <c r="F198" i="1"/>
  <c r="F217" i="1"/>
  <c r="F149" i="1"/>
  <c r="F205" i="1"/>
  <c r="F236" i="1"/>
  <c r="D228" i="1"/>
  <c r="E228" i="1"/>
  <c r="C228" i="1"/>
  <c r="F135" i="1"/>
  <c r="F180" i="1"/>
  <c r="F147" i="1"/>
  <c r="D171" i="1"/>
  <c r="C171" i="1"/>
  <c r="E171" i="1"/>
  <c r="BM124" i="3"/>
  <c r="BK124" i="3"/>
  <c r="F226" i="1"/>
  <c r="D238" i="1"/>
  <c r="C238" i="1"/>
  <c r="E238" i="1"/>
  <c r="F241" i="1"/>
  <c r="F167" i="1"/>
  <c r="F137" i="1"/>
  <c r="F208" i="1"/>
  <c r="F232" i="1"/>
  <c r="F196" i="1"/>
  <c r="F245" i="1"/>
  <c r="F155" i="1"/>
  <c r="C169" i="1"/>
  <c r="D169" i="1"/>
  <c r="E169" i="1"/>
  <c r="F215" i="1"/>
  <c r="F188" i="1"/>
  <c r="D214" i="1"/>
  <c r="E214" i="1"/>
  <c r="C214" i="1"/>
  <c r="D182" i="1"/>
  <c r="C182" i="1"/>
  <c r="E182" i="1"/>
  <c r="F182" i="1"/>
  <c r="F145" i="1"/>
  <c r="E170" i="1"/>
  <c r="D170" i="1"/>
  <c r="C170" i="1"/>
  <c r="C194" i="1"/>
  <c r="D194" i="1"/>
  <c r="E194" i="1"/>
  <c r="AT88" i="3"/>
  <c r="AT92" i="3"/>
  <c r="AT85" i="3"/>
  <c r="AT86" i="3"/>
  <c r="AT89" i="3"/>
  <c r="AT90" i="3"/>
  <c r="AT87" i="3"/>
  <c r="AT84" i="3"/>
  <c r="AT93" i="3"/>
  <c r="AT94" i="3"/>
  <c r="AT91" i="3"/>
  <c r="E15" i="1"/>
  <c r="E21" i="1"/>
  <c r="AR22" i="3"/>
  <c r="AQ22" i="3"/>
  <c r="D15" i="1"/>
  <c r="D21" i="1"/>
  <c r="F15" i="1"/>
  <c r="F21" i="1"/>
  <c r="AS22" i="3"/>
  <c r="C15" i="1"/>
  <c r="C21" i="1"/>
  <c r="AP22" i="3"/>
</calcChain>
</file>

<file path=xl/sharedStrings.xml><?xml version="1.0" encoding="utf-8"?>
<sst xmlns="http://schemas.openxmlformats.org/spreadsheetml/2006/main" count="2984" uniqueCount="898">
  <si>
    <t>Electoral projections for the next federal elections
Projections électorales pour la prochaine élection fédérale</t>
  </si>
  <si>
    <t>www.tooclosetocall.ca</t>
  </si>
  <si>
    <t>www.silatendancesemaintient.ca</t>
  </si>
  <si>
    <t>%</t>
  </si>
  <si>
    <t>CPC</t>
  </si>
  <si>
    <t>LPC</t>
  </si>
  <si>
    <t>NDP</t>
  </si>
  <si>
    <t>Green</t>
  </si>
  <si>
    <t>Bloc</t>
  </si>
  <si>
    <t>Atlantic</t>
  </si>
  <si>
    <t>Quebec</t>
  </si>
  <si>
    <t>Ontario</t>
  </si>
  <si>
    <t>Prairies</t>
  </si>
  <si>
    <t>Alberta</t>
  </si>
  <si>
    <t>Probability of winning most seats (with majority below)
Probabilités de gagner le plus de sièges (et d'une majorité en-dessous)</t>
  </si>
  <si>
    <t>BC</t>
  </si>
  <si>
    <t>Canada*</t>
  </si>
  <si>
    <t>Seats/Sièges</t>
  </si>
  <si>
    <t>Territories</t>
  </si>
  <si>
    <t>Probability of winning the riding
Probabilité de remporter la circonscription</t>
  </si>
  <si>
    <t>Canada</t>
  </si>
  <si>
    <t>Riding/Circonscription</t>
  </si>
  <si>
    <t>Ind.</t>
  </si>
  <si>
    <t>NFL</t>
  </si>
  <si>
    <t>Avalon</t>
  </si>
  <si>
    <t>Bonavista--Burin--Trinity</t>
  </si>
  <si>
    <t>Coast of Bays--Central--Notre Dame</t>
  </si>
  <si>
    <t>Labrador</t>
  </si>
  <si>
    <t>Long Range Mountains</t>
  </si>
  <si>
    <t>St. John's East</t>
  </si>
  <si>
    <t>St. John's South--Mount Pearl</t>
  </si>
  <si>
    <t>PEI</t>
  </si>
  <si>
    <t>Cardigan</t>
  </si>
  <si>
    <t>Charlottetown</t>
  </si>
  <si>
    <t>Egmont</t>
  </si>
  <si>
    <t>Malpeque</t>
  </si>
  <si>
    <t>NS</t>
  </si>
  <si>
    <t>Cape Breton--Canso</t>
  </si>
  <si>
    <t>Central Nova</t>
  </si>
  <si>
    <t>Cumberland--Colchester</t>
  </si>
  <si>
    <t>Dartmouth--Cole Harbour</t>
  </si>
  <si>
    <t>Halifax</t>
  </si>
  <si>
    <t>Halifax West</t>
  </si>
  <si>
    <t>Kings--Hants</t>
  </si>
  <si>
    <t>Sackville--Preston--Chezzetcook</t>
  </si>
  <si>
    <t>South Shore--St. Margarets</t>
  </si>
  <si>
    <t>Sydney--Victoria</t>
  </si>
  <si>
    <t>West Nova</t>
  </si>
  <si>
    <t>NB</t>
  </si>
  <si>
    <t>Acadie--Bathurst</t>
  </si>
  <si>
    <t>Beauséjour</t>
  </si>
  <si>
    <t>Fredericton</t>
  </si>
  <si>
    <t>Fundy Royal</t>
  </si>
  <si>
    <t>Madawaska--Restigouche</t>
  </si>
  <si>
    <t>Miramichi--Grand Lake</t>
  </si>
  <si>
    <t>Moncton--Riverview--Dieppe</t>
  </si>
  <si>
    <t>New Brunswick Southwest</t>
  </si>
  <si>
    <t>Saint John--Rothesay</t>
  </si>
  <si>
    <t>Tobique--Mactaquac</t>
  </si>
  <si>
    <t>QC</t>
  </si>
  <si>
    <t>Abitibi--Baie-James--Nunavik--Eeyou</t>
  </si>
  <si>
    <t>Abitibi--Témiscamingue</t>
  </si>
  <si>
    <t>Ahuntsic-Cartierville</t>
  </si>
  <si>
    <t>Alfred-Pellan</t>
  </si>
  <si>
    <t>Argenteuil--La Petite-Nation</t>
  </si>
  <si>
    <t>Avignon--La Mitis--Matane--Matapédia</t>
  </si>
  <si>
    <t>Beauce</t>
  </si>
  <si>
    <t>Beauport-Côte-de-Beaupré-Île d'Orléans-Charlevoix</t>
  </si>
  <si>
    <t>Beauport--Limoilou</t>
  </si>
  <si>
    <t>Bécancour--Nicolet--Saurel</t>
  </si>
  <si>
    <t>Bellechasse--Les Etchemins--Lévis</t>
  </si>
  <si>
    <t>Beloeil--Chambly</t>
  </si>
  <si>
    <t>Berthier--Maskinongé</t>
  </si>
  <si>
    <t>Bourassa</t>
  </si>
  <si>
    <t>Brome--Missisquoi</t>
  </si>
  <si>
    <t>Brossard--Saint-Lambert</t>
  </si>
  <si>
    <t>Charlesbourg--Haute-Saint-Charles</t>
  </si>
  <si>
    <t>Châteauguay--Lacolle</t>
  </si>
  <si>
    <t>Chicoutimi--Le Fjord</t>
  </si>
  <si>
    <t>Compton--Stanstead</t>
  </si>
  <si>
    <t>Dorval--Lachine--LaSalle</t>
  </si>
  <si>
    <t>Drummond</t>
  </si>
  <si>
    <t>Gaspésie--Les Îles-de-la-Madeleine</t>
  </si>
  <si>
    <t>Gatineau</t>
  </si>
  <si>
    <t>Hochelaga</t>
  </si>
  <si>
    <t>Honoré-Mercier</t>
  </si>
  <si>
    <t>Hull--Aylmer</t>
  </si>
  <si>
    <t>Joliette</t>
  </si>
  <si>
    <t>Jonquière</t>
  </si>
  <si>
    <t>La Pointe-de-l'Île</t>
  </si>
  <si>
    <t>La Prairie</t>
  </si>
  <si>
    <t>Lac-Saint-Jean</t>
  </si>
  <si>
    <t>Lac-Saint-Louis</t>
  </si>
  <si>
    <t>LaSalle--Émard--Verdun</t>
  </si>
  <si>
    <t>Laurentides--Labelle</t>
  </si>
  <si>
    <t>Laurier--Sainte-Marie</t>
  </si>
  <si>
    <t>Laval--Les Îles</t>
  </si>
  <si>
    <t>Lévis--Lotbinière</t>
  </si>
  <si>
    <t>Longueuil--Charles-LeMoyne</t>
  </si>
  <si>
    <t>Longueuil--Saint-Hubert</t>
  </si>
  <si>
    <t>Louis-Hébert</t>
  </si>
  <si>
    <t>Louis-Saint-Laurent</t>
  </si>
  <si>
    <t>Manicouagan</t>
  </si>
  <si>
    <t>Marc-Aurèle-Fortin</t>
  </si>
  <si>
    <t>Mégantic--L'Érable</t>
  </si>
  <si>
    <t>Mirabel</t>
  </si>
  <si>
    <t>Montarville</t>
  </si>
  <si>
    <t>Montcalm</t>
  </si>
  <si>
    <t>Montmagny--L'Islet--Kamouraska--Rivière-du-Loup</t>
  </si>
  <si>
    <t>Mount Royal</t>
  </si>
  <si>
    <t>Notre-Dame-de-Grâce--Westmount</t>
  </si>
  <si>
    <t>Outremont</t>
  </si>
  <si>
    <t>Papineau</t>
  </si>
  <si>
    <t>Pierre-Boucher--Les Patriotes--Verchères</t>
  </si>
  <si>
    <t>Pierrefonds--Dollard</t>
  </si>
  <si>
    <t>Pontiac</t>
  </si>
  <si>
    <t>Portneuf--Jacques-Cartier</t>
  </si>
  <si>
    <t>Québec</t>
  </si>
  <si>
    <t>Repentigny</t>
  </si>
  <si>
    <t>Richmond--Arthabaska</t>
  </si>
  <si>
    <t>Rimouski-Neigette--Témiscouata--Les Basques</t>
  </si>
  <si>
    <t>Rivière-des-Mille-Îles</t>
  </si>
  <si>
    <t>Rivière-du-Nord</t>
  </si>
  <si>
    <t>Rosemont--La Petite-Patrie</t>
  </si>
  <si>
    <t>Saint-Hyacinthe--Bagot</t>
  </si>
  <si>
    <t>Saint-Jean</t>
  </si>
  <si>
    <t>Saint-Laurent</t>
  </si>
  <si>
    <t>Saint-Léonard--Saint-Michel</t>
  </si>
  <si>
    <t>Saint-Maurice--Champlain</t>
  </si>
  <si>
    <t>Salaberry--Suroît</t>
  </si>
  <si>
    <t>Shefford</t>
  </si>
  <si>
    <t>Sherbrooke</t>
  </si>
  <si>
    <t>Terrebonne</t>
  </si>
  <si>
    <t>Thérèse-De Blainville</t>
  </si>
  <si>
    <t>Trois-Rivières</t>
  </si>
  <si>
    <t>Vaudreuil--Soulanges</t>
  </si>
  <si>
    <t>Ville-Marie--Le Sud-Ouest--Île-des-Soeurs</t>
  </si>
  <si>
    <t>Vimy</t>
  </si>
  <si>
    <t>Ont.</t>
  </si>
  <si>
    <t>Ajax</t>
  </si>
  <si>
    <t>Algoma--Manitoulin--Kapuskasing</t>
  </si>
  <si>
    <t>Aurora--Oak Ridges--Richmond Hill</t>
  </si>
  <si>
    <t>Barrie--Innisfil</t>
  </si>
  <si>
    <t>Barrie--Springwater--Oro-Medonte</t>
  </si>
  <si>
    <t>Bay of Quinte</t>
  </si>
  <si>
    <t>Beaches--East York</t>
  </si>
  <si>
    <t>Brampton Centre</t>
  </si>
  <si>
    <t>Brampton East</t>
  </si>
  <si>
    <t>Brampton North</t>
  </si>
  <si>
    <t>Brampton South</t>
  </si>
  <si>
    <t>Brampton West</t>
  </si>
  <si>
    <t>Brantford--Brant</t>
  </si>
  <si>
    <t>Bruce--Grey--Owen Sound</t>
  </si>
  <si>
    <t>Burlington</t>
  </si>
  <si>
    <t>Cambridge</t>
  </si>
  <si>
    <t>Carleton</t>
  </si>
  <si>
    <t>Chatham-Kent--Leamington</t>
  </si>
  <si>
    <t>Davenport</t>
  </si>
  <si>
    <t>Don Valley East</t>
  </si>
  <si>
    <t>Don Valley North</t>
  </si>
  <si>
    <t>Don Valley West</t>
  </si>
  <si>
    <t>Dufferin--Caledon</t>
  </si>
  <si>
    <t>Durham</t>
  </si>
  <si>
    <t>Eglinton--Lawrence</t>
  </si>
  <si>
    <t>Elgin--Middlesex--London</t>
  </si>
  <si>
    <t>Essex</t>
  </si>
  <si>
    <t>Etobicoke Centre</t>
  </si>
  <si>
    <t>Etobicoke North</t>
  </si>
  <si>
    <t>Etobicoke--Lakeshore</t>
  </si>
  <si>
    <t>Flamborough--Glanbrook</t>
  </si>
  <si>
    <t>Glengarry--Prescott--Russell</t>
  </si>
  <si>
    <t>Guelph</t>
  </si>
  <si>
    <t>Haldimand--Norfolk</t>
  </si>
  <si>
    <t>Haliburton--Kawartha Lakes--Brock</t>
  </si>
  <si>
    <t>Hamilton Centre</t>
  </si>
  <si>
    <t>Hamilton East--Stoney Creek</t>
  </si>
  <si>
    <t>Hamilton Mountain</t>
  </si>
  <si>
    <t>Hamilton West--Ancaster--Dundas</t>
  </si>
  <si>
    <t>Hastings--Lennox and Addington</t>
  </si>
  <si>
    <t>Humber River--Black Creek</t>
  </si>
  <si>
    <t>Huron--Bruce</t>
  </si>
  <si>
    <t>Kanata--Carleton</t>
  </si>
  <si>
    <t>Kenora</t>
  </si>
  <si>
    <t>Kingston and the Islands</t>
  </si>
  <si>
    <t>King--Vaughan</t>
  </si>
  <si>
    <t>Kitchener Centre</t>
  </si>
  <si>
    <t>Kitchener South--Hespeler</t>
  </si>
  <si>
    <t>Kitchener--Conestoga</t>
  </si>
  <si>
    <t>Lambton--Kent--Middlesex</t>
  </si>
  <si>
    <t>Lanark--Frontenac--Kingston</t>
  </si>
  <si>
    <t>Leeds-Grenville-Thousand Islands and Rideau Lakes</t>
  </si>
  <si>
    <t>London North Centre</t>
  </si>
  <si>
    <t>London West</t>
  </si>
  <si>
    <t>London--Fanshawe</t>
  </si>
  <si>
    <t>Markham--Stouffville</t>
  </si>
  <si>
    <t>Markham--Thornhill</t>
  </si>
  <si>
    <t>Markham--Unionville</t>
  </si>
  <si>
    <t>Milton</t>
  </si>
  <si>
    <t>Mississauga Centre</t>
  </si>
  <si>
    <t>Mississauga East--Cooksville</t>
  </si>
  <si>
    <t>Mississauga--Erin Mills</t>
  </si>
  <si>
    <t>Mississauga--Lakeshore</t>
  </si>
  <si>
    <t>Mississauga--Malton</t>
  </si>
  <si>
    <t>Mississauga--Streetsville</t>
  </si>
  <si>
    <t>Nepean</t>
  </si>
  <si>
    <t>Newmarket--Aurora</t>
  </si>
  <si>
    <t>Niagara Centre</t>
  </si>
  <si>
    <t>Niagara Falls</t>
  </si>
  <si>
    <t>Niagara West</t>
  </si>
  <si>
    <t>Nickel Belt</t>
  </si>
  <si>
    <t>Nipissing--Timiskaming</t>
  </si>
  <si>
    <t>Northumberland--Peterborough South</t>
  </si>
  <si>
    <t>Oakville</t>
  </si>
  <si>
    <t>Oakville North--Burlington</t>
  </si>
  <si>
    <t>Orléans</t>
  </si>
  <si>
    <t>Oshawa</t>
  </si>
  <si>
    <t>Ottawa Centre</t>
  </si>
  <si>
    <t>Ottawa South</t>
  </si>
  <si>
    <t>Ottawa West--Nepean</t>
  </si>
  <si>
    <t>Ottawa--Vanier</t>
  </si>
  <si>
    <t>Oxford</t>
  </si>
  <si>
    <t>Parkdale--High Park</t>
  </si>
  <si>
    <t>Parry Sound--Muskoka</t>
  </si>
  <si>
    <t>Perth--Wellington</t>
  </si>
  <si>
    <t>Peterborough--Kawartha</t>
  </si>
  <si>
    <t>Pickering--Uxbridge</t>
  </si>
  <si>
    <t>Renfrew--Nipissing--Pembroke</t>
  </si>
  <si>
    <t>Richmond Hill</t>
  </si>
  <si>
    <t>Sarnia--Lambton</t>
  </si>
  <si>
    <t>Sault Ste. Marie</t>
  </si>
  <si>
    <t>Scarborough Centre</t>
  </si>
  <si>
    <t>Scarborough North</t>
  </si>
  <si>
    <t>Scarborough Southwest</t>
  </si>
  <si>
    <t>Scarborough--Agincourt</t>
  </si>
  <si>
    <t>Scarborough--Guildwood</t>
  </si>
  <si>
    <t>Scarborough--Rouge Park</t>
  </si>
  <si>
    <t>Simcoe North</t>
  </si>
  <si>
    <t>Simcoe--Grey</t>
  </si>
  <si>
    <t>Spadina--Fort York</t>
  </si>
  <si>
    <t>St. Catharines</t>
  </si>
  <si>
    <t>Stormont--Dundas--South Glengarry</t>
  </si>
  <si>
    <t>Sudbury</t>
  </si>
  <si>
    <t>Thornhill</t>
  </si>
  <si>
    <t>Thunder Bay--Rainy River</t>
  </si>
  <si>
    <t>Thunder Bay--Superior North</t>
  </si>
  <si>
    <t>Timmins--James Bay</t>
  </si>
  <si>
    <t>Toronto Centre</t>
  </si>
  <si>
    <t>Toronto--Danforth</t>
  </si>
  <si>
    <t>Toronto--St. Paul's</t>
  </si>
  <si>
    <t>University--Rosedale</t>
  </si>
  <si>
    <t>Vaughan--Woodbridge</t>
  </si>
  <si>
    <t>Waterloo</t>
  </si>
  <si>
    <t>Wellington--Halton Hills</t>
  </si>
  <si>
    <t>Whitby</t>
  </si>
  <si>
    <t>Willowdale</t>
  </si>
  <si>
    <t>Windsor West</t>
  </si>
  <si>
    <t>Windsor--Tecumseh</t>
  </si>
  <si>
    <t>York Centre</t>
  </si>
  <si>
    <t>York South--Weston</t>
  </si>
  <si>
    <t>York--Simcoe</t>
  </si>
  <si>
    <t>Man.</t>
  </si>
  <si>
    <t>Brandon--Souris</t>
  </si>
  <si>
    <t>Charleswood--St. James--Assiniboia--Headingley</t>
  </si>
  <si>
    <t>Churchill--Keewatinook Aski</t>
  </si>
  <si>
    <t>Dauphin--Swan River--Neepawa</t>
  </si>
  <si>
    <t>Elmwood--Transcona</t>
  </si>
  <si>
    <t>Kildonan--St. Paul</t>
  </si>
  <si>
    <t>Portage--Lisgar</t>
  </si>
  <si>
    <t>Provencher</t>
  </si>
  <si>
    <t>Saint Boniface--Saint Vital</t>
  </si>
  <si>
    <t>Selkirk--Interlake--Eastman</t>
  </si>
  <si>
    <t>Winnipeg Centre</t>
  </si>
  <si>
    <t>Winnipeg North</t>
  </si>
  <si>
    <t>Winnipeg South</t>
  </si>
  <si>
    <t>Winnipeg South Centre</t>
  </si>
  <si>
    <t>Sask.</t>
  </si>
  <si>
    <t>Battlefords--Lloydminster</t>
  </si>
  <si>
    <t>Cypress Hills--Grasslands</t>
  </si>
  <si>
    <t>Desnethé--Missinippi--Churchill River</t>
  </si>
  <si>
    <t>Carlton Trail--Eagle Creek</t>
  </si>
  <si>
    <t>Moose Jaw--Lake Centre--Lanigan</t>
  </si>
  <si>
    <t>Prince Albert</t>
  </si>
  <si>
    <t>Regina--Lewvan</t>
  </si>
  <si>
    <t>Regina--Qu'Appelle</t>
  </si>
  <si>
    <t>Regina--Wascana</t>
  </si>
  <si>
    <t>Saskatoon--Grasswood</t>
  </si>
  <si>
    <t>Saskatoon--University</t>
  </si>
  <si>
    <t>Saskatoon West</t>
  </si>
  <si>
    <t>Souris--Moose Mountain</t>
  </si>
  <si>
    <t>Yorkton--Melville</t>
  </si>
  <si>
    <t>Alb.</t>
  </si>
  <si>
    <t>Banff--Airdrie</t>
  </si>
  <si>
    <t>Battle River--Crowfoot</t>
  </si>
  <si>
    <t>Bow River</t>
  </si>
  <si>
    <t>Calgary Centre</t>
  </si>
  <si>
    <t>Calgary Confederation</t>
  </si>
  <si>
    <t>Calgary Forest Lawn</t>
  </si>
  <si>
    <t>Calgary Heritage</t>
  </si>
  <si>
    <t>Calgary Midnapore</t>
  </si>
  <si>
    <t>Calgary Nose Hill</t>
  </si>
  <si>
    <t>Calgary Rocky Ridge</t>
  </si>
  <si>
    <t>Calgary Shepard</t>
  </si>
  <si>
    <t>Calgary Signal Hill</t>
  </si>
  <si>
    <t>Calgary Skyview</t>
  </si>
  <si>
    <t>Edmonton Centre</t>
  </si>
  <si>
    <t>Edmonton Griesbach</t>
  </si>
  <si>
    <t>Edmonton Manning</t>
  </si>
  <si>
    <t>Edmonton Mill Woods</t>
  </si>
  <si>
    <t>Edmonton Riverbend</t>
  </si>
  <si>
    <t>Edmonton Strathcona</t>
  </si>
  <si>
    <t>Edmonton West</t>
  </si>
  <si>
    <t>Edmonton--Wetaskiwin</t>
  </si>
  <si>
    <t>Foothills</t>
  </si>
  <si>
    <t>Fort McMurray--Cold Lake</t>
  </si>
  <si>
    <t>Grande Prairie--Mackenzie</t>
  </si>
  <si>
    <t>Lakeland</t>
  </si>
  <si>
    <t>Lethbridge</t>
  </si>
  <si>
    <t>Medicine Hat--Cardston--Warner</t>
  </si>
  <si>
    <t>Peace River--Westlock</t>
  </si>
  <si>
    <t>Red Deer--Lacombe</t>
  </si>
  <si>
    <t>Red Deer--Mountain View</t>
  </si>
  <si>
    <t>Sherwood Park--Fort Saskatchewan</t>
  </si>
  <si>
    <t>St. Albert--Edmonton</t>
  </si>
  <si>
    <t>Sturgeon River--Parkland</t>
  </si>
  <si>
    <t>Yellowhead</t>
  </si>
  <si>
    <t>Abbotsford</t>
  </si>
  <si>
    <t>Burnaby North--Seymour</t>
  </si>
  <si>
    <t>Burnaby South</t>
  </si>
  <si>
    <t>Cariboo--Prince George</t>
  </si>
  <si>
    <t>Central Okanagan--Similkameen--Nicola</t>
  </si>
  <si>
    <t>Chilliwack--Hope</t>
  </si>
  <si>
    <t>Cloverdale--Langley City</t>
  </si>
  <si>
    <t>Coquitlam--Port Coquitlam</t>
  </si>
  <si>
    <t>Courtenay--Alberni</t>
  </si>
  <si>
    <t>Cowichan--Malahat--Langford</t>
  </si>
  <si>
    <t>Delta</t>
  </si>
  <si>
    <t>Esquimalt--Saanich--Sooke</t>
  </si>
  <si>
    <t>Fleetwood--Port Kells</t>
  </si>
  <si>
    <t>Kamloops--Thompson--Cariboo</t>
  </si>
  <si>
    <t>Kelowna--Lake Country</t>
  </si>
  <si>
    <t>Kootenay--Columbia</t>
  </si>
  <si>
    <t>Langley--Aldergrove</t>
  </si>
  <si>
    <t>Mission--Matsqui--Fraser Canyon</t>
  </si>
  <si>
    <t>Nanaimo--Ladysmith</t>
  </si>
  <si>
    <t>New Westminster--Burnaby</t>
  </si>
  <si>
    <t>North Island--Powell River</t>
  </si>
  <si>
    <t>North Okanagan--Shuswap</t>
  </si>
  <si>
    <t>North Vancouver</t>
  </si>
  <si>
    <t>Pitt Meadows--Maple Ridge</t>
  </si>
  <si>
    <t>Port Moody--Coquitlam</t>
  </si>
  <si>
    <t>Prince George--Peace River--Northern Rockies</t>
  </si>
  <si>
    <t>Richmond Centre</t>
  </si>
  <si>
    <t>Saanich--Gulf Islands</t>
  </si>
  <si>
    <t>Skeena--Bulkley Valley</t>
  </si>
  <si>
    <t>South Okanagan--West Kootenay</t>
  </si>
  <si>
    <t>South Surrey--White Rock</t>
  </si>
  <si>
    <t>Steveston--Richmond East</t>
  </si>
  <si>
    <t>Surrey Centre</t>
  </si>
  <si>
    <t>Surrey--Newton</t>
  </si>
  <si>
    <t>Vancouver Centre</t>
  </si>
  <si>
    <t>Vancouver East</t>
  </si>
  <si>
    <t>Vancouver Granville</t>
  </si>
  <si>
    <t>Vancouver Kingsway</t>
  </si>
  <si>
    <t>Vancouver Quadra</t>
  </si>
  <si>
    <t>Vancouver South</t>
  </si>
  <si>
    <t>Victoria</t>
  </si>
  <si>
    <t>West Vancouver--Sunshine Coast--Sea to Sky Country</t>
  </si>
  <si>
    <t>Terr.</t>
  </si>
  <si>
    <t>Yukon</t>
  </si>
  <si>
    <t>Northwest Territories</t>
  </si>
  <si>
    <t>Nunavut</t>
  </si>
  <si>
    <t>*due to a general lack of polls, the projections for the three territories use the federal vote intentions.</t>
  </si>
  <si>
    <t>** winning=getting the most seats</t>
  </si>
  <si>
    <t>prov</t>
  </si>
  <si>
    <t>riding2015</t>
  </si>
  <si>
    <t>riding</t>
  </si>
  <si>
    <t>id</t>
  </si>
  <si>
    <t>province</t>
  </si>
  <si>
    <t>votes1</t>
  </si>
  <si>
    <t>votes2</t>
  </si>
  <si>
    <t>votes3</t>
  </si>
  <si>
    <t>votes4</t>
  </si>
  <si>
    <t>totalvotes</t>
  </si>
  <si>
    <t>percent1</t>
  </si>
  <si>
    <t>percent2</t>
  </si>
  <si>
    <t>percent3</t>
  </si>
  <si>
    <t>percent4</t>
  </si>
  <si>
    <t>percentprov1</t>
  </si>
  <si>
    <t>percentprov2</t>
  </si>
  <si>
    <t>percentprov3</t>
  </si>
  <si>
    <t>percentprov4</t>
  </si>
  <si>
    <t>incumbent1</t>
  </si>
  <si>
    <t>incumbent2</t>
  </si>
  <si>
    <t>incumbent3</t>
  </si>
  <si>
    <t>incumbent4</t>
  </si>
  <si>
    <t>nfl</t>
  </si>
  <si>
    <t>ipe</t>
  </si>
  <si>
    <t>ns</t>
  </si>
  <si>
    <t>nb</t>
  </si>
  <si>
    <t>notreturn1</t>
  </si>
  <si>
    <t>noreturn2</t>
  </si>
  <si>
    <t>noreturn3</t>
  </si>
  <si>
    <t>proj2</t>
  </si>
  <si>
    <t>Cons</t>
  </si>
  <si>
    <t>Lib</t>
  </si>
  <si>
    <t>total</t>
  </si>
  <si>
    <t>proj1</t>
  </si>
  <si>
    <t>ind</t>
  </si>
  <si>
    <t>Proj win</t>
  </si>
  <si>
    <t>above</t>
  </si>
  <si>
    <t>Newfoundland and Labrador/Terre-Neuve-et-Labrador</t>
  </si>
  <si>
    <t>Difference percent</t>
  </si>
  <si>
    <t>Bonavista-Burin-Trinity</t>
  </si>
  <si>
    <t>Coast of Bays-Central-Notre Dame</t>
  </si>
  <si>
    <t>St. John’s East</t>
  </si>
  <si>
    <t>diff</t>
  </si>
  <si>
    <t>St. John’s South—Mount Pearl</t>
  </si>
  <si>
    <t>low threshold</t>
  </si>
  <si>
    <t>Prince Edward Island/Île-du-Prince-Édouard</t>
  </si>
  <si>
    <t>index low</t>
  </si>
  <si>
    <t>high threshold</t>
  </si>
  <si>
    <t>indiex high</t>
  </si>
  <si>
    <t>Nova Scotia/Nouvelle-Écosse</t>
  </si>
  <si>
    <t>Cape Breton—Canso</t>
  </si>
  <si>
    <t>Cumberland—Colchester</t>
  </si>
  <si>
    <t>seats</t>
  </si>
  <si>
    <t>Dartmouth—Cole Harbour</t>
  </si>
  <si>
    <t>Kings—Hants</t>
  </si>
  <si>
    <t>Sackville—Preston—Chezzetcook</t>
  </si>
  <si>
    <t>incumbent</t>
  </si>
  <si>
    <t>South Shore—St. Margarets</t>
  </si>
  <si>
    <t>Sydney—Victoria</t>
  </si>
  <si>
    <t>New Brunswick/Nouveau-Brunswick</t>
  </si>
  <si>
    <t>Acadie—Bathurst</t>
  </si>
  <si>
    <t>Madawaska—Restigouche</t>
  </si>
  <si>
    <t>Miramichi—Grand Lake</t>
  </si>
  <si>
    <t>Moncton—Riverview—Dieppe</t>
  </si>
  <si>
    <t>Saint John—Rothesay</t>
  </si>
  <si>
    <t>Tobique—Mactaquac</t>
  </si>
  <si>
    <t>By-elections</t>
  </si>
  <si>
    <t>Prov. Poll at the time</t>
  </si>
  <si>
    <t>byelection</t>
  </si>
  <si>
    <t>adjusted</t>
  </si>
  <si>
    <t>average</t>
  </si>
  <si>
    <t>region</t>
  </si>
  <si>
    <t>votes5</t>
  </si>
  <si>
    <t>percent5</t>
  </si>
  <si>
    <t>percentprov5</t>
  </si>
  <si>
    <t>incumbent5</t>
  </si>
  <si>
    <t>rivenord</t>
  </si>
  <si>
    <t>rivesud</t>
  </si>
  <si>
    <t>quebec</t>
  </si>
  <si>
    <t>nordqc</t>
  </si>
  <si>
    <t>estqc</t>
  </si>
  <si>
    <t>centreqc</t>
  </si>
  <si>
    <t>mtlwest</t>
  </si>
  <si>
    <t>ouestqc</t>
  </si>
  <si>
    <t>mtlest</t>
  </si>
  <si>
    <t>notreturn2</t>
  </si>
  <si>
    <t>notreturn3</t>
  </si>
  <si>
    <t>noreturn5</t>
  </si>
  <si>
    <t>win proj</t>
  </si>
  <si>
    <t>pos swing</t>
  </si>
  <si>
    <t>neg swing</t>
  </si>
  <si>
    <t>close</t>
  </si>
  <si>
    <t>Quebec/Québec</t>
  </si>
  <si>
    <t>Abitibi—Baie-James—Nunavik—Eeyou</t>
  </si>
  <si>
    <t>Abitibi—Témiscamingue</t>
  </si>
  <si>
    <t>Argenteuil—La Petite-Nation</t>
  </si>
  <si>
    <t>Avignon—La Mitis—Matane—Matapédia</t>
  </si>
  <si>
    <t>pos</t>
  </si>
  <si>
    <t>Charlevoix—Montmorency</t>
  </si>
  <si>
    <t>neg</t>
  </si>
  <si>
    <t>Beauport—Limoilou</t>
  </si>
  <si>
    <t>Bécancour—Nicolet—Saurel</t>
  </si>
  <si>
    <t>Bellechasse—Les Etchemins—Lévis</t>
  </si>
  <si>
    <t>Beloeil—Chambly</t>
  </si>
  <si>
    <t>Berthier—Maskinongé</t>
  </si>
  <si>
    <t>cons</t>
  </si>
  <si>
    <t>lib</t>
  </si>
  <si>
    <t>ndp</t>
  </si>
  <si>
    <t>green</t>
  </si>
  <si>
    <t>bloc</t>
  </si>
  <si>
    <t>Brome—Missisquoi</t>
  </si>
  <si>
    <t>Brossard—Saint-Lambert</t>
  </si>
  <si>
    <t>Charlesbourg—Haute-Saint-Charles</t>
  </si>
  <si>
    <t>Châteauguay—Lacolle</t>
  </si>
  <si>
    <t>Chicoutimi</t>
  </si>
  <si>
    <t>Compton—Stanstead</t>
  </si>
  <si>
    <t>Dorval—Lachine</t>
  </si>
  <si>
    <t>Gaspésie—Les Îles-de-la-Madeleine</t>
  </si>
  <si>
    <t>Coefficients</t>
  </si>
  <si>
    <t>Hull—Aylmer</t>
  </si>
  <si>
    <t>LaSalle—Verdun</t>
  </si>
  <si>
    <t>Laurentides—Labelle</t>
  </si>
  <si>
    <t>Laurier—Sainte-Marie</t>
  </si>
  <si>
    <t>Laval—Les Îles</t>
  </si>
  <si>
    <t>Lévis—Lotbinière</t>
  </si>
  <si>
    <t>LeMoyne</t>
  </si>
  <si>
    <t>Longueuil</t>
  </si>
  <si>
    <t>Sainte-Rose</t>
  </si>
  <si>
    <t>Mégantic—L'Érable</t>
  </si>
  <si>
    <t>Montmagny—L'Islet—Kamouraska—Rivière-du-Loup</t>
  </si>
  <si>
    <t>Mont-Royal</t>
  </si>
  <si>
    <t>Notre-Dame-de-Grâce—Westmount</t>
  </si>
  <si>
    <t>Boucher—Les Patriotes—Verchères</t>
  </si>
  <si>
    <t>Pierrefonds—Dollard</t>
  </si>
  <si>
    <t>Portneuf—Jacques-Cartier</t>
  </si>
  <si>
    <t>Richmond—Arthabaska</t>
  </si>
  <si>
    <t>Centre-du-Bas-Saint-Laurent</t>
  </si>
  <si>
    <t>Rosemont—La Petite-Patrie</t>
  </si>
  <si>
    <t>Saint-Hyacinthe—Bagot</t>
  </si>
  <si>
    <t>Saint-Léonard—Saint-Michel</t>
  </si>
  <si>
    <t>Saint-Maurice—Champlain</t>
  </si>
  <si>
    <t>Salaberry—Suroît</t>
  </si>
  <si>
    <t>Averages</t>
  </si>
  <si>
    <t>Blainville</t>
  </si>
  <si>
    <t>Soulanges—Vaudreuil</t>
  </si>
  <si>
    <t>Ville-Marie</t>
  </si>
  <si>
    <t>Total</t>
  </si>
  <si>
    <t>Mtl island</t>
  </si>
  <si>
    <t>Prov. Polls at the time</t>
  </si>
  <si>
    <t>by-election</t>
  </si>
  <si>
    <t>Montreal island</t>
  </si>
  <si>
    <t>actual new map</t>
  </si>
  <si>
    <t>raw coefficient</t>
  </si>
  <si>
    <t>northont</t>
  </si>
  <si>
    <t>ottawa</t>
  </si>
  <si>
    <t>eastont</t>
  </si>
  <si>
    <t>centralont</t>
  </si>
  <si>
    <t>southont</t>
  </si>
  <si>
    <t>goldenont</t>
  </si>
  <si>
    <t>east905</t>
  </si>
  <si>
    <t>west905</t>
  </si>
  <si>
    <t>torontoeast</t>
  </si>
  <si>
    <t>southgta</t>
  </si>
  <si>
    <t>torontowest</t>
  </si>
  <si>
    <t>GTA</t>
  </si>
  <si>
    <t>proj win</t>
  </si>
  <si>
    <t>Algoma—Manitoulin—Kapuskasing</t>
  </si>
  <si>
    <t>Aurora—Oak Ridges—Richmond Hill</t>
  </si>
  <si>
    <t>Barrie—Innisfil</t>
  </si>
  <si>
    <t>Barrie—Springwater—Oro-Medonte</t>
  </si>
  <si>
    <t>Beaches—East York</t>
  </si>
  <si>
    <t>high treshold</t>
  </si>
  <si>
    <t>index high</t>
  </si>
  <si>
    <t>Brant</t>
  </si>
  <si>
    <t>Bruce—Grey—Owen Sound</t>
  </si>
  <si>
    <t>Rideau—Carleton</t>
  </si>
  <si>
    <t>Chatham-Kent—Leamington</t>
  </si>
  <si>
    <t>Dufferin—Caledon</t>
  </si>
  <si>
    <t>coefficients</t>
  </si>
  <si>
    <t>Eglinton—Lawrence</t>
  </si>
  <si>
    <t>Elgin—Middlesex—London</t>
  </si>
  <si>
    <t>north</t>
  </si>
  <si>
    <t>Etobicoke—Lakeshore</t>
  </si>
  <si>
    <t>Flamborough—Glanbrook</t>
  </si>
  <si>
    <t>Glengarry—Prescott—Russell</t>
  </si>
  <si>
    <t>Haldimand—Norfolk</t>
  </si>
  <si>
    <t>Haliburton—Kawartha Lakes—Brock</t>
  </si>
  <si>
    <t>Hamilton East—Stoney Creek</t>
  </si>
  <si>
    <t>Hamilton West—Ancaster—Dundas</t>
  </si>
  <si>
    <t>Hastings—Lennox and Addington</t>
  </si>
  <si>
    <t>York West</t>
  </si>
  <si>
    <t>Huron—Bruce</t>
  </si>
  <si>
    <t>Kanata—Carleton</t>
  </si>
  <si>
    <t>King—Vaughan</t>
  </si>
  <si>
    <t>Kitchener South—Hespeler</t>
  </si>
  <si>
    <t>Kitchener—Conestoga</t>
  </si>
  <si>
    <t>Lambton—Kent—Middlesex</t>
  </si>
  <si>
    <t>Lanark—Frontenac</t>
  </si>
  <si>
    <t>Leeds—Grenville</t>
  </si>
  <si>
    <t>London—Fanshawe</t>
  </si>
  <si>
    <t>Markham—Stouffville</t>
  </si>
  <si>
    <t>Markham—Thornhill</t>
  </si>
  <si>
    <t>Markham—Unionville</t>
  </si>
  <si>
    <t>Mississauga—Cooksville</t>
  </si>
  <si>
    <t>Mississauga—Erin Mills</t>
  </si>
  <si>
    <t>Mississauga—Lakeshore</t>
  </si>
  <si>
    <t>Mississauga—Malton</t>
  </si>
  <si>
    <t>Mississauga—Streetsville</t>
  </si>
  <si>
    <t>Average</t>
  </si>
  <si>
    <t>cpc</t>
  </si>
  <si>
    <t>lpc</t>
  </si>
  <si>
    <t>Newmarket—Aurora</t>
  </si>
  <si>
    <t>Nipissing—Timiskaming</t>
  </si>
  <si>
    <t>Northumberland—Pine Ridge</t>
  </si>
  <si>
    <t>Oakville North—Burlington</t>
  </si>
  <si>
    <t>Ottawa—Orléans</t>
  </si>
  <si>
    <t>Ottawa West—Nepean</t>
  </si>
  <si>
    <t>Ottawa—Vanier</t>
  </si>
  <si>
    <t>Seats</t>
  </si>
  <si>
    <t>Parkdale—High Park</t>
  </si>
  <si>
    <t>Parry Sound—Muskoka</t>
  </si>
  <si>
    <t>Perth—Wellington</t>
  </si>
  <si>
    <t>Peterborough</t>
  </si>
  <si>
    <t>Pickering—Uxbridge</t>
  </si>
  <si>
    <t>Renfrew—Nipissing—Pembroke</t>
  </si>
  <si>
    <t>Sarnia—Lambton</t>
  </si>
  <si>
    <t>Scarborough—Agincourt</t>
  </si>
  <si>
    <t>Scarborough—Guildwood</t>
  </si>
  <si>
    <t>Scarborough—Rouge Park</t>
  </si>
  <si>
    <t>Simcoe—Grey</t>
  </si>
  <si>
    <t>Spadina—Fort York</t>
  </si>
  <si>
    <t>Stormont—Dundas—South Glengarry</t>
  </si>
  <si>
    <t>Thunder Bay—Rainy River</t>
  </si>
  <si>
    <t>Thunder Bay—Superior North</t>
  </si>
  <si>
    <t>Timmins—James Bay</t>
  </si>
  <si>
    <t>Toronto—Danforth</t>
  </si>
  <si>
    <t>St. Paul's</t>
  </si>
  <si>
    <t>University—Rosedale</t>
  </si>
  <si>
    <t>Vaughan—Woodbridge</t>
  </si>
  <si>
    <t>Wellington—Halton Hills</t>
  </si>
  <si>
    <t>Windsor—Tecumseh</t>
  </si>
  <si>
    <t>York South—Weston</t>
  </si>
  <si>
    <t>York—Simcoe</t>
  </si>
  <si>
    <t>Toronto danforth</t>
  </si>
  <si>
    <t>(used to be Jack Layton)</t>
  </si>
  <si>
    <t>average provincial polls at times</t>
  </si>
  <si>
    <t>raw coefficients</t>
  </si>
  <si>
    <t>seats 2011</t>
  </si>
  <si>
    <t>Toronto Center</t>
  </si>
  <si>
    <t>Ex Bob rae riding</t>
  </si>
  <si>
    <t>Nov. 2013</t>
  </si>
  <si>
    <t>actual transposed</t>
  </si>
  <si>
    <t>Trinity-Spadina</t>
  </si>
  <si>
    <t>Note: became Spadina-Fort York</t>
  </si>
  <si>
    <t>Olivia Chow actually came back, so no adjustment</t>
  </si>
  <si>
    <t>actual tranposed</t>
  </si>
  <si>
    <t>new average</t>
  </si>
  <si>
    <t>Scarborough-Agincourt</t>
  </si>
  <si>
    <t>Witby-Oshawa</t>
  </si>
  <si>
    <t>Jim Flaherty leaving</t>
  </si>
  <si>
    <t>manitoba</t>
  </si>
  <si>
    <t>winipeg</t>
  </si>
  <si>
    <t>sask</t>
  </si>
  <si>
    <t>reginasaskatoon</t>
  </si>
  <si>
    <t>Manitoba</t>
  </si>
  <si>
    <t>Brandon—Souris</t>
  </si>
  <si>
    <t>Charleswood—St. James—Assiniboia—Headingley</t>
  </si>
  <si>
    <t>Churchill—Keewatinook Aski</t>
  </si>
  <si>
    <t>Dauphin—Swan River—Neepawa</t>
  </si>
  <si>
    <t>Elmwood—Transcona</t>
  </si>
  <si>
    <t>Kildonan—St. Paul</t>
  </si>
  <si>
    <t>Portage—Lisgar</t>
  </si>
  <si>
    <t>Saint Boniface—Saint Vital</t>
  </si>
  <si>
    <t>Selkirk—Interlake—Eastman</t>
  </si>
  <si>
    <t>Saskatchewan</t>
  </si>
  <si>
    <t>Battlefords—Lloydminster</t>
  </si>
  <si>
    <t>Cypress Hills—Grasslands</t>
  </si>
  <si>
    <t>Desnethé—Missinippi—Churchill River</t>
  </si>
  <si>
    <t>Humboldt—Warman—Martensville—Rosetown</t>
  </si>
  <si>
    <t>Moose Jaw—Lake Centre—Lanigan</t>
  </si>
  <si>
    <t>Regina—Lewvan</t>
  </si>
  <si>
    <t>Regina—Qu'Appelle</t>
  </si>
  <si>
    <t>Regina—Wascana</t>
  </si>
  <si>
    <t>Saskatoon—Grasswood</t>
  </si>
  <si>
    <t>Saskatoon—University</t>
  </si>
  <si>
    <t>Souris—Moose Mountain</t>
  </si>
  <si>
    <t>Yorkton—Melville</t>
  </si>
  <si>
    <t>By-election</t>
  </si>
  <si>
    <t>Note: riding changed a lot with redistribution</t>
  </si>
  <si>
    <t>averages</t>
  </si>
  <si>
    <t>Brandon-Souris</t>
  </si>
  <si>
    <t>Raw coefficients</t>
  </si>
  <si>
    <t>alberta</t>
  </si>
  <si>
    <t>edmonton</t>
  </si>
  <si>
    <t>calgary</t>
  </si>
  <si>
    <t>restofalberta</t>
  </si>
  <si>
    <t>Banff—Airdrie</t>
  </si>
  <si>
    <t>Battle River—Crowfoot</t>
  </si>
  <si>
    <t>Edmonton—Wetaskiwin</t>
  </si>
  <si>
    <t>Fort McMurray—Cold Lake</t>
  </si>
  <si>
    <t>Grande Prairie</t>
  </si>
  <si>
    <t>Medicine Hat</t>
  </si>
  <si>
    <t>Peace River—Westlock</t>
  </si>
  <si>
    <t>Red Deer—Wolf Creek</t>
  </si>
  <si>
    <t>Red Deer—Mountain View</t>
  </si>
  <si>
    <t>Sherwood Park—Fort Saskatchewan</t>
  </si>
  <si>
    <t>St. Albert—Edmonton</t>
  </si>
  <si>
    <t>Sturgeon River</t>
  </si>
  <si>
    <t>by-elections</t>
  </si>
  <si>
    <t>Calgary-center</t>
  </si>
  <si>
    <t>Prov. Polling average at the time</t>
  </si>
  <si>
    <t>MacLeod</t>
  </si>
  <si>
    <t>Note: riding has literally changed name, now it's foothill</t>
  </si>
  <si>
    <t>Fort-Murray Arthabaska</t>
  </si>
  <si>
    <t>vanisland</t>
  </si>
  <si>
    <t>vancouver</t>
  </si>
  <si>
    <t>vansuburb</t>
  </si>
  <si>
    <t>interiorbc</t>
  </si>
  <si>
    <t>projwin</t>
  </si>
  <si>
    <t>British Columbia/Colombie-Britannique</t>
  </si>
  <si>
    <t>Burnaby North—Seymour</t>
  </si>
  <si>
    <t>Cariboo—Prince George</t>
  </si>
  <si>
    <t>Central Okanagan—Similkameen—Nicola</t>
  </si>
  <si>
    <t>Chilliwack—Hope</t>
  </si>
  <si>
    <t>Cloverdale—Langley City</t>
  </si>
  <si>
    <t>Coquitlam—Port Coquitlam</t>
  </si>
  <si>
    <t>Courtenay—Alberni</t>
  </si>
  <si>
    <t>Cowichan—Malahat—Langford</t>
  </si>
  <si>
    <t>Saanich—Esquimalt—Juan de Fuca</t>
  </si>
  <si>
    <t>Fleetwood—Port Kells</t>
  </si>
  <si>
    <t>Kamloops—Thompson—Cariboo</t>
  </si>
  <si>
    <t>Kelowna—Lake Country</t>
  </si>
  <si>
    <t>Kootenay—Columbia</t>
  </si>
  <si>
    <t>Langley—Aldergrove</t>
  </si>
  <si>
    <t>Mission—Matsqui—Fraser Canyon</t>
  </si>
  <si>
    <t>Nanaimo—Ladysmith</t>
  </si>
  <si>
    <t>New Westminster—Burnaby</t>
  </si>
  <si>
    <t>Vancouver Island North—Comox—Powell River</t>
  </si>
  <si>
    <t>North Okanagan—Shuswap</t>
  </si>
  <si>
    <t>Pitt Meadows—Maple Ridge</t>
  </si>
  <si>
    <t>Port Moody—Coquitlam</t>
  </si>
  <si>
    <t>Prince George—Peace River—Northern Rockies</t>
  </si>
  <si>
    <t>Saanich—Gulf Islands</t>
  </si>
  <si>
    <t>suburbvan</t>
  </si>
  <si>
    <t>Skeena—Bulkley Valley</t>
  </si>
  <si>
    <t>interiobc</t>
  </si>
  <si>
    <t>South Okanagan—West Kootenay</t>
  </si>
  <si>
    <t>South Surrey—White Rock</t>
  </si>
  <si>
    <t>Steveston—Richmond East</t>
  </si>
  <si>
    <t>Surrey—Newton</t>
  </si>
  <si>
    <t>West Vancouver—Sunshine Coast—Sea to Sky Country</t>
  </si>
  <si>
    <t>Van Island</t>
  </si>
  <si>
    <t>Vancouver</t>
  </si>
  <si>
    <t>Suburb</t>
  </si>
  <si>
    <t>Victoria (23 august 2012)</t>
  </si>
  <si>
    <t>general</t>
  </si>
  <si>
    <t>average polls at that time</t>
  </si>
  <si>
    <t>Interior</t>
  </si>
  <si>
    <t>results</t>
  </si>
  <si>
    <t>vote1</t>
  </si>
  <si>
    <t>vote2</t>
  </si>
  <si>
    <t>vote3</t>
  </si>
  <si>
    <t>vote4</t>
  </si>
  <si>
    <t>winproj</t>
  </si>
  <si>
    <t>NW</t>
  </si>
  <si>
    <t>Ind</t>
  </si>
  <si>
    <t>Proba win election</t>
  </si>
  <si>
    <t>Prob majority</t>
  </si>
  <si>
    <t>Bonavista--Gander--Grand Falls--Windsor</t>
  </si>
  <si>
    <t>Humber--St. Barbe--Baie Verte</t>
  </si>
  <si>
    <t>Random--Burin--St. George's</t>
  </si>
  <si>
    <t>St. John's East/St. John's-Est</t>
  </si>
  <si>
    <t>St. John's South--Mount Pearl/St. John's-Sud--Mount Pearl</t>
  </si>
  <si>
    <t>Central Nova/Nova-Centre</t>
  </si>
  <si>
    <t>Halifax West/Halifax-Ouest</t>
  </si>
  <si>
    <t>Cumberland--Colchester--Musquodoboit Valley</t>
  </si>
  <si>
    <t>Sackville--Eastern Shore</t>
  </si>
  <si>
    <t>South Shore--St. Margaret's</t>
  </si>
  <si>
    <t>West Nova/Nova-Ouest</t>
  </si>
  <si>
    <t>Miramichi</t>
  </si>
  <si>
    <t>New Brunswick Southwest/Nouveau-Brunswick-Sud-Ouest</t>
  </si>
  <si>
    <t>Saint John</t>
  </si>
  <si>
    <t>Ahuntsic</t>
  </si>
  <si>
    <t>Argenteuil--Papineau--Mirabel</t>
  </si>
  <si>
    <t>Beauharnois--Salaberry</t>
  </si>
  <si>
    <t>Brossard--La Prairie</t>
  </si>
  <si>
    <t>Chambly--Borduas</t>
  </si>
  <si>
    <t>Montmorency--Charlevoix--Haute-Côte-Nord</t>
  </si>
  <si>
    <t>Châteauguay--Saint-Constant</t>
  </si>
  <si>
    <t>Gaspésie--Îles-de-la-Madeleine</t>
  </si>
  <si>
    <t>Jeanne-Le Ber</t>
  </si>
  <si>
    <t>Jonquière--Alma</t>
  </si>
  <si>
    <t>LaSalle--Émard</t>
  </si>
  <si>
    <t>Laval</t>
  </si>
  <si>
    <t>Lévis--Bellechasse</t>
  </si>
  <si>
    <t>Longueuil--Pierre-Boucher</t>
  </si>
  <si>
    <t>Lotbinière--Chutes-de-la-Chaudière</t>
  </si>
  <si>
    <t>Haute-Gaspésie--La Mitis--Matane--Matapédia</t>
  </si>
  <si>
    <t>Mount Royal/Mont-Royal</t>
  </si>
  <si>
    <t>Notre-Dame-de-Grâce--Lachine</t>
  </si>
  <si>
    <t>Bas-Richelieu--Nicolet--Bécancour</t>
  </si>
  <si>
    <t>Roberval--Lac-Saint-Jean</t>
  </si>
  <si>
    <t>Saint-Bruno--Saint-Hubert</t>
  </si>
  <si>
    <t>Saint-Lambert</t>
  </si>
  <si>
    <t>Saint-Laurent--Cartierville</t>
  </si>
  <si>
    <t>Terrebonne--Blainville</t>
  </si>
  <si>
    <t>Vaudreuil-Soulanges</t>
  </si>
  <si>
    <t>Verchères--Les Patriotes</t>
  </si>
  <si>
    <t>Westmount--Ville-Marie</t>
  </si>
  <si>
    <t>Ajax--Pickering</t>
  </si>
  <si>
    <t>Ancaster--Dundas--Flamborough--Westdale</t>
  </si>
  <si>
    <t>Barrie</t>
  </si>
  <si>
    <t>Bramalea--Gore--Malton</t>
  </si>
  <si>
    <t>Brampton--Springdale</t>
  </si>
  <si>
    <t>Brampton West/Brampton-Ouest</t>
  </si>
  <si>
    <t>Carleton--Mississippi Mills</t>
  </si>
  <si>
    <t>Chatham-Kent--Essex</t>
  </si>
  <si>
    <t>Don Valley East/Don Valley-Est</t>
  </si>
  <si>
    <t>Don Valley West/Don Valley-Ouest</t>
  </si>
  <si>
    <t>Etobicoke Centre/Etobicoke-Centre</t>
  </si>
  <si>
    <t>Etobicoke North/Etobicoke-Nord</t>
  </si>
  <si>
    <t>Halton</t>
  </si>
  <si>
    <t>Hamilton Centre/Hamilton-Centre</t>
  </si>
  <si>
    <t>Hamilton East--Stoney Creek/Hamilton-Est--Stoney Creek</t>
  </si>
  <si>
    <t>Kingston and the Islands/Kingston et les Îles</t>
  </si>
  <si>
    <t>Kitchener Centre/Kitchener-Centre</t>
  </si>
  <si>
    <t>Kitchener--Waterloo</t>
  </si>
  <si>
    <t>Lanark--Frontenac--Lennox and Addington</t>
  </si>
  <si>
    <t>Leeds--Grenville</t>
  </si>
  <si>
    <t>London North Centre/London-Centre-Nord</t>
  </si>
  <si>
    <t>London West/London-Ouest</t>
  </si>
  <si>
    <t>Mississauga--Brampton South/Mississauga--Brampton-Sud</t>
  </si>
  <si>
    <t>Mississauga East--Cooksville/Mississauga-Est--Cooksville</t>
  </si>
  <si>
    <t>Mississauga--Erindale</t>
  </si>
  <si>
    <t>Mississauga South/Mississauga-Sud</t>
  </si>
  <si>
    <t>Nepean--Carleton</t>
  </si>
  <si>
    <t>Niagara West--Glanbrook/Niagara-Ouest--Glanbrook</t>
  </si>
  <si>
    <t>Northumberland--Quinte West</t>
  </si>
  <si>
    <t>Oak Ridges--Markham</t>
  </si>
  <si>
    <t>Ottawa Centre/Ottawa-Centre</t>
  </si>
  <si>
    <t>Ottawa--Orléans</t>
  </si>
  <si>
    <t>Ottawa South/Ottawa-Sud</t>
  </si>
  <si>
    <t>Ottawa West--Nepean/Ottawa-Ouest--Nepean</t>
  </si>
  <si>
    <t>Pickering--Scarborough East/Pickering--Scarborough-Est</t>
  </si>
  <si>
    <t>Prince Edward--Hastings</t>
  </si>
  <si>
    <t>Scarborough Centre/Scarborough-Centre</t>
  </si>
  <si>
    <t>Scarborough--Rouge River</t>
  </si>
  <si>
    <t>Scarborough Southwest/Scarborough-Sud-Ouest</t>
  </si>
  <si>
    <t>Simcoe North/Simcoe-Nord</t>
  </si>
  <si>
    <t>Thunder Bay--Superior North/Thunder Bay--Superior-Nord</t>
  </si>
  <si>
    <t>Timmins--James Bay/Timmins--Baie James</t>
  </si>
  <si>
    <t>Toronto Centre/Toronto-Centre</t>
  </si>
  <si>
    <t>Trinity--Spadina</t>
  </si>
  <si>
    <t>Vaughan</t>
  </si>
  <si>
    <t>Welland</t>
  </si>
  <si>
    <t>Whitby--Oshawa</t>
  </si>
  <si>
    <t>Windsor West/Windsor-Ouest</t>
  </si>
  <si>
    <t>York Centre/York-Centre</t>
  </si>
  <si>
    <t>York South--Weston/York-Sud--Weston</t>
  </si>
  <si>
    <t>York West/York-Ouest</t>
  </si>
  <si>
    <t>Charleswood--St. James--Assiniboia</t>
  </si>
  <si>
    <t>Churchill</t>
  </si>
  <si>
    <t>Dauphin--Swan River--Marquette</t>
  </si>
  <si>
    <t>Saint Boniface/Saint-Boniface</t>
  </si>
  <si>
    <t>Selkirk--Interlake</t>
  </si>
  <si>
    <t>Winnipeg Centre/Winnipeg-Centre</t>
  </si>
  <si>
    <t>Winnipeg North/Winnipeg-Nord</t>
  </si>
  <si>
    <t>Winnipeg South/Winnipeg-Sud</t>
  </si>
  <si>
    <t>Winnipeg South Centre/Winnipeg-Centre-Sud</t>
  </si>
  <si>
    <t>Blackstrap</t>
  </si>
  <si>
    <t>Desnethé--Missinippi--Churchill River/Desnethé--Missinippi--Rivière Churchill</t>
  </si>
  <si>
    <t>Palliser</t>
  </si>
  <si>
    <t>Regina--Lumsden--Lake Centre</t>
  </si>
  <si>
    <t>Saskatoon--Humboldt</t>
  </si>
  <si>
    <t>Saskatoon--Rosetown--Biggar</t>
  </si>
  <si>
    <t>Saskatoon--Wanuskewin</t>
  </si>
  <si>
    <t>Wascana</t>
  </si>
  <si>
    <t>Fort McMurray--Athabasca</t>
  </si>
  <si>
    <t>Calgary East/Calgary-Est</t>
  </si>
  <si>
    <t>Calgary Centre-North/Calgary-Centre-Nord</t>
  </si>
  <si>
    <t>Calgary Northeast/Calgary-Nord-Est</t>
  </si>
  <si>
    <t>Calgary--Nose Hill</t>
  </si>
  <si>
    <t>Calgary Centre/Calgary-Centre</t>
  </si>
  <si>
    <t>Calgary Southeast/Calgary-Sud-Est</t>
  </si>
  <si>
    <t>Calgary Southwest/Calgary-Sud-Ouest</t>
  </si>
  <si>
    <t>Calgary West/Calgary-Ouest</t>
  </si>
  <si>
    <t>Crowfoot</t>
  </si>
  <si>
    <t>Edmonton--Mill Woods--Beaumont</t>
  </si>
  <si>
    <t>Edmonton Centre/Edmonton-Centre</t>
  </si>
  <si>
    <t>Edmonton East/Edmonton-Est</t>
  </si>
  <si>
    <t>Edmonton--Leduc</t>
  </si>
  <si>
    <t>Edmonton--St. Albert</t>
  </si>
  <si>
    <t>Edmonton--Sherwood Park</t>
  </si>
  <si>
    <t>Edmonton--Spruce Grove</t>
  </si>
  <si>
    <t>Edmonton--Strathcona</t>
  </si>
  <si>
    <t>Macleod</t>
  </si>
  <si>
    <t>Peace River</t>
  </si>
  <si>
    <t>Red Deer</t>
  </si>
  <si>
    <t>Vegreville--Wainwright</t>
  </si>
  <si>
    <t>Westlock--St. Paul</t>
  </si>
  <si>
    <t>Wetaskiwin</t>
  </si>
  <si>
    <t>Wild Rose</t>
  </si>
  <si>
    <t>Burnaby--Douglas</t>
  </si>
  <si>
    <t>Burnaby--New Westminster</t>
  </si>
  <si>
    <t>Chilliwack--Fraser Canyon</t>
  </si>
  <si>
    <t>Delta--Richmond East/Delta--Richmond-Est</t>
  </si>
  <si>
    <t>Pitt Meadows--Maple Ridge--Mission</t>
  </si>
  <si>
    <t>Esquimalt--Juan de Fuca</t>
  </si>
  <si>
    <t>Langley</t>
  </si>
  <si>
    <t>Nanaimo--Alberni</t>
  </si>
  <si>
    <t>Nanaimo--Cowichan</t>
  </si>
  <si>
    <t>Newton--North Delta/Newton--Delta-Nord</t>
  </si>
  <si>
    <t>New Westminster--Coquitlam</t>
  </si>
  <si>
    <t>Okanagan--Shuswap</t>
  </si>
  <si>
    <t>Okanagan--Coquihalla</t>
  </si>
  <si>
    <t>Port Moody--Westwood--Port Coquitlam</t>
  </si>
  <si>
    <t>Prince George--Peace River</t>
  </si>
  <si>
    <t>Richmond</t>
  </si>
  <si>
    <t>British Columbia Southern Interior/Colombie-Britannique-Southern Interior</t>
  </si>
  <si>
    <t>South Surrey--White Rock--Cloverdale/Surrey-Sud--White Rock--Cloverdale</t>
  </si>
  <si>
    <t>Surrey North/Surrey-Nord</t>
  </si>
  <si>
    <t>Vancouver Centre/Vancouver-Centre</t>
  </si>
  <si>
    <t>Vancouver East/Vancouver-Est</t>
  </si>
  <si>
    <t>Vancouver Island North/Île de Vancouver-Nord</t>
  </si>
  <si>
    <t>Vancouver South/Vancouver-Sud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</si>
</sst>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"/>
  </numFmts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223"/>
        <bgColor indexed="64"/>
      </patternFill>
    </fill>
    <fill>
      <patternFill patternType="solid">
        <fgColor rgb="FF11933C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8">
    <xf numFmtId="0" fontId="0" fillId="0" borderId="0" xfId="0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 applyAlignment="1">
      <alignment horizontal="center"/>
    </xf>
    <xf numFmtId="2" fontId="0" fillId="0" borderId="0" xfId="0" applyNumberFormat="1" applyFill="1"/>
    <xf numFmtId="2" fontId="0" fillId="2" borderId="0" xfId="0" applyNumberFormat="1" applyFill="1"/>
    <xf numFmtId="164" fontId="0" fillId="0" borderId="0" xfId="0" applyNumberFormat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2" fontId="0" fillId="9" borderId="0" xfId="0" applyNumberFormat="1" applyFill="1"/>
    <xf numFmtId="2" fontId="0" fillId="10" borderId="0" xfId="0" applyNumberFormat="1" applyFill="1"/>
    <xf numFmtId="2" fontId="0" fillId="11" borderId="0" xfId="0" applyNumberFormat="1" applyFill="1"/>
    <xf numFmtId="2" fontId="0" fillId="12" borderId="0" xfId="0" applyNumberFormat="1" applyFill="1"/>
    <xf numFmtId="2" fontId="0" fillId="13" borderId="0" xfId="0" applyNumberFormat="1" applyFill="1"/>
    <xf numFmtId="0" fontId="6" fillId="3" borderId="5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64" fontId="0" fillId="0" borderId="1" xfId="0" applyNumberFormat="1" applyBorder="1" applyAlignment="1">
      <alignment horizontal="center"/>
    </xf>
    <xf numFmtId="9" fontId="0" fillId="0" borderId="0" xfId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top"/>
    </xf>
    <xf numFmtId="165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2" fontId="0" fillId="14" borderId="0" xfId="0" applyNumberFormat="1" applyFill="1"/>
    <xf numFmtId="164" fontId="0" fillId="15" borderId="0" xfId="0" applyNumberFormat="1" applyFill="1"/>
    <xf numFmtId="166" fontId="0" fillId="12" borderId="0" xfId="0" applyNumberFormat="1" applyFill="1"/>
    <xf numFmtId="166" fontId="0" fillId="10" borderId="0" xfId="0" applyNumberFormat="1" applyFill="1"/>
    <xf numFmtId="166" fontId="0" fillId="9" borderId="0" xfId="0" applyNumberFormat="1" applyFill="1"/>
    <xf numFmtId="166" fontId="0" fillId="2" borderId="0" xfId="0" applyNumberFormat="1" applyFill="1"/>
    <xf numFmtId="165" fontId="0" fillId="0" borderId="0" xfId="1" applyNumberFormat="1" applyFont="1" applyAlignment="1">
      <alignment horizontal="center"/>
    </xf>
    <xf numFmtId="164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7" fontId="0" fillId="0" borderId="0" xfId="0" applyNumberFormat="1"/>
    <xf numFmtId="0" fontId="0" fillId="15" borderId="0" xfId="0" applyFill="1"/>
    <xf numFmtId="0" fontId="0" fillId="12" borderId="0" xfId="0" applyFill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15" borderId="0" xfId="0" applyNumberFormat="1" applyFill="1"/>
    <xf numFmtId="0" fontId="6" fillId="0" borderId="0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9" fontId="0" fillId="0" borderId="1" xfId="1" applyNumberFormat="1" applyFont="1" applyBorder="1" applyAlignment="1">
      <alignment horizontal="center"/>
    </xf>
    <xf numFmtId="9" fontId="0" fillId="0" borderId="1" xfId="0" applyNumberFormat="1" applyFont="1" applyBorder="1"/>
    <xf numFmtId="9" fontId="0" fillId="0" borderId="1" xfId="0" applyNumberFormat="1" applyBorder="1"/>
    <xf numFmtId="164" fontId="7" fillId="0" borderId="0" xfId="0" applyNumberFormat="1" applyFont="1" applyFill="1"/>
    <xf numFmtId="0" fontId="5" fillId="0" borderId="0" xfId="0" applyFont="1" applyFill="1" applyAlignment="1">
      <alignment horizontal="left" vertical="center" wrapText="1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9" fontId="0" fillId="0" borderId="1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164" fontId="0" fillId="18" borderId="0" xfId="0" applyNumberFormat="1" applyFill="1"/>
    <xf numFmtId="11" fontId="0" fillId="0" borderId="0" xfId="0" applyNumberFormat="1"/>
    <xf numFmtId="0" fontId="5" fillId="0" borderId="0" xfId="0" applyFont="1" applyAlignment="1">
      <alignment horizontal="left" vertical="center" wrapText="1"/>
    </xf>
    <xf numFmtId="0" fontId="0" fillId="19" borderId="0" xfId="0" applyFill="1"/>
    <xf numFmtId="0" fontId="0" fillId="8" borderId="2" xfId="0" applyFill="1" applyBorder="1" applyAlignment="1">
      <alignment horizontal="center" vertical="center" textRotation="90"/>
    </xf>
    <xf numFmtId="0" fontId="0" fillId="0" borderId="0" xfId="0" applyAlignment="1">
      <alignment horizontal="left" wrapText="1"/>
    </xf>
    <xf numFmtId="0" fontId="0" fillId="8" borderId="2" xfId="0" applyFont="1" applyFill="1" applyBorder="1" applyAlignment="1">
      <alignment horizontal="center" vertical="center" textRotation="90" wrapText="1"/>
    </xf>
    <xf numFmtId="0" fontId="0" fillId="8" borderId="2" xfId="0" applyFont="1" applyFill="1" applyBorder="1" applyAlignment="1">
      <alignment horizontal="center" vertical="center" textRotation="90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11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colors>
    <mruColors>
      <color rgb="FFEA0000"/>
      <color rgb="FF11933C"/>
      <color rgb="FF14AC47"/>
      <color rgb="FFF582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showGridLines="0" tabSelected="1" zoomScale="80" zoomScaleNormal="80" workbookViewId="0">
      <selection activeCell="B331" sqref="A331:XFD331"/>
    </sheetView>
  </sheetViews>
  <sheetFormatPr defaultRowHeight="15"/>
  <cols>
    <col min="1" max="1" width="3.28515625" customWidth="1"/>
    <col min="2" max="2" width="33.42578125" customWidth="1"/>
    <col min="3" max="7" width="7.28515625" customWidth="1"/>
    <col min="8" max="8" width="5.7109375" style="4" customWidth="1"/>
    <col min="9" max="9" width="4.140625" customWidth="1"/>
    <col min="10" max="14" width="6.7109375" customWidth="1"/>
    <col min="15" max="15" width="5.7109375" customWidth="1"/>
  </cols>
  <sheetData>
    <row r="1" spans="2:14" ht="34.5" customHeight="1">
      <c r="B1" s="84" t="s">
        <v>0</v>
      </c>
      <c r="C1" s="84"/>
      <c r="D1" s="84"/>
      <c r="E1" s="84"/>
      <c r="F1" s="84"/>
      <c r="G1" s="77"/>
      <c r="H1" s="65"/>
      <c r="I1" s="77"/>
      <c r="J1" s="87" t="s">
        <v>1</v>
      </c>
      <c r="K1" s="87"/>
      <c r="L1" s="87"/>
      <c r="M1" s="87"/>
    </row>
    <row r="2" spans="2:14" ht="30" customHeight="1">
      <c r="B2" s="85">
        <v>42295</v>
      </c>
      <c r="C2" s="86"/>
      <c r="J2" s="39" t="s">
        <v>2</v>
      </c>
      <c r="K2" s="41"/>
      <c r="L2" s="41"/>
      <c r="M2" s="41"/>
    </row>
    <row r="3" spans="2:14">
      <c r="B3" s="10" t="s">
        <v>3</v>
      </c>
      <c r="C3" s="19" t="s">
        <v>4</v>
      </c>
      <c r="D3" s="20" t="s">
        <v>5</v>
      </c>
      <c r="E3" s="21" t="s">
        <v>6</v>
      </c>
      <c r="F3" s="22" t="s">
        <v>7</v>
      </c>
      <c r="G3" s="23" t="s">
        <v>8</v>
      </c>
      <c r="H3" s="59"/>
    </row>
    <row r="4" spans="2:14">
      <c r="B4" s="11" t="s">
        <v>9</v>
      </c>
      <c r="C4" s="36">
        <v>20.449898709160475</v>
      </c>
      <c r="D4" s="36">
        <v>53.549196033028345</v>
      </c>
      <c r="E4" s="36">
        <v>20.406083742912219</v>
      </c>
      <c r="F4" s="36">
        <v>4.2732469538482292</v>
      </c>
      <c r="G4" s="36"/>
      <c r="H4" s="66"/>
    </row>
    <row r="5" spans="2:14">
      <c r="B5" s="11" t="s">
        <v>10</v>
      </c>
      <c r="C5" s="36">
        <v>19.389358999373254</v>
      </c>
      <c r="D5" s="36">
        <v>29.681185844019417</v>
      </c>
      <c r="E5" s="36">
        <v>27.119703827889612</v>
      </c>
      <c r="F5" s="36">
        <v>2.6337326681339426</v>
      </c>
      <c r="G5" s="36">
        <v>20.514489950073141</v>
      </c>
      <c r="H5" s="66"/>
      <c r="I5" s="3"/>
    </row>
    <row r="6" spans="2:14">
      <c r="B6" s="11" t="s">
        <v>11</v>
      </c>
      <c r="C6" s="36">
        <v>34.242686606575774</v>
      </c>
      <c r="D6" s="36">
        <v>43.246223165186969</v>
      </c>
      <c r="E6" s="36">
        <v>18.719596598704921</v>
      </c>
      <c r="F6" s="36">
        <v>3.3929417202617134</v>
      </c>
      <c r="G6" s="36"/>
      <c r="H6" s="66"/>
    </row>
    <row r="7" spans="2:14">
      <c r="B7" s="11" t="s">
        <v>12</v>
      </c>
      <c r="C7" s="36">
        <v>40.605482885714672</v>
      </c>
      <c r="D7" s="36">
        <v>33.591966465235735</v>
      </c>
      <c r="E7" s="36">
        <v>21.760170292963746</v>
      </c>
      <c r="F7" s="36">
        <v>3.6419589099295941</v>
      </c>
      <c r="G7" s="36"/>
      <c r="H7" s="66"/>
    </row>
    <row r="8" spans="2:14">
      <c r="B8" s="11" t="s">
        <v>13</v>
      </c>
      <c r="C8" s="36">
        <v>54.823307583568258</v>
      </c>
      <c r="D8" s="36">
        <v>25.24355542853921</v>
      </c>
      <c r="E8" s="36">
        <v>16.004765379473866</v>
      </c>
      <c r="F8" s="36">
        <v>3.3054712838938656</v>
      </c>
      <c r="G8" s="36"/>
      <c r="H8" s="66"/>
      <c r="J8" s="80" t="s">
        <v>14</v>
      </c>
      <c r="K8" s="80"/>
      <c r="L8" s="80"/>
      <c r="M8" s="80"/>
      <c r="N8" s="80"/>
    </row>
    <row r="9" spans="2:14" ht="15" customHeight="1">
      <c r="B9" s="11" t="s">
        <v>15</v>
      </c>
      <c r="C9" s="36">
        <v>32.842611359463085</v>
      </c>
      <c r="D9" s="36">
        <v>32.213966881046851</v>
      </c>
      <c r="E9" s="36">
        <v>26.143404513951548</v>
      </c>
      <c r="F9" s="36">
        <v>8.5349080543286853</v>
      </c>
      <c r="G9" s="36"/>
      <c r="H9" s="66"/>
      <c r="J9" s="80"/>
      <c r="K9" s="80"/>
      <c r="L9" s="80"/>
      <c r="M9" s="80"/>
      <c r="N9" s="80"/>
    </row>
    <row r="10" spans="2:14">
      <c r="B10" s="11" t="s">
        <v>16</v>
      </c>
      <c r="C10" s="36">
        <v>32.539287743456917</v>
      </c>
      <c r="D10" s="36">
        <v>36.785820066280685</v>
      </c>
      <c r="E10" s="36">
        <v>21.399000556328229</v>
      </c>
      <c r="F10" s="36">
        <v>4.0539702916902849</v>
      </c>
      <c r="G10" s="36">
        <v>4.5882837186875429</v>
      </c>
      <c r="H10" s="66"/>
      <c r="I10" s="3"/>
      <c r="J10" s="80"/>
      <c r="K10" s="80"/>
      <c r="L10" s="80"/>
      <c r="M10" s="80"/>
      <c r="N10" s="80"/>
    </row>
    <row r="11" spans="2:14">
      <c r="B11" s="11"/>
      <c r="C11" s="12"/>
      <c r="D11" s="12"/>
      <c r="E11" s="12"/>
      <c r="F11" s="12"/>
      <c r="G11" s="12"/>
      <c r="H11" s="67"/>
      <c r="J11" s="80"/>
      <c r="K11" s="80"/>
      <c r="L11" s="80"/>
      <c r="M11" s="80"/>
      <c r="N11" s="80"/>
    </row>
    <row r="12" spans="2:14">
      <c r="B12" s="10" t="s">
        <v>17</v>
      </c>
      <c r="C12" s="12"/>
      <c r="D12" s="12"/>
      <c r="E12" s="12"/>
      <c r="F12" s="12"/>
      <c r="G12" s="12"/>
      <c r="H12" s="67"/>
    </row>
    <row r="13" spans="2:14">
      <c r="B13" s="11" t="s">
        <v>9</v>
      </c>
      <c r="C13" s="12">
        <f>Atlantic!BD35</f>
        <v>0</v>
      </c>
      <c r="D13" s="12">
        <f>Atlantic!BE35</f>
        <v>29</v>
      </c>
      <c r="E13" s="12">
        <f>Atlantic!BF35</f>
        <v>3</v>
      </c>
      <c r="F13" s="12">
        <f>Atlantic!BG35</f>
        <v>0</v>
      </c>
      <c r="G13" s="12"/>
      <c r="H13" s="67"/>
      <c r="J13" s="29" t="s">
        <v>4</v>
      </c>
      <c r="K13" s="30" t="s">
        <v>5</v>
      </c>
      <c r="L13" s="31" t="s">
        <v>6</v>
      </c>
      <c r="M13" s="32" t="s">
        <v>7</v>
      </c>
      <c r="N13" s="33" t="s">
        <v>8</v>
      </c>
    </row>
    <row r="14" spans="2:14">
      <c r="B14" s="11" t="s">
        <v>10</v>
      </c>
      <c r="C14" s="12">
        <f>Quebec!BP81</f>
        <v>11</v>
      </c>
      <c r="D14" s="12">
        <f>Quebec!BQ81</f>
        <v>26</v>
      </c>
      <c r="E14" s="12">
        <f>Quebec!BR81</f>
        <v>33</v>
      </c>
      <c r="F14" s="12">
        <f>Quebec!BS81</f>
        <v>0</v>
      </c>
      <c r="G14" s="12">
        <f>Quebec!BT81</f>
        <v>8</v>
      </c>
      <c r="H14" s="67"/>
      <c r="J14" s="40">
        <v>0.182</v>
      </c>
      <c r="K14" s="40">
        <v>0.81799999999999995</v>
      </c>
      <c r="L14" s="40">
        <f>Proba!N3/Proba!$Q3</f>
        <v>0</v>
      </c>
      <c r="M14" s="40">
        <f>Proba!O3/Proba!$Q3</f>
        <v>0</v>
      </c>
      <c r="N14" s="40">
        <f>Proba!P3/Proba!$Q3</f>
        <v>0</v>
      </c>
    </row>
    <row r="15" spans="2:14">
      <c r="B15" s="11" t="s">
        <v>11</v>
      </c>
      <c r="C15" s="12">
        <f>Ontario!BJ124</f>
        <v>42</v>
      </c>
      <c r="D15" s="12">
        <f>Ontario!BK124</f>
        <v>64</v>
      </c>
      <c r="E15" s="12">
        <f>Ontario!BL124</f>
        <v>15</v>
      </c>
      <c r="F15" s="12">
        <f>Ontario!BM124</f>
        <v>0</v>
      </c>
      <c r="G15" s="12"/>
      <c r="H15" s="67"/>
      <c r="J15" s="48">
        <f>Proba!L6</f>
        <v>0</v>
      </c>
      <c r="K15" s="48">
        <v>0.1055</v>
      </c>
      <c r="L15" s="48">
        <f>Proba!N6</f>
        <v>0</v>
      </c>
      <c r="M15" s="48">
        <f>Proba!O6</f>
        <v>0</v>
      </c>
      <c r="N15" s="48">
        <f>Proba!P6</f>
        <v>0</v>
      </c>
    </row>
    <row r="16" spans="2:14">
      <c r="B16" s="11" t="s">
        <v>12</v>
      </c>
      <c r="C16" s="12">
        <f>Prairies!BB31</f>
        <v>17</v>
      </c>
      <c r="D16" s="12">
        <f>Prairies!BC31</f>
        <v>5</v>
      </c>
      <c r="E16" s="12">
        <f>Prairies!BD31</f>
        <v>6</v>
      </c>
      <c r="F16" s="12">
        <f>Prairies!BE31</f>
        <v>0</v>
      </c>
      <c r="G16" s="12"/>
      <c r="H16" s="67"/>
    </row>
    <row r="17" spans="1:15">
      <c r="B17" s="11" t="s">
        <v>13</v>
      </c>
      <c r="C17" s="12">
        <f>Alberta!BC37</f>
        <v>32</v>
      </c>
      <c r="D17" s="12">
        <f>Alberta!BD37</f>
        <v>0</v>
      </c>
      <c r="E17" s="12">
        <f>Alberta!BE37</f>
        <v>2</v>
      </c>
      <c r="F17" s="12">
        <f>Alberta!BF37</f>
        <v>0</v>
      </c>
      <c r="G17" s="12"/>
      <c r="H17" s="67"/>
    </row>
    <row r="18" spans="1:15">
      <c r="B18" s="11" t="s">
        <v>15</v>
      </c>
      <c r="C18" s="12">
        <f>BC!BA45</f>
        <v>18</v>
      </c>
      <c r="D18" s="12">
        <f>BC!BB45</f>
        <v>11</v>
      </c>
      <c r="E18" s="12">
        <f>BC!BC45</f>
        <v>12</v>
      </c>
      <c r="F18" s="12">
        <f>BC!BD45</f>
        <v>1</v>
      </c>
      <c r="G18" s="12"/>
      <c r="H18" s="67"/>
    </row>
    <row r="19" spans="1:15" ht="15" customHeight="1">
      <c r="B19" s="11" t="s">
        <v>18</v>
      </c>
      <c r="C19" s="12">
        <f>Territories!AM6</f>
        <v>0</v>
      </c>
      <c r="D19" s="12">
        <f>Territories!AN6</f>
        <v>2</v>
      </c>
      <c r="E19" s="12">
        <f>Territories!AO6</f>
        <v>1</v>
      </c>
      <c r="F19" s="12">
        <f>Territories!AP6</f>
        <v>0</v>
      </c>
      <c r="G19" s="12"/>
      <c r="H19" s="67"/>
      <c r="J19" s="83" t="s">
        <v>19</v>
      </c>
      <c r="K19" s="83"/>
      <c r="L19" s="83"/>
      <c r="M19" s="83"/>
      <c r="N19" s="83"/>
    </row>
    <row r="20" spans="1:15">
      <c r="B20" s="11"/>
      <c r="C20" s="12"/>
      <c r="D20" s="12"/>
      <c r="E20" s="12"/>
      <c r="F20" s="12"/>
      <c r="G20" s="12"/>
      <c r="H20" s="67"/>
      <c r="J20" s="83"/>
      <c r="K20" s="83"/>
      <c r="L20" s="83"/>
      <c r="M20" s="83"/>
      <c r="N20" s="83"/>
    </row>
    <row r="21" spans="1:15">
      <c r="B21" s="11" t="s">
        <v>20</v>
      </c>
      <c r="C21" s="12">
        <f>SUM(C13:C19)</f>
        <v>120</v>
      </c>
      <c r="D21" s="12">
        <f>SUM(D13:D19)</f>
        <v>137</v>
      </c>
      <c r="E21" s="12">
        <f>SUM(E13:E19)</f>
        <v>72</v>
      </c>
      <c r="F21" s="12">
        <f>SUM(F13:F19)</f>
        <v>1</v>
      </c>
      <c r="G21" s="12">
        <f>SUM(G13:G19)</f>
        <v>8</v>
      </c>
      <c r="H21" s="67"/>
      <c r="J21" s="83"/>
      <c r="K21" s="83"/>
      <c r="L21" s="83"/>
      <c r="M21" s="83"/>
      <c r="N21" s="83"/>
    </row>
    <row r="22" spans="1:15">
      <c r="B22" s="13"/>
      <c r="C22" s="13"/>
      <c r="D22" s="13"/>
      <c r="E22" s="13"/>
      <c r="F22" s="13"/>
      <c r="G22" s="13"/>
      <c r="H22" s="68"/>
    </row>
    <row r="23" spans="1:15">
      <c r="A23" s="18"/>
      <c r="B23" s="16" t="s">
        <v>21</v>
      </c>
      <c r="C23" s="19" t="s">
        <v>4</v>
      </c>
      <c r="D23" s="20" t="s">
        <v>5</v>
      </c>
      <c r="E23" s="21" t="s">
        <v>6</v>
      </c>
      <c r="F23" s="22" t="s">
        <v>7</v>
      </c>
      <c r="G23" s="23" t="s">
        <v>8</v>
      </c>
      <c r="H23" s="60" t="s">
        <v>22</v>
      </c>
      <c r="J23" s="29" t="s">
        <v>4</v>
      </c>
      <c r="K23" s="30" t="s">
        <v>5</v>
      </c>
      <c r="L23" s="31" t="s">
        <v>6</v>
      </c>
      <c r="M23" s="32" t="s">
        <v>7</v>
      </c>
      <c r="N23" s="33" t="s">
        <v>8</v>
      </c>
      <c r="O23" s="60" t="s">
        <v>22</v>
      </c>
    </row>
    <row r="24" spans="1:15" s="9" customFormat="1">
      <c r="A24" s="81" t="s">
        <v>23</v>
      </c>
      <c r="B24" t="s">
        <v>24</v>
      </c>
      <c r="C24" s="14">
        <f>Atlantic!AO2/Atlantic!$AT2</f>
        <v>0.13475955797008263</v>
      </c>
      <c r="D24" s="14">
        <f>Atlantic!AP2/Atlantic!$AT2</f>
        <v>0.52085175790059413</v>
      </c>
      <c r="E24" s="14">
        <f>Atlantic!AQ2/Atlantic!$AT2</f>
        <v>0.13268155060977582</v>
      </c>
      <c r="F24" s="14">
        <f>Atlantic!AR2/Atlantic!$AT2</f>
        <v>1.9316366353262802E-2</v>
      </c>
      <c r="G24" s="14"/>
      <c r="H24" s="69">
        <f>Atlantic!AS2/Atlantic!$AT2</f>
        <v>0.19239076716628462</v>
      </c>
      <c r="J24" s="61">
        <f>Proba!B3/Proba!$H3</f>
        <v>0</v>
      </c>
      <c r="K24" s="61">
        <f>Proba!C3/Proba!$H3</f>
        <v>1</v>
      </c>
      <c r="L24" s="61">
        <f>Proba!D3/Proba!$H3</f>
        <v>0</v>
      </c>
      <c r="M24" s="61">
        <f>Proba!E3/Proba!$H3</f>
        <v>0</v>
      </c>
      <c r="N24" s="62"/>
      <c r="O24" s="61">
        <f>Proba!G3/Proba!$H3</f>
        <v>0</v>
      </c>
    </row>
    <row r="25" spans="1:15" s="9" customFormat="1">
      <c r="A25" s="81"/>
      <c r="B25" t="s">
        <v>25</v>
      </c>
      <c r="C25" s="14">
        <f>Atlantic!AO3/Atlantic!$AT3</f>
        <v>0.13216162201554357</v>
      </c>
      <c r="D25" s="14">
        <f>Atlantic!AP3/Atlantic!$AT3</f>
        <v>0.79696488618331329</v>
      </c>
      <c r="E25" s="14">
        <f>Atlantic!AQ3/Atlantic!$AT3</f>
        <v>4.9121964281091203E-2</v>
      </c>
      <c r="F25" s="14">
        <f>Atlantic!AR3/Atlantic!$AT3</f>
        <v>2.1751527520052012E-2</v>
      </c>
      <c r="G25" s="15"/>
      <c r="H25" s="70"/>
      <c r="J25" s="61">
        <f>Proba!B4/Proba!$H4</f>
        <v>0</v>
      </c>
      <c r="K25" s="61">
        <f>Proba!C4/Proba!$H4</f>
        <v>1</v>
      </c>
      <c r="L25" s="61">
        <f>Proba!D4/Proba!$H4</f>
        <v>0</v>
      </c>
      <c r="M25" s="61">
        <f>Proba!E4/Proba!$H4</f>
        <v>0</v>
      </c>
      <c r="N25" s="62"/>
      <c r="O25" s="34"/>
    </row>
    <row r="26" spans="1:15" s="9" customFormat="1">
      <c r="A26" s="81"/>
      <c r="B26" t="s">
        <v>26</v>
      </c>
      <c r="C26" s="14">
        <f>Atlantic!AO4/Atlantic!$AT4</f>
        <v>0.13031815204579619</v>
      </c>
      <c r="D26" s="14">
        <f>Atlantic!AP4/Atlantic!$AT4</f>
        <v>0.8019791120355545</v>
      </c>
      <c r="E26" s="14">
        <f>Atlantic!AQ4/Atlantic!$AT4</f>
        <v>4.5864066405641744E-2</v>
      </c>
      <c r="F26" s="14">
        <f>Atlantic!AR4/Atlantic!$AT4</f>
        <v>2.1838669513007676E-2</v>
      </c>
      <c r="G26" s="15"/>
      <c r="H26" s="70"/>
      <c r="J26" s="61">
        <f>Proba!B5/Proba!$H5</f>
        <v>0</v>
      </c>
      <c r="K26" s="61">
        <f>Proba!C5/Proba!$H5</f>
        <v>1</v>
      </c>
      <c r="L26" s="61">
        <f>Proba!D5/Proba!$H5</f>
        <v>0</v>
      </c>
      <c r="M26" s="61">
        <f>Proba!E5/Proba!$H5</f>
        <v>0</v>
      </c>
      <c r="N26" s="62"/>
      <c r="O26" s="34"/>
    </row>
    <row r="27" spans="1:15" s="9" customFormat="1">
      <c r="A27" s="81"/>
      <c r="B27" t="s">
        <v>27</v>
      </c>
      <c r="C27" s="14">
        <f>Atlantic!AO5/Atlantic!$AT5</f>
        <v>0.22863519144360181</v>
      </c>
      <c r="D27" s="14">
        <f>Atlantic!AP5/Atlantic!$AT5</f>
        <v>0.65955051280782984</v>
      </c>
      <c r="E27" s="14">
        <f>Atlantic!AQ5/Atlantic!$AT5</f>
        <v>0.11181429574856837</v>
      </c>
      <c r="F27" s="14">
        <f>Atlantic!AR5/Atlantic!$AT5</f>
        <v>0</v>
      </c>
      <c r="G27" s="15"/>
      <c r="H27" s="70"/>
      <c r="J27" s="61">
        <f>Proba!B6/Proba!$H6</f>
        <v>0</v>
      </c>
      <c r="K27" s="61">
        <f>Proba!C6/Proba!$H6</f>
        <v>1</v>
      </c>
      <c r="L27" s="61">
        <f>Proba!D6/Proba!$H6</f>
        <v>0</v>
      </c>
      <c r="M27" s="61">
        <f>Proba!E6/Proba!$H6</f>
        <v>0</v>
      </c>
      <c r="N27" s="62"/>
      <c r="O27" s="34"/>
    </row>
    <row r="28" spans="1:15" s="9" customFormat="1">
      <c r="A28" s="81"/>
      <c r="B28" t="s">
        <v>28</v>
      </c>
      <c r="C28" s="14">
        <f>Atlantic!AO6/Atlantic!$AT6</f>
        <v>7.9404492595042467E-2</v>
      </c>
      <c r="D28" s="14">
        <f>Atlantic!AP6/Atlantic!$AT6</f>
        <v>0.8081297108760247</v>
      </c>
      <c r="E28" s="14">
        <f>Atlantic!AQ6/Atlantic!$AT6</f>
        <v>8.9002303603389427E-2</v>
      </c>
      <c r="F28" s="14">
        <f>Atlantic!AR6/Atlantic!$AT6</f>
        <v>2.346349292554336E-2</v>
      </c>
      <c r="G28" s="15"/>
      <c r="H28" s="70"/>
      <c r="J28" s="61">
        <f>Proba!B7/Proba!$H7</f>
        <v>0</v>
      </c>
      <c r="K28" s="61">
        <f>Proba!C7/Proba!$H7</f>
        <v>1</v>
      </c>
      <c r="L28" s="61">
        <f>Proba!D7/Proba!$H7</f>
        <v>0</v>
      </c>
      <c r="M28" s="61">
        <f>Proba!E7/Proba!$H7</f>
        <v>0</v>
      </c>
      <c r="N28" s="62"/>
      <c r="O28" s="34"/>
    </row>
    <row r="29" spans="1:15" s="9" customFormat="1">
      <c r="A29" s="81"/>
      <c r="B29" t="s">
        <v>29</v>
      </c>
      <c r="C29" s="14">
        <f>Atlantic!AO7/Atlantic!$AT7</f>
        <v>2.9423718069681724E-2</v>
      </c>
      <c r="D29" s="14">
        <f>Atlantic!AP7/Atlantic!$AT7</f>
        <v>0.34344809483779321</v>
      </c>
      <c r="E29" s="14">
        <f>Atlantic!AQ7/Atlantic!$AT7</f>
        <v>0.60360378094727674</v>
      </c>
      <c r="F29" s="14">
        <f>Atlantic!AR7/Atlantic!$AT7</f>
        <v>2.3524406145248249E-2</v>
      </c>
      <c r="G29" s="15"/>
      <c r="H29" s="70"/>
      <c r="J29" s="61">
        <f>Proba!B8/Proba!$H8</f>
        <v>0</v>
      </c>
      <c r="K29" s="61">
        <f>Proba!C8/Proba!$H8</f>
        <v>1.8E-3</v>
      </c>
      <c r="L29" s="61">
        <f>Proba!D8/Proba!$H8</f>
        <v>0.99819999999999998</v>
      </c>
      <c r="M29" s="61">
        <f>Proba!E8/Proba!$H8</f>
        <v>0</v>
      </c>
      <c r="N29" s="62"/>
      <c r="O29" s="34"/>
    </row>
    <row r="30" spans="1:15" s="9" customFormat="1">
      <c r="A30" s="81"/>
      <c r="B30" t="s">
        <v>30</v>
      </c>
      <c r="C30" s="14">
        <f>Atlantic!AO8/Atlantic!$AT8</f>
        <v>6.8271065557082816E-2</v>
      </c>
      <c r="D30" s="14">
        <f>Atlantic!AP8/Atlantic!$AT8</f>
        <v>0.53551777049867111</v>
      </c>
      <c r="E30" s="14">
        <f>Atlantic!AQ8/Atlantic!$AT8</f>
        <v>0.37604666368706385</v>
      </c>
      <c r="F30" s="14">
        <f>Atlantic!AR8/Atlantic!$AT8</f>
        <v>2.0164500257182277E-2</v>
      </c>
      <c r="G30" s="15"/>
      <c r="H30" s="70"/>
      <c r="J30" s="61">
        <f>Proba!B9/Proba!$H9</f>
        <v>0</v>
      </c>
      <c r="K30" s="61">
        <f>Proba!C9/Proba!$H9</f>
        <v>0.98599999999999999</v>
      </c>
      <c r="L30" s="61">
        <f>Proba!D9/Proba!$H9</f>
        <v>1.4E-2</v>
      </c>
      <c r="M30" s="61">
        <f>Proba!E9/Proba!$H9</f>
        <v>0</v>
      </c>
      <c r="N30" s="62"/>
      <c r="O30" s="34"/>
    </row>
    <row r="31" spans="1:15" s="9" customFormat="1">
      <c r="A31" s="82" t="s">
        <v>31</v>
      </c>
      <c r="B31" t="s">
        <v>32</v>
      </c>
      <c r="C31" s="14">
        <f>Atlantic!AO9/Atlantic!$AT9</f>
        <v>0.21053483418303412</v>
      </c>
      <c r="D31" s="14">
        <f>Atlantic!AP9/Atlantic!$AT9</f>
        <v>0.74713090130778437</v>
      </c>
      <c r="E31" s="14">
        <f>Atlantic!AQ9/Atlantic!$AT9</f>
        <v>1.1604591522569967E-2</v>
      </c>
      <c r="F31" s="14">
        <f>Atlantic!AR9/Atlantic!$AT9</f>
        <v>3.0729672986611521E-2</v>
      </c>
      <c r="G31" s="15"/>
      <c r="H31" s="70"/>
      <c r="J31" s="61">
        <f>Proba!B10/Proba!$H10</f>
        <v>0</v>
      </c>
      <c r="K31" s="61">
        <f>Proba!C10/Proba!$H10</f>
        <v>1</v>
      </c>
      <c r="L31" s="61">
        <f>Proba!D10/Proba!$H10</f>
        <v>0</v>
      </c>
      <c r="M31" s="61">
        <f>Proba!E10/Proba!$H10</f>
        <v>0</v>
      </c>
      <c r="N31" s="62"/>
      <c r="O31" s="34"/>
    </row>
    <row r="32" spans="1:15" s="9" customFormat="1">
      <c r="A32" s="82"/>
      <c r="B32" t="s">
        <v>33</v>
      </c>
      <c r="C32" s="14">
        <f>Atlantic!AO10/Atlantic!$AT10</f>
        <v>0.15486275946058514</v>
      </c>
      <c r="D32" s="14">
        <f>Atlantic!AP10/Atlantic!$AT10</f>
        <v>0.6469945242691969</v>
      </c>
      <c r="E32" s="14">
        <f>Atlantic!AQ10/Atlantic!$AT10</f>
        <v>0.16229557374741366</v>
      </c>
      <c r="F32" s="14">
        <f>Atlantic!AR10/Atlantic!$AT10</f>
        <v>3.584714252280416E-2</v>
      </c>
      <c r="G32" s="15"/>
      <c r="H32" s="70"/>
      <c r="J32" s="61">
        <f>Proba!B11/Proba!$H11</f>
        <v>0</v>
      </c>
      <c r="K32" s="61">
        <f>Proba!C11/Proba!$H11</f>
        <v>1</v>
      </c>
      <c r="L32" s="61">
        <f>Proba!D11/Proba!$H11</f>
        <v>0</v>
      </c>
      <c r="M32" s="61">
        <f>Proba!E11/Proba!$H11</f>
        <v>0</v>
      </c>
      <c r="N32" s="62"/>
      <c r="O32" s="34"/>
    </row>
    <row r="33" spans="1:15" s="9" customFormat="1">
      <c r="A33" s="82"/>
      <c r="B33" t="s">
        <v>34</v>
      </c>
      <c r="C33" s="14">
        <f>Atlantic!AO11/Atlantic!$AT11</f>
        <v>0.35244048933434335</v>
      </c>
      <c r="D33" s="14">
        <f>Atlantic!AP11/Atlantic!$AT11</f>
        <v>0.58237386363007348</v>
      </c>
      <c r="E33" s="14">
        <f>Atlantic!AQ11/Atlantic!$AT11</f>
        <v>3.4327044303947993E-2</v>
      </c>
      <c r="F33" s="14">
        <f>Atlantic!AR11/Atlantic!$AT11</f>
        <v>3.0858602731635085E-2</v>
      </c>
      <c r="G33" s="15"/>
      <c r="H33" s="70"/>
      <c r="J33" s="61">
        <f>Proba!B12/Proba!$H12</f>
        <v>2.0500000000000002E-3</v>
      </c>
      <c r="K33" s="61">
        <f>Proba!C12/Proba!$H12</f>
        <v>0.99795</v>
      </c>
      <c r="L33" s="61">
        <f>Proba!D12/Proba!$H12</f>
        <v>0</v>
      </c>
      <c r="M33" s="61">
        <f>Proba!E12/Proba!$H12</f>
        <v>0</v>
      </c>
      <c r="N33" s="62"/>
      <c r="O33" s="34"/>
    </row>
    <row r="34" spans="1:15" s="9" customFormat="1">
      <c r="A34" s="82"/>
      <c r="B34" t="s">
        <v>35</v>
      </c>
      <c r="C34" s="14">
        <f>Atlantic!AO12/Atlantic!$AT12</f>
        <v>0.21666667528569572</v>
      </c>
      <c r="D34" s="14">
        <f>Atlantic!AP12/Atlantic!$AT12</f>
        <v>0.67512847626925476</v>
      </c>
      <c r="E34" s="14">
        <f>Atlantic!AQ12/Atlantic!$AT12</f>
        <v>5.6126090324475145E-2</v>
      </c>
      <c r="F34" s="14">
        <f>Atlantic!AR12/Atlantic!$AT12</f>
        <v>5.2078758120574421E-2</v>
      </c>
      <c r="G34" s="15"/>
      <c r="H34" s="70"/>
      <c r="J34" s="61">
        <f>Proba!B13/Proba!$H13</f>
        <v>0</v>
      </c>
      <c r="K34" s="61">
        <f>Proba!C13/Proba!$H13</f>
        <v>1</v>
      </c>
      <c r="L34" s="61">
        <f>Proba!D13/Proba!$H13</f>
        <v>0</v>
      </c>
      <c r="M34" s="61">
        <f>Proba!E13/Proba!$H13</f>
        <v>0</v>
      </c>
      <c r="N34" s="62"/>
      <c r="O34" s="34"/>
    </row>
    <row r="35" spans="1:15" s="9" customFormat="1">
      <c r="A35" s="82" t="s">
        <v>36</v>
      </c>
      <c r="B35" t="s">
        <v>37</v>
      </c>
      <c r="C35" s="14">
        <f>Atlantic!AO13/Atlantic!$AT13</f>
        <v>0.15321354265598364</v>
      </c>
      <c r="D35" s="14">
        <f>Atlantic!AP13/Atlantic!$AT13</f>
        <v>0.69048507074551391</v>
      </c>
      <c r="E35" s="14">
        <f>Atlantic!AQ13/Atlantic!$AT13</f>
        <v>0.11066548989291033</v>
      </c>
      <c r="F35" s="14">
        <f>Atlantic!AR13/Atlantic!$AT13</f>
        <v>4.5635896705591983E-2</v>
      </c>
      <c r="G35" s="15"/>
      <c r="H35" s="70"/>
      <c r="J35" s="61">
        <f>Proba!B14/Proba!$H14</f>
        <v>0</v>
      </c>
      <c r="K35" s="61">
        <f>Proba!C14/Proba!$H14</f>
        <v>1</v>
      </c>
      <c r="L35" s="61">
        <f>Proba!D14/Proba!$H14</f>
        <v>0</v>
      </c>
      <c r="M35" s="61">
        <f>Proba!E14/Proba!$H14</f>
        <v>0</v>
      </c>
      <c r="N35" s="62"/>
      <c r="O35" s="34"/>
    </row>
    <row r="36" spans="1:15" s="9" customFormat="1">
      <c r="A36" s="82"/>
      <c r="B36" t="s">
        <v>38</v>
      </c>
      <c r="C36" s="14">
        <f>Atlantic!AO14/Atlantic!$AT14</f>
        <v>0.32350828355954425</v>
      </c>
      <c r="D36" s="14">
        <f>Atlantic!AP14/Atlantic!$AT14</f>
        <v>0.4322900869389335</v>
      </c>
      <c r="E36" s="14">
        <f>Atlantic!AQ14/Atlantic!$AT14</f>
        <v>0.18979798083460653</v>
      </c>
      <c r="F36" s="14">
        <f>Atlantic!AR14/Atlantic!$AT14</f>
        <v>5.4403648666915709E-2</v>
      </c>
      <c r="G36" s="15"/>
      <c r="H36" s="70"/>
      <c r="J36" s="61">
        <f>Proba!B15/Proba!$H15</f>
        <v>8.6000000000000007E-2</v>
      </c>
      <c r="K36" s="61">
        <f>Proba!C15/Proba!$H15</f>
        <v>0.91375000000000006</v>
      </c>
      <c r="L36" s="61">
        <f>Proba!D15/Proba!$H15</f>
        <v>2.5000000000000006E-4</v>
      </c>
      <c r="M36" s="61">
        <f>Proba!E15/Proba!$H15</f>
        <v>0</v>
      </c>
      <c r="N36" s="62"/>
      <c r="O36" s="34"/>
    </row>
    <row r="37" spans="1:15" s="9" customFormat="1">
      <c r="A37" s="82"/>
      <c r="B37" t="s">
        <v>39</v>
      </c>
      <c r="C37" s="14">
        <f>Atlantic!AO15/Atlantic!$AT15</f>
        <v>0.33502057806071506</v>
      </c>
      <c r="D37" s="14">
        <f>Atlantic!AP15/Atlantic!$AT15</f>
        <v>0.52980845784617359</v>
      </c>
      <c r="E37" s="14">
        <f>Atlantic!AQ15/Atlantic!$AT15</f>
        <v>6.6246723283032813E-2</v>
      </c>
      <c r="F37" s="14">
        <f>Atlantic!AR15/Atlantic!$AT15</f>
        <v>6.8924240810078488E-2</v>
      </c>
      <c r="G37" s="15"/>
      <c r="H37" s="70"/>
      <c r="J37" s="61">
        <f>Proba!B16/Proba!$H16</f>
        <v>6.1000000000000004E-3</v>
      </c>
      <c r="K37" s="61">
        <f>Proba!C16/Proba!$H16</f>
        <v>0.99390000000000001</v>
      </c>
      <c r="L37" s="61">
        <f>Proba!D16/Proba!$H16</f>
        <v>0</v>
      </c>
      <c r="M37" s="61">
        <f>Proba!E16/Proba!$H16</f>
        <v>0</v>
      </c>
      <c r="N37" s="62"/>
      <c r="O37" s="34"/>
    </row>
    <row r="38" spans="1:15" s="9" customFormat="1">
      <c r="A38" s="82"/>
      <c r="B38" t="s">
        <v>40</v>
      </c>
      <c r="C38" s="14">
        <f>Atlantic!AO16/Atlantic!$AT16</f>
        <v>7.6536552672880426E-2</v>
      </c>
      <c r="D38" s="14">
        <f>Atlantic!AP16/Atlantic!$AT16</f>
        <v>0.59581380704988818</v>
      </c>
      <c r="E38" s="14">
        <f>Atlantic!AQ16/Atlantic!$AT16</f>
        <v>0.27611713060202864</v>
      </c>
      <c r="F38" s="14">
        <f>Atlantic!AR16/Atlantic!$AT16</f>
        <v>5.1532509675202599E-2</v>
      </c>
      <c r="G38" s="15"/>
      <c r="H38" s="70"/>
      <c r="J38" s="61">
        <f>Proba!B17/Proba!$H17</f>
        <v>0</v>
      </c>
      <c r="K38" s="61">
        <f>Proba!C17/Proba!$H17</f>
        <v>1</v>
      </c>
      <c r="L38" s="61">
        <f>Proba!D17/Proba!$H17</f>
        <v>0</v>
      </c>
      <c r="M38" s="61">
        <f>Proba!E17/Proba!$H17</f>
        <v>0</v>
      </c>
      <c r="N38" s="62"/>
      <c r="O38" s="34"/>
    </row>
    <row r="39" spans="1:15" s="9" customFormat="1">
      <c r="A39" s="82"/>
      <c r="B39" t="s">
        <v>41</v>
      </c>
      <c r="C39" s="14">
        <f>Atlantic!AO17/Atlantic!$AT17</f>
        <v>5.6783729445273202E-3</v>
      </c>
      <c r="D39" s="14">
        <f>Atlantic!AP17/Atlantic!$AT17</f>
        <v>0.5083223463876928</v>
      </c>
      <c r="E39" s="14">
        <f>Atlantic!AQ17/Atlantic!$AT17</f>
        <v>0.42883950399892168</v>
      </c>
      <c r="F39" s="14">
        <f>Atlantic!AR17/Atlantic!$AT17</f>
        <v>5.7159776668858207E-2</v>
      </c>
      <c r="G39" s="15"/>
      <c r="H39" s="70"/>
      <c r="J39" s="61">
        <f>Proba!B18/Proba!$H18</f>
        <v>0</v>
      </c>
      <c r="K39" s="61">
        <f>Proba!C18/Proba!$H18</f>
        <v>0.86219999999999997</v>
      </c>
      <c r="L39" s="61">
        <f>Proba!D18/Proba!$H18</f>
        <v>0.13780000000000001</v>
      </c>
      <c r="M39" s="61">
        <f>Proba!E18/Proba!$H18</f>
        <v>0</v>
      </c>
      <c r="N39" s="62"/>
      <c r="O39" s="34"/>
    </row>
    <row r="40" spans="1:15" s="9" customFormat="1">
      <c r="A40" s="82"/>
      <c r="B40" t="s">
        <v>42</v>
      </c>
      <c r="C40" s="14">
        <f>Atlantic!AO18/Atlantic!$AT18</f>
        <v>0.12860518800315918</v>
      </c>
      <c r="D40" s="14">
        <f>Atlantic!AP18/Atlantic!$AT18</f>
        <v>0.6214999867388159</v>
      </c>
      <c r="E40" s="14">
        <f>Atlantic!AQ18/Atlantic!$AT18</f>
        <v>0.19558082534856283</v>
      </c>
      <c r="F40" s="14">
        <f>Atlantic!AR18/Atlantic!$AT18</f>
        <v>5.4313999909462077E-2</v>
      </c>
      <c r="G40" s="15"/>
      <c r="H40" s="70"/>
      <c r="J40" s="61">
        <f>Proba!B19/Proba!$H19</f>
        <v>0</v>
      </c>
      <c r="K40" s="61">
        <f>Proba!C19/Proba!$H19</f>
        <v>1</v>
      </c>
      <c r="L40" s="61">
        <f>Proba!D19/Proba!$H19</f>
        <v>0</v>
      </c>
      <c r="M40" s="61">
        <f>Proba!E19/Proba!$H19</f>
        <v>0</v>
      </c>
      <c r="N40" s="62"/>
      <c r="O40" s="34"/>
    </row>
    <row r="41" spans="1:15" s="9" customFormat="1">
      <c r="A41" s="82"/>
      <c r="B41" t="s">
        <v>43</v>
      </c>
      <c r="C41" s="14">
        <f>Atlantic!AO19/Atlantic!$AT19</f>
        <v>0.1938270482180674</v>
      </c>
      <c r="D41" s="14">
        <f>Atlantic!AP19/Atlantic!$AT19</f>
        <v>0.6446305740372289</v>
      </c>
      <c r="E41" s="14">
        <f>Atlantic!AQ19/Atlantic!$AT19</f>
        <v>0.11044305434581339</v>
      </c>
      <c r="F41" s="14">
        <f>Atlantic!AR19/Atlantic!$AT19</f>
        <v>5.1099323398890444E-2</v>
      </c>
      <c r="G41" s="15"/>
      <c r="H41" s="70"/>
      <c r="J41" s="61">
        <f>Proba!B20/Proba!$H20</f>
        <v>0</v>
      </c>
      <c r="K41" s="61">
        <f>Proba!C20/Proba!$H20</f>
        <v>1</v>
      </c>
      <c r="L41" s="61">
        <f>Proba!D20/Proba!$H20</f>
        <v>0</v>
      </c>
      <c r="M41" s="61">
        <f>Proba!E20/Proba!$H20</f>
        <v>0</v>
      </c>
      <c r="N41" s="62"/>
      <c r="O41" s="34"/>
    </row>
    <row r="42" spans="1:15" s="9" customFormat="1">
      <c r="A42" s="82"/>
      <c r="B42" t="s">
        <v>44</v>
      </c>
      <c r="C42" s="14">
        <f>Atlantic!AO20/Atlantic!$AT20</f>
        <v>0.12551386896188341</v>
      </c>
      <c r="D42" s="14">
        <f>Atlantic!AP20/Atlantic!$AT20</f>
        <v>0.37514406888143176</v>
      </c>
      <c r="E42" s="14">
        <f>Atlantic!AQ20/Atlantic!$AT20</f>
        <v>0.4454308028187246</v>
      </c>
      <c r="F42" s="14">
        <f>Atlantic!AR20/Atlantic!$AT20</f>
        <v>5.3911259337960135E-2</v>
      </c>
      <c r="G42" s="15"/>
      <c r="H42" s="70"/>
      <c r="J42" s="61">
        <f>Proba!B21/Proba!$H21</f>
        <v>0</v>
      </c>
      <c r="K42" s="61">
        <f>Proba!C21/Proba!$H21</f>
        <v>0.17829999999999999</v>
      </c>
      <c r="L42" s="61">
        <f>Proba!D21/Proba!$H21</f>
        <v>0.82169999999999999</v>
      </c>
      <c r="M42" s="61">
        <f>Proba!E21/Proba!$H21</f>
        <v>0</v>
      </c>
      <c r="N42" s="62"/>
      <c r="O42" s="34"/>
    </row>
    <row r="43" spans="1:15" s="9" customFormat="1">
      <c r="A43" s="82"/>
      <c r="B43" t="s">
        <v>45</v>
      </c>
      <c r="C43" s="14">
        <f>Atlantic!AO21/Atlantic!$AT21</f>
        <v>0.2043128700298795</v>
      </c>
      <c r="D43" s="14">
        <f>Atlantic!AP21/Atlantic!$AT21</f>
        <v>0.45823556054043146</v>
      </c>
      <c r="E43" s="14">
        <f>Atlantic!AQ21/Atlantic!$AT21</f>
        <v>0.28234191966173</v>
      </c>
      <c r="F43" s="14">
        <f>Atlantic!AR21/Atlantic!$AT21</f>
        <v>5.510964976795911E-2</v>
      </c>
      <c r="G43" s="15"/>
      <c r="H43" s="70"/>
      <c r="J43" s="61">
        <f>Proba!B22/Proba!$H22</f>
        <v>0</v>
      </c>
      <c r="K43" s="61">
        <f>Proba!C22/Proba!$H22</f>
        <v>0.99345000000000006</v>
      </c>
      <c r="L43" s="61">
        <f>Proba!D22/Proba!$H22</f>
        <v>6.5500000000000003E-3</v>
      </c>
      <c r="M43" s="61">
        <f>Proba!E22/Proba!$H22</f>
        <v>0</v>
      </c>
      <c r="N43" s="62"/>
      <c r="O43" s="34"/>
    </row>
    <row r="44" spans="1:15" s="9" customFormat="1">
      <c r="A44" s="82"/>
      <c r="B44" t="s">
        <v>46</v>
      </c>
      <c r="C44" s="14">
        <f>Atlantic!AO22/Atlantic!$AT22</f>
        <v>0.20608258806174271</v>
      </c>
      <c r="D44" s="14">
        <f>Atlantic!AP22/Atlantic!$AT22</f>
        <v>0.64823974230763137</v>
      </c>
      <c r="E44" s="14">
        <f>Atlantic!AQ22/Atlantic!$AT22</f>
        <v>0.10033713130706676</v>
      </c>
      <c r="F44" s="14">
        <f>Atlantic!AR22/Atlantic!$AT22</f>
        <v>4.5340538323559082E-2</v>
      </c>
      <c r="G44" s="15"/>
      <c r="H44" s="70"/>
      <c r="J44" s="61">
        <f>Proba!B23/Proba!$H23</f>
        <v>0</v>
      </c>
      <c r="K44" s="61">
        <f>Proba!C23/Proba!$H23</f>
        <v>1</v>
      </c>
      <c r="L44" s="61">
        <f>Proba!D23/Proba!$H23</f>
        <v>0</v>
      </c>
      <c r="M44" s="61">
        <f>Proba!E23/Proba!$H23</f>
        <v>0</v>
      </c>
      <c r="N44" s="62"/>
      <c r="O44" s="34"/>
    </row>
    <row r="45" spans="1:15" s="9" customFormat="1">
      <c r="A45" s="82"/>
      <c r="B45" t="s">
        <v>47</v>
      </c>
      <c r="C45" s="14">
        <f>Atlantic!AO23/Atlantic!$AT23</f>
        <v>0.28482426604541622</v>
      </c>
      <c r="D45" s="14">
        <f>Atlantic!AP23/Atlantic!$AT23</f>
        <v>0.62499006668522261</v>
      </c>
      <c r="E45" s="14">
        <f>Atlantic!AQ23/Atlantic!$AT23</f>
        <v>4.1384458989640001E-2</v>
      </c>
      <c r="F45" s="14">
        <f>Atlantic!AR23/Atlantic!$AT23</f>
        <v>4.8801208279721182E-2</v>
      </c>
      <c r="G45" s="15"/>
      <c r="H45" s="70"/>
      <c r="J45" s="61">
        <f>Proba!B24/Proba!$H24</f>
        <v>0</v>
      </c>
      <c r="K45" s="61">
        <f>Proba!C24/Proba!$H24</f>
        <v>1</v>
      </c>
      <c r="L45" s="61">
        <f>Proba!D24/Proba!$H24</f>
        <v>0</v>
      </c>
      <c r="M45" s="61">
        <f>Proba!E24/Proba!$H24</f>
        <v>0</v>
      </c>
      <c r="N45" s="62"/>
      <c r="O45" s="34"/>
    </row>
    <row r="46" spans="1:15" s="9" customFormat="1">
      <c r="A46" s="82" t="s">
        <v>48</v>
      </c>
      <c r="B46" t="s">
        <v>49</v>
      </c>
      <c r="C46" s="14">
        <f>Atlantic!AO24/Atlantic!$AT24</f>
        <v>0</v>
      </c>
      <c r="D46" s="14">
        <f>Atlantic!AP24/Atlantic!$AT24</f>
        <v>0.41922826117940049</v>
      </c>
      <c r="E46" s="14">
        <f>Atlantic!AQ24/Atlantic!$AT24</f>
        <v>0.5669605186279375</v>
      </c>
      <c r="F46" s="14">
        <f>Atlantic!AR24/Atlantic!$AT24</f>
        <v>1.3811220192662056E-2</v>
      </c>
      <c r="G46" s="15"/>
      <c r="H46" s="70"/>
      <c r="J46" s="61">
        <f>Proba!B25/Proba!$H25</f>
        <v>0</v>
      </c>
      <c r="K46" s="61">
        <f>Proba!C25/Proba!$H25</f>
        <v>4.0399999999999998E-2</v>
      </c>
      <c r="L46" s="61">
        <f>Proba!D25/Proba!$H25</f>
        <v>0.95960000000000001</v>
      </c>
      <c r="M46" s="61">
        <f>Proba!E25/Proba!$H25</f>
        <v>0</v>
      </c>
      <c r="N46" s="62"/>
      <c r="O46" s="34"/>
    </row>
    <row r="47" spans="1:15" s="9" customFormat="1">
      <c r="A47" s="82"/>
      <c r="B47" t="s">
        <v>50</v>
      </c>
      <c r="C47" s="14">
        <f>Atlantic!AO25/Atlantic!$AT25</f>
        <v>0.14411892833456408</v>
      </c>
      <c r="D47" s="14">
        <f>Atlantic!AP25/Atlantic!$AT25</f>
        <v>0.65609926339979696</v>
      </c>
      <c r="E47" s="14">
        <f>Atlantic!AQ25/Atlantic!$AT25</f>
        <v>0.14480147673496299</v>
      </c>
      <c r="F47" s="14">
        <f>Atlantic!AR25/Atlantic!$AT25</f>
        <v>5.4980331530675934E-2</v>
      </c>
      <c r="G47" s="15"/>
      <c r="H47" s="70"/>
      <c r="J47" s="61">
        <f>Proba!B26/Proba!$H26</f>
        <v>0</v>
      </c>
      <c r="K47" s="61">
        <f>Proba!C26/Proba!$H26</f>
        <v>1</v>
      </c>
      <c r="L47" s="61">
        <f>Proba!D26/Proba!$H26</f>
        <v>0</v>
      </c>
      <c r="M47" s="61">
        <f>Proba!E26/Proba!$H26</f>
        <v>0</v>
      </c>
      <c r="N47" s="62"/>
      <c r="O47" s="34"/>
    </row>
    <row r="48" spans="1:15" s="9" customFormat="1">
      <c r="A48" s="82"/>
      <c r="B48" t="s">
        <v>51</v>
      </c>
      <c r="C48" s="14">
        <f>Atlantic!AO26/Atlantic!$AT26</f>
        <v>0.2837341990375627</v>
      </c>
      <c r="D48" s="14">
        <f>Atlantic!AP26/Atlantic!$AT26</f>
        <v>0.50405856486027356</v>
      </c>
      <c r="E48" s="14">
        <f>Atlantic!AQ26/Atlantic!$AT26</f>
        <v>0.1564305870494016</v>
      </c>
      <c r="F48" s="14">
        <f>Atlantic!AR26/Atlantic!$AT26</f>
        <v>5.5776649052762056E-2</v>
      </c>
      <c r="G48" s="15"/>
      <c r="H48" s="70"/>
      <c r="J48" s="61">
        <f>Proba!B27/Proba!$H27</f>
        <v>1.2999999999999999E-3</v>
      </c>
      <c r="K48" s="61">
        <f>Proba!C27/Proba!$H27</f>
        <v>0.99870000000000003</v>
      </c>
      <c r="L48" s="61">
        <f>Proba!D27/Proba!$H27</f>
        <v>0</v>
      </c>
      <c r="M48" s="61">
        <f>Proba!E27/Proba!$H27</f>
        <v>0</v>
      </c>
      <c r="N48" s="62"/>
      <c r="O48" s="34"/>
    </row>
    <row r="49" spans="1:15" s="9" customFormat="1">
      <c r="A49" s="82"/>
      <c r="B49" t="s">
        <v>52</v>
      </c>
      <c r="C49" s="14">
        <f>Atlantic!AO27/Atlantic!$AT27</f>
        <v>0.37226667299836314</v>
      </c>
      <c r="D49" s="14">
        <f>Atlantic!AP27/Atlantic!$AT27</f>
        <v>0.38351649504772278</v>
      </c>
      <c r="E49" s="14">
        <f>Atlantic!AQ27/Atlantic!$AT27</f>
        <v>0.18261702373482755</v>
      </c>
      <c r="F49" s="14">
        <f>Atlantic!AR27/Atlantic!$AT27</f>
        <v>6.1599808219086595E-2</v>
      </c>
      <c r="G49" s="15"/>
      <c r="H49" s="70"/>
      <c r="J49" s="61">
        <f>Proba!B28/Proba!$H28</f>
        <v>0.44425000000000003</v>
      </c>
      <c r="K49" s="61">
        <f>Proba!C28/Proba!$H28</f>
        <v>0.55570000000000008</v>
      </c>
      <c r="L49" s="61">
        <f>Proba!D28/Proba!$H28</f>
        <v>5.0000000000000009E-5</v>
      </c>
      <c r="M49" s="61">
        <f>Proba!E28/Proba!$H28</f>
        <v>0</v>
      </c>
      <c r="N49" s="62"/>
      <c r="O49" s="34"/>
    </row>
    <row r="50" spans="1:15" s="9" customFormat="1">
      <c r="A50" s="82"/>
      <c r="B50" t="s">
        <v>53</v>
      </c>
      <c r="C50" s="14">
        <f>Atlantic!AO28/Atlantic!$AT28</f>
        <v>0.2370216976539461</v>
      </c>
      <c r="D50" s="14">
        <f>Atlantic!AP28/Atlantic!$AT28</f>
        <v>0.62253337947259657</v>
      </c>
      <c r="E50" s="14">
        <f>Atlantic!AQ28/Atlantic!$AT28</f>
        <v>0.10805644113795269</v>
      </c>
      <c r="F50" s="14">
        <f>Atlantic!AR28/Atlantic!$AT28</f>
        <v>3.2388481735504709E-2</v>
      </c>
      <c r="G50" s="15"/>
      <c r="H50" s="70"/>
      <c r="J50" s="61">
        <f>Proba!B29/Proba!$H29</f>
        <v>0</v>
      </c>
      <c r="K50" s="61">
        <f>Proba!C29/Proba!$H29</f>
        <v>1</v>
      </c>
      <c r="L50" s="61">
        <f>Proba!D29/Proba!$H29</f>
        <v>0</v>
      </c>
      <c r="M50" s="61">
        <f>Proba!E29/Proba!$H29</f>
        <v>0</v>
      </c>
      <c r="N50" s="62"/>
      <c r="O50" s="34"/>
    </row>
    <row r="51" spans="1:15" s="9" customFormat="1">
      <c r="A51" s="82"/>
      <c r="B51" t="s">
        <v>54</v>
      </c>
      <c r="C51" s="14">
        <f>Atlantic!AO29/Atlantic!$AT29</f>
        <v>0.33581370718123127</v>
      </c>
      <c r="D51" s="14">
        <f>Atlantic!AP29/Atlantic!$AT29</f>
        <v>0.48317988001836781</v>
      </c>
      <c r="E51" s="14">
        <f>Atlantic!AQ29/Atlantic!$AT29</f>
        <v>0.14236614591191549</v>
      </c>
      <c r="F51" s="14">
        <f>Atlantic!AR29/Atlantic!$AT29</f>
        <v>3.8640266888485375E-2</v>
      </c>
      <c r="G51" s="15"/>
      <c r="H51" s="70"/>
      <c r="J51" s="61">
        <f>Proba!B30/Proba!$H30</f>
        <v>2.8649999999999998E-2</v>
      </c>
      <c r="K51" s="61">
        <f>Proba!C30/Proba!$H30</f>
        <v>0.97135000000000005</v>
      </c>
      <c r="L51" s="61">
        <f>Proba!D30/Proba!$H30</f>
        <v>0</v>
      </c>
      <c r="M51" s="61">
        <f>Proba!E30/Proba!$H30</f>
        <v>0</v>
      </c>
      <c r="N51" s="62"/>
      <c r="O51" s="34"/>
    </row>
    <row r="52" spans="1:15" s="9" customFormat="1">
      <c r="A52" s="82"/>
      <c r="B52" t="s">
        <v>55</v>
      </c>
      <c r="C52" s="14">
        <f>Atlantic!AO30/Atlantic!$AT30</f>
        <v>0.19513485803880184</v>
      </c>
      <c r="D52" s="14">
        <f>Atlantic!AP30/Atlantic!$AT30</f>
        <v>0.5531870879250409</v>
      </c>
      <c r="E52" s="14">
        <f>Atlantic!AQ30/Atlantic!$AT30</f>
        <v>0.19561219040174332</v>
      </c>
      <c r="F52" s="14">
        <f>Atlantic!AR30/Atlantic!$AT30</f>
        <v>5.6065863634413952E-2</v>
      </c>
      <c r="G52" s="15"/>
      <c r="H52" s="70"/>
      <c r="J52" s="61">
        <f>Proba!B31/Proba!$H31</f>
        <v>0</v>
      </c>
      <c r="K52" s="61">
        <f>Proba!C31/Proba!$H31</f>
        <v>1</v>
      </c>
      <c r="L52" s="61">
        <f>Proba!D31/Proba!$H31</f>
        <v>0</v>
      </c>
      <c r="M52" s="61">
        <f>Proba!E31/Proba!$H31</f>
        <v>0</v>
      </c>
      <c r="N52" s="62"/>
      <c r="O52" s="34"/>
    </row>
    <row r="53" spans="1:15" s="9" customFormat="1">
      <c r="A53" s="82"/>
      <c r="B53" t="s">
        <v>56</v>
      </c>
      <c r="C53" s="14">
        <f>Atlantic!AO31/Atlantic!$AT31</f>
        <v>0.36748301693547791</v>
      </c>
      <c r="D53" s="14">
        <f>Atlantic!AP31/Atlantic!$AT31</f>
        <v>0.41766080279707085</v>
      </c>
      <c r="E53" s="14">
        <f>Atlantic!AQ31/Atlantic!$AT31</f>
        <v>0.14836984302506837</v>
      </c>
      <c r="F53" s="14">
        <f>Atlantic!AR31/Atlantic!$AT31</f>
        <v>6.6486337242382842E-2</v>
      </c>
      <c r="G53" s="15"/>
      <c r="H53" s="70"/>
      <c r="J53" s="61">
        <f>Proba!B32/Proba!$H32</f>
        <v>0.26474999999999999</v>
      </c>
      <c r="K53" s="61">
        <f>Proba!C32/Proba!$H32</f>
        <v>0.73524999999999996</v>
      </c>
      <c r="L53" s="61">
        <f>Proba!D32/Proba!$H32</f>
        <v>0</v>
      </c>
      <c r="M53" s="61">
        <f>Proba!E32/Proba!$H32</f>
        <v>0</v>
      </c>
      <c r="N53" s="62"/>
      <c r="O53" s="34"/>
    </row>
    <row r="54" spans="1:15" s="9" customFormat="1">
      <c r="A54" s="82"/>
      <c r="B54" t="s">
        <v>57</v>
      </c>
      <c r="C54" s="14">
        <f>Atlantic!AO32/Atlantic!$AT32</f>
        <v>0.33759629717961714</v>
      </c>
      <c r="D54" s="14">
        <f>Atlantic!AP32/Atlantic!$AT32</f>
        <v>0.43731448686234198</v>
      </c>
      <c r="E54" s="14">
        <f>Atlantic!AQ32/Atlantic!$AT32</f>
        <v>0.18320970942545511</v>
      </c>
      <c r="F54" s="14">
        <f>Atlantic!AR32/Atlantic!$AT32</f>
        <v>4.1879506532585785E-2</v>
      </c>
      <c r="G54" s="15"/>
      <c r="H54" s="70"/>
      <c r="J54" s="61">
        <f>Proba!B33/Proba!$H33</f>
        <v>0.10440000000000001</v>
      </c>
      <c r="K54" s="61">
        <f>Proba!C33/Proba!$H33</f>
        <v>0.89559999999999995</v>
      </c>
      <c r="L54" s="61">
        <f>Proba!D33/Proba!$H33</f>
        <v>0</v>
      </c>
      <c r="M54" s="61">
        <f>Proba!E33/Proba!$H33</f>
        <v>0</v>
      </c>
      <c r="N54" s="62"/>
      <c r="O54" s="34"/>
    </row>
    <row r="55" spans="1:15" s="9" customFormat="1">
      <c r="A55" s="82"/>
      <c r="B55" t="s">
        <v>58</v>
      </c>
      <c r="C55" s="14">
        <f>Atlantic!AO33/Atlantic!$AT33</f>
        <v>0.38811117503901016</v>
      </c>
      <c r="D55" s="14">
        <f>Atlantic!AP33/Atlantic!$AT33</f>
        <v>0.46144223039361104</v>
      </c>
      <c r="E55" s="14">
        <f>Atlantic!AQ33/Atlantic!$AT33</f>
        <v>0.10955419515360001</v>
      </c>
      <c r="F55" s="14">
        <f>Atlantic!AR33/Atlantic!$AT33</f>
        <v>4.0892399413778861E-2</v>
      </c>
      <c r="G55" s="15"/>
      <c r="H55" s="70"/>
      <c r="J55" s="61">
        <f>Proba!B34/Proba!$H34</f>
        <v>0.19525000000000001</v>
      </c>
      <c r="K55" s="61">
        <f>Proba!C34/Proba!$H34</f>
        <v>0.80474999999999997</v>
      </c>
      <c r="L55" s="61">
        <f>Proba!D34/Proba!$H34</f>
        <v>0</v>
      </c>
      <c r="M55" s="61">
        <f>Proba!E34/Proba!$H34</f>
        <v>0</v>
      </c>
      <c r="N55" s="62"/>
      <c r="O55" s="34"/>
    </row>
    <row r="56" spans="1:15">
      <c r="A56" s="79" t="s">
        <v>59</v>
      </c>
      <c r="B56" t="s">
        <v>60</v>
      </c>
      <c r="C56" s="14">
        <f>Quebec!AY2/Quebec!$BE2</f>
        <v>0.25846054337304053</v>
      </c>
      <c r="D56" s="14">
        <f>Quebec!AZ2/Quebec!$BE2</f>
        <v>0.27716671579361529</v>
      </c>
      <c r="E56" s="14">
        <f>Quebec!BA2/Quebec!$BE2</f>
        <v>0.26970418035108751</v>
      </c>
      <c r="F56" s="14">
        <f>Quebec!BB2/Quebec!$BE2</f>
        <v>4.3888257621497881E-2</v>
      </c>
      <c r="G56" s="14">
        <f>Quebec!BC2/Quebec!$BE2</f>
        <v>0.15078030286075889</v>
      </c>
      <c r="H56" s="71"/>
      <c r="J56" s="61">
        <f>Proba!B35/Proba!$H35</f>
        <v>0.23930000000000004</v>
      </c>
      <c r="K56" s="61">
        <f>Proba!C35/Proba!$H35</f>
        <v>0.40745000000000003</v>
      </c>
      <c r="L56" s="61">
        <f>Proba!D35/Proba!$H35</f>
        <v>0.35235000000000005</v>
      </c>
      <c r="M56" s="61">
        <f>Proba!E35/Proba!$H35</f>
        <v>0</v>
      </c>
      <c r="N56" s="61">
        <f>Proba!F35/Proba!$H35</f>
        <v>9.0000000000000008E-4</v>
      </c>
      <c r="O56" s="35"/>
    </row>
    <row r="57" spans="1:15">
      <c r="A57" s="79"/>
      <c r="B57" t="s">
        <v>61</v>
      </c>
      <c r="C57" s="14">
        <f>Quebec!AY3/Quebec!$BE3</f>
        <v>0.12808605139702939</v>
      </c>
      <c r="D57" s="14">
        <f>Quebec!AZ3/Quebec!$BE3</f>
        <v>0.2277388051328845</v>
      </c>
      <c r="E57" s="14">
        <f>Quebec!BA3/Quebec!$BE3</f>
        <v>0.33948537066892764</v>
      </c>
      <c r="F57" s="14">
        <f>Quebec!BB3/Quebec!$BE3</f>
        <v>1.9762969733015081E-2</v>
      </c>
      <c r="G57" s="14">
        <f>Quebec!BC3/Quebec!$BE3</f>
        <v>0.2849268030681435</v>
      </c>
      <c r="H57" s="71"/>
      <c r="J57" s="61">
        <f>Proba!B36/Proba!$H36</f>
        <v>1E-4</v>
      </c>
      <c r="K57" s="61">
        <f>Proba!C36/Proba!$H36</f>
        <v>2.435E-2</v>
      </c>
      <c r="L57" s="61">
        <f>Proba!D36/Proba!$H36</f>
        <v>0.79559999999999997</v>
      </c>
      <c r="M57" s="61">
        <f>Proba!E36/Proba!$H36</f>
        <v>0</v>
      </c>
      <c r="N57" s="61">
        <f>Proba!F36/Proba!$H36</f>
        <v>0.17995</v>
      </c>
      <c r="O57" s="35"/>
    </row>
    <row r="58" spans="1:15">
      <c r="A58" s="79"/>
      <c r="B58" t="s">
        <v>62</v>
      </c>
      <c r="C58" s="14">
        <f>Quebec!AY4/Quebec!$BE4</f>
        <v>0.10768568503383323</v>
      </c>
      <c r="D58" s="14">
        <f>Quebec!AZ4/Quebec!$BE4</f>
        <v>0.44226267924439838</v>
      </c>
      <c r="E58" s="14">
        <f>Quebec!BA4/Quebec!$BE4</f>
        <v>0.26925506262463683</v>
      </c>
      <c r="F58" s="14">
        <f>Quebec!BB4/Quebec!$BE4</f>
        <v>1.9570476026113625E-2</v>
      </c>
      <c r="G58" s="14">
        <f>Quebec!BC4/Quebec!$BE4</f>
        <v>0.1612260970710179</v>
      </c>
      <c r="H58" s="71"/>
      <c r="J58" s="61">
        <f>Proba!B37/Proba!$H37</f>
        <v>0</v>
      </c>
      <c r="K58" s="61">
        <f>Proba!C37/Proba!$H37</f>
        <v>0.99709999999999999</v>
      </c>
      <c r="L58" s="61">
        <f>Proba!D37/Proba!$H37</f>
        <v>2.8999999999999998E-3</v>
      </c>
      <c r="M58" s="61">
        <f>Proba!E37/Proba!$H37</f>
        <v>0</v>
      </c>
      <c r="N58" s="61">
        <f>Proba!F37/Proba!$H37</f>
        <v>0</v>
      </c>
      <c r="O58" s="35"/>
    </row>
    <row r="59" spans="1:15">
      <c r="A59" s="79"/>
      <c r="B59" t="s">
        <v>63</v>
      </c>
      <c r="C59" s="14">
        <f>Quebec!AY5/Quebec!$BE5</f>
        <v>0.14104629409373035</v>
      </c>
      <c r="D59" s="14">
        <f>Quebec!AZ5/Quebec!$BE5</f>
        <v>0.37851575834482193</v>
      </c>
      <c r="E59" s="14">
        <f>Quebec!BA5/Quebec!$BE5</f>
        <v>0.2633561428032119</v>
      </c>
      <c r="F59" s="14">
        <f>Quebec!BB5/Quebec!$BE5</f>
        <v>2.045696483064989E-2</v>
      </c>
      <c r="G59" s="14">
        <f>Quebec!BC5/Quebec!$BE5</f>
        <v>0.19662483992758592</v>
      </c>
      <c r="H59" s="71"/>
      <c r="J59" s="61">
        <f>Proba!B38/Proba!$H38</f>
        <v>0</v>
      </c>
      <c r="K59" s="61">
        <f>Proba!C38/Proba!$H38</f>
        <v>0.96735000000000004</v>
      </c>
      <c r="L59" s="61">
        <f>Proba!D38/Proba!$H38</f>
        <v>3.175E-2</v>
      </c>
      <c r="M59" s="61">
        <f>Proba!E38/Proba!$H38</f>
        <v>0</v>
      </c>
      <c r="N59" s="61">
        <f>Proba!F38/Proba!$H38</f>
        <v>8.9999999999999998E-4</v>
      </c>
      <c r="O59" s="35"/>
    </row>
    <row r="60" spans="1:15">
      <c r="A60" s="79"/>
      <c r="B60" t="s">
        <v>64</v>
      </c>
      <c r="C60" s="14">
        <f>Quebec!AY6/Quebec!$BE6</f>
        <v>0.17695463556183633</v>
      </c>
      <c r="D60" s="14">
        <f>Quebec!AZ6/Quebec!$BE6</f>
        <v>0.30724914971546335</v>
      </c>
      <c r="E60" s="14">
        <f>Quebec!BA6/Quebec!$BE6</f>
        <v>0.27828840008553379</v>
      </c>
      <c r="F60" s="14">
        <f>Quebec!BB6/Quebec!$BE6</f>
        <v>3.1897266192493855E-2</v>
      </c>
      <c r="G60" s="14">
        <f>Quebec!BC6/Quebec!$BE6</f>
        <v>0.20561054844467272</v>
      </c>
      <c r="H60" s="71"/>
      <c r="J60" s="61">
        <f>Proba!B39/Proba!$H39</f>
        <v>2.7499999999999998E-3</v>
      </c>
      <c r="K60" s="61">
        <f>Proba!C39/Proba!$H39</f>
        <v>0.66564999999999996</v>
      </c>
      <c r="L60" s="61">
        <f>Proba!D39/Proba!$H39</f>
        <v>0.31909999999999999</v>
      </c>
      <c r="M60" s="61">
        <f>Proba!E39/Proba!$H39</f>
        <v>0</v>
      </c>
      <c r="N60" s="61">
        <f>Proba!F39/Proba!$H39</f>
        <v>1.2500000000000001E-2</v>
      </c>
      <c r="O60" s="35"/>
    </row>
    <row r="61" spans="1:15">
      <c r="A61" s="79"/>
      <c r="B61" t="s">
        <v>65</v>
      </c>
      <c r="C61" s="14">
        <f>Quebec!AY7/Quebec!$BE7</f>
        <v>0.15474211021886591</v>
      </c>
      <c r="D61" s="14">
        <f>Quebec!AZ7/Quebec!$BE7</f>
        <v>0.36687744493249297</v>
      </c>
      <c r="E61" s="14">
        <f>Quebec!BA7/Quebec!$BE7</f>
        <v>0.10773959509877573</v>
      </c>
      <c r="F61" s="14">
        <f>Quebec!BB7/Quebec!$BE7</f>
        <v>2.8533850209519904E-2</v>
      </c>
      <c r="G61" s="14">
        <f>Quebec!BC7/Quebec!$BE7</f>
        <v>0.15022903223819389</v>
      </c>
      <c r="H61" s="14">
        <f>Quebec!BD7/Quebec!$BE7</f>
        <v>0.1918779673021517</v>
      </c>
      <c r="J61" s="61">
        <f>Proba!B40/Proba!$H40</f>
        <v>9.998000399920017E-5</v>
      </c>
      <c r="K61" s="61">
        <f>Proba!C40/Proba!$H40</f>
        <v>0.99930013997200573</v>
      </c>
      <c r="L61" s="61">
        <f>Proba!D40/Proba!$H40</f>
        <v>0</v>
      </c>
      <c r="M61" s="61">
        <f>Proba!E40/Proba!$H40</f>
        <v>0</v>
      </c>
      <c r="N61" s="61">
        <f>Proba!F40/Proba!$H40</f>
        <v>1.4997000599880023E-4</v>
      </c>
      <c r="O61" s="72">
        <f>Proba!G40/Proba!$H40</f>
        <v>4.4991001799640074E-4</v>
      </c>
    </row>
    <row r="62" spans="1:15">
      <c r="A62" s="79"/>
      <c r="B62" t="s">
        <v>66</v>
      </c>
      <c r="C62" s="14">
        <f>Quebec!AY8/Quebec!$BE8</f>
        <v>0.53588744799673693</v>
      </c>
      <c r="D62" s="14">
        <f>Quebec!AZ8/Quebec!$BE8</f>
        <v>0.27114074515898717</v>
      </c>
      <c r="E62" s="14">
        <f>Quebec!BA8/Quebec!$BE8</f>
        <v>0.13478872515658155</v>
      </c>
      <c r="F62" s="14">
        <f>Quebec!BB8/Quebec!$BE8</f>
        <v>2.0373680932749418E-2</v>
      </c>
      <c r="G62" s="14">
        <f>Quebec!BC8/Quebec!$BE8</f>
        <v>3.7809400754944926E-2</v>
      </c>
      <c r="H62" s="71"/>
      <c r="J62" s="61">
        <f>Proba!B41/Proba!$H41</f>
        <v>1</v>
      </c>
      <c r="K62" s="61">
        <f>Proba!C41/Proba!$H41</f>
        <v>0</v>
      </c>
      <c r="L62" s="61">
        <f>Proba!D41/Proba!$H41</f>
        <v>0</v>
      </c>
      <c r="M62" s="61">
        <f>Proba!E41/Proba!$H41</f>
        <v>0</v>
      </c>
      <c r="N62" s="61">
        <f>Proba!F41/Proba!$H41</f>
        <v>0</v>
      </c>
      <c r="O62" s="35"/>
    </row>
    <row r="63" spans="1:15">
      <c r="A63" s="79"/>
      <c r="B63" t="s">
        <v>67</v>
      </c>
      <c r="C63" s="14">
        <f>Quebec!AY9/Quebec!$BE9</f>
        <v>0.25984336224776239</v>
      </c>
      <c r="D63" s="14">
        <f>Quebec!AZ9/Quebec!$BE9</f>
        <v>0.20375445009662807</v>
      </c>
      <c r="E63" s="14">
        <f>Quebec!BA9/Quebec!$BE9</f>
        <v>0.22858889909614122</v>
      </c>
      <c r="F63" s="14">
        <f>Quebec!BB9/Quebec!$BE9</f>
        <v>2.1681845510343148E-2</v>
      </c>
      <c r="G63" s="14">
        <f>Quebec!BC9/Quebec!$BE9</f>
        <v>0.28613144304912513</v>
      </c>
      <c r="H63" s="71"/>
      <c r="J63" s="61">
        <f>Proba!B42/Proba!$H42</f>
        <v>0.28813559322033899</v>
      </c>
      <c r="K63" s="61">
        <f>Proba!C42/Proba!$H42</f>
        <v>3.0348482575871201E-2</v>
      </c>
      <c r="L63" s="61">
        <f>Proba!D42/Proba!$H42</f>
        <v>9.4245287735613206E-2</v>
      </c>
      <c r="M63" s="61">
        <f>Proba!E42/Proba!$H42</f>
        <v>0</v>
      </c>
      <c r="N63" s="61">
        <f>Proba!F42/Proba!$H42</f>
        <v>0.58727063646817657</v>
      </c>
      <c r="O63" s="35"/>
    </row>
    <row r="64" spans="1:15">
      <c r="A64" s="79"/>
      <c r="B64" t="s">
        <v>68</v>
      </c>
      <c r="C64" s="14">
        <f>Quebec!AY10/Quebec!$BE10</f>
        <v>0.28785340178491309</v>
      </c>
      <c r="D64" s="14">
        <f>Quebec!AZ10/Quebec!$BE10</f>
        <v>0.2232948782726866</v>
      </c>
      <c r="E64" s="14">
        <f>Quebec!BA10/Quebec!$BE10</f>
        <v>0.29350682446724918</v>
      </c>
      <c r="F64" s="14">
        <f>Quebec!BB10/Quebec!$BE10</f>
        <v>2.2734657955032763E-2</v>
      </c>
      <c r="G64" s="14">
        <f>Quebec!BC10/Quebec!$BE10</f>
        <v>0.1726102375201182</v>
      </c>
      <c r="H64" s="71"/>
      <c r="J64" s="61">
        <f>Proba!B43/Proba!$H43</f>
        <v>0.44825000000000004</v>
      </c>
      <c r="K64" s="61">
        <f>Proba!C43/Proba!$H43</f>
        <v>4.8250000000000008E-2</v>
      </c>
      <c r="L64" s="61">
        <f>Proba!D43/Proba!$H43</f>
        <v>0.50230000000000008</v>
      </c>
      <c r="M64" s="61">
        <f>Proba!E43/Proba!$H43</f>
        <v>0</v>
      </c>
      <c r="N64" s="61">
        <f>Proba!F43/Proba!$H43</f>
        <v>1.2000000000000001E-3</v>
      </c>
      <c r="O64" s="35"/>
    </row>
    <row r="65" spans="1:15">
      <c r="A65" s="79"/>
      <c r="B65" t="s">
        <v>69</v>
      </c>
      <c r="C65" s="14">
        <f>Quebec!AY11/Quebec!$BE11</f>
        <v>0.16136118917244316</v>
      </c>
      <c r="D65" s="14">
        <f>Quebec!AZ11/Quebec!$BE11</f>
        <v>0.26395152745520267</v>
      </c>
      <c r="E65" s="14">
        <f>Quebec!BA11/Quebec!$BE11</f>
        <v>0.18776388747145234</v>
      </c>
      <c r="F65" s="14">
        <f>Quebec!BB11/Quebec!$BE11</f>
        <v>3.5493558687707524E-2</v>
      </c>
      <c r="G65" s="14">
        <f>Quebec!BC11/Quebec!$BE11</f>
        <v>0.35142983721319443</v>
      </c>
      <c r="H65" s="71"/>
      <c r="J65" s="61">
        <f>Proba!B44/Proba!$H44</f>
        <v>4.0000000000000002E-4</v>
      </c>
      <c r="K65" s="61">
        <f>Proba!C44/Proba!$H44</f>
        <v>0.10865</v>
      </c>
      <c r="L65" s="61">
        <f>Proba!D44/Proba!$H44</f>
        <v>3.8500000000000001E-3</v>
      </c>
      <c r="M65" s="61">
        <f>Proba!E44/Proba!$H44</f>
        <v>0</v>
      </c>
      <c r="N65" s="61">
        <f>Proba!F44/Proba!$H44</f>
        <v>0.8871</v>
      </c>
      <c r="O65" s="35"/>
    </row>
    <row r="66" spans="1:15">
      <c r="A66" s="79"/>
      <c r="B66" t="s">
        <v>70</v>
      </c>
      <c r="C66" s="14">
        <f>Quebec!AY12/Quebec!$BE12</f>
        <v>0.46763748469878597</v>
      </c>
      <c r="D66" s="14">
        <f>Quebec!AZ12/Quebec!$BE12</f>
        <v>0.21899324617998486</v>
      </c>
      <c r="E66" s="14">
        <f>Quebec!BA12/Quebec!$BE12</f>
        <v>0.17322467895710741</v>
      </c>
      <c r="F66" s="14">
        <f>Quebec!BB12/Quebec!$BE12</f>
        <v>1.9580520724562261E-2</v>
      </c>
      <c r="G66" s="14">
        <f>Quebec!BC12/Quebec!$BE12</f>
        <v>0.12056406943955954</v>
      </c>
      <c r="H66" s="71"/>
      <c r="J66" s="61">
        <f>Proba!B45/Proba!$H45</f>
        <v>1</v>
      </c>
      <c r="K66" s="61">
        <f>Proba!C45/Proba!$H45</f>
        <v>0</v>
      </c>
      <c r="L66" s="61">
        <f>Proba!D45/Proba!$H45</f>
        <v>0</v>
      </c>
      <c r="M66" s="61">
        <f>Proba!E45/Proba!$H45</f>
        <v>0</v>
      </c>
      <c r="N66" s="61">
        <f>Proba!F45/Proba!$H45</f>
        <v>0</v>
      </c>
      <c r="O66" s="35"/>
    </row>
    <row r="67" spans="1:15">
      <c r="A67" s="79"/>
      <c r="B67" t="s">
        <v>71</v>
      </c>
      <c r="C67" s="14">
        <f>Quebec!AY13/Quebec!$BE13</f>
        <v>0.12109726891507722</v>
      </c>
      <c r="D67" s="14">
        <f>Quebec!AZ13/Quebec!$BE13</f>
        <v>0.27460205829735174</v>
      </c>
      <c r="E67" s="14">
        <f>Quebec!BA13/Quebec!$BE13</f>
        <v>0.30316451197299593</v>
      </c>
      <c r="F67" s="14">
        <f>Quebec!BB13/Quebec!$BE13</f>
        <v>2.3896886087958143E-2</v>
      </c>
      <c r="G67" s="14">
        <f>Quebec!BC13/Quebec!$BE13</f>
        <v>0.27723927472661697</v>
      </c>
      <c r="H67" s="71"/>
      <c r="J67" s="61">
        <f>Proba!B46/Proba!$H46</f>
        <v>0</v>
      </c>
      <c r="K67" s="61">
        <f>Proba!C46/Proba!$H46</f>
        <v>0.25269999999999998</v>
      </c>
      <c r="L67" s="61">
        <f>Proba!D46/Proba!$H46</f>
        <v>0.51175000000000004</v>
      </c>
      <c r="M67" s="61">
        <f>Proba!E46/Proba!$H46</f>
        <v>0</v>
      </c>
      <c r="N67" s="61">
        <f>Proba!F46/Proba!$H46</f>
        <v>0.23555000000000001</v>
      </c>
      <c r="O67" s="35"/>
    </row>
    <row r="68" spans="1:15">
      <c r="A68" s="79"/>
      <c r="B68" t="s">
        <v>72</v>
      </c>
      <c r="C68" s="14">
        <f>Quebec!AY14/Quebec!$BE14</f>
        <v>0.15897889058105169</v>
      </c>
      <c r="D68" s="14">
        <f>Quebec!AZ14/Quebec!$BE14</f>
        <v>0.28492569532347189</v>
      </c>
      <c r="E68" s="14">
        <f>Quebec!BA14/Quebec!$BE14</f>
        <v>0.24529405774984492</v>
      </c>
      <c r="F68" s="14">
        <f>Quebec!BB14/Quebec!$BE14</f>
        <v>2.9255976990670424E-2</v>
      </c>
      <c r="G68" s="14">
        <f>Quebec!BC14/Quebec!$BE14</f>
        <v>0.28154537935496116</v>
      </c>
      <c r="H68" s="71"/>
      <c r="J68" s="61">
        <f>Proba!B47/Proba!$H47</f>
        <v>1.4499999999999999E-3</v>
      </c>
      <c r="K68" s="61">
        <f>Proba!C47/Proba!$H47</f>
        <v>0.48180000000000001</v>
      </c>
      <c r="L68" s="61">
        <f>Proba!D47/Proba!$H47</f>
        <v>0.13159999999999999</v>
      </c>
      <c r="M68" s="61">
        <f>Proba!E47/Proba!$H47</f>
        <v>0</v>
      </c>
      <c r="N68" s="61">
        <f>Proba!F47/Proba!$H47</f>
        <v>0.38514999999999999</v>
      </c>
      <c r="O68" s="35"/>
    </row>
    <row r="69" spans="1:15">
      <c r="A69" s="79"/>
      <c r="B69" t="s">
        <v>73</v>
      </c>
      <c r="C69" s="14">
        <f>Quebec!AY15/Quebec!$BE15</f>
        <v>0.11362120964140739</v>
      </c>
      <c r="D69" s="14">
        <f>Quebec!AZ15/Quebec!$BE15</f>
        <v>0.47228870748088242</v>
      </c>
      <c r="E69" s="14">
        <f>Quebec!BA15/Quebec!$BE15</f>
        <v>0.27270180522348614</v>
      </c>
      <c r="F69" s="14">
        <f>Quebec!BB15/Quebec!$BE15</f>
        <v>8.6573645531644577E-3</v>
      </c>
      <c r="G69" s="14">
        <f>Quebec!BC15/Quebec!$BE15</f>
        <v>0.13273091310105972</v>
      </c>
      <c r="H69" s="71"/>
      <c r="J69" s="61">
        <f>Proba!B48/Proba!$H48</f>
        <v>0</v>
      </c>
      <c r="K69" s="61">
        <f>Proba!C48/Proba!$H48</f>
        <v>0.99914999999999998</v>
      </c>
      <c r="L69" s="61">
        <f>Proba!D48/Proba!$H48</f>
        <v>8.4999999999999995E-4</v>
      </c>
      <c r="M69" s="61">
        <f>Proba!E48/Proba!$H48</f>
        <v>0</v>
      </c>
      <c r="N69" s="61">
        <f>Proba!F48/Proba!$H48</f>
        <v>0</v>
      </c>
      <c r="O69" s="35"/>
    </row>
    <row r="70" spans="1:15">
      <c r="A70" s="79"/>
      <c r="B70" t="s">
        <v>74</v>
      </c>
      <c r="C70" s="14">
        <f>Quebec!AY16/Quebec!$BE16</f>
        <v>0.14957984789018841</v>
      </c>
      <c r="D70" s="14">
        <f>Quebec!AZ16/Quebec!$BE16</f>
        <v>0.38216656170881397</v>
      </c>
      <c r="E70" s="14">
        <f>Quebec!BA16/Quebec!$BE16</f>
        <v>0.25728234078605472</v>
      </c>
      <c r="F70" s="14">
        <f>Quebec!BB16/Quebec!$BE16</f>
        <v>2.6955381552633662E-2</v>
      </c>
      <c r="G70" s="14">
        <f>Quebec!BC16/Quebec!$BE16</f>
        <v>0.18401586806230924</v>
      </c>
      <c r="H70" s="71"/>
      <c r="J70" s="61">
        <f>Proba!B49/Proba!$H49</f>
        <v>5.0000000000000009E-5</v>
      </c>
      <c r="K70" s="61">
        <f>Proba!C49/Proba!$H49</f>
        <v>0.97510000000000008</v>
      </c>
      <c r="L70" s="61">
        <f>Proba!D49/Proba!$H49</f>
        <v>2.4600000000000004E-2</v>
      </c>
      <c r="M70" s="61">
        <f>Proba!E49/Proba!$H49</f>
        <v>0</v>
      </c>
      <c r="N70" s="61">
        <f>Proba!F49/Proba!$H49</f>
        <v>2.5000000000000006E-4</v>
      </c>
      <c r="O70" s="35"/>
    </row>
    <row r="71" spans="1:15">
      <c r="A71" s="79"/>
      <c r="B71" t="s">
        <v>75</v>
      </c>
      <c r="C71" s="14">
        <f>Quebec!AY17/Quebec!$BE17</f>
        <v>0.15601397745916964</v>
      </c>
      <c r="D71" s="14">
        <f>Quebec!AZ17/Quebec!$BE17</f>
        <v>0.48041627166273665</v>
      </c>
      <c r="E71" s="14">
        <f>Quebec!BA17/Quebec!$BE17</f>
        <v>0.21071191081493784</v>
      </c>
      <c r="F71" s="14">
        <f>Quebec!BB17/Quebec!$BE17</f>
        <v>2.0707115787651775E-2</v>
      </c>
      <c r="G71" s="14">
        <f>Quebec!BC17/Quebec!$BE17</f>
        <v>0.13215072427550412</v>
      </c>
      <c r="H71" s="71"/>
      <c r="J71" s="61">
        <f>Proba!B50/Proba!$H50</f>
        <v>0</v>
      </c>
      <c r="K71" s="61">
        <f>Proba!C50/Proba!$H50</f>
        <v>1</v>
      </c>
      <c r="L71" s="61">
        <f>Proba!D50/Proba!$H50</f>
        <v>0</v>
      </c>
      <c r="M71" s="61">
        <f>Proba!E50/Proba!$H50</f>
        <v>0</v>
      </c>
      <c r="N71" s="61">
        <f>Proba!F50/Proba!$H50</f>
        <v>0</v>
      </c>
      <c r="O71" s="35"/>
    </row>
    <row r="72" spans="1:15">
      <c r="A72" s="79"/>
      <c r="B72" t="s">
        <v>76</v>
      </c>
      <c r="C72" s="14">
        <f>Quebec!AY18/Quebec!$BE18</f>
        <v>0.33766470313346092</v>
      </c>
      <c r="D72" s="14">
        <f>Quebec!AZ18/Quebec!$BE18</f>
        <v>0.22480909586255829</v>
      </c>
      <c r="E72" s="14">
        <f>Quebec!BA18/Quebec!$BE18</f>
        <v>0.28407118556138289</v>
      </c>
      <c r="F72" s="14">
        <f>Quebec!BB18/Quebec!$BE18</f>
        <v>1.9673297644642852E-2</v>
      </c>
      <c r="G72" s="14">
        <f>Quebec!BC18/Quebec!$BE18</f>
        <v>0.13378171779795509</v>
      </c>
      <c r="H72" s="71"/>
      <c r="J72" s="61">
        <f>Proba!B51/Proba!$H51</f>
        <v>0.79320000000000002</v>
      </c>
      <c r="K72" s="61">
        <f>Proba!C51/Proba!$H51</f>
        <v>1.8149999999999999E-2</v>
      </c>
      <c r="L72" s="61">
        <f>Proba!D51/Proba!$H51</f>
        <v>0.18865000000000001</v>
      </c>
      <c r="M72" s="61">
        <f>Proba!E51/Proba!$H51</f>
        <v>0</v>
      </c>
      <c r="N72" s="61">
        <f>Proba!F51/Proba!$H51</f>
        <v>0</v>
      </c>
      <c r="O72" s="35"/>
    </row>
    <row r="73" spans="1:15">
      <c r="A73" s="79"/>
      <c r="B73" t="s">
        <v>77</v>
      </c>
      <c r="C73" s="14">
        <f>Quebec!AY19/Quebec!$BE19</f>
        <v>0.1483578994761563</v>
      </c>
      <c r="D73" s="14">
        <f>Quebec!AZ19/Quebec!$BE19</f>
        <v>0.2554883371350441</v>
      </c>
      <c r="E73" s="14">
        <f>Quebec!BA19/Quebec!$BE19</f>
        <v>0.3302978430742291</v>
      </c>
      <c r="F73" s="14">
        <f>Quebec!BB19/Quebec!$BE19</f>
        <v>2.4695246870261225E-2</v>
      </c>
      <c r="G73" s="14">
        <f>Quebec!BC19/Quebec!$BE19</f>
        <v>0.24116067344430914</v>
      </c>
      <c r="H73" s="71"/>
      <c r="J73" s="61">
        <f>Proba!B52/Proba!$H52</f>
        <v>1.4999999999999999E-4</v>
      </c>
      <c r="K73" s="61">
        <f>Proba!C52/Proba!$H52</f>
        <v>0.1043</v>
      </c>
      <c r="L73" s="61">
        <f>Proba!D52/Proba!$H52</f>
        <v>0.84730000000000005</v>
      </c>
      <c r="M73" s="61">
        <f>Proba!E52/Proba!$H52</f>
        <v>0</v>
      </c>
      <c r="N73" s="61">
        <f>Proba!F52/Proba!$H52</f>
        <v>4.8250000000000001E-2</v>
      </c>
      <c r="O73" s="35"/>
    </row>
    <row r="74" spans="1:15">
      <c r="A74" s="79"/>
      <c r="B74" t="s">
        <v>78</v>
      </c>
      <c r="C74" s="14">
        <f>Quebec!AY20/Quebec!$BE20</f>
        <v>0.24932236037775085</v>
      </c>
      <c r="D74" s="14">
        <f>Quebec!AZ20/Quebec!$BE20</f>
        <v>0.23557461656725984</v>
      </c>
      <c r="E74" s="14">
        <f>Quebec!BA20/Quebec!$BE20</f>
        <v>0.23375805362286367</v>
      </c>
      <c r="F74" s="14">
        <f>Quebec!BB20/Quebec!$BE20</f>
        <v>2.0703706271270005E-2</v>
      </c>
      <c r="G74" s="14">
        <f>Quebec!BC20/Quebec!$BE20</f>
        <v>0.26064126316085562</v>
      </c>
      <c r="H74" s="71"/>
      <c r="J74" s="61">
        <f>Proba!B53/Proba!$H53</f>
        <v>0.28528573571321431</v>
      </c>
      <c r="K74" s="61">
        <f>Proba!C53/Proba!$H53</f>
        <v>0.16599170041497924</v>
      </c>
      <c r="L74" s="61">
        <f>Proba!D53/Proba!$H53</f>
        <v>0.17299135043247835</v>
      </c>
      <c r="M74" s="61">
        <f>Proba!E53/Proba!$H53</f>
        <v>0</v>
      </c>
      <c r="N74" s="61">
        <f>Proba!F53/Proba!$H53</f>
        <v>0.37573121343932797</v>
      </c>
      <c r="O74" s="35"/>
    </row>
    <row r="75" spans="1:15">
      <c r="A75" s="79"/>
      <c r="B75" t="s">
        <v>79</v>
      </c>
      <c r="C75" s="14">
        <f>Quebec!AY21/Quebec!$BE21</f>
        <v>0.14920581388730769</v>
      </c>
      <c r="D75" s="14">
        <f>Quebec!AZ21/Quebec!$BE21</f>
        <v>0.28206550446865902</v>
      </c>
      <c r="E75" s="14">
        <f>Quebec!BA21/Quebec!$BE21</f>
        <v>0.30375603971859488</v>
      </c>
      <c r="F75" s="14">
        <f>Quebec!BB21/Quebec!$BE21</f>
        <v>2.9988917179207347E-2</v>
      </c>
      <c r="G75" s="14">
        <f>Quebec!BC21/Quebec!$BE21</f>
        <v>0.23498372474623083</v>
      </c>
      <c r="H75" s="71"/>
      <c r="J75" s="61">
        <f>Proba!B54/Proba!$H54</f>
        <v>2.9999999999999997E-4</v>
      </c>
      <c r="K75" s="61">
        <f>Proba!C54/Proba!$H54</f>
        <v>0.34715000000000001</v>
      </c>
      <c r="L75" s="61">
        <f>Proba!D54/Proba!$H54</f>
        <v>0.60089999999999999</v>
      </c>
      <c r="M75" s="61">
        <f>Proba!E54/Proba!$H54</f>
        <v>0</v>
      </c>
      <c r="N75" s="61">
        <f>Proba!F54/Proba!$H54</f>
        <v>5.1650000000000001E-2</v>
      </c>
      <c r="O75" s="35"/>
    </row>
    <row r="76" spans="1:15">
      <c r="A76" s="79"/>
      <c r="B76" t="s">
        <v>80</v>
      </c>
      <c r="C76" s="14">
        <f>Quebec!AY22/Quebec!$BE22</f>
        <v>0.16396411455972812</v>
      </c>
      <c r="D76" s="14">
        <f>Quebec!AZ22/Quebec!$BE22</f>
        <v>0.43418224068930139</v>
      </c>
      <c r="E76" s="14">
        <f>Quebec!BA22/Quebec!$BE22</f>
        <v>0.27343257365251034</v>
      </c>
      <c r="F76" s="14">
        <f>Quebec!BB22/Quebec!$BE22</f>
        <v>3.5628927937481646E-2</v>
      </c>
      <c r="G76" s="14">
        <f>Quebec!BC22/Quebec!$BE22</f>
        <v>9.2792143160978557E-2</v>
      </c>
      <c r="H76" s="71"/>
      <c r="J76" s="61">
        <f>Proba!B55/Proba!$H55</f>
        <v>0</v>
      </c>
      <c r="K76" s="61">
        <f>Proba!C55/Proba!$H55</f>
        <v>0.99544999999999995</v>
      </c>
      <c r="L76" s="61">
        <f>Proba!D55/Proba!$H55</f>
        <v>4.5500000000000002E-3</v>
      </c>
      <c r="M76" s="61">
        <f>Proba!E55/Proba!$H55</f>
        <v>0</v>
      </c>
      <c r="N76" s="61">
        <f>Proba!F55/Proba!$H55</f>
        <v>0</v>
      </c>
      <c r="O76" s="35"/>
    </row>
    <row r="77" spans="1:15">
      <c r="A77" s="79"/>
      <c r="B77" t="s">
        <v>81</v>
      </c>
      <c r="C77" s="14">
        <f>Quebec!AY23/Quebec!$BE23</f>
        <v>0.18972707741103639</v>
      </c>
      <c r="D77" s="14">
        <f>Quebec!AZ23/Quebec!$BE23</f>
        <v>0.24586185603305583</v>
      </c>
      <c r="E77" s="14">
        <f>Quebec!BA23/Quebec!$BE23</f>
        <v>0.34705516773148576</v>
      </c>
      <c r="F77" s="14">
        <f>Quebec!BB23/Quebec!$BE23</f>
        <v>2.645325541560524E-2</v>
      </c>
      <c r="G77" s="14">
        <f>Quebec!BC23/Quebec!$BE23</f>
        <v>0.19090264340881685</v>
      </c>
      <c r="H77" s="71"/>
      <c r="J77" s="61">
        <f>Proba!B56/Proba!$H56</f>
        <v>2.3999999999999998E-3</v>
      </c>
      <c r="K77" s="61">
        <f>Proba!C56/Proba!$H56</f>
        <v>6.0199999999999997E-2</v>
      </c>
      <c r="L77" s="61">
        <f>Proba!D56/Proba!$H56</f>
        <v>0.93484999999999996</v>
      </c>
      <c r="M77" s="61">
        <f>Proba!E56/Proba!$H56</f>
        <v>0</v>
      </c>
      <c r="N77" s="61">
        <f>Proba!F56/Proba!$H56</f>
        <v>2.5500000000000002E-3</v>
      </c>
      <c r="O77" s="35"/>
    </row>
    <row r="78" spans="1:15">
      <c r="A78" s="79"/>
      <c r="B78" t="s">
        <v>82</v>
      </c>
      <c r="C78" s="14">
        <f>Quebec!AY24/Quebec!$BE24</f>
        <v>0.22049171027660436</v>
      </c>
      <c r="D78" s="14">
        <f>Quebec!AZ24/Quebec!$BE24</f>
        <v>0.3207685688211796</v>
      </c>
      <c r="E78" s="14">
        <f>Quebec!BA24/Quebec!$BE24</f>
        <v>0.13437153854595568</v>
      </c>
      <c r="F78" s="14">
        <f>Quebec!BB24/Quebec!$BE24</f>
        <v>2.4482048887735419E-2</v>
      </c>
      <c r="G78" s="14">
        <f>Quebec!BC24/Quebec!$BE24</f>
        <v>0.29988613346852511</v>
      </c>
      <c r="H78" s="71"/>
      <c r="J78" s="61">
        <f>Proba!B57/Proba!$H57</f>
        <v>1.46E-2</v>
      </c>
      <c r="K78" s="61">
        <f>Proba!C57/Proba!$H57</f>
        <v>0.63160000000000005</v>
      </c>
      <c r="L78" s="61">
        <f>Proba!D57/Proba!$H57</f>
        <v>0</v>
      </c>
      <c r="M78" s="61">
        <f>Proba!E57/Proba!$H57</f>
        <v>0</v>
      </c>
      <c r="N78" s="61">
        <f>Proba!F57/Proba!$H57</f>
        <v>0.3538</v>
      </c>
      <c r="O78" s="35"/>
    </row>
    <row r="79" spans="1:15">
      <c r="A79" s="79"/>
      <c r="B79" t="s">
        <v>83</v>
      </c>
      <c r="C79" s="14">
        <f>Quebec!AY25/Quebec!$BE25</f>
        <v>0.10891828950892399</v>
      </c>
      <c r="D79" s="14">
        <f>Quebec!AZ25/Quebec!$BE25</f>
        <v>0.30581512426782215</v>
      </c>
      <c r="E79" s="14">
        <f>Quebec!BA25/Quebec!$BE25</f>
        <v>0.44728521987566411</v>
      </c>
      <c r="F79" s="14">
        <f>Quebec!BB25/Quebec!$BE25</f>
        <v>1.6840750943567091E-2</v>
      </c>
      <c r="G79" s="14">
        <f>Quebec!BC25/Quebec!$BE25</f>
        <v>0.12114061540402261</v>
      </c>
      <c r="H79" s="71"/>
      <c r="J79" s="61">
        <f>Proba!B58/Proba!$H58</f>
        <v>0</v>
      </c>
      <c r="K79" s="61">
        <f>Proba!C58/Proba!$H58</f>
        <v>2.12E-2</v>
      </c>
      <c r="L79" s="61">
        <f>Proba!D58/Proba!$H58</f>
        <v>0.9788</v>
      </c>
      <c r="M79" s="61">
        <f>Proba!E58/Proba!$H58</f>
        <v>0</v>
      </c>
      <c r="N79" s="61">
        <f>Proba!F58/Proba!$H58</f>
        <v>0</v>
      </c>
      <c r="O79" s="35"/>
    </row>
    <row r="80" spans="1:15">
      <c r="A80" s="79"/>
      <c r="B80" t="s">
        <v>84</v>
      </c>
      <c r="C80" s="14">
        <f>Quebec!AY26/Quebec!$BE26</f>
        <v>9.4644350642944033E-2</v>
      </c>
      <c r="D80" s="14">
        <f>Quebec!AZ26/Quebec!$BE26</f>
        <v>0.24956175528650129</v>
      </c>
      <c r="E80" s="14">
        <f>Quebec!BA26/Quebec!$BE26</f>
        <v>0.34768758392574556</v>
      </c>
      <c r="F80" s="14">
        <f>Quebec!BB26/Quebec!$BE26</f>
        <v>2.1866559025271085E-2</v>
      </c>
      <c r="G80" s="14">
        <f>Quebec!BC26/Quebec!$BE26</f>
        <v>0.28623975111953792</v>
      </c>
      <c r="H80" s="71"/>
      <c r="J80" s="61">
        <f>Proba!B59/Proba!$H59</f>
        <v>0</v>
      </c>
      <c r="K80" s="61">
        <f>Proba!C59/Proba!$H59</f>
        <v>3.5299999999999998E-2</v>
      </c>
      <c r="L80" s="61">
        <f>Proba!D59/Proba!$H59</f>
        <v>0.83165</v>
      </c>
      <c r="M80" s="61">
        <f>Proba!E59/Proba!$H59</f>
        <v>0</v>
      </c>
      <c r="N80" s="61">
        <f>Proba!F59/Proba!$H59</f>
        <v>0.13305</v>
      </c>
      <c r="O80" s="35"/>
    </row>
    <row r="81" spans="1:15">
      <c r="A81" s="79"/>
      <c r="B81" t="s">
        <v>85</v>
      </c>
      <c r="C81" s="14">
        <f>Quebec!AY27/Quebec!$BE27</f>
        <v>0.15230225077750065</v>
      </c>
      <c r="D81" s="14">
        <f>Quebec!AZ27/Quebec!$BE27</f>
        <v>0.46648649631617284</v>
      </c>
      <c r="E81" s="14">
        <f>Quebec!BA27/Quebec!$BE27</f>
        <v>0.22203924317877383</v>
      </c>
      <c r="F81" s="14">
        <f>Quebec!BB27/Quebec!$BE27</f>
        <v>2.1130706892326722E-2</v>
      </c>
      <c r="G81" s="14">
        <f>Quebec!BC27/Quebec!$BE27</f>
        <v>0.13804130283522598</v>
      </c>
      <c r="H81" s="71"/>
      <c r="J81" s="61">
        <f>Proba!B60/Proba!$H60</f>
        <v>0</v>
      </c>
      <c r="K81" s="61">
        <f>Proba!C60/Proba!$H60</f>
        <v>0.99995000000000001</v>
      </c>
      <c r="L81" s="61">
        <f>Proba!D60/Proba!$H60</f>
        <v>5.0000000000000002E-5</v>
      </c>
      <c r="M81" s="61">
        <f>Proba!E60/Proba!$H60</f>
        <v>0</v>
      </c>
      <c r="N81" s="61">
        <f>Proba!F60/Proba!$H60</f>
        <v>0</v>
      </c>
      <c r="O81" s="35"/>
    </row>
    <row r="82" spans="1:15">
      <c r="A82" s="79"/>
      <c r="B82" t="s">
        <v>86</v>
      </c>
      <c r="C82" s="14">
        <f>Quebec!AY28/Quebec!$BE28</f>
        <v>0.12924548401108099</v>
      </c>
      <c r="D82" s="14">
        <f>Quebec!AZ28/Quebec!$BE28</f>
        <v>0.37258863252556051</v>
      </c>
      <c r="E82" s="14">
        <f>Quebec!BA28/Quebec!$BE28</f>
        <v>0.41386868037972535</v>
      </c>
      <c r="F82" s="14">
        <f>Quebec!BB28/Quebec!$BE28</f>
        <v>2.5511666850480934E-2</v>
      </c>
      <c r="G82" s="14">
        <f>Quebec!BC28/Quebec!$BE28</f>
        <v>5.8785536233152261E-2</v>
      </c>
      <c r="H82" s="71"/>
      <c r="J82" s="61">
        <f>Proba!B61/Proba!$H61</f>
        <v>0</v>
      </c>
      <c r="K82" s="61">
        <f>Proba!C61/Proba!$H61</f>
        <v>0.27810000000000001</v>
      </c>
      <c r="L82" s="61">
        <f>Proba!D61/Proba!$H61</f>
        <v>0.72189999999999999</v>
      </c>
      <c r="M82" s="61">
        <f>Proba!E61/Proba!$H61</f>
        <v>0</v>
      </c>
      <c r="N82" s="61">
        <f>Proba!F61/Proba!$H61</f>
        <v>0</v>
      </c>
      <c r="O82" s="35"/>
    </row>
    <row r="83" spans="1:15">
      <c r="A83" s="79"/>
      <c r="B83" t="s">
        <v>87</v>
      </c>
      <c r="C83" s="14">
        <f>Quebec!AY29/Quebec!$BE29</f>
        <v>0.12560117953514552</v>
      </c>
      <c r="D83" s="14">
        <f>Quebec!AZ29/Quebec!$BE29</f>
        <v>0.21839800943666635</v>
      </c>
      <c r="E83" s="14">
        <f>Quebec!BA29/Quebec!$BE29</f>
        <v>0.30993540853721741</v>
      </c>
      <c r="F83" s="14">
        <f>Quebec!BB29/Quebec!$BE29</f>
        <v>4.5828565431357104E-2</v>
      </c>
      <c r="G83" s="14">
        <f>Quebec!BC29/Quebec!$BE29</f>
        <v>0.30023683705961368</v>
      </c>
      <c r="H83" s="71"/>
      <c r="J83" s="61">
        <f>Proba!B62/Proba!$H62</f>
        <v>0</v>
      </c>
      <c r="K83" s="61">
        <f>Proba!C62/Proba!$H62</f>
        <v>2.4049999999999998E-2</v>
      </c>
      <c r="L83" s="61">
        <f>Proba!D62/Proba!$H62</f>
        <v>0.56325000000000003</v>
      </c>
      <c r="M83" s="61">
        <f>Proba!E62/Proba!$H62</f>
        <v>0</v>
      </c>
      <c r="N83" s="61">
        <f>Proba!F62/Proba!$H62</f>
        <v>0.41270000000000001</v>
      </c>
      <c r="O83" s="35"/>
    </row>
    <row r="84" spans="1:15">
      <c r="A84" s="79"/>
      <c r="B84" t="s">
        <v>88</v>
      </c>
      <c r="C84" s="14">
        <f>Quebec!AY30/Quebec!$BE30</f>
        <v>0.31767900835790491</v>
      </c>
      <c r="D84" s="14">
        <f>Quebec!AZ30/Quebec!$BE30</f>
        <v>0.20210004113503149</v>
      </c>
      <c r="E84" s="14">
        <f>Quebec!BA30/Quebec!$BE30</f>
        <v>0.24935258557923098</v>
      </c>
      <c r="F84" s="14">
        <f>Quebec!BB30/Quebec!$BE30</f>
        <v>1.8098664817559153E-2</v>
      </c>
      <c r="G84" s="14">
        <f>Quebec!BC30/Quebec!$BE30</f>
        <v>0.21276970011027338</v>
      </c>
      <c r="H84" s="71"/>
      <c r="J84" s="61">
        <f>Proba!B63/Proba!$H63</f>
        <v>0.83340000000000003</v>
      </c>
      <c r="K84" s="61">
        <f>Proba!C63/Proba!$H63</f>
        <v>1.6750000000000001E-2</v>
      </c>
      <c r="L84" s="61">
        <f>Proba!D63/Proba!$H63</f>
        <v>0.1273</v>
      </c>
      <c r="M84" s="61">
        <f>Proba!E63/Proba!$H63</f>
        <v>0</v>
      </c>
      <c r="N84" s="61">
        <f>Proba!F63/Proba!$H63</f>
        <v>2.2550000000000001E-2</v>
      </c>
      <c r="O84" s="35"/>
    </row>
    <row r="85" spans="1:15">
      <c r="A85" s="79"/>
      <c r="B85" t="s">
        <v>89</v>
      </c>
      <c r="C85" s="14">
        <f>Quebec!AY31/Quebec!$BE31</f>
        <v>9.8532664434395401E-2</v>
      </c>
      <c r="D85" s="14">
        <f>Quebec!AZ31/Quebec!$BE31</f>
        <v>0.23152909045241055</v>
      </c>
      <c r="E85" s="14">
        <f>Quebec!BA31/Quebec!$BE31</f>
        <v>0.34591507589006676</v>
      </c>
      <c r="F85" s="14">
        <f>Quebec!BB31/Quebec!$BE31</f>
        <v>2.3892139372337879E-2</v>
      </c>
      <c r="G85" s="14">
        <f>Quebec!BC31/Quebec!$BE31</f>
        <v>0.3001310298507896</v>
      </c>
      <c r="H85" s="71"/>
      <c r="J85" s="61">
        <f>Proba!B64/Proba!$H64</f>
        <v>0</v>
      </c>
      <c r="K85" s="61">
        <f>Proba!C64/Proba!$H64</f>
        <v>1.345E-2</v>
      </c>
      <c r="L85" s="61">
        <f>Proba!D64/Proba!$H64</f>
        <v>0.78225</v>
      </c>
      <c r="M85" s="61">
        <f>Proba!E64/Proba!$H64</f>
        <v>0</v>
      </c>
      <c r="N85" s="61">
        <f>Proba!F64/Proba!$H64</f>
        <v>0.20430000000000001</v>
      </c>
      <c r="O85" s="35"/>
    </row>
    <row r="86" spans="1:15">
      <c r="A86" s="79"/>
      <c r="B86" t="s">
        <v>90</v>
      </c>
      <c r="C86" s="14">
        <f>Quebec!AY32/Quebec!$BE32</f>
        <v>0.12241336010248012</v>
      </c>
      <c r="D86" s="14">
        <f>Quebec!AZ32/Quebec!$BE32</f>
        <v>0.28549586612239347</v>
      </c>
      <c r="E86" s="14">
        <f>Quebec!BA32/Quebec!$BE32</f>
        <v>0.34245147871019332</v>
      </c>
      <c r="F86" s="14">
        <f>Quebec!BB32/Quebec!$BE32</f>
        <v>2.0149126777783542E-2</v>
      </c>
      <c r="G86" s="14">
        <f>Quebec!BC32/Quebec!$BE32</f>
        <v>0.22949016828714944</v>
      </c>
      <c r="H86" s="71"/>
      <c r="J86" s="61">
        <f>Proba!B65/Proba!$H65</f>
        <v>0</v>
      </c>
      <c r="K86" s="61">
        <f>Proba!C65/Proba!$H65</f>
        <v>0.18725</v>
      </c>
      <c r="L86" s="61">
        <f>Proba!D65/Proba!$H65</f>
        <v>0.80059999999999998</v>
      </c>
      <c r="M86" s="61">
        <f>Proba!E65/Proba!$H65</f>
        <v>0</v>
      </c>
      <c r="N86" s="61">
        <f>Proba!F65/Proba!$H65</f>
        <v>1.2149999999999999E-2</v>
      </c>
      <c r="O86" s="35"/>
    </row>
    <row r="87" spans="1:15">
      <c r="A87" s="79"/>
      <c r="B87" t="s">
        <v>91</v>
      </c>
      <c r="C87" s="14">
        <f>Quebec!AY33/Quebec!$BE33</f>
        <v>0.44976110702534267</v>
      </c>
      <c r="D87" s="14">
        <f>Quebec!AZ33/Quebec!$BE33</f>
        <v>0.20722090127578807</v>
      </c>
      <c r="E87" s="14">
        <f>Quebec!BA33/Quebec!$BE33</f>
        <v>0.14456740743541222</v>
      </c>
      <c r="F87" s="14">
        <f>Quebec!BB33/Quebec!$BE33</f>
        <v>1.8640842097767552E-2</v>
      </c>
      <c r="G87" s="14">
        <f>Quebec!BC33/Quebec!$BE33</f>
        <v>0.1798097421656894</v>
      </c>
      <c r="H87" s="71"/>
      <c r="J87" s="61">
        <f>Proba!B66/Proba!$H66</f>
        <v>0.99995000000000001</v>
      </c>
      <c r="K87" s="61">
        <f>Proba!C66/Proba!$H66</f>
        <v>5.0000000000000002E-5</v>
      </c>
      <c r="L87" s="61">
        <f>Proba!D66/Proba!$H66</f>
        <v>0</v>
      </c>
      <c r="M87" s="61">
        <f>Proba!E66/Proba!$H66</f>
        <v>0</v>
      </c>
      <c r="N87" s="61">
        <f>Proba!F66/Proba!$H66</f>
        <v>0</v>
      </c>
      <c r="O87" s="35"/>
    </row>
    <row r="88" spans="1:15">
      <c r="A88" s="79"/>
      <c r="B88" t="s">
        <v>92</v>
      </c>
      <c r="C88" s="14">
        <f>Quebec!AY34/Quebec!$BE34</f>
        <v>0.30770313206367128</v>
      </c>
      <c r="D88" s="14">
        <f>Quebec!AZ34/Quebec!$BE34</f>
        <v>0.47345026787509231</v>
      </c>
      <c r="E88" s="14">
        <f>Quebec!BA34/Quebec!$BE34</f>
        <v>0.16223320161305169</v>
      </c>
      <c r="F88" s="14">
        <f>Quebec!BB34/Quebec!$BE34</f>
        <v>4.8472046509973984E-2</v>
      </c>
      <c r="G88" s="14">
        <f>Quebec!BC34/Quebec!$BE34</f>
        <v>8.1413519382107311E-3</v>
      </c>
      <c r="H88" s="71"/>
      <c r="J88" s="61">
        <f>Proba!B67/Proba!$H67</f>
        <v>3.5999999999999999E-3</v>
      </c>
      <c r="K88" s="61">
        <f>Proba!C67/Proba!$H67</f>
        <v>0.99639999999999995</v>
      </c>
      <c r="L88" s="61">
        <f>Proba!D67/Proba!$H67</f>
        <v>0</v>
      </c>
      <c r="M88" s="61">
        <f>Proba!E67/Proba!$H67</f>
        <v>0</v>
      </c>
      <c r="N88" s="61">
        <f>Proba!F67/Proba!$H67</f>
        <v>0</v>
      </c>
      <c r="O88" s="35"/>
    </row>
    <row r="89" spans="1:15">
      <c r="A89" s="79"/>
      <c r="B89" t="s">
        <v>93</v>
      </c>
      <c r="C89" s="14">
        <f>Quebec!AY35/Quebec!$BE35</f>
        <v>0.11959615958143351</v>
      </c>
      <c r="D89" s="14">
        <f>Quebec!AZ35/Quebec!$BE35</f>
        <v>0.3225390221189125</v>
      </c>
      <c r="E89" s="14">
        <f>Quebec!BA35/Quebec!$BE35</f>
        <v>0.31425343401412009</v>
      </c>
      <c r="F89" s="14">
        <f>Quebec!BB35/Quebec!$BE35</f>
        <v>3.1199963747989168E-2</v>
      </c>
      <c r="G89" s="14">
        <f>Quebec!BC35/Quebec!$BE35</f>
        <v>0.21241142053754483</v>
      </c>
      <c r="H89" s="71"/>
      <c r="J89" s="61">
        <f>Proba!B68/Proba!$H68</f>
        <v>0</v>
      </c>
      <c r="K89" s="61">
        <f>Proba!C68/Proba!$H68</f>
        <v>0.59130000000000005</v>
      </c>
      <c r="L89" s="61">
        <f>Proba!D68/Proba!$H68</f>
        <v>0.40529999999999999</v>
      </c>
      <c r="M89" s="61">
        <f>Proba!E68/Proba!$H68</f>
        <v>0</v>
      </c>
      <c r="N89" s="61">
        <f>Proba!F68/Proba!$H68</f>
        <v>3.3999999999999998E-3</v>
      </c>
      <c r="O89" s="35"/>
    </row>
    <row r="90" spans="1:15">
      <c r="A90" s="79"/>
      <c r="B90" t="s">
        <v>94</v>
      </c>
      <c r="C90" s="14">
        <f>Quebec!AY36/Quebec!$BE36</f>
        <v>0.12165437790663471</v>
      </c>
      <c r="D90" s="14">
        <f>Quebec!AZ36/Quebec!$BE36</f>
        <v>0.28182647527631</v>
      </c>
      <c r="E90" s="14">
        <f>Quebec!BA36/Quebec!$BE36</f>
        <v>0.27960419145543147</v>
      </c>
      <c r="F90" s="14">
        <f>Quebec!BB36/Quebec!$BE36</f>
        <v>3.1161790284687761E-2</v>
      </c>
      <c r="G90" s="14">
        <f>Quebec!BC36/Quebec!$BE36</f>
        <v>0.28575316507693593</v>
      </c>
      <c r="H90" s="71"/>
      <c r="J90" s="61">
        <f>Proba!B69/Proba!$H69</f>
        <v>0</v>
      </c>
      <c r="K90" s="61">
        <f>Proba!C69/Proba!$H69</f>
        <v>0.35195000000000004</v>
      </c>
      <c r="L90" s="61">
        <f>Proba!D69/Proba!$H69</f>
        <v>0.30015000000000003</v>
      </c>
      <c r="M90" s="61">
        <f>Proba!E69/Proba!$H69</f>
        <v>0</v>
      </c>
      <c r="N90" s="61">
        <f>Proba!F69/Proba!$H69</f>
        <v>0.34790000000000004</v>
      </c>
      <c r="O90" s="35"/>
    </row>
    <row r="91" spans="1:15">
      <c r="A91" s="79"/>
      <c r="B91" t="s">
        <v>95</v>
      </c>
      <c r="C91" s="14">
        <f>Quebec!AY37/Quebec!$BE37</f>
        <v>6.1918828470413731E-2</v>
      </c>
      <c r="D91" s="14">
        <f>Quebec!AZ37/Quebec!$BE37</f>
        <v>0.23945131218940011</v>
      </c>
      <c r="E91" s="14">
        <f>Quebec!BA37/Quebec!$BE37</f>
        <v>0.33850471269529864</v>
      </c>
      <c r="F91" s="14">
        <f>Quebec!BB37/Quebec!$BE37</f>
        <v>3.1767418116767615E-2</v>
      </c>
      <c r="G91" s="14">
        <f>Quebec!BC37/Quebec!$BE37</f>
        <v>0.32835772852811995</v>
      </c>
      <c r="H91" s="71"/>
      <c r="J91" s="61">
        <f>Proba!B70/Proba!$H70</f>
        <v>0</v>
      </c>
      <c r="K91" s="61">
        <f>Proba!C70/Proba!$H70</f>
        <v>1.6250000000000001E-2</v>
      </c>
      <c r="L91" s="61">
        <f>Proba!D70/Proba!$H70</f>
        <v>0.58684999999999998</v>
      </c>
      <c r="M91" s="61">
        <f>Proba!E70/Proba!$H70</f>
        <v>0</v>
      </c>
      <c r="N91" s="61">
        <f>Proba!F70/Proba!$H70</f>
        <v>0.39689999999999998</v>
      </c>
      <c r="O91" s="35"/>
    </row>
    <row r="92" spans="1:15">
      <c r="A92" s="79"/>
      <c r="B92" t="s">
        <v>96</v>
      </c>
      <c r="C92" s="14">
        <f>Quebec!AY38/Quebec!$BE38</f>
        <v>0.19456053271146287</v>
      </c>
      <c r="D92" s="14">
        <f>Quebec!AZ38/Quebec!$BE38</f>
        <v>0.36379698839250169</v>
      </c>
      <c r="E92" s="14">
        <f>Quebec!BA38/Quebec!$BE38</f>
        <v>0.31528346048659422</v>
      </c>
      <c r="F92" s="14">
        <f>Quebec!BB38/Quebec!$BE38</f>
        <v>2.3928021136412691E-2</v>
      </c>
      <c r="G92" s="14">
        <f>Quebec!BC38/Quebec!$BE38</f>
        <v>0.10243099727302854</v>
      </c>
      <c r="H92" s="71"/>
      <c r="J92" s="61">
        <f>Proba!B71/Proba!$H71</f>
        <v>3.5E-4</v>
      </c>
      <c r="K92" s="61">
        <f>Proba!C71/Proba!$H71</f>
        <v>0.78010000000000002</v>
      </c>
      <c r="L92" s="61">
        <f>Proba!D71/Proba!$H71</f>
        <v>0.21955</v>
      </c>
      <c r="M92" s="61">
        <f>Proba!E71/Proba!$H71</f>
        <v>0</v>
      </c>
      <c r="N92" s="61">
        <f>Proba!F71/Proba!$H71</f>
        <v>0</v>
      </c>
      <c r="O92" s="35"/>
    </row>
    <row r="93" spans="1:15">
      <c r="A93" s="79"/>
      <c r="B93" t="s">
        <v>97</v>
      </c>
      <c r="C93" s="14">
        <f>Quebec!AY39/Quebec!$BE39</f>
        <v>0.42666715554032336</v>
      </c>
      <c r="D93" s="14">
        <f>Quebec!AZ39/Quebec!$BE39</f>
        <v>0.21166925177228732</v>
      </c>
      <c r="E93" s="14">
        <f>Quebec!BA39/Quebec!$BE39</f>
        <v>0.2203404531120664</v>
      </c>
      <c r="F93" s="14">
        <f>Quebec!BB39/Quebec!$BE39</f>
        <v>2.0850505072468349E-2</v>
      </c>
      <c r="G93" s="14">
        <f>Quebec!BC39/Quebec!$BE39</f>
        <v>0.12047263450285459</v>
      </c>
      <c r="H93" s="71"/>
      <c r="J93" s="61">
        <f>Proba!B72/Proba!$H72</f>
        <v>0.99924999999999997</v>
      </c>
      <c r="K93" s="61">
        <f>Proba!C72/Proba!$H72</f>
        <v>5.0000000000000002E-5</v>
      </c>
      <c r="L93" s="61">
        <f>Proba!D72/Proba!$H72</f>
        <v>6.9999999999999999E-4</v>
      </c>
      <c r="M93" s="61">
        <f>Proba!E72/Proba!$H72</f>
        <v>0</v>
      </c>
      <c r="N93" s="61">
        <f>Proba!F72/Proba!$H72</f>
        <v>0</v>
      </c>
      <c r="O93" s="35"/>
    </row>
    <row r="94" spans="1:15">
      <c r="A94" s="79"/>
      <c r="B94" t="s">
        <v>98</v>
      </c>
      <c r="C94" s="14">
        <f>Quebec!AY40/Quebec!$BE40</f>
        <v>0.13313932004280662</v>
      </c>
      <c r="D94" s="14">
        <f>Quebec!AZ40/Quebec!$BE40</f>
        <v>0.28619884117026384</v>
      </c>
      <c r="E94" s="14">
        <f>Quebec!BA40/Quebec!$BE40</f>
        <v>0.29684014876877801</v>
      </c>
      <c r="F94" s="14">
        <f>Quebec!BB40/Quebec!$BE40</f>
        <v>2.964851352129623E-2</v>
      </c>
      <c r="G94" s="14">
        <f>Quebec!BC40/Quebec!$BE40</f>
        <v>0.25417317649685534</v>
      </c>
      <c r="H94" s="71"/>
      <c r="J94" s="61">
        <f>Proba!B73/Proba!$H73</f>
        <v>0</v>
      </c>
      <c r="K94" s="61">
        <f>Proba!C73/Proba!$H73</f>
        <v>0.39279999999999998</v>
      </c>
      <c r="L94" s="61">
        <f>Proba!D73/Proba!$H73</f>
        <v>0.49230000000000002</v>
      </c>
      <c r="M94" s="61">
        <f>Proba!E73/Proba!$H73</f>
        <v>0</v>
      </c>
      <c r="N94" s="61">
        <f>Proba!F73/Proba!$H73</f>
        <v>0.1149</v>
      </c>
      <c r="O94" s="35"/>
    </row>
    <row r="95" spans="1:15">
      <c r="A95" s="79"/>
      <c r="B95" t="s">
        <v>99</v>
      </c>
      <c r="C95" s="14">
        <f>Quebec!AY41/Quebec!$BE41</f>
        <v>0.1153823129173626</v>
      </c>
      <c r="D95" s="14">
        <f>Quebec!AZ41/Quebec!$BE41</f>
        <v>0.25434671187089081</v>
      </c>
      <c r="E95" s="14">
        <f>Quebec!BA41/Quebec!$BE41</f>
        <v>0.343194776583643</v>
      </c>
      <c r="F95" s="14">
        <f>Quebec!BB41/Quebec!$BE41</f>
        <v>2.7591857153062057E-2</v>
      </c>
      <c r="G95" s="14">
        <f>Quebec!BC41/Quebec!$BE41</f>
        <v>0.25948434147504157</v>
      </c>
      <c r="H95" s="71"/>
      <c r="J95" s="61">
        <f>Proba!B74/Proba!$H74</f>
        <v>0</v>
      </c>
      <c r="K95" s="61">
        <f>Proba!C74/Proba!$H74</f>
        <v>6.9000000000000006E-2</v>
      </c>
      <c r="L95" s="61">
        <f>Proba!D74/Proba!$H74</f>
        <v>0.8649</v>
      </c>
      <c r="M95" s="61">
        <f>Proba!E74/Proba!$H74</f>
        <v>0</v>
      </c>
      <c r="N95" s="61">
        <f>Proba!F74/Proba!$H74</f>
        <v>6.6100000000000006E-2</v>
      </c>
      <c r="O95" s="35"/>
    </row>
    <row r="96" spans="1:15">
      <c r="A96" s="79"/>
      <c r="B96" t="s">
        <v>100</v>
      </c>
      <c r="C96" s="14">
        <f>Quebec!AY42/Quebec!$BE42</f>
        <v>0.2527915774774166</v>
      </c>
      <c r="D96" s="14">
        <f>Quebec!AZ42/Quebec!$BE42</f>
        <v>0.29346297020181206</v>
      </c>
      <c r="E96" s="14">
        <f>Quebec!BA42/Quebec!$BE42</f>
        <v>0.22036558421118563</v>
      </c>
      <c r="F96" s="14">
        <f>Quebec!BB42/Quebec!$BE42</f>
        <v>2.057193477024348E-2</v>
      </c>
      <c r="G96" s="14">
        <f>Quebec!BC42/Quebec!$BE42</f>
        <v>0.21280793333934231</v>
      </c>
      <c r="H96" s="71"/>
      <c r="J96" s="61">
        <f>Proba!B75/Proba!$H75</f>
        <v>0.22105</v>
      </c>
      <c r="K96" s="61">
        <f>Proba!C75/Proba!$H75</f>
        <v>0.67874999999999996</v>
      </c>
      <c r="L96" s="61">
        <f>Proba!D75/Proba!$H75</f>
        <v>6.5250000000000002E-2</v>
      </c>
      <c r="M96" s="61">
        <f>Proba!E75/Proba!$H75</f>
        <v>0</v>
      </c>
      <c r="N96" s="61">
        <f>Proba!F75/Proba!$H75</f>
        <v>3.4950000000000002E-2</v>
      </c>
      <c r="O96" s="35"/>
    </row>
    <row r="97" spans="1:15">
      <c r="A97" s="79"/>
      <c r="B97" t="s">
        <v>101</v>
      </c>
      <c r="C97" s="14">
        <f>Quebec!AY43/Quebec!$BE43</f>
        <v>0.43861964023545835</v>
      </c>
      <c r="D97" s="14">
        <f>Quebec!AZ43/Quebec!$BE43</f>
        <v>0.21247453640213154</v>
      </c>
      <c r="E97" s="14">
        <f>Quebec!BA43/Quebec!$BE43</f>
        <v>0.22165733487510916</v>
      </c>
      <c r="F97" s="14">
        <f>Quebec!BB43/Quebec!$BE43</f>
        <v>1.8237608489929537E-2</v>
      </c>
      <c r="G97" s="14">
        <f>Quebec!BC43/Quebec!$BE43</f>
        <v>0.10901087999737134</v>
      </c>
      <c r="H97" s="71"/>
      <c r="J97" s="61">
        <f>Proba!B76/Proba!$H76</f>
        <v>0.99945000000000006</v>
      </c>
      <c r="K97" s="61">
        <f>Proba!C76/Proba!$H76</f>
        <v>1.5000000000000001E-4</v>
      </c>
      <c r="L97" s="61">
        <f>Proba!D76/Proba!$H76</f>
        <v>4.0000000000000007E-4</v>
      </c>
      <c r="M97" s="61">
        <f>Proba!E76/Proba!$H76</f>
        <v>0</v>
      </c>
      <c r="N97" s="61">
        <f>Proba!F76/Proba!$H76</f>
        <v>0</v>
      </c>
      <c r="O97" s="35"/>
    </row>
    <row r="98" spans="1:15">
      <c r="A98" s="79"/>
      <c r="B98" t="s">
        <v>102</v>
      </c>
      <c r="C98" s="14">
        <f>Quebec!AY44/Quebec!$BE44</f>
        <v>0.14983420238813011</v>
      </c>
      <c r="D98" s="14">
        <f>Quebec!AZ44/Quebec!$BE44</f>
        <v>0.22821304381733096</v>
      </c>
      <c r="E98" s="14">
        <f>Quebec!BA44/Quebec!$BE44</f>
        <v>0.29885585055581498</v>
      </c>
      <c r="F98" s="14">
        <f>Quebec!BB44/Quebec!$BE44</f>
        <v>3.0178366508483032E-2</v>
      </c>
      <c r="G98" s="14">
        <f>Quebec!BC44/Quebec!$BE44</f>
        <v>0.29291853673024093</v>
      </c>
      <c r="H98" s="71"/>
      <c r="J98" s="61">
        <f>Proba!B77/Proba!$H77</f>
        <v>2.9999999999999997E-4</v>
      </c>
      <c r="K98" s="61">
        <f>Proba!C77/Proba!$H77</f>
        <v>4.8500000000000001E-2</v>
      </c>
      <c r="L98" s="61">
        <f>Proba!D77/Proba!$H77</f>
        <v>0.5252</v>
      </c>
      <c r="M98" s="61">
        <f>Proba!E77/Proba!$H77</f>
        <v>0</v>
      </c>
      <c r="N98" s="61">
        <f>Proba!F77/Proba!$H77</f>
        <v>0.42599999999999999</v>
      </c>
      <c r="O98" s="35"/>
    </row>
    <row r="99" spans="1:15">
      <c r="A99" s="79"/>
      <c r="B99" t="s">
        <v>103</v>
      </c>
      <c r="C99" s="14">
        <f>Quebec!AY45/Quebec!$BE45</f>
        <v>0.13236898843068565</v>
      </c>
      <c r="D99" s="14">
        <f>Quebec!AZ45/Quebec!$BE45</f>
        <v>0.29285890704688733</v>
      </c>
      <c r="E99" s="14">
        <f>Quebec!BA45/Quebec!$BE45</f>
        <v>0.33039788027987854</v>
      </c>
      <c r="F99" s="14">
        <f>Quebec!BB45/Quebec!$BE45</f>
        <v>2.9372807272297727E-2</v>
      </c>
      <c r="G99" s="14">
        <f>Quebec!BC45/Quebec!$BE45</f>
        <v>0.21500141697025074</v>
      </c>
      <c r="H99" s="71"/>
      <c r="J99" s="61">
        <f>Proba!B78/Proba!$H78</f>
        <v>0</v>
      </c>
      <c r="K99" s="61">
        <f>Proba!C78/Proba!$H78</f>
        <v>0.27830000000000005</v>
      </c>
      <c r="L99" s="61">
        <f>Proba!D78/Proba!$H78</f>
        <v>0.71215000000000006</v>
      </c>
      <c r="M99" s="61">
        <f>Proba!E78/Proba!$H78</f>
        <v>0</v>
      </c>
      <c r="N99" s="61">
        <f>Proba!F78/Proba!$H78</f>
        <v>9.5500000000000012E-3</v>
      </c>
      <c r="O99" s="35"/>
    </row>
    <row r="100" spans="1:15">
      <c r="A100" s="79"/>
      <c r="B100" t="s">
        <v>104</v>
      </c>
      <c r="C100" s="14">
        <f>Quebec!AY46/Quebec!$BE46</f>
        <v>0.50252522140886813</v>
      </c>
      <c r="D100" s="14">
        <f>Quebec!AZ46/Quebec!$BE46</f>
        <v>0.23121975879060719</v>
      </c>
      <c r="E100" s="14">
        <f>Quebec!BA46/Quebec!$BE46</f>
        <v>0.10188619966647165</v>
      </c>
      <c r="F100" s="14">
        <f>Quebec!BB46/Quebec!$BE46</f>
        <v>1.9825649291382714E-2</v>
      </c>
      <c r="G100" s="14">
        <f>Quebec!BC46/Quebec!$BE46</f>
        <v>0.14454317084267024</v>
      </c>
      <c r="H100" s="71"/>
      <c r="J100" s="61">
        <f>Proba!B79/Proba!$H79</f>
        <v>0.99995000000000001</v>
      </c>
      <c r="K100" s="61">
        <f>Proba!C79/Proba!$H79</f>
        <v>5.0000000000000002E-5</v>
      </c>
      <c r="L100" s="61">
        <f>Proba!D79/Proba!$H79</f>
        <v>0</v>
      </c>
      <c r="M100" s="61">
        <f>Proba!E79/Proba!$H79</f>
        <v>0</v>
      </c>
      <c r="N100" s="61">
        <f>Proba!F79/Proba!$H79</f>
        <v>0</v>
      </c>
      <c r="O100" s="35"/>
    </row>
    <row r="101" spans="1:15">
      <c r="A101" s="79"/>
      <c r="B101" t="s">
        <v>105</v>
      </c>
      <c r="C101" s="14">
        <f>Quebec!AY47/Quebec!$BE47</f>
        <v>0.12139798021622188</v>
      </c>
      <c r="D101" s="14">
        <f>Quebec!AZ47/Quebec!$BE47</f>
        <v>0.23290187408166424</v>
      </c>
      <c r="E101" s="14">
        <f>Quebec!BA47/Quebec!$BE47</f>
        <v>0.33752971014760319</v>
      </c>
      <c r="F101" s="14">
        <f>Quebec!BB47/Quebec!$BE47</f>
        <v>2.6223312758581613E-2</v>
      </c>
      <c r="G101" s="14">
        <f>Quebec!BC47/Quebec!$BE47</f>
        <v>0.28194712279592909</v>
      </c>
      <c r="H101" s="71"/>
      <c r="J101" s="61">
        <f>Proba!B80/Proba!$H80</f>
        <v>0</v>
      </c>
      <c r="K101" s="61">
        <f>Proba!C80/Proba!$H80</f>
        <v>2.9550000000000003E-2</v>
      </c>
      <c r="L101" s="61">
        <f>Proba!D80/Proba!$H80</f>
        <v>0.79985000000000006</v>
      </c>
      <c r="M101" s="61">
        <f>Proba!E80/Proba!$H80</f>
        <v>0</v>
      </c>
      <c r="N101" s="61">
        <f>Proba!F80/Proba!$H80</f>
        <v>0.17060000000000003</v>
      </c>
      <c r="O101" s="35"/>
    </row>
    <row r="102" spans="1:15">
      <c r="A102" s="79"/>
      <c r="B102" t="s">
        <v>106</v>
      </c>
      <c r="C102" s="14">
        <f>Quebec!AY48/Quebec!$BE48</f>
        <v>0.12610210444927772</v>
      </c>
      <c r="D102" s="14">
        <f>Quebec!AZ48/Quebec!$BE48</f>
        <v>0.28330422412505413</v>
      </c>
      <c r="E102" s="14">
        <f>Quebec!BA48/Quebec!$BE48</f>
        <v>0.29323493698253472</v>
      </c>
      <c r="F102" s="14">
        <f>Quebec!BB48/Quebec!$BE48</f>
        <v>3.0656249613215177E-2</v>
      </c>
      <c r="G102" s="14">
        <f>Quebec!BC48/Quebec!$BE48</f>
        <v>0.26670248482991821</v>
      </c>
      <c r="H102" s="71"/>
      <c r="J102" s="61">
        <f>Proba!B81/Proba!$H81</f>
        <v>0</v>
      </c>
      <c r="K102" s="61">
        <f>Proba!C81/Proba!$H81</f>
        <v>0.36709999999999998</v>
      </c>
      <c r="L102" s="61">
        <f>Proba!D81/Proba!$H81</f>
        <v>0.44719999999999999</v>
      </c>
      <c r="M102" s="61">
        <f>Proba!E81/Proba!$H81</f>
        <v>0</v>
      </c>
      <c r="N102" s="61">
        <f>Proba!F81/Proba!$H81</f>
        <v>0.1857</v>
      </c>
      <c r="O102" s="35"/>
    </row>
    <row r="103" spans="1:15">
      <c r="A103" s="79"/>
      <c r="B103" t="s">
        <v>107</v>
      </c>
      <c r="C103" s="14">
        <f>Quebec!AY49/Quebec!$BE49</f>
        <v>0.10808345549047808</v>
      </c>
      <c r="D103" s="14">
        <f>Quebec!AZ49/Quebec!$BE49</f>
        <v>0.20365755234421218</v>
      </c>
      <c r="E103" s="14">
        <f>Quebec!BA49/Quebec!$BE49</f>
        <v>0.3595781289675764</v>
      </c>
      <c r="F103" s="14">
        <f>Quebec!BB49/Quebec!$BE49</f>
        <v>4.3846240157653392E-2</v>
      </c>
      <c r="G103" s="14">
        <f>Quebec!BC49/Quebec!$BE49</f>
        <v>0.28483462304008006</v>
      </c>
      <c r="H103" s="71"/>
      <c r="J103" s="61">
        <f>Proba!B82/Proba!$H82</f>
        <v>0</v>
      </c>
      <c r="K103" s="61">
        <f>Proba!C82/Proba!$H82</f>
        <v>3.3500000000000001E-3</v>
      </c>
      <c r="L103" s="61">
        <f>Proba!D82/Proba!$H82</f>
        <v>0.88934999999999997</v>
      </c>
      <c r="M103" s="61">
        <f>Proba!E82/Proba!$H82</f>
        <v>0</v>
      </c>
      <c r="N103" s="61">
        <f>Proba!F82/Proba!$H82</f>
        <v>0.10730000000000001</v>
      </c>
      <c r="O103" s="35"/>
    </row>
    <row r="104" spans="1:15">
      <c r="A104" s="79"/>
      <c r="B104" t="s">
        <v>108</v>
      </c>
      <c r="C104" s="14">
        <f>Quebec!AY50/Quebec!$BE50</f>
        <v>0.39215873149110614</v>
      </c>
      <c r="D104" s="14">
        <f>Quebec!AZ50/Quebec!$BE50</f>
        <v>0.20752879178190756</v>
      </c>
      <c r="E104" s="14">
        <f>Quebec!BA50/Quebec!$BE50</f>
        <v>0.20910740899934577</v>
      </c>
      <c r="F104" s="14">
        <f>Quebec!BB50/Quebec!$BE50</f>
        <v>1.9097312921192169E-2</v>
      </c>
      <c r="G104" s="14">
        <f>Quebec!BC50/Quebec!$BE50</f>
        <v>0.17210775480644844</v>
      </c>
      <c r="H104" s="71"/>
      <c r="J104" s="61">
        <f>Proba!B83/Proba!$H83</f>
        <v>0.99760000000000004</v>
      </c>
      <c r="K104" s="61">
        <f>Proba!C83/Proba!$H83</f>
        <v>1.5E-3</v>
      </c>
      <c r="L104" s="61">
        <f>Proba!D83/Proba!$H83</f>
        <v>8.9999999999999998E-4</v>
      </c>
      <c r="M104" s="61">
        <f>Proba!E83/Proba!$H83</f>
        <v>0</v>
      </c>
      <c r="N104" s="61">
        <f>Proba!F83/Proba!$H83</f>
        <v>0</v>
      </c>
      <c r="O104" s="35"/>
    </row>
    <row r="105" spans="1:15">
      <c r="A105" s="79"/>
      <c r="B105" t="s">
        <v>109</v>
      </c>
      <c r="C105" s="14">
        <f>Quebec!AY51/Quebec!$BE51</f>
        <v>0.39853924954899173</v>
      </c>
      <c r="D105" s="14">
        <f>Quebec!AZ51/Quebec!$BE51</f>
        <v>0.52953241080809177</v>
      </c>
      <c r="E105" s="14">
        <f>Quebec!BA51/Quebec!$BE51</f>
        <v>4.1344219269361181E-2</v>
      </c>
      <c r="F105" s="14">
        <f>Quebec!BB51/Quebec!$BE51</f>
        <v>2.4233968407500316E-2</v>
      </c>
      <c r="G105" s="14">
        <f>Quebec!BC51/Quebec!$BE51</f>
        <v>6.3501519660548239E-3</v>
      </c>
      <c r="H105" s="71"/>
      <c r="J105" s="61">
        <f>Proba!B84/Proba!$H84</f>
        <v>2.1700000000000001E-2</v>
      </c>
      <c r="K105" s="61">
        <f>Proba!C84/Proba!$H84</f>
        <v>0.97829999999999995</v>
      </c>
      <c r="L105" s="61">
        <f>Proba!D84/Proba!$H84</f>
        <v>0</v>
      </c>
      <c r="M105" s="61">
        <f>Proba!E84/Proba!$H84</f>
        <v>0</v>
      </c>
      <c r="N105" s="61">
        <f>Proba!F84/Proba!$H84</f>
        <v>0</v>
      </c>
      <c r="O105" s="35"/>
    </row>
    <row r="106" spans="1:15">
      <c r="A106" s="79"/>
      <c r="B106" t="s">
        <v>110</v>
      </c>
      <c r="C106" s="14">
        <f>Quebec!AY52/Quebec!$BE52</f>
        <v>0.20032310696772163</v>
      </c>
      <c r="D106" s="14">
        <f>Quebec!AZ52/Quebec!$BE52</f>
        <v>0.5183065279207838</v>
      </c>
      <c r="E106" s="14">
        <f>Quebec!BA52/Quebec!$BE52</f>
        <v>0.21374610291557253</v>
      </c>
      <c r="F106" s="14">
        <f>Quebec!BB52/Quebec!$BE52</f>
        <v>4.983864231987109E-2</v>
      </c>
      <c r="G106" s="14">
        <f>Quebec!BC52/Quebec!$BE52</f>
        <v>1.778561987605087E-2</v>
      </c>
      <c r="H106" s="71"/>
      <c r="J106" s="61">
        <f>Proba!B85/Proba!$H85</f>
        <v>0</v>
      </c>
      <c r="K106" s="61">
        <f>Proba!C85/Proba!$H85</f>
        <v>1</v>
      </c>
      <c r="L106" s="61">
        <f>Proba!D85/Proba!$H85</f>
        <v>0</v>
      </c>
      <c r="M106" s="61">
        <f>Proba!E85/Proba!$H85</f>
        <v>0</v>
      </c>
      <c r="N106" s="61">
        <f>Proba!F85/Proba!$H85</f>
        <v>0</v>
      </c>
      <c r="O106" s="35"/>
    </row>
    <row r="107" spans="1:15">
      <c r="A107" s="79"/>
      <c r="B107" t="s">
        <v>111</v>
      </c>
      <c r="C107" s="14">
        <f>Quebec!AY53/Quebec!$BE53</f>
        <v>0.10196075454269887</v>
      </c>
      <c r="D107" s="14">
        <f>Quebec!AZ53/Quebec!$BE53</f>
        <v>0.35621017061434701</v>
      </c>
      <c r="E107" s="14">
        <f>Quebec!BA53/Quebec!$BE53</f>
        <v>0.42025024931054128</v>
      </c>
      <c r="F107" s="14">
        <f>Quebec!BB53/Quebec!$BE53</f>
        <v>2.8010291186324178E-2</v>
      </c>
      <c r="G107" s="14">
        <f>Quebec!BC53/Quebec!$BE53</f>
        <v>9.3568534346088597E-2</v>
      </c>
      <c r="H107" s="71"/>
      <c r="J107" s="61">
        <f>Proba!B86/Proba!$H86</f>
        <v>0</v>
      </c>
      <c r="K107" s="61">
        <f>Proba!C86/Proba!$H86</f>
        <v>0.18970000000000001</v>
      </c>
      <c r="L107" s="61">
        <f>Proba!D86/Proba!$H86</f>
        <v>0.81030000000000002</v>
      </c>
      <c r="M107" s="61">
        <f>Proba!E86/Proba!$H86</f>
        <v>0</v>
      </c>
      <c r="N107" s="61">
        <f>Proba!F86/Proba!$H86</f>
        <v>0</v>
      </c>
      <c r="O107" s="35"/>
    </row>
    <row r="108" spans="1:15">
      <c r="A108" s="79"/>
      <c r="B108" t="s">
        <v>112</v>
      </c>
      <c r="C108" s="14">
        <f>Quebec!AY54/Quebec!$BE54</f>
        <v>7.224399445054927E-2</v>
      </c>
      <c r="D108" s="14">
        <f>Quebec!AZ54/Quebec!$BE54</f>
        <v>0.48275443956667252</v>
      </c>
      <c r="E108" s="14">
        <f>Quebec!BA54/Quebec!$BE54</f>
        <v>0.19438889247002683</v>
      </c>
      <c r="F108" s="14">
        <f>Quebec!BB54/Quebec!$BE54</f>
        <v>2.3944242686701273E-2</v>
      </c>
      <c r="G108" s="14">
        <f>Quebec!BC54/Quebec!$BE54</f>
        <v>0.22666843082605023</v>
      </c>
      <c r="H108" s="71"/>
      <c r="J108" s="61">
        <f>Proba!B87/Proba!$H87</f>
        <v>0</v>
      </c>
      <c r="K108" s="61">
        <f>Proba!C87/Proba!$H87</f>
        <v>0.99995000000000001</v>
      </c>
      <c r="L108" s="61">
        <f>Proba!D87/Proba!$H87</f>
        <v>0</v>
      </c>
      <c r="M108" s="61">
        <f>Proba!E87/Proba!$H87</f>
        <v>0</v>
      </c>
      <c r="N108" s="61">
        <f>Proba!F87/Proba!$H87</f>
        <v>5.0000000000000002E-5</v>
      </c>
      <c r="O108" s="35"/>
    </row>
    <row r="109" spans="1:15">
      <c r="A109" s="79"/>
      <c r="B109" t="s">
        <v>113</v>
      </c>
      <c r="C109" s="14">
        <f>Quebec!AY55/Quebec!$BE55</f>
        <v>0.11273087628377931</v>
      </c>
      <c r="D109" s="14">
        <f>Quebec!AZ55/Quebec!$BE55</f>
        <v>0.25359778747669376</v>
      </c>
      <c r="E109" s="14">
        <f>Quebec!BA55/Quebec!$BE55</f>
        <v>0.29298236740113637</v>
      </c>
      <c r="F109" s="14">
        <f>Quebec!BB55/Quebec!$BE55</f>
        <v>2.6902300214377624E-2</v>
      </c>
      <c r="G109" s="14">
        <f>Quebec!BC55/Quebec!$BE55</f>
        <v>0.313786668624013</v>
      </c>
      <c r="H109" s="71"/>
      <c r="J109" s="61">
        <f>Proba!B88/Proba!$H88</f>
        <v>0</v>
      </c>
      <c r="K109" s="61">
        <f>Proba!C88/Proba!$H88</f>
        <v>0.1023</v>
      </c>
      <c r="L109" s="61">
        <f>Proba!D88/Proba!$H88</f>
        <v>0.34620000000000001</v>
      </c>
      <c r="M109" s="61">
        <f>Proba!E88/Proba!$H88</f>
        <v>0</v>
      </c>
      <c r="N109" s="61">
        <f>Proba!F88/Proba!$H88</f>
        <v>0.55149999999999999</v>
      </c>
      <c r="O109" s="35"/>
    </row>
    <row r="110" spans="1:15">
      <c r="A110" s="79"/>
      <c r="B110" t="s">
        <v>114</v>
      </c>
      <c r="C110" s="14">
        <f>Quebec!AY56/Quebec!$BE56</f>
        <v>0.28948527843092753</v>
      </c>
      <c r="D110" s="14">
        <f>Quebec!AZ56/Quebec!$BE56</f>
        <v>0.44137812177554403</v>
      </c>
      <c r="E110" s="14">
        <f>Quebec!BA56/Quebec!$BE56</f>
        <v>0.20152124887489228</v>
      </c>
      <c r="F110" s="14">
        <f>Quebec!BB56/Quebec!$BE56</f>
        <v>4.0970787973809819E-2</v>
      </c>
      <c r="G110" s="14">
        <f>Quebec!BC56/Quebec!$BE56</f>
        <v>2.664456294482646E-2</v>
      </c>
      <c r="H110" s="71"/>
      <c r="J110" s="61">
        <f>Proba!B89/Proba!$H89</f>
        <v>6.0000000000000001E-3</v>
      </c>
      <c r="K110" s="61">
        <f>Proba!C89/Proba!$H89</f>
        <v>0.99399999999999999</v>
      </c>
      <c r="L110" s="61">
        <f>Proba!D89/Proba!$H89</f>
        <v>0</v>
      </c>
      <c r="M110" s="61">
        <f>Proba!E89/Proba!$H89</f>
        <v>0</v>
      </c>
      <c r="N110" s="61">
        <f>Proba!F89/Proba!$H89</f>
        <v>0</v>
      </c>
      <c r="O110" s="35"/>
    </row>
    <row r="111" spans="1:15">
      <c r="A111" s="79"/>
      <c r="B111" t="s">
        <v>115</v>
      </c>
      <c r="C111" s="14">
        <f>Quebec!AY57/Quebec!$BE57</f>
        <v>0.25343745127200284</v>
      </c>
      <c r="D111" s="14">
        <f>Quebec!AZ57/Quebec!$BE57</f>
        <v>0.33708520360343391</v>
      </c>
      <c r="E111" s="14">
        <f>Quebec!BA57/Quebec!$BE57</f>
        <v>0.31537986220431624</v>
      </c>
      <c r="F111" s="14">
        <f>Quebec!BB57/Quebec!$BE57</f>
        <v>2.2916369408282039E-2</v>
      </c>
      <c r="G111" s="14">
        <f>Quebec!BC57/Quebec!$BE57</f>
        <v>7.1181113511964905E-2</v>
      </c>
      <c r="H111" s="71"/>
      <c r="J111" s="61">
        <f>Proba!B90/Proba!$H90</f>
        <v>3.3399999999999999E-2</v>
      </c>
      <c r="K111" s="61">
        <f>Proba!C90/Proba!$H90</f>
        <v>0.61024999999999996</v>
      </c>
      <c r="L111" s="61">
        <f>Proba!D90/Proba!$H90</f>
        <v>0.35635</v>
      </c>
      <c r="M111" s="61">
        <f>Proba!E90/Proba!$H90</f>
        <v>0</v>
      </c>
      <c r="N111" s="61">
        <f>Proba!F90/Proba!$H90</f>
        <v>0</v>
      </c>
      <c r="O111" s="35"/>
    </row>
    <row r="112" spans="1:15">
      <c r="A112" s="79"/>
      <c r="B112" t="s">
        <v>116</v>
      </c>
      <c r="C112" s="14">
        <f>Quebec!AY58/Quebec!$BE58</f>
        <v>0.31182384523649204</v>
      </c>
      <c r="D112" s="14">
        <f>Quebec!AZ58/Quebec!$BE58</f>
        <v>0.22471709389211902</v>
      </c>
      <c r="E112" s="14">
        <f>Quebec!BA58/Quebec!$BE58</f>
        <v>0.25987835087854266</v>
      </c>
      <c r="F112" s="14">
        <f>Quebec!BB58/Quebec!$BE58</f>
        <v>2.8395460026891372E-2</v>
      </c>
      <c r="G112" s="14">
        <f>Quebec!BC58/Quebec!$BE58</f>
        <v>0.17518524996595489</v>
      </c>
      <c r="H112" s="71"/>
      <c r="J112" s="61">
        <f>Proba!B91/Proba!$H91</f>
        <v>0.76595000000000002</v>
      </c>
      <c r="K112" s="61">
        <f>Proba!C91/Proba!$H91</f>
        <v>4.4400000000000002E-2</v>
      </c>
      <c r="L112" s="61">
        <f>Proba!D91/Proba!$H91</f>
        <v>0.18740000000000001</v>
      </c>
      <c r="M112" s="61">
        <f>Proba!E91/Proba!$H91</f>
        <v>0</v>
      </c>
      <c r="N112" s="61">
        <f>Proba!F91/Proba!$H91</f>
        <v>2.2499999999999998E-3</v>
      </c>
      <c r="O112" s="35"/>
    </row>
    <row r="113" spans="1:15">
      <c r="A113" s="79"/>
      <c r="B113" t="s">
        <v>117</v>
      </c>
      <c r="C113" s="14">
        <f>Quebec!AY59/Quebec!$BE59</f>
        <v>0.2127663376123001</v>
      </c>
      <c r="D113" s="14">
        <f>Quebec!AZ59/Quebec!$BE59</f>
        <v>0.25020982595308394</v>
      </c>
      <c r="E113" s="14">
        <f>Quebec!BA59/Quebec!$BE59</f>
        <v>0.26104212708812968</v>
      </c>
      <c r="F113" s="14">
        <f>Quebec!BB59/Quebec!$BE59</f>
        <v>2.5950920925255881E-2</v>
      </c>
      <c r="G113" s="14">
        <f>Quebec!BC59/Quebec!$BE59</f>
        <v>0.25003078842123055</v>
      </c>
      <c r="H113" s="71"/>
      <c r="J113" s="61">
        <f>Proba!B92/Proba!$H92</f>
        <v>7.0499999999999993E-2</v>
      </c>
      <c r="K113" s="61">
        <f>Proba!C92/Proba!$H92</f>
        <v>0.28094999999999998</v>
      </c>
      <c r="L113" s="61">
        <f>Proba!D92/Proba!$H92</f>
        <v>0.38664999999999999</v>
      </c>
      <c r="M113" s="61">
        <f>Proba!E92/Proba!$H92</f>
        <v>0</v>
      </c>
      <c r="N113" s="61">
        <f>Proba!F92/Proba!$H92</f>
        <v>0.26190000000000002</v>
      </c>
      <c r="O113" s="35"/>
    </row>
    <row r="114" spans="1:15">
      <c r="A114" s="79"/>
      <c r="B114" t="s">
        <v>118</v>
      </c>
      <c r="C114" s="14">
        <f>Quebec!AY60/Quebec!$BE60</f>
        <v>0.10313787695821372</v>
      </c>
      <c r="D114" s="14">
        <f>Quebec!AZ60/Quebec!$BE60</f>
        <v>0.23354251822115632</v>
      </c>
      <c r="E114" s="14">
        <f>Quebec!BA60/Quebec!$BE60</f>
        <v>0.36124242258481876</v>
      </c>
      <c r="F114" s="14">
        <f>Quebec!BB60/Quebec!$BE60</f>
        <v>2.319702430874851E-2</v>
      </c>
      <c r="G114" s="14">
        <f>Quebec!BC60/Quebec!$BE60</f>
        <v>0.27888015792706272</v>
      </c>
      <c r="H114" s="71"/>
      <c r="J114" s="61">
        <f>Proba!B93/Proba!$H93</f>
        <v>0</v>
      </c>
      <c r="K114" s="61">
        <f>Proba!C93/Proba!$H93</f>
        <v>1.555E-2</v>
      </c>
      <c r="L114" s="61">
        <f>Proba!D93/Proba!$H93</f>
        <v>0.8992</v>
      </c>
      <c r="M114" s="61">
        <f>Proba!E93/Proba!$H93</f>
        <v>0</v>
      </c>
      <c r="N114" s="61">
        <f>Proba!F93/Proba!$H93</f>
        <v>8.5250000000000006E-2</v>
      </c>
      <c r="O114" s="35"/>
    </row>
    <row r="115" spans="1:15">
      <c r="A115" s="79"/>
      <c r="B115" t="s">
        <v>119</v>
      </c>
      <c r="C115" s="14">
        <f>Quebec!AY61/Quebec!$BE61</f>
        <v>0.37031272439076923</v>
      </c>
      <c r="D115" s="14">
        <f>Quebec!AZ61/Quebec!$BE61</f>
        <v>0.23397298787006732</v>
      </c>
      <c r="E115" s="14">
        <f>Quebec!BA61/Quebec!$BE61</f>
        <v>0.15755942291997568</v>
      </c>
      <c r="F115" s="14">
        <f>Quebec!BB61/Quebec!$BE61</f>
        <v>2.6506849874883529E-2</v>
      </c>
      <c r="G115" s="14">
        <f>Quebec!BC61/Quebec!$BE61</f>
        <v>0.21164801494430432</v>
      </c>
      <c r="H115" s="71"/>
      <c r="J115" s="61">
        <f>Proba!B94/Proba!$H94</f>
        <v>0.9526</v>
      </c>
      <c r="K115" s="61">
        <f>Proba!C94/Proba!$H94</f>
        <v>1.3100000000000001E-2</v>
      </c>
      <c r="L115" s="61">
        <f>Proba!D94/Proba!$H94</f>
        <v>1.4999999999999999E-4</v>
      </c>
      <c r="M115" s="61">
        <f>Proba!E94/Proba!$H94</f>
        <v>0</v>
      </c>
      <c r="N115" s="61">
        <f>Proba!F94/Proba!$H94</f>
        <v>3.415E-2</v>
      </c>
      <c r="O115" s="35"/>
    </row>
    <row r="116" spans="1:15">
      <c r="A116" s="79"/>
      <c r="B116" t="s">
        <v>120</v>
      </c>
      <c r="C116" s="14">
        <f>Quebec!AY62/Quebec!$BE62</f>
        <v>0.17520862644182536</v>
      </c>
      <c r="D116" s="14">
        <f>Quebec!AZ62/Quebec!$BE62</f>
        <v>0.24622930128687698</v>
      </c>
      <c r="E116" s="14">
        <f>Quebec!BA62/Quebec!$BE62</f>
        <v>0.27575178289834434</v>
      </c>
      <c r="F116" s="14">
        <f>Quebec!BB62/Quebec!$BE62</f>
        <v>2.4895298952866574E-2</v>
      </c>
      <c r="G116" s="14">
        <f>Quebec!BC62/Quebec!$BE62</f>
        <v>0.27791499042008683</v>
      </c>
      <c r="H116" s="71"/>
      <c r="J116" s="61">
        <f>Proba!B95/Proba!$H95</f>
        <v>4.1999999999999997E-3</v>
      </c>
      <c r="K116" s="61">
        <f>Proba!C95/Proba!$H95</f>
        <v>0.16220000000000001</v>
      </c>
      <c r="L116" s="61">
        <f>Proba!D95/Proba!$H95</f>
        <v>0.41635</v>
      </c>
      <c r="M116" s="61">
        <f>Proba!E95/Proba!$H95</f>
        <v>0</v>
      </c>
      <c r="N116" s="61">
        <f>Proba!F95/Proba!$H95</f>
        <v>0.41725000000000001</v>
      </c>
      <c r="O116" s="35"/>
    </row>
    <row r="117" spans="1:15">
      <c r="A117" s="79"/>
      <c r="B117" t="s">
        <v>121</v>
      </c>
      <c r="C117" s="14">
        <f>Quebec!AY63/Quebec!$BE63</f>
        <v>0.13142882609839845</v>
      </c>
      <c r="D117" s="14">
        <f>Quebec!AZ63/Quebec!$BE63</f>
        <v>0.26505902776529572</v>
      </c>
      <c r="E117" s="14">
        <f>Quebec!BA63/Quebec!$BE63</f>
        <v>0.33139528000009139</v>
      </c>
      <c r="F117" s="14">
        <f>Quebec!BB63/Quebec!$BE63</f>
        <v>2.9583031492441937E-2</v>
      </c>
      <c r="G117" s="14">
        <f>Quebec!BC63/Quebec!$BE63</f>
        <v>0.24253383464377243</v>
      </c>
      <c r="H117" s="71"/>
      <c r="J117" s="61">
        <f>Proba!B96/Proba!$H96</f>
        <v>0</v>
      </c>
      <c r="K117" s="61">
        <f>Proba!C96/Proba!$H96</f>
        <v>0.1394</v>
      </c>
      <c r="L117" s="61">
        <f>Proba!D96/Proba!$H96</f>
        <v>0.81269999999999998</v>
      </c>
      <c r="M117" s="61">
        <f>Proba!E96/Proba!$H96</f>
        <v>0</v>
      </c>
      <c r="N117" s="61">
        <f>Proba!F96/Proba!$H96</f>
        <v>4.7899999999999998E-2</v>
      </c>
      <c r="O117" s="35"/>
    </row>
    <row r="118" spans="1:15">
      <c r="A118" s="79"/>
      <c r="B118" t="s">
        <v>122</v>
      </c>
      <c r="C118" s="14">
        <f>Quebec!AY64/Quebec!$BE64</f>
        <v>0.11286074867823238</v>
      </c>
      <c r="D118" s="14">
        <f>Quebec!AZ64/Quebec!$BE64</f>
        <v>0.21876234843596132</v>
      </c>
      <c r="E118" s="14">
        <f>Quebec!BA64/Quebec!$BE64</f>
        <v>0.39144515591363066</v>
      </c>
      <c r="F118" s="14">
        <f>Quebec!BB64/Quebec!$BE64</f>
        <v>2.3861432327671253E-2</v>
      </c>
      <c r="G118" s="14">
        <f>Quebec!BC64/Quebec!$BE64</f>
        <v>0.25307031464450436</v>
      </c>
      <c r="H118" s="71"/>
      <c r="J118" s="61">
        <f>Proba!B97/Proba!$H97</f>
        <v>0</v>
      </c>
      <c r="K118" s="61">
        <f>Proba!C97/Proba!$H97</f>
        <v>2.7000000000000001E-3</v>
      </c>
      <c r="L118" s="61">
        <f>Proba!D97/Proba!$H97</f>
        <v>0.98575000000000002</v>
      </c>
      <c r="M118" s="61">
        <f>Proba!E97/Proba!$H97</f>
        <v>0</v>
      </c>
      <c r="N118" s="61">
        <f>Proba!F97/Proba!$H97</f>
        <v>1.155E-2</v>
      </c>
      <c r="O118" s="35"/>
    </row>
    <row r="119" spans="1:15">
      <c r="A119" s="79"/>
      <c r="B119" t="s">
        <v>123</v>
      </c>
      <c r="C119" s="14">
        <f>Quebec!AY65/Quebec!$BE65</f>
        <v>6.5402604383161797E-2</v>
      </c>
      <c r="D119" s="14">
        <f>Quebec!AZ65/Quebec!$BE65</f>
        <v>0.22322272036166294</v>
      </c>
      <c r="E119" s="14">
        <f>Quebec!BA65/Quebec!$BE65</f>
        <v>0.38375750153297383</v>
      </c>
      <c r="F119" s="14">
        <f>Quebec!BB65/Quebec!$BE65</f>
        <v>2.1905400475260964E-2</v>
      </c>
      <c r="G119" s="14">
        <f>Quebec!BC65/Quebec!$BE65</f>
        <v>0.3057117732469406</v>
      </c>
      <c r="H119" s="71"/>
      <c r="J119" s="61">
        <f>Proba!B98/Proba!$H98</f>
        <v>0</v>
      </c>
      <c r="K119" s="61">
        <f>Proba!C98/Proba!$H98</f>
        <v>1.8E-3</v>
      </c>
      <c r="L119" s="61">
        <f>Proba!D98/Proba!$H98</f>
        <v>0.90425</v>
      </c>
      <c r="M119" s="61">
        <f>Proba!E98/Proba!$H98</f>
        <v>0</v>
      </c>
      <c r="N119" s="61">
        <f>Proba!F98/Proba!$H98</f>
        <v>9.3950000000000006E-2</v>
      </c>
      <c r="O119" s="35"/>
    </row>
    <row r="120" spans="1:15">
      <c r="A120" s="79"/>
      <c r="B120" t="s">
        <v>124</v>
      </c>
      <c r="C120" s="14">
        <f>Quebec!AY66/Quebec!$BE66</f>
        <v>0.18496355589259272</v>
      </c>
      <c r="D120" s="14">
        <f>Quebec!AZ66/Quebec!$BE66</f>
        <v>0.2069022629469571</v>
      </c>
      <c r="E120" s="14">
        <f>Quebec!BA66/Quebec!$BE66</f>
        <v>0.36561451563086461</v>
      </c>
      <c r="F120" s="14">
        <f>Quebec!BB66/Quebec!$BE66</f>
        <v>2.4868358881417557E-2</v>
      </c>
      <c r="G120" s="14">
        <f>Quebec!BC66/Quebec!$BE66</f>
        <v>0.21765130664816806</v>
      </c>
      <c r="H120" s="71"/>
      <c r="J120" s="61">
        <f>Proba!B99/Proba!$H99</f>
        <v>7.5000000000000002E-4</v>
      </c>
      <c r="K120" s="61">
        <f>Proba!C99/Proba!$H99</f>
        <v>5.1000000000000004E-3</v>
      </c>
      <c r="L120" s="61">
        <f>Proba!D99/Proba!$H99</f>
        <v>0.98895</v>
      </c>
      <c r="M120" s="61">
        <f>Proba!E99/Proba!$H99</f>
        <v>0</v>
      </c>
      <c r="N120" s="61">
        <f>Proba!F99/Proba!$H99</f>
        <v>5.1999999999999998E-3</v>
      </c>
      <c r="O120" s="35"/>
    </row>
    <row r="121" spans="1:15">
      <c r="A121" s="79"/>
      <c r="B121" t="s">
        <v>125</v>
      </c>
      <c r="C121" s="14">
        <f>Quebec!AY67/Quebec!$BE67</f>
        <v>0.13447946449325812</v>
      </c>
      <c r="D121" s="14">
        <f>Quebec!AZ67/Quebec!$BE67</f>
        <v>0.2415369601652157</v>
      </c>
      <c r="E121" s="14">
        <f>Quebec!BA67/Quebec!$BE67</f>
        <v>0.31739793508859804</v>
      </c>
      <c r="F121" s="14">
        <f>Quebec!BB67/Quebec!$BE67</f>
        <v>3.0841156790570028E-2</v>
      </c>
      <c r="G121" s="14">
        <f>Quebec!BC67/Quebec!$BE67</f>
        <v>0.27574448346235825</v>
      </c>
      <c r="H121" s="71"/>
      <c r="J121" s="61">
        <f>Proba!B100/Proba!$H100</f>
        <v>5.0000000000000002E-5</v>
      </c>
      <c r="K121" s="61">
        <f>Proba!C100/Proba!$H100</f>
        <v>7.0199999999999999E-2</v>
      </c>
      <c r="L121" s="61">
        <f>Proba!D100/Proba!$H100</f>
        <v>0.71650000000000003</v>
      </c>
      <c r="M121" s="61">
        <f>Proba!E100/Proba!$H100</f>
        <v>0</v>
      </c>
      <c r="N121" s="61">
        <f>Proba!F100/Proba!$H100</f>
        <v>0.21325</v>
      </c>
      <c r="O121" s="35"/>
    </row>
    <row r="122" spans="1:15">
      <c r="A122" s="79"/>
      <c r="B122" t="s">
        <v>126</v>
      </c>
      <c r="C122" s="14">
        <f>Quebec!AY68/Quebec!$BE68</f>
        <v>0.21478732597738517</v>
      </c>
      <c r="D122" s="14">
        <f>Quebec!AZ68/Quebec!$BE68</f>
        <v>0.5640115124377878</v>
      </c>
      <c r="E122" s="14">
        <f>Quebec!BA68/Quebec!$BE68</f>
        <v>0.15287793113424283</v>
      </c>
      <c r="F122" s="14">
        <f>Quebec!BB68/Quebec!$BE68</f>
        <v>2.6664870367303316E-2</v>
      </c>
      <c r="G122" s="14">
        <f>Quebec!BC68/Quebec!$BE68</f>
        <v>4.1658360083280915E-2</v>
      </c>
      <c r="H122" s="71"/>
      <c r="J122" s="61">
        <f>Proba!B101/Proba!$H101</f>
        <v>0</v>
      </c>
      <c r="K122" s="61">
        <f>Proba!C101/Proba!$H101</f>
        <v>1</v>
      </c>
      <c r="L122" s="61">
        <f>Proba!D101/Proba!$H101</f>
        <v>0</v>
      </c>
      <c r="M122" s="61">
        <f>Proba!E101/Proba!$H101</f>
        <v>0</v>
      </c>
      <c r="N122" s="61">
        <f>Proba!F101/Proba!$H101</f>
        <v>0</v>
      </c>
      <c r="O122" s="35"/>
    </row>
    <row r="123" spans="1:15">
      <c r="A123" s="79"/>
      <c r="B123" t="s">
        <v>127</v>
      </c>
      <c r="C123" s="14">
        <f>Quebec!AY69/Quebec!$BE69</f>
        <v>0.16661530118670029</v>
      </c>
      <c r="D123" s="14">
        <f>Quebec!AZ69/Quebec!$BE69</f>
        <v>0.5289738202232227</v>
      </c>
      <c r="E123" s="14">
        <f>Quebec!BA69/Quebec!$BE69</f>
        <v>0.20252813040359063</v>
      </c>
      <c r="F123" s="14">
        <f>Quebec!BB69/Quebec!$BE69</f>
        <v>2.3916978014481581E-2</v>
      </c>
      <c r="G123" s="14">
        <f>Quebec!BC69/Quebec!$BE69</f>
        <v>7.7965770172004761E-2</v>
      </c>
      <c r="H123" s="71"/>
      <c r="J123" s="61">
        <f>Proba!B102/Proba!$H102</f>
        <v>0</v>
      </c>
      <c r="K123" s="61">
        <f>Proba!C102/Proba!$H102</f>
        <v>1</v>
      </c>
      <c r="L123" s="61">
        <f>Proba!D102/Proba!$H102</f>
        <v>0</v>
      </c>
      <c r="M123" s="61">
        <f>Proba!E102/Proba!$H102</f>
        <v>0</v>
      </c>
      <c r="N123" s="61">
        <f>Proba!F102/Proba!$H102</f>
        <v>0</v>
      </c>
      <c r="O123" s="35"/>
    </row>
    <row r="124" spans="1:15">
      <c r="A124" s="79"/>
      <c r="B124" t="s">
        <v>128</v>
      </c>
      <c r="C124" s="14">
        <f>Quebec!AY70/Quebec!$BE70</f>
        <v>0.20227001101784597</v>
      </c>
      <c r="D124" s="14">
        <f>Quebec!AZ70/Quebec!$BE70</f>
        <v>0.27194924873951126</v>
      </c>
      <c r="E124" s="14">
        <f>Quebec!BA70/Quebec!$BE70</f>
        <v>0.24439969576011791</v>
      </c>
      <c r="F124" s="14">
        <f>Quebec!BB70/Quebec!$BE70</f>
        <v>2.6014825615230934E-2</v>
      </c>
      <c r="G124" s="14">
        <f>Quebec!BC70/Quebec!$BE70</f>
        <v>0.25536621886729383</v>
      </c>
      <c r="H124" s="71"/>
      <c r="J124" s="61">
        <f>Proba!B103/Proba!$H103</f>
        <v>3.1949999999999999E-2</v>
      </c>
      <c r="K124" s="61">
        <f>Proba!C103/Proba!$H103</f>
        <v>0.49435000000000001</v>
      </c>
      <c r="L124" s="61">
        <f>Proba!D103/Proba!$H103</f>
        <v>0.2089</v>
      </c>
      <c r="M124" s="61">
        <f>Proba!E103/Proba!$H103</f>
        <v>0</v>
      </c>
      <c r="N124" s="61">
        <f>Proba!F103/Proba!$H103</f>
        <v>0.26479999999999998</v>
      </c>
      <c r="O124" s="35"/>
    </row>
    <row r="125" spans="1:15">
      <c r="A125" s="79"/>
      <c r="B125" t="s">
        <v>129</v>
      </c>
      <c r="C125" s="14">
        <f>Quebec!AY71/Quebec!$BE71</f>
        <v>0.15476963150065304</v>
      </c>
      <c r="D125" s="14">
        <f>Quebec!AZ71/Quebec!$BE71</f>
        <v>0.23470190741380501</v>
      </c>
      <c r="E125" s="14">
        <f>Quebec!BA71/Quebec!$BE71</f>
        <v>0.27889294608836762</v>
      </c>
      <c r="F125" s="14">
        <f>Quebec!BB71/Quebec!$BE71</f>
        <v>2.3975250629256154E-2</v>
      </c>
      <c r="G125" s="14">
        <f>Quebec!BC71/Quebec!$BE71</f>
        <v>0.30766026436791821</v>
      </c>
      <c r="H125" s="71"/>
      <c r="J125" s="61">
        <f>Proba!B104/Proba!$H104</f>
        <v>4.0000000000000002E-4</v>
      </c>
      <c r="K125" s="61">
        <f>Proba!C104/Proba!$H104</f>
        <v>7.1150000000000005E-2</v>
      </c>
      <c r="L125" s="61">
        <f>Proba!D104/Proba!$H104</f>
        <v>0.30930000000000002</v>
      </c>
      <c r="M125" s="61">
        <f>Proba!E104/Proba!$H104</f>
        <v>0</v>
      </c>
      <c r="N125" s="61">
        <f>Proba!F104/Proba!$H104</f>
        <v>0.61914999999999998</v>
      </c>
      <c r="O125" s="35"/>
    </row>
    <row r="126" spans="1:15">
      <c r="A126" s="79"/>
      <c r="B126" t="s">
        <v>130</v>
      </c>
      <c r="C126" s="14">
        <f>Quebec!AY72/Quebec!$BE72</f>
        <v>0.17693679950866856</v>
      </c>
      <c r="D126" s="14">
        <f>Quebec!AZ72/Quebec!$BE72</f>
        <v>0.25190036370879043</v>
      </c>
      <c r="E126" s="14">
        <f>Quebec!BA72/Quebec!$BE72</f>
        <v>0.3415255689969765</v>
      </c>
      <c r="F126" s="14">
        <f>Quebec!BB72/Quebec!$BE72</f>
        <v>2.4576936167903629E-2</v>
      </c>
      <c r="G126" s="14">
        <f>Quebec!BC72/Quebec!$BE72</f>
        <v>0.20506033161766082</v>
      </c>
      <c r="H126" s="71"/>
      <c r="J126" s="61">
        <f>Proba!B105/Proba!$H105</f>
        <v>1.1999999999999999E-3</v>
      </c>
      <c r="K126" s="61">
        <f>Proba!C105/Proba!$H105</f>
        <v>8.0049999999999996E-2</v>
      </c>
      <c r="L126" s="61">
        <f>Proba!D105/Proba!$H105</f>
        <v>0.91290000000000004</v>
      </c>
      <c r="M126" s="61">
        <f>Proba!E105/Proba!$H105</f>
        <v>0</v>
      </c>
      <c r="N126" s="61">
        <f>Proba!F105/Proba!$H105</f>
        <v>5.8500000000000002E-3</v>
      </c>
      <c r="O126" s="35"/>
    </row>
    <row r="127" spans="1:15">
      <c r="A127" s="79"/>
      <c r="B127" t="s">
        <v>131</v>
      </c>
      <c r="C127" s="14">
        <f>Quebec!AY73/Quebec!$BE73</f>
        <v>0.12350601936004181</v>
      </c>
      <c r="D127" s="14">
        <f>Quebec!AZ73/Quebec!$BE73</f>
        <v>0.2618685983067035</v>
      </c>
      <c r="E127" s="14">
        <f>Quebec!BA73/Quebec!$BE73</f>
        <v>0.26751335853935515</v>
      </c>
      <c r="F127" s="14">
        <f>Quebec!BB73/Quebec!$BE73</f>
        <v>2.3296676620946047E-2</v>
      </c>
      <c r="G127" s="14">
        <f>Quebec!BC73/Quebec!$BE73</f>
        <v>0.32381534717295335</v>
      </c>
      <c r="H127" s="71"/>
      <c r="J127" s="61">
        <f>Proba!B106/Proba!$H106</f>
        <v>0</v>
      </c>
      <c r="K127" s="61">
        <f>Proba!C106/Proba!$H106</f>
        <v>0.14949999999999999</v>
      </c>
      <c r="L127" s="61">
        <f>Proba!D106/Proba!$H106</f>
        <v>0.16889999999999999</v>
      </c>
      <c r="M127" s="61">
        <f>Proba!E106/Proba!$H106</f>
        <v>0</v>
      </c>
      <c r="N127" s="61">
        <f>Proba!F106/Proba!$H106</f>
        <v>0.68159999999999998</v>
      </c>
      <c r="O127" s="35"/>
    </row>
    <row r="128" spans="1:15">
      <c r="A128" s="79"/>
      <c r="B128" t="s">
        <v>132</v>
      </c>
      <c r="C128" s="14">
        <f>Quebec!AY74/Quebec!$BE74</f>
        <v>0.10928312050124309</v>
      </c>
      <c r="D128" s="14">
        <f>Quebec!AZ74/Quebec!$BE74</f>
        <v>0.22355721201148906</v>
      </c>
      <c r="E128" s="14">
        <f>Quebec!BA74/Quebec!$BE74</f>
        <v>0.35591160738982275</v>
      </c>
      <c r="F128" s="14">
        <f>Quebec!BB74/Quebec!$BE74</f>
        <v>3.2857352932822721E-2</v>
      </c>
      <c r="G128" s="14">
        <f>Quebec!BC74/Quebec!$BE74</f>
        <v>0.27839070716462244</v>
      </c>
      <c r="H128" s="71"/>
      <c r="J128" s="61">
        <f>Proba!B107/Proba!$H107</f>
        <v>0</v>
      </c>
      <c r="K128" s="61">
        <f>Proba!C107/Proba!$H107</f>
        <v>1.085E-2</v>
      </c>
      <c r="L128" s="61">
        <f>Proba!D107/Proba!$H107</f>
        <v>0.88665000000000005</v>
      </c>
      <c r="M128" s="61">
        <f>Proba!E107/Proba!$H107</f>
        <v>0</v>
      </c>
      <c r="N128" s="61">
        <f>Proba!F107/Proba!$H107</f>
        <v>0.10249999999999999</v>
      </c>
      <c r="O128" s="35"/>
    </row>
    <row r="129" spans="1:15">
      <c r="A129" s="79"/>
      <c r="B129" t="s">
        <v>133</v>
      </c>
      <c r="C129" s="14">
        <f>Quebec!AY75/Quebec!$BE75</f>
        <v>0.12607860797817955</v>
      </c>
      <c r="D129" s="14">
        <f>Quebec!AZ75/Quebec!$BE75</f>
        <v>0.25679819344610516</v>
      </c>
      <c r="E129" s="14">
        <f>Quebec!BA75/Quebec!$BE75</f>
        <v>0.34064892129234497</v>
      </c>
      <c r="F129" s="14">
        <f>Quebec!BB75/Quebec!$BE75</f>
        <v>2.6850482922901129E-2</v>
      </c>
      <c r="G129" s="14">
        <f>Quebec!BC75/Quebec!$BE75</f>
        <v>0.2496237943604693</v>
      </c>
      <c r="H129" s="71"/>
      <c r="J129" s="61">
        <f>Proba!B108/Proba!$H108</f>
        <v>0</v>
      </c>
      <c r="K129" s="61">
        <f>Proba!C108/Proba!$H108</f>
        <v>8.4949999999999998E-2</v>
      </c>
      <c r="L129" s="61">
        <f>Proba!D108/Proba!$H108</f>
        <v>0.86199999999999999</v>
      </c>
      <c r="M129" s="61">
        <f>Proba!E108/Proba!$H108</f>
        <v>0</v>
      </c>
      <c r="N129" s="61">
        <f>Proba!F108/Proba!$H108</f>
        <v>5.305E-2</v>
      </c>
      <c r="O129" s="35"/>
    </row>
    <row r="130" spans="1:15">
      <c r="A130" s="79"/>
      <c r="B130" t="s">
        <v>134</v>
      </c>
      <c r="C130" s="14">
        <f>Quebec!AY76/Quebec!$BE76</f>
        <v>0.16366560093353549</v>
      </c>
      <c r="D130" s="14">
        <f>Quebec!AZ76/Quebec!$BE76</f>
        <v>0.26498495375830183</v>
      </c>
      <c r="E130" s="14">
        <f>Quebec!BA76/Quebec!$BE76</f>
        <v>0.33107725082324063</v>
      </c>
      <c r="F130" s="14">
        <f>Quebec!BB76/Quebec!$BE76</f>
        <v>2.4847025367473411E-2</v>
      </c>
      <c r="G130" s="14">
        <f>Quebec!BC76/Quebec!$BE76</f>
        <v>0.21542516911744861</v>
      </c>
      <c r="H130" s="71"/>
      <c r="J130" s="61">
        <f>Proba!B109/Proba!$H109</f>
        <v>5.0000000000000001E-4</v>
      </c>
      <c r="K130" s="61">
        <f>Proba!C109/Proba!$H109</f>
        <v>0.1497</v>
      </c>
      <c r="L130" s="61">
        <f>Proba!D109/Proba!$H109</f>
        <v>0.83809999999999996</v>
      </c>
      <c r="M130" s="61">
        <f>Proba!E109/Proba!$H109</f>
        <v>0</v>
      </c>
      <c r="N130" s="61">
        <f>Proba!F109/Proba!$H109</f>
        <v>1.17E-2</v>
      </c>
      <c r="O130" s="35"/>
    </row>
    <row r="131" spans="1:15">
      <c r="A131" s="79"/>
      <c r="B131" t="s">
        <v>135</v>
      </c>
      <c r="C131" s="14">
        <f>Quebec!AY77/Quebec!$BE77</f>
        <v>0.20354082464681794</v>
      </c>
      <c r="D131" s="14">
        <f>Quebec!AZ77/Quebec!$BE77</f>
        <v>0.27651919564432298</v>
      </c>
      <c r="E131" s="14">
        <f>Quebec!BA77/Quebec!$BE77</f>
        <v>0.2771808537517183</v>
      </c>
      <c r="F131" s="14">
        <f>Quebec!BB77/Quebec!$BE77</f>
        <v>3.3911769793089797E-2</v>
      </c>
      <c r="G131" s="14">
        <f>Quebec!BC77/Quebec!$BE77</f>
        <v>0.2088473561640509</v>
      </c>
      <c r="H131" s="71"/>
      <c r="J131" s="61">
        <f>Proba!B110/Proba!$H110</f>
        <v>2.4850000000000001E-2</v>
      </c>
      <c r="K131" s="61">
        <f>Proba!C110/Proba!$H110</f>
        <v>0.48020000000000002</v>
      </c>
      <c r="L131" s="61">
        <f>Proba!D110/Proba!$H110</f>
        <v>0.46279999999999999</v>
      </c>
      <c r="M131" s="61">
        <f>Proba!E110/Proba!$H110</f>
        <v>0</v>
      </c>
      <c r="N131" s="61">
        <f>Proba!F110/Proba!$H110</f>
        <v>3.2149999999999998E-2</v>
      </c>
      <c r="O131" s="35"/>
    </row>
    <row r="132" spans="1:15">
      <c r="A132" s="79"/>
      <c r="B132" t="s">
        <v>136</v>
      </c>
      <c r="C132" s="14">
        <f>Quebec!AY78/Quebec!$BE78</f>
        <v>0.14067766480878557</v>
      </c>
      <c r="D132" s="14">
        <f>Quebec!AZ78/Quebec!$BE78</f>
        <v>0.41285333253520473</v>
      </c>
      <c r="E132" s="14">
        <f>Quebec!BA78/Quebec!$BE78</f>
        <v>0.2758009135740368</v>
      </c>
      <c r="F132" s="14">
        <f>Quebec!BB78/Quebec!$BE78</f>
        <v>3.3356650074107409E-2</v>
      </c>
      <c r="G132" s="14">
        <f>Quebec!BC78/Quebec!$BE78</f>
        <v>0.1373114390078656</v>
      </c>
      <c r="H132" s="71"/>
      <c r="J132" s="61">
        <f>Proba!B111/Proba!$H111</f>
        <v>0</v>
      </c>
      <c r="K132" s="61">
        <f>Proba!C111/Proba!$H111</f>
        <v>0.98909999999999998</v>
      </c>
      <c r="L132" s="61">
        <f>Proba!D111/Proba!$H111</f>
        <v>1.09E-2</v>
      </c>
      <c r="M132" s="61">
        <f>Proba!E111/Proba!$H111</f>
        <v>0</v>
      </c>
      <c r="N132" s="61">
        <f>Proba!F111/Proba!$H111</f>
        <v>0</v>
      </c>
      <c r="O132" s="35"/>
    </row>
    <row r="133" spans="1:15">
      <c r="A133" s="79"/>
      <c r="B133" t="s">
        <v>137</v>
      </c>
      <c r="C133" s="14">
        <f>Quebec!AY79/Quebec!$BE79</f>
        <v>0.15674400387942342</v>
      </c>
      <c r="D133" s="14">
        <f>Quebec!AZ79/Quebec!$BE79</f>
        <v>0.35891836227038404</v>
      </c>
      <c r="E133" s="14">
        <f>Quebec!BA79/Quebec!$BE79</f>
        <v>0.26842838221562992</v>
      </c>
      <c r="F133" s="14">
        <f>Quebec!BB79/Quebec!$BE79</f>
        <v>2.5303336012149635E-2</v>
      </c>
      <c r="G133" s="14">
        <f>Quebec!BC79/Quebec!$BE79</f>
        <v>0.19060591562241308</v>
      </c>
      <c r="H133" s="71"/>
      <c r="J133" s="61">
        <f>Proba!B112/Proba!$H112</f>
        <v>1E-4</v>
      </c>
      <c r="K133" s="61">
        <f>Proba!C112/Proba!$H112</f>
        <v>0.92769999999999997</v>
      </c>
      <c r="L133" s="61">
        <f>Proba!D112/Proba!$H112</f>
        <v>7.1249999999999994E-2</v>
      </c>
      <c r="M133" s="61">
        <f>Proba!E112/Proba!$H112</f>
        <v>0</v>
      </c>
      <c r="N133" s="61">
        <f>Proba!F112/Proba!$H112</f>
        <v>9.5E-4</v>
      </c>
      <c r="O133" s="35"/>
    </row>
    <row r="134" spans="1:15">
      <c r="A134" s="79" t="s">
        <v>138</v>
      </c>
      <c r="B134" t="s">
        <v>139</v>
      </c>
      <c r="C134" s="14">
        <f>Ontario!AW2/Ontario!$BA2</f>
        <v>0.32725974014115239</v>
      </c>
      <c r="D134" s="14">
        <f>Ontario!AX2/Ontario!$BA2</f>
        <v>0.5712483848861174</v>
      </c>
      <c r="E134" s="14">
        <f>Ontario!AY2/Ontario!$BA2</f>
        <v>7.8600829860893923E-2</v>
      </c>
      <c r="F134" s="14">
        <f>Ontario!AZ2/Ontario!$BA2</f>
        <v>2.2891045111836306E-2</v>
      </c>
      <c r="G134" s="14"/>
      <c r="H134" s="71"/>
      <c r="J134" s="61">
        <f>Proba!B113/Proba!$H113</f>
        <v>8.0000000000000004E-4</v>
      </c>
      <c r="K134" s="61">
        <f>Proba!C113/Proba!$H113</f>
        <v>0.99919999999999998</v>
      </c>
      <c r="L134" s="61">
        <f>Proba!D113/Proba!$H113</f>
        <v>0</v>
      </c>
      <c r="M134" s="61">
        <f>Proba!E113/Proba!$H113</f>
        <v>0</v>
      </c>
      <c r="N134" s="63"/>
      <c r="O134" s="35"/>
    </row>
    <row r="135" spans="1:15">
      <c r="A135" s="79"/>
      <c r="B135" t="s">
        <v>140</v>
      </c>
      <c r="C135" s="14">
        <f>Ontario!AW3/Ontario!$BA3</f>
        <v>0.23105864374619375</v>
      </c>
      <c r="D135" s="14">
        <f>Ontario!AX3/Ontario!$BA3</f>
        <v>0.32574939617847193</v>
      </c>
      <c r="E135" s="14">
        <f>Ontario!AY3/Ontario!$BA3</f>
        <v>0.41599101293500157</v>
      </c>
      <c r="F135" s="14">
        <f>Ontario!AZ3/Ontario!$BA3</f>
        <v>2.7200947140332783E-2</v>
      </c>
      <c r="G135" s="14"/>
      <c r="H135" s="71"/>
      <c r="J135" s="61">
        <f>Proba!B114/Proba!$H114</f>
        <v>1E-3</v>
      </c>
      <c r="K135" s="61">
        <f>Proba!C114/Proba!$H114</f>
        <v>0.1002</v>
      </c>
      <c r="L135" s="61">
        <f>Proba!D114/Proba!$H114</f>
        <v>0.89880000000000004</v>
      </c>
      <c r="M135" s="61">
        <f>Proba!E114/Proba!$H114</f>
        <v>0</v>
      </c>
      <c r="N135" s="63"/>
      <c r="O135" s="35"/>
    </row>
    <row r="136" spans="1:15">
      <c r="A136" s="79"/>
      <c r="B136" t="s">
        <v>141</v>
      </c>
      <c r="C136" s="14">
        <f>Ontario!AW4/Ontario!$BA4</f>
        <v>0.40404552362078572</v>
      </c>
      <c r="D136" s="14">
        <f>Ontario!AX4/Ontario!$BA4</f>
        <v>0.47615192657982741</v>
      </c>
      <c r="E136" s="14">
        <f>Ontario!AY4/Ontario!$BA4</f>
        <v>8.9065502499393004E-2</v>
      </c>
      <c r="F136" s="14">
        <f>Ontario!AZ4/Ontario!$BA4</f>
        <v>3.0737047299993821E-2</v>
      </c>
      <c r="G136" s="14"/>
      <c r="H136" s="71"/>
      <c r="J136" s="61">
        <f>Proba!B115/Proba!$H115</f>
        <v>0.17130000000000001</v>
      </c>
      <c r="K136" s="61">
        <f>Proba!C115/Proba!$H115</f>
        <v>0.82869999999999999</v>
      </c>
      <c r="L136" s="61">
        <f>Proba!D115/Proba!$H115</f>
        <v>0</v>
      </c>
      <c r="M136" s="61">
        <f>Proba!E115/Proba!$H115</f>
        <v>0</v>
      </c>
      <c r="N136" s="63"/>
      <c r="O136" s="35"/>
    </row>
    <row r="137" spans="1:15">
      <c r="A137" s="79"/>
      <c r="B137" t="s">
        <v>142</v>
      </c>
      <c r="C137" s="14">
        <f>Ontario!AW5/Ontario!$BA5</f>
        <v>0.50699328079112083</v>
      </c>
      <c r="D137" s="14">
        <f>Ontario!AX5/Ontario!$BA5</f>
        <v>0.30995276354836637</v>
      </c>
      <c r="E137" s="14">
        <f>Ontario!AY5/Ontario!$BA5</f>
        <v>0.13493599490298491</v>
      </c>
      <c r="F137" s="14">
        <f>Ontario!AZ5/Ontario!$BA5</f>
        <v>4.8117960757527868E-2</v>
      </c>
      <c r="G137" s="14"/>
      <c r="H137" s="71"/>
      <c r="J137" s="61">
        <f>Proba!B116/Proba!$H116</f>
        <v>0.99629999999999996</v>
      </c>
      <c r="K137" s="61">
        <f>Proba!C116/Proba!$H116</f>
        <v>3.7000000000000002E-3</v>
      </c>
      <c r="L137" s="61">
        <f>Proba!D116/Proba!$H116</f>
        <v>0</v>
      </c>
      <c r="M137" s="61">
        <f>Proba!E116/Proba!$H116</f>
        <v>0</v>
      </c>
      <c r="N137" s="63"/>
      <c r="O137" s="35"/>
    </row>
    <row r="138" spans="1:15">
      <c r="A138" s="79"/>
      <c r="B138" t="s">
        <v>143</v>
      </c>
      <c r="C138" s="14">
        <f>Ontario!AW6/Ontario!$BA6</f>
        <v>0.44785175934187166</v>
      </c>
      <c r="D138" s="14">
        <f>Ontario!AX6/Ontario!$BA6</f>
        <v>0.36081331870868527</v>
      </c>
      <c r="E138" s="14">
        <f>Ontario!AY6/Ontario!$BA6</f>
        <v>0.134916999221663</v>
      </c>
      <c r="F138" s="14">
        <f>Ontario!AZ6/Ontario!$BA6</f>
        <v>5.6417922727779957E-2</v>
      </c>
      <c r="G138" s="14"/>
      <c r="H138" s="71"/>
      <c r="J138" s="61">
        <f>Proba!B117/Proba!$H117</f>
        <v>0.88224999999999998</v>
      </c>
      <c r="K138" s="61">
        <f>Proba!C117/Proba!$H117</f>
        <v>0.11774999999999999</v>
      </c>
      <c r="L138" s="61">
        <f>Proba!D117/Proba!$H117</f>
        <v>0</v>
      </c>
      <c r="M138" s="61">
        <f>Proba!E117/Proba!$H117</f>
        <v>0</v>
      </c>
      <c r="N138" s="63"/>
      <c r="O138" s="35"/>
    </row>
    <row r="139" spans="1:15">
      <c r="A139" s="79"/>
      <c r="B139" t="s">
        <v>144</v>
      </c>
      <c r="C139" s="14">
        <f>Ontario!AW7/Ontario!$BA7</f>
        <v>0.43041222212189911</v>
      </c>
      <c r="D139" s="14">
        <f>Ontario!AX7/Ontario!$BA7</f>
        <v>0.36372481836738224</v>
      </c>
      <c r="E139" s="14">
        <f>Ontario!AY7/Ontario!$BA7</f>
        <v>0.17194280325654171</v>
      </c>
      <c r="F139" s="14">
        <f>Ontario!AZ7/Ontario!$BA7</f>
        <v>3.3920156254176846E-2</v>
      </c>
      <c r="G139" s="14"/>
      <c r="H139" s="71"/>
      <c r="J139" s="61">
        <f>Proba!B118/Proba!$H118</f>
        <v>0.83374999999999999</v>
      </c>
      <c r="K139" s="61">
        <f>Proba!C118/Proba!$H118</f>
        <v>0.16625000000000001</v>
      </c>
      <c r="L139" s="61">
        <f>Proba!D118/Proba!$H118</f>
        <v>0</v>
      </c>
      <c r="M139" s="61">
        <f>Proba!E118/Proba!$H118</f>
        <v>0</v>
      </c>
      <c r="N139" s="63"/>
      <c r="O139" s="35"/>
    </row>
    <row r="140" spans="1:15">
      <c r="A140" s="79"/>
      <c r="B140" t="s">
        <v>145</v>
      </c>
      <c r="C140" s="14">
        <f>Ontario!AW8/Ontario!$BA8</f>
        <v>0.11763174077106427</v>
      </c>
      <c r="D140" s="14">
        <f>Ontario!AX8/Ontario!$BA8</f>
        <v>0.52419204400209851</v>
      </c>
      <c r="E140" s="14">
        <f>Ontario!AY8/Ontario!$BA8</f>
        <v>0.31654128002012788</v>
      </c>
      <c r="F140" s="14">
        <f>Ontario!AZ8/Ontario!$BA8</f>
        <v>4.1634935206709328E-2</v>
      </c>
      <c r="G140" s="14"/>
      <c r="H140" s="71"/>
      <c r="J140" s="61">
        <f>Proba!B119/Proba!$H119</f>
        <v>0</v>
      </c>
      <c r="K140" s="61">
        <f>Proba!C119/Proba!$H119</f>
        <v>0.99624999999999997</v>
      </c>
      <c r="L140" s="61">
        <f>Proba!D119/Proba!$H119</f>
        <v>3.7499999999999999E-3</v>
      </c>
      <c r="M140" s="61">
        <f>Proba!E119/Proba!$H119</f>
        <v>0</v>
      </c>
      <c r="N140" s="63"/>
      <c r="O140" s="35"/>
    </row>
    <row r="141" spans="1:15">
      <c r="A141" s="79"/>
      <c r="B141" t="s">
        <v>146</v>
      </c>
      <c r="C141" s="14">
        <f>Ontario!AW9/Ontario!$BA9</f>
        <v>0.35547571243031567</v>
      </c>
      <c r="D141" s="14">
        <f>Ontario!AX9/Ontario!$BA9</f>
        <v>0.43627674234239544</v>
      </c>
      <c r="E141" s="14">
        <f>Ontario!AY9/Ontario!$BA9</f>
        <v>0.16803983920884347</v>
      </c>
      <c r="F141" s="14">
        <f>Ontario!AZ9/Ontario!$BA9</f>
        <v>4.0207706018445484E-2</v>
      </c>
      <c r="G141" s="14"/>
      <c r="H141" s="71"/>
      <c r="J141" s="61">
        <f>Proba!B120/Proba!$H120</f>
        <v>0.13285</v>
      </c>
      <c r="K141" s="61">
        <f>Proba!C120/Proba!$H120</f>
        <v>0.86714999999999998</v>
      </c>
      <c r="L141" s="61">
        <f>Proba!D120/Proba!$H120</f>
        <v>0</v>
      </c>
      <c r="M141" s="61">
        <f>Proba!E120/Proba!$H120</f>
        <v>0</v>
      </c>
      <c r="N141" s="63"/>
      <c r="O141" s="35"/>
    </row>
    <row r="142" spans="1:15">
      <c r="A142" s="79"/>
      <c r="B142" t="s">
        <v>147</v>
      </c>
      <c r="C142" s="14">
        <f>Ontario!AW10/Ontario!$BA10</f>
        <v>0.25787824280443516</v>
      </c>
      <c r="D142" s="14">
        <f>Ontario!AX10/Ontario!$BA10</f>
        <v>0.49269399672072833</v>
      </c>
      <c r="E142" s="14">
        <f>Ontario!AY10/Ontario!$BA10</f>
        <v>0.23625454648656266</v>
      </c>
      <c r="F142" s="14">
        <f>Ontario!AZ10/Ontario!$BA10</f>
        <v>1.3173213988273782E-2</v>
      </c>
      <c r="G142" s="14"/>
      <c r="H142" s="71"/>
      <c r="J142" s="61">
        <f>Proba!B121/Proba!$H121</f>
        <v>3.5E-4</v>
      </c>
      <c r="K142" s="61">
        <f>Proba!C121/Proba!$H121</f>
        <v>0.99965000000000004</v>
      </c>
      <c r="L142" s="61">
        <f>Proba!D121/Proba!$H121</f>
        <v>0</v>
      </c>
      <c r="M142" s="61">
        <f>Proba!E121/Proba!$H121</f>
        <v>0</v>
      </c>
      <c r="N142" s="63"/>
      <c r="O142" s="35"/>
    </row>
    <row r="143" spans="1:15">
      <c r="A143" s="79"/>
      <c r="B143" t="s">
        <v>148</v>
      </c>
      <c r="C143" s="14">
        <f>Ontario!AW11/Ontario!$BA11</f>
        <v>0.37948302006564599</v>
      </c>
      <c r="D143" s="14">
        <f>Ontario!AX11/Ontario!$BA11</f>
        <v>0.46355907895659942</v>
      </c>
      <c r="E143" s="14">
        <f>Ontario!AY11/Ontario!$BA11</f>
        <v>0.12409456098249523</v>
      </c>
      <c r="F143" s="14">
        <f>Ontario!AZ11/Ontario!$BA11</f>
        <v>3.2863339995259346E-2</v>
      </c>
      <c r="G143" s="14"/>
      <c r="H143" s="71"/>
      <c r="J143" s="61">
        <f>Proba!B122/Proba!$H122</f>
        <v>0.12825</v>
      </c>
      <c r="K143" s="61">
        <f>Proba!C122/Proba!$H122</f>
        <v>0.87175000000000002</v>
      </c>
      <c r="L143" s="61">
        <f>Proba!D122/Proba!$H122</f>
        <v>0</v>
      </c>
      <c r="M143" s="61">
        <f>Proba!E122/Proba!$H122</f>
        <v>0</v>
      </c>
      <c r="N143" s="63"/>
      <c r="O143" s="35"/>
    </row>
    <row r="144" spans="1:15">
      <c r="A144" s="79"/>
      <c r="B144" t="s">
        <v>149</v>
      </c>
      <c r="C144" s="14">
        <f>Ontario!AW12/Ontario!$BA12</f>
        <v>0.34508504759949615</v>
      </c>
      <c r="D144" s="14">
        <f>Ontario!AX12/Ontario!$BA12</f>
        <v>0.53621480871087657</v>
      </c>
      <c r="E144" s="14">
        <f>Ontario!AY12/Ontario!$BA12</f>
        <v>0.10000460833741136</v>
      </c>
      <c r="F144" s="14">
        <f>Ontario!AZ12/Ontario!$BA12</f>
        <v>1.8695535352215853E-2</v>
      </c>
      <c r="G144" s="14"/>
      <c r="H144" s="71"/>
      <c r="J144" s="61">
        <f>Proba!B123/Proba!$H123</f>
        <v>6.1500000000000001E-3</v>
      </c>
      <c r="K144" s="61">
        <f>Proba!C123/Proba!$H123</f>
        <v>0.99385000000000001</v>
      </c>
      <c r="L144" s="61">
        <f>Proba!D123/Proba!$H123</f>
        <v>0</v>
      </c>
      <c r="M144" s="61">
        <f>Proba!E123/Proba!$H123</f>
        <v>0</v>
      </c>
      <c r="N144" s="63"/>
      <c r="O144" s="35"/>
    </row>
    <row r="145" spans="1:15">
      <c r="A145" s="79"/>
      <c r="B145" t="s">
        <v>150</v>
      </c>
      <c r="C145" s="14">
        <f>Ontario!AW13/Ontario!$BA13</f>
        <v>0.3117620396694285</v>
      </c>
      <c r="D145" s="14">
        <f>Ontario!AX13/Ontario!$BA13</f>
        <v>0.54410057567919934</v>
      </c>
      <c r="E145" s="14">
        <f>Ontario!AY13/Ontario!$BA13</f>
        <v>0.13230913010029036</v>
      </c>
      <c r="F145" s="14">
        <f>Ontario!AZ13/Ontario!$BA13</f>
        <v>1.1828254551081826E-2</v>
      </c>
      <c r="G145" s="14"/>
      <c r="H145" s="71"/>
      <c r="J145" s="61">
        <f>Proba!B124/Proba!$H124</f>
        <v>8.0000000000000004E-4</v>
      </c>
      <c r="K145" s="61">
        <f>Proba!C124/Proba!$H124</f>
        <v>0.99919999999999998</v>
      </c>
      <c r="L145" s="61">
        <f>Proba!D124/Proba!$H124</f>
        <v>0</v>
      </c>
      <c r="M145" s="61">
        <f>Proba!E124/Proba!$H124</f>
        <v>0</v>
      </c>
      <c r="N145" s="63"/>
      <c r="O145" s="35"/>
    </row>
    <row r="146" spans="1:15">
      <c r="A146" s="79"/>
      <c r="B146" t="s">
        <v>151</v>
      </c>
      <c r="C146" s="14">
        <f>Ontario!AW14/Ontario!$BA14</f>
        <v>0.38106418692795385</v>
      </c>
      <c r="D146" s="14">
        <f>Ontario!AX14/Ontario!$BA14</f>
        <v>0.36401971878571121</v>
      </c>
      <c r="E146" s="14">
        <f>Ontario!AY14/Ontario!$BA14</f>
        <v>0.22686398889427936</v>
      </c>
      <c r="F146" s="14">
        <f>Ontario!AZ14/Ontario!$BA14</f>
        <v>2.8052105392055545E-2</v>
      </c>
      <c r="G146" s="14"/>
      <c r="H146" s="71"/>
      <c r="J146" s="61">
        <f>Proba!B125/Proba!$H125</f>
        <v>0.59215000000000007</v>
      </c>
      <c r="K146" s="61">
        <f>Proba!C125/Proba!$H125</f>
        <v>0.40740000000000004</v>
      </c>
      <c r="L146" s="61">
        <f>Proba!D125/Proba!$H125</f>
        <v>4.5000000000000004E-4</v>
      </c>
      <c r="M146" s="61">
        <f>Proba!E125/Proba!$H125</f>
        <v>0</v>
      </c>
      <c r="N146" s="63"/>
      <c r="O146" s="35"/>
    </row>
    <row r="147" spans="1:15">
      <c r="A147" s="79"/>
      <c r="B147" t="s">
        <v>152</v>
      </c>
      <c r="C147" s="14">
        <f>Ontario!AW15/Ontario!$BA15</f>
        <v>0.43666927477509626</v>
      </c>
      <c r="D147" s="14">
        <f>Ontario!AX15/Ontario!$BA15</f>
        <v>0.37947661465588417</v>
      </c>
      <c r="E147" s="14">
        <f>Ontario!AY15/Ontario!$BA15</f>
        <v>0.10977431852323288</v>
      </c>
      <c r="F147" s="14">
        <f>Ontario!AZ15/Ontario!$BA15</f>
        <v>7.4079792045786741E-2</v>
      </c>
      <c r="G147" s="14"/>
      <c r="H147" s="71"/>
      <c r="J147" s="61">
        <f>Proba!B126/Proba!$H126</f>
        <v>0.78215000000000001</v>
      </c>
      <c r="K147" s="61">
        <f>Proba!C126/Proba!$H126</f>
        <v>0.21784999999999999</v>
      </c>
      <c r="L147" s="61">
        <f>Proba!D126/Proba!$H126</f>
        <v>0</v>
      </c>
      <c r="M147" s="61">
        <f>Proba!E126/Proba!$H126</f>
        <v>0</v>
      </c>
      <c r="N147" s="63"/>
      <c r="O147" s="35"/>
    </row>
    <row r="148" spans="1:15">
      <c r="A148" s="79"/>
      <c r="B148" t="s">
        <v>153</v>
      </c>
      <c r="C148" s="14">
        <f>Ontario!AW16/Ontario!$BA16</f>
        <v>0.44201677447656368</v>
      </c>
      <c r="D148" s="14">
        <f>Ontario!AX16/Ontario!$BA16</f>
        <v>0.40046735218722462</v>
      </c>
      <c r="E148" s="14">
        <f>Ontario!AY16/Ontario!$BA16</f>
        <v>0.1264592032976426</v>
      </c>
      <c r="F148" s="14">
        <f>Ontario!AZ16/Ontario!$BA16</f>
        <v>3.1056670038569066E-2</v>
      </c>
      <c r="G148" s="14"/>
      <c r="H148" s="71"/>
      <c r="J148" s="61">
        <f>Proba!B127/Proba!$H127</f>
        <v>0.71894999999999998</v>
      </c>
      <c r="K148" s="61">
        <f>Proba!C127/Proba!$H127</f>
        <v>0.28105000000000002</v>
      </c>
      <c r="L148" s="61">
        <f>Proba!D127/Proba!$H127</f>
        <v>0</v>
      </c>
      <c r="M148" s="61">
        <f>Proba!E127/Proba!$H127</f>
        <v>0</v>
      </c>
      <c r="N148" s="63"/>
      <c r="O148" s="35"/>
    </row>
    <row r="149" spans="1:15">
      <c r="A149" s="79"/>
      <c r="B149" t="s">
        <v>154</v>
      </c>
      <c r="C149" s="14">
        <f>Ontario!AW17/Ontario!$BA17</f>
        <v>0.42838687615446963</v>
      </c>
      <c r="D149" s="14">
        <f>Ontario!AX17/Ontario!$BA17</f>
        <v>0.32291774242425325</v>
      </c>
      <c r="E149" s="14">
        <f>Ontario!AY17/Ontario!$BA17</f>
        <v>0.21695356928055065</v>
      </c>
      <c r="F149" s="14">
        <f>Ontario!AZ17/Ontario!$BA17</f>
        <v>3.1741812140726397E-2</v>
      </c>
      <c r="G149" s="14"/>
      <c r="H149" s="71"/>
      <c r="J149" s="61">
        <f>Proba!B128/Proba!$H128</f>
        <v>0.93694999999999995</v>
      </c>
      <c r="K149" s="61">
        <f>Proba!C128/Proba!$H128</f>
        <v>6.2950000000000006E-2</v>
      </c>
      <c r="L149" s="61">
        <f>Proba!D128/Proba!$H128</f>
        <v>1E-4</v>
      </c>
      <c r="M149" s="61">
        <f>Proba!E128/Proba!$H128</f>
        <v>0</v>
      </c>
      <c r="N149" s="63"/>
      <c r="O149" s="35"/>
    </row>
    <row r="150" spans="1:15">
      <c r="A150" s="79"/>
      <c r="B150" t="s">
        <v>155</v>
      </c>
      <c r="C150" s="14">
        <f>Ontario!AW18/Ontario!$BA18</f>
        <v>0.53201346355626022</v>
      </c>
      <c r="D150" s="14">
        <f>Ontario!AX18/Ontario!$BA18</f>
        <v>0.35662435317103358</v>
      </c>
      <c r="E150" s="14">
        <f>Ontario!AY18/Ontario!$BA18</f>
        <v>7.4084735913114763E-2</v>
      </c>
      <c r="F150" s="14">
        <f>Ontario!AZ18/Ontario!$BA18</f>
        <v>3.7277447359591459E-2</v>
      </c>
      <c r="G150" s="14"/>
      <c r="H150" s="71"/>
      <c r="J150" s="61">
        <f>Proba!B129/Proba!$H129</f>
        <v>0.99514999999999998</v>
      </c>
      <c r="K150" s="61">
        <f>Proba!C129/Proba!$H129</f>
        <v>4.8500000000000001E-3</v>
      </c>
      <c r="L150" s="61">
        <f>Proba!D129/Proba!$H129</f>
        <v>0</v>
      </c>
      <c r="M150" s="61">
        <f>Proba!E129/Proba!$H129</f>
        <v>0</v>
      </c>
      <c r="N150" s="63"/>
      <c r="O150" s="35"/>
    </row>
    <row r="151" spans="1:15">
      <c r="A151" s="79"/>
      <c r="B151" t="s">
        <v>156</v>
      </c>
      <c r="C151" s="14">
        <f>Ontario!AW19/Ontario!$BA19</f>
        <v>0.42791225015313594</v>
      </c>
      <c r="D151" s="14">
        <f>Ontario!AX19/Ontario!$BA19</f>
        <v>0.33948848697973871</v>
      </c>
      <c r="E151" s="14">
        <f>Ontario!AY19/Ontario!$BA19</f>
        <v>0.20332441634930276</v>
      </c>
      <c r="F151" s="14">
        <f>Ontario!AZ19/Ontario!$BA19</f>
        <v>2.927484651782241E-2</v>
      </c>
      <c r="G151" s="14"/>
      <c r="H151" s="71"/>
      <c r="J151" s="61">
        <f>Proba!B130/Proba!$H130</f>
        <v>0.89980000000000004</v>
      </c>
      <c r="K151" s="61">
        <f>Proba!C130/Proba!$H130</f>
        <v>0.10015</v>
      </c>
      <c r="L151" s="61">
        <f>Proba!D130/Proba!$H130</f>
        <v>5.0000000000000002E-5</v>
      </c>
      <c r="M151" s="61">
        <f>Proba!E130/Proba!$H130</f>
        <v>0</v>
      </c>
      <c r="N151" s="63"/>
      <c r="O151" s="35"/>
    </row>
    <row r="152" spans="1:15">
      <c r="A152" s="79"/>
      <c r="B152" t="s">
        <v>157</v>
      </c>
      <c r="C152" s="14">
        <f>Ontario!AW20/Ontario!$BA20</f>
        <v>4.3870741072897505E-2</v>
      </c>
      <c r="D152" s="14">
        <f>Ontario!AX20/Ontario!$BA20</f>
        <v>0.47107005447629507</v>
      </c>
      <c r="E152" s="14">
        <f>Ontario!AY20/Ontario!$BA20</f>
        <v>0.45438729004950029</v>
      </c>
      <c r="F152" s="14">
        <f>Ontario!AZ20/Ontario!$BA20</f>
        <v>3.0671914401307121E-2</v>
      </c>
      <c r="G152" s="14"/>
      <c r="H152" s="71"/>
      <c r="J152" s="61">
        <f>Proba!B131/Proba!$H131</f>
        <v>0</v>
      </c>
      <c r="K152" s="61">
        <f>Proba!C131/Proba!$H131</f>
        <v>0.59409999999999996</v>
      </c>
      <c r="L152" s="61">
        <f>Proba!D131/Proba!$H131</f>
        <v>0.40589999999999998</v>
      </c>
      <c r="M152" s="61">
        <f>Proba!E131/Proba!$H131</f>
        <v>0</v>
      </c>
      <c r="N152" s="63"/>
      <c r="O152" s="35"/>
    </row>
    <row r="153" spans="1:15">
      <c r="A153" s="79"/>
      <c r="B153" t="s">
        <v>158</v>
      </c>
      <c r="C153" s="14">
        <f>Ontario!AW21/Ontario!$BA21</f>
        <v>0.25569468261990497</v>
      </c>
      <c r="D153" s="14">
        <f>Ontario!AX21/Ontario!$BA21</f>
        <v>0.58648471051605289</v>
      </c>
      <c r="E153" s="14">
        <f>Ontario!AY21/Ontario!$BA21</f>
        <v>0.13382208703739867</v>
      </c>
      <c r="F153" s="14">
        <f>Ontario!AZ21/Ontario!$BA21</f>
        <v>2.3998519826643437E-2</v>
      </c>
      <c r="G153" s="14"/>
      <c r="H153" s="71"/>
      <c r="J153" s="61">
        <f>Proba!B132/Proba!$H132</f>
        <v>0</v>
      </c>
      <c r="K153" s="61">
        <f>Proba!C132/Proba!$H132</f>
        <v>1</v>
      </c>
      <c r="L153" s="61">
        <f>Proba!D132/Proba!$H132</f>
        <v>0</v>
      </c>
      <c r="M153" s="61">
        <f>Proba!E132/Proba!$H132</f>
        <v>0</v>
      </c>
      <c r="N153" s="63"/>
      <c r="O153" s="35"/>
    </row>
    <row r="154" spans="1:15">
      <c r="A154" s="79"/>
      <c r="B154" t="s">
        <v>159</v>
      </c>
      <c r="C154" s="14">
        <f>Ontario!AW22/Ontario!$BA22</f>
        <v>0.29076304042216111</v>
      </c>
      <c r="D154" s="14">
        <f>Ontario!AX22/Ontario!$BA22</f>
        <v>0.58040585935400457</v>
      </c>
      <c r="E154" s="14">
        <f>Ontario!AY22/Ontario!$BA22</f>
        <v>0.12028079180144183</v>
      </c>
      <c r="F154" s="14">
        <f>Ontario!AZ22/Ontario!$BA22</f>
        <v>8.5503084223925354E-3</v>
      </c>
      <c r="G154" s="14"/>
      <c r="H154" s="71"/>
      <c r="J154" s="61">
        <f>Proba!B133/Proba!$H133</f>
        <v>1.4999999999999999E-4</v>
      </c>
      <c r="K154" s="61">
        <f>Proba!C133/Proba!$H133</f>
        <v>0.99985000000000002</v>
      </c>
      <c r="L154" s="61">
        <f>Proba!D133/Proba!$H133</f>
        <v>0</v>
      </c>
      <c r="M154" s="61">
        <f>Proba!E133/Proba!$H133</f>
        <v>0</v>
      </c>
      <c r="N154" s="63"/>
      <c r="O154" s="35"/>
    </row>
    <row r="155" spans="1:15">
      <c r="A155" s="79"/>
      <c r="B155" t="s">
        <v>160</v>
      </c>
      <c r="C155" s="14">
        <f>Ontario!AW23/Ontario!$BA23</f>
        <v>0.32645695079333187</v>
      </c>
      <c r="D155" s="14">
        <f>Ontario!AX23/Ontario!$BA23</f>
        <v>0.62190713753733673</v>
      </c>
      <c r="E155" s="14">
        <f>Ontario!AY23/Ontario!$BA23</f>
        <v>2.0656852857553525E-2</v>
      </c>
      <c r="F155" s="14">
        <f>Ontario!AZ23/Ontario!$BA23</f>
        <v>3.0979058811777951E-2</v>
      </c>
      <c r="G155" s="14"/>
      <c r="H155" s="71"/>
      <c r="J155" s="61">
        <f>Proba!B134/Proba!$H134</f>
        <v>0</v>
      </c>
      <c r="K155" s="61">
        <f>Proba!C134/Proba!$H134</f>
        <v>1</v>
      </c>
      <c r="L155" s="61">
        <f>Proba!D134/Proba!$H134</f>
        <v>0</v>
      </c>
      <c r="M155" s="61">
        <f>Proba!E134/Proba!$H134</f>
        <v>0</v>
      </c>
      <c r="N155" s="63"/>
      <c r="O155" s="35"/>
    </row>
    <row r="156" spans="1:15">
      <c r="A156" s="79"/>
      <c r="B156" t="s">
        <v>161</v>
      </c>
      <c r="C156" s="14">
        <f>Ontario!AW24/Ontario!$BA24</f>
        <v>0.48392802012561059</v>
      </c>
      <c r="D156" s="14">
        <f>Ontario!AX24/Ontario!$BA24</f>
        <v>0.31553289124852368</v>
      </c>
      <c r="E156" s="14">
        <f>Ontario!AY24/Ontario!$BA24</f>
        <v>6.4057092038154795E-2</v>
      </c>
      <c r="F156" s="14">
        <f>Ontario!AZ24/Ontario!$BA24</f>
        <v>0.13648199658771096</v>
      </c>
      <c r="G156" s="14"/>
      <c r="H156" s="71"/>
      <c r="J156" s="61">
        <f>Proba!B135/Proba!$H135</f>
        <v>0.99045000000000005</v>
      </c>
      <c r="K156" s="61">
        <f>Proba!C135/Proba!$H135</f>
        <v>9.5499999999999995E-3</v>
      </c>
      <c r="L156" s="61">
        <f>Proba!D135/Proba!$H135</f>
        <v>0</v>
      </c>
      <c r="M156" s="61">
        <f>Proba!E135/Proba!$H135</f>
        <v>0</v>
      </c>
      <c r="N156" s="63"/>
      <c r="O156" s="35"/>
    </row>
    <row r="157" spans="1:15">
      <c r="A157" s="79"/>
      <c r="B157" t="s">
        <v>162</v>
      </c>
      <c r="C157" s="14">
        <f>Ontario!AW25/Ontario!$BA25</f>
        <v>0.46639572988882044</v>
      </c>
      <c r="D157" s="14">
        <f>Ontario!AX25/Ontario!$BA25</f>
        <v>0.31180354818850053</v>
      </c>
      <c r="E157" s="14">
        <f>Ontario!AY25/Ontario!$BA25</f>
        <v>0.18021548992871264</v>
      </c>
      <c r="F157" s="14">
        <f>Ontario!AZ25/Ontario!$BA25</f>
        <v>4.1585231993966375E-2</v>
      </c>
      <c r="G157" s="14"/>
      <c r="H157" s="71"/>
      <c r="J157" s="61">
        <f>Proba!B136/Proba!$H136</f>
        <v>0.99065000000000003</v>
      </c>
      <c r="K157" s="61">
        <f>Proba!C136/Proba!$H136</f>
        <v>9.3500000000000007E-3</v>
      </c>
      <c r="L157" s="61">
        <f>Proba!D136/Proba!$H136</f>
        <v>0</v>
      </c>
      <c r="M157" s="61">
        <f>Proba!E136/Proba!$H136</f>
        <v>0</v>
      </c>
      <c r="N157" s="63"/>
      <c r="O157" s="35"/>
    </row>
    <row r="158" spans="1:15">
      <c r="A158" s="79"/>
      <c r="B158" t="s">
        <v>163</v>
      </c>
      <c r="C158" s="14">
        <f>Ontario!AW26/Ontario!$BA26</f>
        <v>0.36345916766732245</v>
      </c>
      <c r="D158" s="14">
        <f>Ontario!AX26/Ontario!$BA26</f>
        <v>0.50903379544294425</v>
      </c>
      <c r="E158" s="14">
        <f>Ontario!AY26/Ontario!$BA26</f>
        <v>0.1003424594484691</v>
      </c>
      <c r="F158" s="14">
        <f>Ontario!AZ26/Ontario!$BA26</f>
        <v>2.7164577441264087E-2</v>
      </c>
      <c r="G158" s="14"/>
      <c r="H158" s="71"/>
      <c r="J158" s="61">
        <f>Proba!B137/Proba!$H137</f>
        <v>2.1100000000000001E-2</v>
      </c>
      <c r="K158" s="61">
        <f>Proba!C137/Proba!$H137</f>
        <v>0.97889999999999999</v>
      </c>
      <c r="L158" s="61">
        <f>Proba!D137/Proba!$H137</f>
        <v>0</v>
      </c>
      <c r="M158" s="61">
        <f>Proba!E137/Proba!$H137</f>
        <v>0</v>
      </c>
      <c r="N158" s="63"/>
      <c r="O158" s="35"/>
    </row>
    <row r="159" spans="1:15">
      <c r="A159" s="79"/>
      <c r="B159" t="s">
        <v>164</v>
      </c>
      <c r="C159" s="14">
        <f>Ontario!AW27/Ontario!$BA27</f>
        <v>0.45556148685998021</v>
      </c>
      <c r="D159" s="14">
        <f>Ontario!AX27/Ontario!$BA27</f>
        <v>0.33212512470986755</v>
      </c>
      <c r="E159" s="14">
        <f>Ontario!AY27/Ontario!$BA27</f>
        <v>0.18446121166750312</v>
      </c>
      <c r="F159" s="14">
        <f>Ontario!AZ27/Ontario!$BA27</f>
        <v>2.7852176762649193E-2</v>
      </c>
      <c r="G159" s="14"/>
      <c r="H159" s="71"/>
      <c r="J159" s="61">
        <f>Proba!B138/Proba!$H138</f>
        <v>0.95914999999999995</v>
      </c>
      <c r="K159" s="61">
        <f>Proba!C138/Proba!$H138</f>
        <v>4.0849999999999997E-2</v>
      </c>
      <c r="L159" s="61">
        <f>Proba!D138/Proba!$H138</f>
        <v>0</v>
      </c>
      <c r="M159" s="61">
        <f>Proba!E138/Proba!$H138</f>
        <v>0</v>
      </c>
      <c r="N159" s="63"/>
      <c r="O159" s="35"/>
    </row>
    <row r="160" spans="1:15">
      <c r="A160" s="79"/>
      <c r="B160" t="s">
        <v>165</v>
      </c>
      <c r="C160" s="14">
        <f>Ontario!AW28/Ontario!$BA28</f>
        <v>0.37932392418181826</v>
      </c>
      <c r="D160" s="14">
        <f>Ontario!AX28/Ontario!$BA28</f>
        <v>0.31976968254070193</v>
      </c>
      <c r="E160" s="14">
        <f>Ontario!AY28/Ontario!$BA28</f>
        <v>0.28077016517831593</v>
      </c>
      <c r="F160" s="14">
        <f>Ontario!AZ28/Ontario!$BA28</f>
        <v>2.0136228099163812E-2</v>
      </c>
      <c r="G160" s="14"/>
      <c r="H160" s="71"/>
      <c r="J160" s="61">
        <f>Proba!B139/Proba!$H139</f>
        <v>0.78754999999999997</v>
      </c>
      <c r="K160" s="61">
        <f>Proba!C139/Proba!$H139</f>
        <v>0.17935000000000001</v>
      </c>
      <c r="L160" s="61">
        <f>Proba!D139/Proba!$H139</f>
        <v>3.3099999999999997E-2</v>
      </c>
      <c r="M160" s="61">
        <f>Proba!E139/Proba!$H139</f>
        <v>0</v>
      </c>
      <c r="N160" s="63"/>
      <c r="O160" s="35"/>
    </row>
    <row r="161" spans="1:15">
      <c r="A161" s="79"/>
      <c r="B161" t="s">
        <v>166</v>
      </c>
      <c r="C161" s="14">
        <f>Ontario!AW29/Ontario!$BA29</f>
        <v>0.36800552225757083</v>
      </c>
      <c r="D161" s="14">
        <f>Ontario!AX29/Ontario!$BA29</f>
        <v>0.53881001258257388</v>
      </c>
      <c r="E161" s="14">
        <f>Ontario!AY29/Ontario!$BA29</f>
        <v>7.084635240971901E-2</v>
      </c>
      <c r="F161" s="14">
        <f>Ontario!AZ29/Ontario!$BA29</f>
        <v>2.2338112750136266E-2</v>
      </c>
      <c r="G161" s="14"/>
      <c r="H161" s="71"/>
      <c r="J161" s="61">
        <f>Proba!B140/Proba!$H140</f>
        <v>9.4999999999999998E-3</v>
      </c>
      <c r="K161" s="61">
        <f>Proba!C140/Proba!$H140</f>
        <v>0.99050000000000005</v>
      </c>
      <c r="L161" s="61">
        <f>Proba!D140/Proba!$H140</f>
        <v>0</v>
      </c>
      <c r="M161" s="61">
        <f>Proba!E140/Proba!$H140</f>
        <v>0</v>
      </c>
      <c r="N161" s="63"/>
      <c r="O161" s="35"/>
    </row>
    <row r="162" spans="1:15">
      <c r="A162" s="79"/>
      <c r="B162" t="s">
        <v>167</v>
      </c>
      <c r="C162" s="14">
        <f>Ontario!AW30/Ontario!$BA30</f>
        <v>0.22570053585928171</v>
      </c>
      <c r="D162" s="14">
        <f>Ontario!AX30/Ontario!$BA30</f>
        <v>0.60836798711308682</v>
      </c>
      <c r="E162" s="14">
        <f>Ontario!AY30/Ontario!$BA30</f>
        <v>0.16593147702763156</v>
      </c>
      <c r="F162" s="14">
        <f>Ontario!AZ30/Ontario!$BA30</f>
        <v>0</v>
      </c>
      <c r="G162" s="14"/>
      <c r="H162" s="71"/>
      <c r="J162" s="61">
        <f>Proba!B141/Proba!$H141</f>
        <v>0</v>
      </c>
      <c r="K162" s="61">
        <f>Proba!C141/Proba!$H141</f>
        <v>1</v>
      </c>
      <c r="L162" s="61">
        <f>Proba!D141/Proba!$H141</f>
        <v>0</v>
      </c>
      <c r="M162" s="61">
        <f>Proba!E141/Proba!$H141</f>
        <v>0</v>
      </c>
      <c r="N162" s="63"/>
      <c r="O162" s="35"/>
    </row>
    <row r="163" spans="1:15">
      <c r="A163" s="79"/>
      <c r="B163" t="s">
        <v>168</v>
      </c>
      <c r="C163" s="14">
        <f>Ontario!AW31/Ontario!$BA31</f>
        <v>0.31862638316259267</v>
      </c>
      <c r="D163" s="14">
        <f>Ontario!AX31/Ontario!$BA31</f>
        <v>0.50815499522879415</v>
      </c>
      <c r="E163" s="14">
        <f>Ontario!AY31/Ontario!$BA31</f>
        <v>0.13544752757035602</v>
      </c>
      <c r="F163" s="14">
        <f>Ontario!AZ31/Ontario!$BA31</f>
        <v>3.7771094038257208E-2</v>
      </c>
      <c r="G163" s="14"/>
      <c r="H163" s="71"/>
      <c r="J163" s="61">
        <f>Proba!B142/Proba!$H142</f>
        <v>0</v>
      </c>
      <c r="K163" s="61">
        <f>Proba!C142/Proba!$H142</f>
        <v>1</v>
      </c>
      <c r="L163" s="61">
        <f>Proba!D142/Proba!$H142</f>
        <v>0</v>
      </c>
      <c r="M163" s="61">
        <f>Proba!E142/Proba!$H142</f>
        <v>0</v>
      </c>
      <c r="N163" s="63"/>
      <c r="O163" s="35"/>
    </row>
    <row r="164" spans="1:15">
      <c r="A164" s="79"/>
      <c r="B164" t="s">
        <v>169</v>
      </c>
      <c r="C164" s="14">
        <f>Ontario!AW32/Ontario!$BA32</f>
        <v>0.45200107106389736</v>
      </c>
      <c r="D164" s="14">
        <f>Ontario!AX32/Ontario!$BA32</f>
        <v>0.34481606493462208</v>
      </c>
      <c r="E164" s="14">
        <f>Ontario!AY32/Ontario!$BA32</f>
        <v>0.16565172406923212</v>
      </c>
      <c r="F164" s="14">
        <f>Ontario!AZ32/Ontario!$BA32</f>
        <v>3.7531139932248436E-2</v>
      </c>
      <c r="G164" s="14"/>
      <c r="H164" s="71"/>
      <c r="J164" s="61">
        <f>Proba!B143/Proba!$H143</f>
        <v>0.93049999999999999</v>
      </c>
      <c r="K164" s="61">
        <f>Proba!C143/Proba!$H143</f>
        <v>6.9500000000000006E-2</v>
      </c>
      <c r="L164" s="61">
        <f>Proba!D143/Proba!$H143</f>
        <v>0</v>
      </c>
      <c r="M164" s="61">
        <f>Proba!E143/Proba!$H143</f>
        <v>0</v>
      </c>
      <c r="N164" s="63"/>
      <c r="O164" s="35"/>
    </row>
    <row r="165" spans="1:15">
      <c r="A165" s="79"/>
      <c r="B165" t="s">
        <v>170</v>
      </c>
      <c r="C165" s="14">
        <f>Ontario!AW33/Ontario!$BA33</f>
        <v>0.3997197017667396</v>
      </c>
      <c r="D165" s="14">
        <f>Ontario!AX33/Ontario!$BA33</f>
        <v>0.46015438706217143</v>
      </c>
      <c r="E165" s="14">
        <f>Ontario!AY33/Ontario!$BA33</f>
        <v>0.10817635324393145</v>
      </c>
      <c r="F165" s="14">
        <f>Ontario!AZ33/Ontario!$BA33</f>
        <v>3.1949557927157486E-2</v>
      </c>
      <c r="G165" s="14"/>
      <c r="H165" s="71"/>
      <c r="J165" s="61">
        <f>Proba!B144/Proba!$H144</f>
        <v>0.18545</v>
      </c>
      <c r="K165" s="61">
        <f>Proba!C144/Proba!$H144</f>
        <v>0.81455</v>
      </c>
      <c r="L165" s="61">
        <f>Proba!D144/Proba!$H144</f>
        <v>0</v>
      </c>
      <c r="M165" s="61">
        <f>Proba!E144/Proba!$H144</f>
        <v>0</v>
      </c>
      <c r="N165" s="63"/>
      <c r="O165" s="35"/>
    </row>
    <row r="166" spans="1:15">
      <c r="A166" s="79"/>
      <c r="B166" t="s">
        <v>171</v>
      </c>
      <c r="C166" s="14">
        <f>Ontario!AW34/Ontario!$BA34</f>
        <v>0.23179184612468087</v>
      </c>
      <c r="D166" s="14">
        <f>Ontario!AX34/Ontario!$BA34</f>
        <v>0.6059640542242084</v>
      </c>
      <c r="E166" s="14">
        <f>Ontario!AY34/Ontario!$BA34</f>
        <v>0.10617796177177581</v>
      </c>
      <c r="F166" s="14">
        <f>Ontario!AZ34/Ontario!$BA34</f>
        <v>5.6066137879334926E-2</v>
      </c>
      <c r="G166" s="14"/>
      <c r="H166" s="71"/>
      <c r="J166" s="61">
        <f>Proba!B145/Proba!$H145</f>
        <v>0</v>
      </c>
      <c r="K166" s="61">
        <f>Proba!C145/Proba!$H145</f>
        <v>1</v>
      </c>
      <c r="L166" s="61">
        <f>Proba!D145/Proba!$H145</f>
        <v>0</v>
      </c>
      <c r="M166" s="61">
        <f>Proba!E145/Proba!$H145</f>
        <v>0</v>
      </c>
      <c r="N166" s="63"/>
      <c r="O166" s="35"/>
    </row>
    <row r="167" spans="1:15">
      <c r="A167" s="79"/>
      <c r="B167" t="s">
        <v>172</v>
      </c>
      <c r="C167" s="14">
        <f>Ontario!AW35/Ontario!$BA35</f>
        <v>0.40886211112308263</v>
      </c>
      <c r="D167" s="14">
        <f>Ontario!AX35/Ontario!$BA35</f>
        <v>0.42900675699633989</v>
      </c>
      <c r="E167" s="14">
        <f>Ontario!AY35/Ontario!$BA35</f>
        <v>0.13299319910698831</v>
      </c>
      <c r="F167" s="14">
        <f>Ontario!AZ35/Ontario!$BA35</f>
        <v>2.9137932773589028E-2</v>
      </c>
      <c r="G167" s="14"/>
      <c r="H167" s="71"/>
      <c r="J167" s="61">
        <f>Proba!B146/Proba!$H146</f>
        <v>0.39205000000000001</v>
      </c>
      <c r="K167" s="61">
        <f>Proba!C146/Proba!$H146</f>
        <v>0.60794999999999999</v>
      </c>
      <c r="L167" s="61">
        <f>Proba!D146/Proba!$H146</f>
        <v>0</v>
      </c>
      <c r="M167" s="61">
        <f>Proba!E146/Proba!$H146</f>
        <v>0</v>
      </c>
      <c r="N167" s="63"/>
      <c r="O167" s="35"/>
    </row>
    <row r="168" spans="1:15">
      <c r="A168" s="79"/>
      <c r="B168" t="s">
        <v>173</v>
      </c>
      <c r="C168" s="14">
        <f>Ontario!AW36/Ontario!$BA36</f>
        <v>0.48482278433454012</v>
      </c>
      <c r="D168" s="14">
        <f>Ontario!AX36/Ontario!$BA36</f>
        <v>0.29687140387789351</v>
      </c>
      <c r="E168" s="14">
        <f>Ontario!AY36/Ontario!$BA36</f>
        <v>0.1701747823917259</v>
      </c>
      <c r="F168" s="14">
        <f>Ontario!AZ36/Ontario!$BA36</f>
        <v>4.8131029395840623E-2</v>
      </c>
      <c r="G168" s="14"/>
      <c r="H168" s="71"/>
      <c r="J168" s="61">
        <f>Proba!B147/Proba!$H147</f>
        <v>0.99604999999999999</v>
      </c>
      <c r="K168" s="61">
        <f>Proba!C147/Proba!$H147</f>
        <v>3.9500000000000004E-3</v>
      </c>
      <c r="L168" s="61">
        <f>Proba!D147/Proba!$H147</f>
        <v>0</v>
      </c>
      <c r="M168" s="61">
        <f>Proba!E147/Proba!$H147</f>
        <v>0</v>
      </c>
      <c r="N168" s="63"/>
      <c r="O168" s="35"/>
    </row>
    <row r="169" spans="1:15">
      <c r="A169" s="79"/>
      <c r="B169" t="s">
        <v>174</v>
      </c>
      <c r="C169" s="14">
        <f>Ontario!AW37/Ontario!$BA37</f>
        <v>0.13682367845958313</v>
      </c>
      <c r="D169" s="14">
        <f>Ontario!AX37/Ontario!$BA37</f>
        <v>0.31854401030885382</v>
      </c>
      <c r="E169" s="14">
        <f>Ontario!AY37/Ontario!$BA37</f>
        <v>0.54359694900599975</v>
      </c>
      <c r="F169" s="14">
        <f>Ontario!AZ37/Ontario!$BA37</f>
        <v>1.0353622255632603E-3</v>
      </c>
      <c r="G169" s="14"/>
      <c r="H169" s="71"/>
      <c r="J169" s="61">
        <f>Proba!B148/Proba!$H148</f>
        <v>0</v>
      </c>
      <c r="K169" s="61">
        <f>Proba!C148/Proba!$H148</f>
        <v>1.8E-3</v>
      </c>
      <c r="L169" s="61">
        <f>Proba!D148/Proba!$H148</f>
        <v>0.99819999999999998</v>
      </c>
      <c r="M169" s="61">
        <f>Proba!E148/Proba!$H148</f>
        <v>0</v>
      </c>
      <c r="N169" s="63"/>
      <c r="O169" s="35"/>
    </row>
    <row r="170" spans="1:15">
      <c r="A170" s="79"/>
      <c r="B170" t="s">
        <v>175</v>
      </c>
      <c r="C170" s="14">
        <f>Ontario!AW38/Ontario!$BA38</f>
        <v>0.27615897666126626</v>
      </c>
      <c r="D170" s="14">
        <f>Ontario!AX38/Ontario!$BA38</f>
        <v>0.32254740085307898</v>
      </c>
      <c r="E170" s="14">
        <f>Ontario!AY38/Ontario!$BA38</f>
        <v>0.37585885792566054</v>
      </c>
      <c r="F170" s="14">
        <f>Ontario!AZ38/Ontario!$BA38</f>
        <v>2.5434764559994043E-2</v>
      </c>
      <c r="G170" s="14"/>
      <c r="H170" s="71"/>
      <c r="J170" s="61">
        <f>Proba!B149/Proba!$H149</f>
        <v>3.8949999999999999E-2</v>
      </c>
      <c r="K170" s="61">
        <f>Proba!C149/Proba!$H149</f>
        <v>0.20319999999999999</v>
      </c>
      <c r="L170" s="61">
        <f>Proba!D149/Proba!$H149</f>
        <v>0.75785000000000002</v>
      </c>
      <c r="M170" s="61">
        <f>Proba!E149/Proba!$H149</f>
        <v>0</v>
      </c>
      <c r="N170" s="63"/>
      <c r="O170" s="35"/>
    </row>
    <row r="171" spans="1:15">
      <c r="A171" s="79"/>
      <c r="B171" t="s">
        <v>176</v>
      </c>
      <c r="C171" s="14">
        <f>Ontario!AW39/Ontario!$BA39</f>
        <v>0.23198489845754769</v>
      </c>
      <c r="D171" s="14">
        <f>Ontario!AX39/Ontario!$BA39</f>
        <v>0.34982785077867296</v>
      </c>
      <c r="E171" s="14">
        <f>Ontario!AY39/Ontario!$BA39</f>
        <v>0.39259265358924084</v>
      </c>
      <c r="F171" s="14">
        <f>Ontario!AZ39/Ontario!$BA39</f>
        <v>2.5594597174538495E-2</v>
      </c>
      <c r="G171" s="14"/>
      <c r="H171" s="71"/>
      <c r="J171" s="61">
        <f>Proba!B150/Proba!$H150</f>
        <v>2.2499999999999998E-3</v>
      </c>
      <c r="K171" s="61">
        <f>Proba!C150/Proba!$H150</f>
        <v>0.25905</v>
      </c>
      <c r="L171" s="61">
        <f>Proba!D150/Proba!$H150</f>
        <v>0.73870000000000002</v>
      </c>
      <c r="M171" s="61">
        <f>Proba!E150/Proba!$H150</f>
        <v>0</v>
      </c>
      <c r="N171" s="63"/>
      <c r="O171" s="35"/>
    </row>
    <row r="172" spans="1:15">
      <c r="A172" s="79"/>
      <c r="B172" t="s">
        <v>177</v>
      </c>
      <c r="C172" s="14">
        <f>Ontario!AW40/Ontario!$BA40</f>
        <v>0.29750823486402572</v>
      </c>
      <c r="D172" s="14">
        <f>Ontario!AX40/Ontario!$BA40</f>
        <v>0.48507880348140464</v>
      </c>
      <c r="E172" s="14">
        <f>Ontario!AY40/Ontario!$BA40</f>
        <v>0.18331051376727459</v>
      </c>
      <c r="F172" s="14">
        <f>Ontario!AZ40/Ontario!$BA40</f>
        <v>3.4102447887295023E-2</v>
      </c>
      <c r="G172" s="14"/>
      <c r="H172" s="71"/>
      <c r="J172" s="61">
        <f>Proba!B151/Proba!$H151</f>
        <v>4.1000000000000003E-3</v>
      </c>
      <c r="K172" s="61">
        <f>Proba!C151/Proba!$H151</f>
        <v>0.99590000000000001</v>
      </c>
      <c r="L172" s="61">
        <f>Proba!D151/Proba!$H151</f>
        <v>0</v>
      </c>
      <c r="M172" s="61">
        <f>Proba!E151/Proba!$H151</f>
        <v>0</v>
      </c>
      <c r="N172" s="63"/>
      <c r="O172" s="35"/>
    </row>
    <row r="173" spans="1:15">
      <c r="A173" s="79"/>
      <c r="B173" t="s">
        <v>178</v>
      </c>
      <c r="C173" s="14">
        <f>Ontario!AW41/Ontario!$BA41</f>
        <v>0.46152434867193992</v>
      </c>
      <c r="D173" s="14">
        <f>Ontario!AX41/Ontario!$BA41</f>
        <v>0.32602455407483311</v>
      </c>
      <c r="E173" s="14">
        <f>Ontario!AY41/Ontario!$BA41</f>
        <v>0.18194376713628541</v>
      </c>
      <c r="F173" s="14">
        <f>Ontario!AZ41/Ontario!$BA41</f>
        <v>3.0507330116941608E-2</v>
      </c>
      <c r="G173" s="14"/>
      <c r="H173" s="71"/>
      <c r="J173" s="61">
        <f>Proba!B152/Proba!$H152</f>
        <v>0.97814999999999996</v>
      </c>
      <c r="K173" s="61">
        <f>Proba!C152/Proba!$H152</f>
        <v>2.1850000000000001E-2</v>
      </c>
      <c r="L173" s="61">
        <f>Proba!D152/Proba!$H152</f>
        <v>0</v>
      </c>
      <c r="M173" s="61">
        <f>Proba!E152/Proba!$H152</f>
        <v>0</v>
      </c>
      <c r="N173" s="63"/>
      <c r="O173" s="35"/>
    </row>
    <row r="174" spans="1:15">
      <c r="A174" s="79"/>
      <c r="B174" t="s">
        <v>179</v>
      </c>
      <c r="C174" s="14">
        <f>Ontario!AW42/Ontario!$BA42</f>
        <v>0.12457206889517101</v>
      </c>
      <c r="D174" s="14">
        <f>Ontario!AX42/Ontario!$BA42</f>
        <v>0.65375770004375888</v>
      </c>
      <c r="E174" s="14">
        <f>Ontario!AY42/Ontario!$BA42</f>
        <v>0.20927409642645001</v>
      </c>
      <c r="F174" s="14">
        <f>Ontario!AZ42/Ontario!$BA42</f>
        <v>1.2396134634619955E-2</v>
      </c>
      <c r="G174" s="14"/>
      <c r="H174" s="71"/>
      <c r="J174" s="61">
        <f>Proba!B153/Proba!$H153</f>
        <v>0</v>
      </c>
      <c r="K174" s="61">
        <f>Proba!C153/Proba!$H153</f>
        <v>1</v>
      </c>
      <c r="L174" s="61">
        <f>Proba!D153/Proba!$H153</f>
        <v>0</v>
      </c>
      <c r="M174" s="61">
        <f>Proba!E153/Proba!$H153</f>
        <v>0</v>
      </c>
      <c r="N174" s="63"/>
      <c r="O174" s="35"/>
    </row>
    <row r="175" spans="1:15">
      <c r="A175" s="79"/>
      <c r="B175" t="s">
        <v>180</v>
      </c>
      <c r="C175" s="14">
        <f>Ontario!AW43/Ontario!$BA43</f>
        <v>0.4426253192111621</v>
      </c>
      <c r="D175" s="14">
        <f>Ontario!AX43/Ontario!$BA43</f>
        <v>0.34901010734501342</v>
      </c>
      <c r="E175" s="14">
        <f>Ontario!AY43/Ontario!$BA43</f>
        <v>0.18535206075323069</v>
      </c>
      <c r="F175" s="14">
        <f>Ontario!AZ43/Ontario!$BA43</f>
        <v>2.3012512690593949E-2</v>
      </c>
      <c r="G175" s="14"/>
      <c r="H175" s="71"/>
      <c r="J175" s="61">
        <f>Proba!B154/Proba!$H154</f>
        <v>0.90339999999999998</v>
      </c>
      <c r="K175" s="61">
        <f>Proba!C154/Proba!$H154</f>
        <v>9.6600000000000005E-2</v>
      </c>
      <c r="L175" s="61">
        <f>Proba!D154/Proba!$H154</f>
        <v>0</v>
      </c>
      <c r="M175" s="61">
        <f>Proba!E154/Proba!$H154</f>
        <v>0</v>
      </c>
      <c r="N175" s="63"/>
      <c r="O175" s="35"/>
    </row>
    <row r="176" spans="1:15">
      <c r="A176" s="79"/>
      <c r="B176" t="s">
        <v>181</v>
      </c>
      <c r="C176" s="14">
        <f>Ontario!AW44/Ontario!$BA44</f>
        <v>0.41751063120403242</v>
      </c>
      <c r="D176" s="14">
        <f>Ontario!AX44/Ontario!$BA44</f>
        <v>0.45110741695022444</v>
      </c>
      <c r="E176" s="14">
        <f>Ontario!AY44/Ontario!$BA44</f>
        <v>9.1131949054318734E-2</v>
      </c>
      <c r="F176" s="14">
        <f>Ontario!AZ44/Ontario!$BA44</f>
        <v>4.0250002791424502E-2</v>
      </c>
      <c r="G176" s="14"/>
      <c r="H176" s="71"/>
      <c r="J176" s="61">
        <f>Proba!B155/Proba!$H155</f>
        <v>0.31</v>
      </c>
      <c r="K176" s="61">
        <f>Proba!C155/Proba!$H155</f>
        <v>0.69</v>
      </c>
      <c r="L176" s="61">
        <f>Proba!D155/Proba!$H155</f>
        <v>0</v>
      </c>
      <c r="M176" s="61">
        <f>Proba!E155/Proba!$H155</f>
        <v>0</v>
      </c>
      <c r="N176" s="63"/>
      <c r="O176" s="35"/>
    </row>
    <row r="177" spans="1:15">
      <c r="A177" s="79"/>
      <c r="B177" t="s">
        <v>182</v>
      </c>
      <c r="C177" s="14">
        <f>Ontario!AW45/Ontario!$BA45</f>
        <v>0.37379871848000279</v>
      </c>
      <c r="D177" s="14">
        <f>Ontario!AX45/Ontario!$BA45</f>
        <v>0.39623302167953667</v>
      </c>
      <c r="E177" s="14">
        <f>Ontario!AY45/Ontario!$BA45</f>
        <v>0.2080727139000535</v>
      </c>
      <c r="F177" s="14">
        <f>Ontario!AZ45/Ontario!$BA45</f>
        <v>2.1895545940406956E-2</v>
      </c>
      <c r="G177" s="14"/>
      <c r="H177" s="71"/>
      <c r="J177" s="61">
        <f>Proba!B156/Proba!$H156</f>
        <v>0.37075000000000002</v>
      </c>
      <c r="K177" s="61">
        <f>Proba!C156/Proba!$H156</f>
        <v>0.62909999999999999</v>
      </c>
      <c r="L177" s="61">
        <f>Proba!D156/Proba!$H156</f>
        <v>1.4999999999999999E-4</v>
      </c>
      <c r="M177" s="61">
        <f>Proba!E156/Proba!$H156</f>
        <v>0</v>
      </c>
      <c r="N177" s="63"/>
      <c r="O177" s="35"/>
    </row>
    <row r="178" spans="1:15">
      <c r="A178" s="79"/>
      <c r="B178" t="s">
        <v>183</v>
      </c>
      <c r="C178" s="14">
        <f>Ontario!AW46/Ontario!$BA46</f>
        <v>0.25150271568361987</v>
      </c>
      <c r="D178" s="14">
        <f>Ontario!AX46/Ontario!$BA46</f>
        <v>0.55255702453801847</v>
      </c>
      <c r="E178" s="14">
        <f>Ontario!AY46/Ontario!$BA46</f>
        <v>0.15718177452285406</v>
      </c>
      <c r="F178" s="14">
        <f>Ontario!AZ46/Ontario!$BA46</f>
        <v>3.8758485255507548E-2</v>
      </c>
      <c r="G178" s="14"/>
      <c r="H178" s="71"/>
      <c r="J178" s="61">
        <f>Proba!B157/Proba!$H157</f>
        <v>0</v>
      </c>
      <c r="K178" s="61">
        <f>Proba!C157/Proba!$H157</f>
        <v>1</v>
      </c>
      <c r="L178" s="61">
        <f>Proba!D157/Proba!$H157</f>
        <v>0</v>
      </c>
      <c r="M178" s="61">
        <f>Proba!E157/Proba!$H157</f>
        <v>0</v>
      </c>
      <c r="N178" s="63"/>
      <c r="O178" s="35"/>
    </row>
    <row r="179" spans="1:15">
      <c r="A179" s="79"/>
      <c r="B179" t="s">
        <v>184</v>
      </c>
      <c r="C179" s="14">
        <f>Ontario!AW47/Ontario!$BA47</f>
        <v>0.46135820575243158</v>
      </c>
      <c r="D179" s="14">
        <f>Ontario!AX47/Ontario!$BA47</f>
        <v>0.45645008233369078</v>
      </c>
      <c r="E179" s="14">
        <f>Ontario!AY47/Ontario!$BA47</f>
        <v>5.8794813933678358E-2</v>
      </c>
      <c r="F179" s="14">
        <f>Ontario!AZ47/Ontario!$BA47</f>
        <v>2.3396897980199265E-2</v>
      </c>
      <c r="G179" s="14"/>
      <c r="H179" s="71"/>
      <c r="J179" s="61">
        <f>Proba!B158/Proba!$H158</f>
        <v>0.53354999999999997</v>
      </c>
      <c r="K179" s="61">
        <f>Proba!C158/Proba!$H158</f>
        <v>0.46644999999999998</v>
      </c>
      <c r="L179" s="61">
        <f>Proba!D158/Proba!$H158</f>
        <v>0</v>
      </c>
      <c r="M179" s="61">
        <f>Proba!E158/Proba!$H158</f>
        <v>0</v>
      </c>
      <c r="N179" s="63"/>
      <c r="O179" s="35"/>
    </row>
    <row r="180" spans="1:15">
      <c r="A180" s="79"/>
      <c r="B180" t="s">
        <v>185</v>
      </c>
      <c r="C180" s="14">
        <f>Ontario!AW48/Ontario!$BA48</f>
        <v>0.30502599808422876</v>
      </c>
      <c r="D180" s="14">
        <f>Ontario!AX48/Ontario!$BA48</f>
        <v>0.41659229726769487</v>
      </c>
      <c r="E180" s="14">
        <f>Ontario!AY48/Ontario!$BA48</f>
        <v>0.2372936006148697</v>
      </c>
      <c r="F180" s="14">
        <f>Ontario!AZ48/Ontario!$BA48</f>
        <v>4.1088104033206757E-2</v>
      </c>
      <c r="G180" s="14"/>
      <c r="H180" s="71"/>
      <c r="J180" s="61">
        <f>Proba!B159/Proba!$H159</f>
        <v>4.845E-2</v>
      </c>
      <c r="K180" s="61">
        <f>Proba!C159/Proba!$H159</f>
        <v>0.95065</v>
      </c>
      <c r="L180" s="61">
        <f>Proba!D159/Proba!$H159</f>
        <v>8.9999999999999998E-4</v>
      </c>
      <c r="M180" s="61">
        <f>Proba!E159/Proba!$H159</f>
        <v>0</v>
      </c>
      <c r="N180" s="63"/>
      <c r="O180" s="35"/>
    </row>
    <row r="181" spans="1:15">
      <c r="A181" s="79"/>
      <c r="B181" t="s">
        <v>186</v>
      </c>
      <c r="C181" s="14">
        <f>Ontario!AW49/Ontario!$BA49</f>
        <v>0.41218986970326965</v>
      </c>
      <c r="D181" s="14">
        <f>Ontario!AX49/Ontario!$BA49</f>
        <v>0.35706202232150402</v>
      </c>
      <c r="E181" s="14">
        <f>Ontario!AY49/Ontario!$BA49</f>
        <v>0.19519432730800476</v>
      </c>
      <c r="F181" s="14">
        <f>Ontario!AZ49/Ontario!$BA49</f>
        <v>3.5553780667221618E-2</v>
      </c>
      <c r="G181" s="14"/>
      <c r="H181" s="71"/>
      <c r="J181" s="61">
        <f>Proba!B160/Proba!$H160</f>
        <v>0.78320000000000001</v>
      </c>
      <c r="K181" s="61">
        <f>Proba!C160/Proba!$H160</f>
        <v>0.21675</v>
      </c>
      <c r="L181" s="61">
        <f>Proba!D160/Proba!$H160</f>
        <v>5.0000000000000002E-5</v>
      </c>
      <c r="M181" s="61">
        <f>Proba!E160/Proba!$H160</f>
        <v>0</v>
      </c>
      <c r="N181" s="63"/>
      <c r="O181" s="35"/>
    </row>
    <row r="182" spans="1:15">
      <c r="A182" s="79"/>
      <c r="B182" t="s">
        <v>187</v>
      </c>
      <c r="C182" s="14">
        <f>Ontario!AW50/Ontario!$BA50</f>
        <v>0.44467454633338704</v>
      </c>
      <c r="D182" s="14">
        <f>Ontario!AX50/Ontario!$BA50</f>
        <v>0.40275270356294096</v>
      </c>
      <c r="E182" s="14">
        <f>Ontario!AY50/Ontario!$BA50</f>
        <v>0.12040977671019502</v>
      </c>
      <c r="F182" s="14">
        <f>Ontario!AZ50/Ontario!$BA50</f>
        <v>3.2162973393476887E-2</v>
      </c>
      <c r="G182" s="14"/>
      <c r="H182" s="71"/>
      <c r="J182" s="61">
        <f>Proba!B161/Proba!$H161</f>
        <v>0.70845000000000002</v>
      </c>
      <c r="K182" s="61">
        <f>Proba!C161/Proba!$H161</f>
        <v>0.29154999999999998</v>
      </c>
      <c r="L182" s="61">
        <f>Proba!D161/Proba!$H161</f>
        <v>0</v>
      </c>
      <c r="M182" s="61">
        <f>Proba!E161/Proba!$H161</f>
        <v>0</v>
      </c>
      <c r="N182" s="63"/>
      <c r="O182" s="35"/>
    </row>
    <row r="183" spans="1:15">
      <c r="A183" s="79"/>
      <c r="B183" t="s">
        <v>188</v>
      </c>
      <c r="C183" s="14">
        <f>Ontario!AW51/Ontario!$BA51</f>
        <v>0.47696582513030228</v>
      </c>
      <c r="D183" s="14">
        <f>Ontario!AX51/Ontario!$BA51</f>
        <v>0.3208144503408108</v>
      </c>
      <c r="E183" s="14">
        <f>Ontario!AY51/Ontario!$BA51</f>
        <v>0.17281174998556642</v>
      </c>
      <c r="F183" s="14">
        <f>Ontario!AZ51/Ontario!$BA51</f>
        <v>2.940797454332051E-2</v>
      </c>
      <c r="G183" s="14"/>
      <c r="H183" s="71"/>
      <c r="J183" s="61">
        <f>Proba!B162/Proba!$H162</f>
        <v>0.98519999999999996</v>
      </c>
      <c r="K183" s="61">
        <f>Proba!C162/Proba!$H162</f>
        <v>1.4800000000000001E-2</v>
      </c>
      <c r="L183" s="61">
        <f>Proba!D162/Proba!$H162</f>
        <v>0</v>
      </c>
      <c r="M183" s="61">
        <f>Proba!E162/Proba!$H162</f>
        <v>0</v>
      </c>
      <c r="N183" s="63"/>
      <c r="O183" s="35"/>
    </row>
    <row r="184" spans="1:15">
      <c r="A184" s="79"/>
      <c r="B184" t="s">
        <v>189</v>
      </c>
      <c r="C184" s="14">
        <f>Ontario!AW52/Ontario!$BA52</f>
        <v>0.51367417869988641</v>
      </c>
      <c r="D184" s="14">
        <f>Ontario!AX52/Ontario!$BA52</f>
        <v>0.31889368052276806</v>
      </c>
      <c r="E184" s="14">
        <f>Ontario!AY52/Ontario!$BA52</f>
        <v>0.12301190600515183</v>
      </c>
      <c r="F184" s="14">
        <f>Ontario!AZ52/Ontario!$BA52</f>
        <v>4.4420234772193701E-2</v>
      </c>
      <c r="G184" s="14"/>
      <c r="H184" s="71"/>
      <c r="J184" s="61">
        <f>Proba!B163/Proba!$H163</f>
        <v>0.99750000000000005</v>
      </c>
      <c r="K184" s="61">
        <f>Proba!C163/Proba!$H163</f>
        <v>2.5000000000000001E-3</v>
      </c>
      <c r="L184" s="61">
        <f>Proba!D163/Proba!$H163</f>
        <v>0</v>
      </c>
      <c r="M184" s="61">
        <f>Proba!E163/Proba!$H163</f>
        <v>0</v>
      </c>
      <c r="N184" s="63"/>
      <c r="O184" s="35"/>
    </row>
    <row r="185" spans="1:15">
      <c r="A185" s="79"/>
      <c r="B185" t="s">
        <v>190</v>
      </c>
      <c r="C185" s="14">
        <f>Ontario!AW53/Ontario!$BA53</f>
        <v>0.51810538035836429</v>
      </c>
      <c r="D185" s="14">
        <f>Ontario!AX53/Ontario!$BA53</f>
        <v>0.3123834825118792</v>
      </c>
      <c r="E185" s="14">
        <f>Ontario!AY53/Ontario!$BA53</f>
        <v>0.12432215011148183</v>
      </c>
      <c r="F185" s="14">
        <f>Ontario!AZ53/Ontario!$BA53</f>
        <v>4.5188987018274736E-2</v>
      </c>
      <c r="G185" s="14"/>
      <c r="H185" s="71"/>
      <c r="J185" s="61">
        <f>Proba!B164/Proba!$H164</f>
        <v>0.99870000000000003</v>
      </c>
      <c r="K185" s="61">
        <f>Proba!C164/Proba!$H164</f>
        <v>1.2999999999999999E-3</v>
      </c>
      <c r="L185" s="61">
        <f>Proba!D164/Proba!$H164</f>
        <v>0</v>
      </c>
      <c r="M185" s="61">
        <f>Proba!E164/Proba!$H164</f>
        <v>0</v>
      </c>
      <c r="N185" s="63"/>
      <c r="O185" s="35"/>
    </row>
    <row r="186" spans="1:15">
      <c r="A186" s="79"/>
      <c r="B186" t="s">
        <v>191</v>
      </c>
      <c r="C186" s="14">
        <f>Ontario!AW54/Ontario!$BA54</f>
        <v>0.32325154396537581</v>
      </c>
      <c r="D186" s="14">
        <f>Ontario!AX54/Ontario!$BA54</f>
        <v>0.46523129533790542</v>
      </c>
      <c r="E186" s="14">
        <f>Ontario!AY54/Ontario!$BA54</f>
        <v>0.17533601449817623</v>
      </c>
      <c r="F186" s="14">
        <f>Ontario!AZ54/Ontario!$BA54</f>
        <v>3.6181146198542506E-2</v>
      </c>
      <c r="G186" s="14"/>
      <c r="H186" s="71"/>
      <c r="J186" s="61">
        <f>Proba!B165/Proba!$H165</f>
        <v>6.6499999999999997E-3</v>
      </c>
      <c r="K186" s="61">
        <f>Proba!C165/Proba!$H165</f>
        <v>0.99334999999999996</v>
      </c>
      <c r="L186" s="61">
        <f>Proba!D165/Proba!$H165</f>
        <v>0</v>
      </c>
      <c r="M186" s="61">
        <f>Proba!E165/Proba!$H165</f>
        <v>0</v>
      </c>
      <c r="N186" s="63"/>
      <c r="O186" s="35"/>
    </row>
    <row r="187" spans="1:15">
      <c r="A187" s="79"/>
      <c r="B187" t="s">
        <v>192</v>
      </c>
      <c r="C187" s="14">
        <f>Ontario!AW55/Ontario!$BA55</f>
        <v>0.34733287093967108</v>
      </c>
      <c r="D187" s="14">
        <f>Ontario!AX55/Ontario!$BA55</f>
        <v>0.44381592944942005</v>
      </c>
      <c r="E187" s="14">
        <f>Ontario!AY55/Ontario!$BA55</f>
        <v>0.18617789058096595</v>
      </c>
      <c r="F187" s="14">
        <f>Ontario!AZ55/Ontario!$BA55</f>
        <v>2.2673309029942867E-2</v>
      </c>
      <c r="G187" s="14"/>
      <c r="H187" s="71"/>
      <c r="J187" s="61">
        <f>Proba!B166/Proba!$H166</f>
        <v>8.745E-2</v>
      </c>
      <c r="K187" s="61">
        <f>Proba!C166/Proba!$H166</f>
        <v>0.91254999999999997</v>
      </c>
      <c r="L187" s="61">
        <f>Proba!D166/Proba!$H166</f>
        <v>0</v>
      </c>
      <c r="M187" s="61">
        <f>Proba!E166/Proba!$H166</f>
        <v>0</v>
      </c>
      <c r="N187" s="63"/>
      <c r="O187" s="35"/>
    </row>
    <row r="188" spans="1:15">
      <c r="A188" s="79"/>
      <c r="B188" t="s">
        <v>193</v>
      </c>
      <c r="C188" s="14">
        <f>Ontario!AW56/Ontario!$BA56</f>
        <v>0.2433401494665248</v>
      </c>
      <c r="D188" s="14">
        <f>Ontario!AX56/Ontario!$BA56</f>
        <v>0.3062922030262063</v>
      </c>
      <c r="E188" s="14">
        <f>Ontario!AY56/Ontario!$BA56</f>
        <v>0.42397613075988833</v>
      </c>
      <c r="F188" s="14">
        <f>Ontario!AZ56/Ontario!$BA56</f>
        <v>2.6391516747380633E-2</v>
      </c>
      <c r="G188" s="14"/>
      <c r="H188" s="71"/>
      <c r="J188" s="61">
        <f>Proba!B167/Proba!$H167</f>
        <v>2.4499999999999999E-3</v>
      </c>
      <c r="K188" s="61">
        <f>Proba!C167/Proba!$H167</f>
        <v>4.6550000000000001E-2</v>
      </c>
      <c r="L188" s="61">
        <f>Proba!D167/Proba!$H167</f>
        <v>0.95099999999999996</v>
      </c>
      <c r="M188" s="61">
        <f>Proba!E167/Proba!$H167</f>
        <v>0</v>
      </c>
      <c r="N188" s="63"/>
      <c r="O188" s="35"/>
    </row>
    <row r="189" spans="1:15">
      <c r="A189" s="79"/>
      <c r="B189" t="s">
        <v>194</v>
      </c>
      <c r="C189" s="14">
        <f>Ontario!AW57/Ontario!$BA57</f>
        <v>0.39242247197308494</v>
      </c>
      <c r="D189" s="14">
        <f>Ontario!AX57/Ontario!$BA57</f>
        <v>0.48544213596374725</v>
      </c>
      <c r="E189" s="14">
        <f>Ontario!AY57/Ontario!$BA57</f>
        <v>9.9031324007001542E-2</v>
      </c>
      <c r="F189" s="14">
        <f>Ontario!AZ57/Ontario!$BA57</f>
        <v>2.3104068056166306E-2</v>
      </c>
      <c r="G189" s="14"/>
      <c r="H189" s="71"/>
      <c r="J189" s="61">
        <f>Proba!B168/Proba!$H168</f>
        <v>0.11335000000000001</v>
      </c>
      <c r="K189" s="61">
        <f>Proba!C168/Proba!$H168</f>
        <v>0.88665000000000005</v>
      </c>
      <c r="L189" s="61">
        <f>Proba!D168/Proba!$H168</f>
        <v>0</v>
      </c>
      <c r="M189" s="61">
        <f>Proba!E168/Proba!$H168</f>
        <v>0</v>
      </c>
      <c r="N189" s="63"/>
      <c r="O189" s="35"/>
    </row>
    <row r="190" spans="1:15">
      <c r="A190" s="79"/>
      <c r="B190" t="s">
        <v>195</v>
      </c>
      <c r="C190" s="14">
        <f>Ontario!AW58/Ontario!$BA58</f>
        <v>0.25368475469669627</v>
      </c>
      <c r="D190" s="14">
        <f>Ontario!AX58/Ontario!$BA58</f>
        <v>0.5588568809518959</v>
      </c>
      <c r="E190" s="14">
        <f>Ontario!AY58/Ontario!$BA58</f>
        <v>0.1651264006899249</v>
      </c>
      <c r="F190" s="14">
        <f>Ontario!AZ58/Ontario!$BA58</f>
        <v>2.2331963661482868E-2</v>
      </c>
      <c r="G190" s="14"/>
      <c r="H190" s="71"/>
      <c r="J190" s="61">
        <f>Proba!B169/Proba!$H169</f>
        <v>1E-4</v>
      </c>
      <c r="K190" s="61">
        <f>Proba!C169/Proba!$H169</f>
        <v>0.99990000000000001</v>
      </c>
      <c r="L190" s="61">
        <f>Proba!D169/Proba!$H169</f>
        <v>0</v>
      </c>
      <c r="M190" s="61">
        <f>Proba!E169/Proba!$H169</f>
        <v>0</v>
      </c>
      <c r="N190" s="63"/>
      <c r="O190" s="35"/>
    </row>
    <row r="191" spans="1:15">
      <c r="A191" s="79"/>
      <c r="B191" t="s">
        <v>196</v>
      </c>
      <c r="C191" s="14">
        <f>Ontario!AW59/Ontario!$BA59</f>
        <v>0.34605626289479224</v>
      </c>
      <c r="D191" s="14">
        <f>Ontario!AX59/Ontario!$BA59</f>
        <v>0.53343332945841815</v>
      </c>
      <c r="E191" s="14">
        <f>Ontario!AY59/Ontario!$BA59</f>
        <v>9.4609279645006483E-2</v>
      </c>
      <c r="F191" s="14">
        <f>Ontario!AZ59/Ontario!$BA59</f>
        <v>2.5901128001782955E-2</v>
      </c>
      <c r="G191" s="14"/>
      <c r="H191" s="71"/>
      <c r="J191" s="61">
        <f>Proba!B170/Proba!$H170</f>
        <v>7.7000000000000002E-3</v>
      </c>
      <c r="K191" s="61">
        <f>Proba!C170/Proba!$H170</f>
        <v>0.99229999999999996</v>
      </c>
      <c r="L191" s="61">
        <f>Proba!D170/Proba!$H170</f>
        <v>0</v>
      </c>
      <c r="M191" s="61">
        <f>Proba!E170/Proba!$H170</f>
        <v>0</v>
      </c>
      <c r="N191" s="63"/>
      <c r="O191" s="35"/>
    </row>
    <row r="192" spans="1:15">
      <c r="A192" s="79"/>
      <c r="B192" t="s">
        <v>197</v>
      </c>
      <c r="C192" s="14">
        <f>Ontario!AW60/Ontario!$BA60</f>
        <v>0.45175102626581948</v>
      </c>
      <c r="D192" s="14">
        <f>Ontario!AX60/Ontario!$BA60</f>
        <v>0.41043188211394599</v>
      </c>
      <c r="E192" s="14">
        <f>Ontario!AY60/Ontario!$BA60</f>
        <v>0.10337678905395298</v>
      </c>
      <c r="F192" s="14">
        <f>Ontario!AZ60/Ontario!$BA60</f>
        <v>3.4440302566281403E-2</v>
      </c>
      <c r="G192" s="14"/>
      <c r="H192" s="71"/>
      <c r="J192" s="61">
        <f>Proba!B171/Proba!$H171</f>
        <v>0.71240000000000003</v>
      </c>
      <c r="K192" s="61">
        <f>Proba!C171/Proba!$H171</f>
        <v>0.28760000000000002</v>
      </c>
      <c r="L192" s="61">
        <f>Proba!D171/Proba!$H171</f>
        <v>0</v>
      </c>
      <c r="M192" s="61">
        <f>Proba!E171/Proba!$H171</f>
        <v>0</v>
      </c>
      <c r="N192" s="63"/>
      <c r="O192" s="35"/>
    </row>
    <row r="193" spans="1:15">
      <c r="A193" s="79"/>
      <c r="B193" t="s">
        <v>198</v>
      </c>
      <c r="C193" s="14">
        <f>Ontario!AW61/Ontario!$BA61</f>
        <v>0.30714922255211258</v>
      </c>
      <c r="D193" s="14">
        <f>Ontario!AX61/Ontario!$BA61</f>
        <v>0.54820263861789276</v>
      </c>
      <c r="E193" s="14">
        <f>Ontario!AY61/Ontario!$BA61</f>
        <v>0.12548686769193465</v>
      </c>
      <c r="F193" s="14">
        <f>Ontario!AZ61/Ontario!$BA61</f>
        <v>1.9161271138060008E-2</v>
      </c>
      <c r="G193" s="14"/>
      <c r="H193" s="71"/>
      <c r="J193" s="61">
        <f>Proba!B172/Proba!$H172</f>
        <v>7.5000000000000002E-4</v>
      </c>
      <c r="K193" s="61">
        <f>Proba!C172/Proba!$H172</f>
        <v>0.99924999999999997</v>
      </c>
      <c r="L193" s="61">
        <f>Proba!D172/Proba!$H172</f>
        <v>0</v>
      </c>
      <c r="M193" s="61">
        <f>Proba!E172/Proba!$H172</f>
        <v>0</v>
      </c>
      <c r="N193" s="63"/>
      <c r="O193" s="35"/>
    </row>
    <row r="194" spans="1:15">
      <c r="A194" s="79"/>
      <c r="B194" t="s">
        <v>199</v>
      </c>
      <c r="C194" s="14">
        <f>Ontario!AW62/Ontario!$BA62</f>
        <v>0.32632747673710705</v>
      </c>
      <c r="D194" s="14">
        <f>Ontario!AX62/Ontario!$BA62</f>
        <v>0.54359848690872437</v>
      </c>
      <c r="E194" s="14">
        <f>Ontario!AY62/Ontario!$BA62</f>
        <v>0.11235438537343422</v>
      </c>
      <c r="F194" s="14">
        <f>Ontario!AZ62/Ontario!$BA62</f>
        <v>1.7719650980734344E-2</v>
      </c>
      <c r="G194" s="14"/>
      <c r="H194" s="71"/>
      <c r="J194" s="61">
        <f>Proba!B173/Proba!$H173</f>
        <v>1.9E-3</v>
      </c>
      <c r="K194" s="61">
        <f>Proba!C173/Proba!$H173</f>
        <v>0.99809999999999999</v>
      </c>
      <c r="L194" s="61">
        <f>Proba!D173/Proba!$H173</f>
        <v>0</v>
      </c>
      <c r="M194" s="61">
        <f>Proba!E173/Proba!$H173</f>
        <v>0</v>
      </c>
      <c r="N194" s="63"/>
      <c r="O194" s="35"/>
    </row>
    <row r="195" spans="1:15">
      <c r="A195" s="79"/>
      <c r="B195" t="s">
        <v>200</v>
      </c>
      <c r="C195" s="14">
        <f>Ontario!AW63/Ontario!$BA63</f>
        <v>0.35552083451449334</v>
      </c>
      <c r="D195" s="14">
        <f>Ontario!AX63/Ontario!$BA63</f>
        <v>0.52417202660333873</v>
      </c>
      <c r="E195" s="14">
        <f>Ontario!AY63/Ontario!$BA63</f>
        <v>9.6921824621591435E-2</v>
      </c>
      <c r="F195" s="14">
        <f>Ontario!AZ63/Ontario!$BA63</f>
        <v>2.3385314260576377E-2</v>
      </c>
      <c r="G195" s="14"/>
      <c r="H195" s="71"/>
      <c r="J195" s="61">
        <f>Proba!B174/Proba!$H174</f>
        <v>1.2449999999999999E-2</v>
      </c>
      <c r="K195" s="61">
        <f>Proba!C174/Proba!$H174</f>
        <v>0.98755000000000004</v>
      </c>
      <c r="L195" s="61">
        <f>Proba!D174/Proba!$H174</f>
        <v>0</v>
      </c>
      <c r="M195" s="61">
        <f>Proba!E174/Proba!$H174</f>
        <v>0</v>
      </c>
      <c r="N195" s="63"/>
      <c r="O195" s="35"/>
    </row>
    <row r="196" spans="1:15">
      <c r="A196" s="79"/>
      <c r="B196" t="s">
        <v>201</v>
      </c>
      <c r="C196" s="14">
        <f>Ontario!AW64/Ontario!$BA64</f>
        <v>0.35956912240005079</v>
      </c>
      <c r="D196" s="14">
        <f>Ontario!AX64/Ontario!$BA64</f>
        <v>0.55005031152542117</v>
      </c>
      <c r="E196" s="14">
        <f>Ontario!AY64/Ontario!$BA64</f>
        <v>6.3592988905014844E-2</v>
      </c>
      <c r="F196" s="14">
        <f>Ontario!AZ64/Ontario!$BA64</f>
        <v>2.6787577169513032E-2</v>
      </c>
      <c r="G196" s="14"/>
      <c r="H196" s="71"/>
      <c r="J196" s="61">
        <f>Proba!B175/Proba!$H175</f>
        <v>5.7499999999999999E-3</v>
      </c>
      <c r="K196" s="61">
        <f>Proba!C175/Proba!$H175</f>
        <v>0.99424999999999997</v>
      </c>
      <c r="L196" s="61">
        <f>Proba!D175/Proba!$H175</f>
        <v>0</v>
      </c>
      <c r="M196" s="61">
        <f>Proba!E175/Proba!$H175</f>
        <v>0</v>
      </c>
      <c r="N196" s="63"/>
      <c r="O196" s="35"/>
    </row>
    <row r="197" spans="1:15">
      <c r="A197" s="79"/>
      <c r="B197" t="s">
        <v>202</v>
      </c>
      <c r="C197" s="14">
        <f>Ontario!AW65/Ontario!$BA65</f>
        <v>0.26484778625715516</v>
      </c>
      <c r="D197" s="14">
        <f>Ontario!AX65/Ontario!$BA65</f>
        <v>0.54902990574861876</v>
      </c>
      <c r="E197" s="14">
        <f>Ontario!AY65/Ontario!$BA65</f>
        <v>0.16979166198488499</v>
      </c>
      <c r="F197" s="14">
        <f>Ontario!AZ65/Ontario!$BA65</f>
        <v>1.6330646009341001E-2</v>
      </c>
      <c r="G197" s="14"/>
      <c r="H197" s="71"/>
      <c r="J197" s="61">
        <f>Proba!B176/Proba!$H176</f>
        <v>5.0000000000000002E-5</v>
      </c>
      <c r="K197" s="61">
        <f>Proba!C176/Proba!$H176</f>
        <v>0.99995000000000001</v>
      </c>
      <c r="L197" s="61">
        <f>Proba!D176/Proba!$H176</f>
        <v>0</v>
      </c>
      <c r="M197" s="61">
        <f>Proba!E176/Proba!$H176</f>
        <v>0</v>
      </c>
      <c r="N197" s="63"/>
      <c r="O197" s="35"/>
    </row>
    <row r="198" spans="1:15">
      <c r="A198" s="79"/>
      <c r="B198" t="s">
        <v>203</v>
      </c>
      <c r="C198" s="14">
        <f>Ontario!AW66/Ontario!$BA66</f>
        <v>0.35047288735664794</v>
      </c>
      <c r="D198" s="14">
        <f>Ontario!AX66/Ontario!$BA66</f>
        <v>0.52956832391766817</v>
      </c>
      <c r="E198" s="14">
        <f>Ontario!AY66/Ontario!$BA66</f>
        <v>8.7490694314823439E-2</v>
      </c>
      <c r="F198" s="14">
        <f>Ontario!AZ66/Ontario!$BA66</f>
        <v>3.2468094410860286E-2</v>
      </c>
      <c r="G198" s="14"/>
      <c r="H198" s="71"/>
      <c r="J198" s="61">
        <f>Proba!B177/Proba!$H177</f>
        <v>8.5000000000000006E-3</v>
      </c>
      <c r="K198" s="61">
        <f>Proba!C177/Proba!$H177</f>
        <v>0.99150000000000005</v>
      </c>
      <c r="L198" s="61">
        <f>Proba!D177/Proba!$H177</f>
        <v>0</v>
      </c>
      <c r="M198" s="61">
        <f>Proba!E177/Proba!$H177</f>
        <v>0</v>
      </c>
      <c r="N198" s="63"/>
      <c r="O198" s="35"/>
    </row>
    <row r="199" spans="1:15">
      <c r="A199" s="79"/>
      <c r="B199" t="s">
        <v>204</v>
      </c>
      <c r="C199" s="14">
        <f>Ontario!AW67/Ontario!$BA67</f>
        <v>0.40961988220703593</v>
      </c>
      <c r="D199" s="14">
        <f>Ontario!AX67/Ontario!$BA67</f>
        <v>0.44113264375056488</v>
      </c>
      <c r="E199" s="14">
        <f>Ontario!AY67/Ontario!$BA67</f>
        <v>0.11417417627093096</v>
      </c>
      <c r="F199" s="14">
        <f>Ontario!AZ67/Ontario!$BA67</f>
        <v>3.5073297771468247E-2</v>
      </c>
      <c r="G199" s="14"/>
      <c r="H199" s="71"/>
      <c r="J199" s="61">
        <f>Proba!B178/Proba!$H178</f>
        <v>0.31835000000000002</v>
      </c>
      <c r="K199" s="61">
        <f>Proba!C178/Proba!$H178</f>
        <v>0.68164999999999998</v>
      </c>
      <c r="L199" s="61">
        <f>Proba!D178/Proba!$H178</f>
        <v>0</v>
      </c>
      <c r="M199" s="61">
        <f>Proba!E178/Proba!$H178</f>
        <v>0</v>
      </c>
      <c r="N199" s="63"/>
      <c r="O199" s="35"/>
    </row>
    <row r="200" spans="1:15">
      <c r="A200" s="79"/>
      <c r="B200" t="s">
        <v>205</v>
      </c>
      <c r="C200" s="14">
        <f>Ontario!AW68/Ontario!$BA68</f>
        <v>0.43361939185995119</v>
      </c>
      <c r="D200" s="14">
        <f>Ontario!AX68/Ontario!$BA68</f>
        <v>0.4381913345741249</v>
      </c>
      <c r="E200" s="14">
        <f>Ontario!AY68/Ontario!$BA68</f>
        <v>8.8255245240973487E-2</v>
      </c>
      <c r="F200" s="14">
        <f>Ontario!AZ68/Ontario!$BA68</f>
        <v>3.9934028324950438E-2</v>
      </c>
      <c r="G200" s="14"/>
      <c r="H200" s="71"/>
      <c r="J200" s="61">
        <f>Proba!B179/Proba!$H179</f>
        <v>0.48330000000000001</v>
      </c>
      <c r="K200" s="61">
        <f>Proba!C179/Proba!$H179</f>
        <v>0.51670000000000005</v>
      </c>
      <c r="L200" s="61">
        <f>Proba!D179/Proba!$H179</f>
        <v>0</v>
      </c>
      <c r="M200" s="61">
        <f>Proba!E179/Proba!$H179</f>
        <v>0</v>
      </c>
      <c r="N200" s="63"/>
      <c r="O200" s="35"/>
    </row>
    <row r="201" spans="1:15">
      <c r="A201" s="79"/>
      <c r="B201" t="s">
        <v>206</v>
      </c>
      <c r="C201" s="14">
        <f>Ontario!AW69/Ontario!$BA69</f>
        <v>0.29402542490339634</v>
      </c>
      <c r="D201" s="14">
        <f>Ontario!AX69/Ontario!$BA69</f>
        <v>0.32567947973130823</v>
      </c>
      <c r="E201" s="14">
        <f>Ontario!AY69/Ontario!$BA69</f>
        <v>0.3590258994442157</v>
      </c>
      <c r="F201" s="14">
        <f>Ontario!AZ69/Ontario!$BA69</f>
        <v>2.1269195921079641E-2</v>
      </c>
      <c r="G201" s="14"/>
      <c r="H201" s="71"/>
      <c r="J201" s="61">
        <f>Proba!B180/Proba!$H180</f>
        <v>9.8500000000000004E-2</v>
      </c>
      <c r="K201" s="61">
        <f>Proba!C180/Proba!$H180</f>
        <v>0.27439999999999998</v>
      </c>
      <c r="L201" s="61">
        <f>Proba!D180/Proba!$H180</f>
        <v>0.62709999999999999</v>
      </c>
      <c r="M201" s="61">
        <f>Proba!E180/Proba!$H180</f>
        <v>0</v>
      </c>
      <c r="N201" s="63"/>
      <c r="O201" s="35"/>
    </row>
    <row r="202" spans="1:15">
      <c r="A202" s="79"/>
      <c r="B202" t="s">
        <v>207</v>
      </c>
      <c r="C202" s="14">
        <f>Ontario!AW70/Ontario!$BA70</f>
        <v>0.42930826732014299</v>
      </c>
      <c r="D202" s="14">
        <f>Ontario!AX70/Ontario!$BA70</f>
        <v>0.36390297532951238</v>
      </c>
      <c r="E202" s="14">
        <f>Ontario!AY70/Ontario!$BA70</f>
        <v>0.17218984454647626</v>
      </c>
      <c r="F202" s="14">
        <f>Ontario!AZ70/Ontario!$BA70</f>
        <v>3.4598912803868495E-2</v>
      </c>
      <c r="G202" s="14"/>
      <c r="H202" s="71"/>
      <c r="J202" s="61">
        <f>Proba!B181/Proba!$H181</f>
        <v>0.82350000000000001</v>
      </c>
      <c r="K202" s="61">
        <f>Proba!C181/Proba!$H181</f>
        <v>0.17649999999999999</v>
      </c>
      <c r="L202" s="61">
        <f>Proba!D181/Proba!$H181</f>
        <v>0</v>
      </c>
      <c r="M202" s="61">
        <f>Proba!E181/Proba!$H181</f>
        <v>0</v>
      </c>
      <c r="N202" s="63"/>
      <c r="O202" s="35"/>
    </row>
    <row r="203" spans="1:15">
      <c r="A203" s="79"/>
      <c r="B203" t="s">
        <v>208</v>
      </c>
      <c r="C203" s="14">
        <f>Ontario!AW71/Ontario!$BA71</f>
        <v>0.50179809792261554</v>
      </c>
      <c r="D203" s="14">
        <f>Ontario!AX71/Ontario!$BA71</f>
        <v>0.32449150416179895</v>
      </c>
      <c r="E203" s="14">
        <f>Ontario!AY71/Ontario!$BA71</f>
        <v>0.13216170585602349</v>
      </c>
      <c r="F203" s="14">
        <f>Ontario!AZ71/Ontario!$BA71</f>
        <v>4.1548692059561958E-2</v>
      </c>
      <c r="G203" s="14"/>
      <c r="H203" s="71"/>
      <c r="J203" s="61">
        <f>Proba!B182/Proba!$H182</f>
        <v>0.99285000000000001</v>
      </c>
      <c r="K203" s="61">
        <f>Proba!C182/Proba!$H182</f>
        <v>7.1500000000000001E-3</v>
      </c>
      <c r="L203" s="61">
        <f>Proba!D182/Proba!$H182</f>
        <v>0</v>
      </c>
      <c r="M203" s="61">
        <f>Proba!E182/Proba!$H182</f>
        <v>0</v>
      </c>
      <c r="N203" s="63"/>
      <c r="O203" s="35"/>
    </row>
    <row r="204" spans="1:15">
      <c r="A204" s="79"/>
      <c r="B204" t="s">
        <v>209</v>
      </c>
      <c r="C204" s="14">
        <f>Ontario!AW72/Ontario!$BA72</f>
        <v>0.18585220504609198</v>
      </c>
      <c r="D204" s="14">
        <f>Ontario!AX72/Ontario!$BA72</f>
        <v>0.32221514041226113</v>
      </c>
      <c r="E204" s="14">
        <f>Ontario!AY72/Ontario!$BA72</f>
        <v>0.46769920826898559</v>
      </c>
      <c r="F204" s="14">
        <f>Ontario!AZ72/Ontario!$BA72</f>
        <v>2.4233446272661236E-2</v>
      </c>
      <c r="G204" s="14"/>
      <c r="H204" s="71"/>
      <c r="J204" s="61">
        <f>Proba!B183/Proba!$H183</f>
        <v>0</v>
      </c>
      <c r="K204" s="61">
        <f>Proba!C183/Proba!$H183</f>
        <v>2.35E-2</v>
      </c>
      <c r="L204" s="61">
        <f>Proba!D183/Proba!$H183</f>
        <v>0.97650000000000003</v>
      </c>
      <c r="M204" s="61">
        <f>Proba!E183/Proba!$H183</f>
        <v>0</v>
      </c>
      <c r="N204" s="63"/>
      <c r="O204" s="35"/>
    </row>
    <row r="205" spans="1:15">
      <c r="A205" s="79"/>
      <c r="B205" t="s">
        <v>210</v>
      </c>
      <c r="C205" s="14">
        <f>Ontario!AW73/Ontario!$BA73</f>
        <v>0.26984472682897681</v>
      </c>
      <c r="D205" s="14">
        <f>Ontario!AX73/Ontario!$BA73</f>
        <v>0.53332172342778139</v>
      </c>
      <c r="E205" s="14">
        <f>Ontario!AY73/Ontario!$BA73</f>
        <v>0.1418091287941545</v>
      </c>
      <c r="F205" s="14">
        <f>Ontario!AZ73/Ontario!$BA73</f>
        <v>5.5024420949087285E-2</v>
      </c>
      <c r="G205" s="14"/>
      <c r="H205" s="71"/>
      <c r="J205" s="61">
        <f>Proba!B184/Proba!$H184</f>
        <v>1E-4</v>
      </c>
      <c r="K205" s="61">
        <f>Proba!C184/Proba!$H184</f>
        <v>0.99990000000000001</v>
      </c>
      <c r="L205" s="61">
        <f>Proba!D184/Proba!$H184</f>
        <v>0</v>
      </c>
      <c r="M205" s="61">
        <f>Proba!E184/Proba!$H184</f>
        <v>0</v>
      </c>
      <c r="N205" s="63"/>
      <c r="O205" s="35"/>
    </row>
    <row r="206" spans="1:15">
      <c r="A206" s="79"/>
      <c r="B206" t="s">
        <v>211</v>
      </c>
      <c r="C206" s="14">
        <f>Ontario!AW74/Ontario!$BA74</f>
        <v>0.41596587179889738</v>
      </c>
      <c r="D206" s="14">
        <f>Ontario!AX74/Ontario!$BA74</f>
        <v>0.38432576451299016</v>
      </c>
      <c r="E206" s="14">
        <f>Ontario!AY74/Ontario!$BA74</f>
        <v>0.15507506385150385</v>
      </c>
      <c r="F206" s="14">
        <f>Ontario!AZ74/Ontario!$BA74</f>
        <v>4.4633299836608485E-2</v>
      </c>
      <c r="G206" s="14"/>
      <c r="H206" s="71"/>
      <c r="J206" s="61">
        <f>Proba!B185/Proba!$H185</f>
        <v>0.67425000000000002</v>
      </c>
      <c r="K206" s="61">
        <f>Proba!C185/Proba!$H185</f>
        <v>0.32574999999999998</v>
      </c>
      <c r="L206" s="61">
        <f>Proba!D185/Proba!$H185</f>
        <v>0</v>
      </c>
      <c r="M206" s="61">
        <f>Proba!E185/Proba!$H185</f>
        <v>0</v>
      </c>
      <c r="N206" s="63"/>
      <c r="O206" s="35"/>
    </row>
    <row r="207" spans="1:15">
      <c r="A207" s="79"/>
      <c r="B207" t="s">
        <v>212</v>
      </c>
      <c r="C207" s="14">
        <f>Ontario!AW75/Ontario!$BA75</f>
        <v>0.4162247624574486</v>
      </c>
      <c r="D207" s="14">
        <f>Ontario!AX75/Ontario!$BA75</f>
        <v>0.47411271341999905</v>
      </c>
      <c r="E207" s="14">
        <f>Ontario!AY75/Ontario!$BA75</f>
        <v>7.7284903228574606E-2</v>
      </c>
      <c r="F207" s="14">
        <f>Ontario!AZ75/Ontario!$BA75</f>
        <v>3.2377620893977707E-2</v>
      </c>
      <c r="G207" s="14"/>
      <c r="H207" s="71"/>
      <c r="J207" s="61">
        <f>Proba!B186/Proba!$H186</f>
        <v>0.20730000000000001</v>
      </c>
      <c r="K207" s="61">
        <f>Proba!C186/Proba!$H186</f>
        <v>0.79269999999999996</v>
      </c>
      <c r="L207" s="61">
        <f>Proba!D186/Proba!$H186</f>
        <v>0</v>
      </c>
      <c r="M207" s="61">
        <f>Proba!E186/Proba!$H186</f>
        <v>0</v>
      </c>
      <c r="N207" s="63"/>
      <c r="O207" s="35"/>
    </row>
    <row r="208" spans="1:15">
      <c r="A208" s="79"/>
      <c r="B208" t="s">
        <v>213</v>
      </c>
      <c r="C208" s="14">
        <f>Ontario!AW76/Ontario!$BA76</f>
        <v>0.44236371827409504</v>
      </c>
      <c r="D208" s="14">
        <f>Ontario!AX76/Ontario!$BA76</f>
        <v>0.43783585140535286</v>
      </c>
      <c r="E208" s="14">
        <f>Ontario!AY76/Ontario!$BA76</f>
        <v>9.3086384145825804E-2</v>
      </c>
      <c r="F208" s="14">
        <f>Ontario!AZ76/Ontario!$BA76</f>
        <v>2.6714046174726083E-2</v>
      </c>
      <c r="G208" s="14"/>
      <c r="H208" s="71"/>
      <c r="J208" s="61">
        <f>Proba!B187/Proba!$H187</f>
        <v>0.52159999999999995</v>
      </c>
      <c r="K208" s="61">
        <f>Proba!C187/Proba!$H187</f>
        <v>0.47839999999999999</v>
      </c>
      <c r="L208" s="61">
        <f>Proba!D187/Proba!$H187</f>
        <v>0</v>
      </c>
      <c r="M208" s="61">
        <f>Proba!E187/Proba!$H187</f>
        <v>0</v>
      </c>
      <c r="N208" s="63"/>
      <c r="O208" s="35"/>
    </row>
    <row r="209" spans="1:15">
      <c r="A209" s="79"/>
      <c r="B209" t="s">
        <v>214</v>
      </c>
      <c r="C209" s="14">
        <f>Ontario!AW77/Ontario!$BA77</f>
        <v>0.36770734711738096</v>
      </c>
      <c r="D209" s="14">
        <f>Ontario!AX77/Ontario!$BA77</f>
        <v>0.52703969372307613</v>
      </c>
      <c r="E209" s="14">
        <f>Ontario!AY77/Ontario!$BA77</f>
        <v>8.0311414671971379E-2</v>
      </c>
      <c r="F209" s="14">
        <f>Ontario!AZ77/Ontario!$BA77</f>
        <v>2.4941544487571674E-2</v>
      </c>
      <c r="G209" s="14"/>
      <c r="H209" s="71"/>
      <c r="J209" s="61">
        <f>Proba!B188/Proba!$H188</f>
        <v>0.01</v>
      </c>
      <c r="K209" s="61">
        <f>Proba!C188/Proba!$H188</f>
        <v>0.99</v>
      </c>
      <c r="L209" s="61">
        <f>Proba!D188/Proba!$H188</f>
        <v>0</v>
      </c>
      <c r="M209" s="61">
        <f>Proba!E188/Proba!$H188</f>
        <v>0</v>
      </c>
      <c r="N209" s="63"/>
      <c r="O209" s="35"/>
    </row>
    <row r="210" spans="1:15">
      <c r="A210" s="79"/>
      <c r="B210" t="s">
        <v>215</v>
      </c>
      <c r="C210" s="14">
        <f>Ontario!AW78/Ontario!$BA78</f>
        <v>0.3976718150521889</v>
      </c>
      <c r="D210" s="14">
        <f>Ontario!AX78/Ontario!$BA78</f>
        <v>0.2710077318154972</v>
      </c>
      <c r="E210" s="14">
        <f>Ontario!AY78/Ontario!$BA78</f>
        <v>0.30000558584893777</v>
      </c>
      <c r="F210" s="14">
        <f>Ontario!AZ78/Ontario!$BA78</f>
        <v>3.1314867283376131E-2</v>
      </c>
      <c r="G210" s="14"/>
      <c r="H210" s="71"/>
      <c r="J210" s="61">
        <f>Proba!B189/Proba!$H189</f>
        <v>0.90975000000000006</v>
      </c>
      <c r="K210" s="61">
        <f>Proba!C189/Proba!$H189</f>
        <v>3.1700000000000006E-2</v>
      </c>
      <c r="L210" s="61">
        <f>Proba!D189/Proba!$H189</f>
        <v>5.8550000000000005E-2</v>
      </c>
      <c r="M210" s="61">
        <f>Proba!E189/Proba!$H189</f>
        <v>0</v>
      </c>
      <c r="N210" s="63"/>
      <c r="O210" s="35"/>
    </row>
    <row r="211" spans="1:15">
      <c r="A211" s="79"/>
      <c r="B211" t="s">
        <v>216</v>
      </c>
      <c r="C211" s="14">
        <f>Ontario!AW79/Ontario!$BA79</f>
        <v>0.13717314922209775</v>
      </c>
      <c r="D211" s="14">
        <f>Ontario!AX79/Ontario!$BA79</f>
        <v>0.35961363134079694</v>
      </c>
      <c r="E211" s="14">
        <f>Ontario!AY79/Ontario!$BA79</f>
        <v>0.45598162821074817</v>
      </c>
      <c r="F211" s="14">
        <f>Ontario!AZ79/Ontario!$BA79</f>
        <v>4.7231591226357263E-2</v>
      </c>
      <c r="G211" s="14"/>
      <c r="H211" s="71"/>
      <c r="J211" s="61">
        <f>Proba!B190/Proba!$H190</f>
        <v>0</v>
      </c>
      <c r="K211" s="61">
        <f>Proba!C190/Proba!$H190</f>
        <v>8.1000000000000003E-2</v>
      </c>
      <c r="L211" s="61">
        <f>Proba!D190/Proba!$H190</f>
        <v>0.91900000000000004</v>
      </c>
      <c r="M211" s="61">
        <f>Proba!E190/Proba!$H190</f>
        <v>0</v>
      </c>
      <c r="N211" s="63"/>
      <c r="O211" s="35"/>
    </row>
    <row r="212" spans="1:15">
      <c r="A212" s="79"/>
      <c r="B212" t="s">
        <v>217</v>
      </c>
      <c r="C212" s="14">
        <f>Ontario!AW80/Ontario!$BA80</f>
        <v>0.25668770466800012</v>
      </c>
      <c r="D212" s="14">
        <f>Ontario!AX80/Ontario!$BA80</f>
        <v>0.59022700607373957</v>
      </c>
      <c r="E212" s="14">
        <f>Ontario!AY80/Ontario!$BA80</f>
        <v>0.12564075887513318</v>
      </c>
      <c r="F212" s="14">
        <f>Ontario!AZ80/Ontario!$BA80</f>
        <v>2.7444530383127157E-2</v>
      </c>
      <c r="G212" s="14"/>
      <c r="H212" s="71"/>
      <c r="J212" s="61">
        <f>Proba!B191/Proba!$H191</f>
        <v>0</v>
      </c>
      <c r="K212" s="61">
        <f>Proba!C191/Proba!$H191</f>
        <v>1</v>
      </c>
      <c r="L212" s="61">
        <f>Proba!D191/Proba!$H191</f>
        <v>0</v>
      </c>
      <c r="M212" s="61">
        <f>Proba!E191/Proba!$H191</f>
        <v>0</v>
      </c>
      <c r="N212" s="63"/>
      <c r="O212" s="35"/>
    </row>
    <row r="213" spans="1:15">
      <c r="A213" s="79"/>
      <c r="B213" t="s">
        <v>218</v>
      </c>
      <c r="C213" s="14">
        <f>Ontario!AW81/Ontario!$BA81</f>
        <v>0.32949376340046715</v>
      </c>
      <c r="D213" s="14">
        <f>Ontario!AX81/Ontario!$BA81</f>
        <v>0.48671946438714614</v>
      </c>
      <c r="E213" s="14">
        <f>Ontario!AY81/Ontario!$BA81</f>
        <v>0.14536562035477602</v>
      </c>
      <c r="F213" s="14">
        <f>Ontario!AZ81/Ontario!$BA81</f>
        <v>3.8421151857610636E-2</v>
      </c>
      <c r="G213" s="14"/>
      <c r="H213" s="71"/>
      <c r="J213" s="61">
        <f>Proba!B192/Proba!$H192</f>
        <v>1.1050000000000001E-2</v>
      </c>
      <c r="K213" s="61">
        <f>Proba!C192/Proba!$H192</f>
        <v>0.98895</v>
      </c>
      <c r="L213" s="61">
        <f>Proba!D192/Proba!$H192</f>
        <v>0</v>
      </c>
      <c r="M213" s="61">
        <f>Proba!E192/Proba!$H192</f>
        <v>0</v>
      </c>
      <c r="N213" s="63"/>
      <c r="O213" s="35"/>
    </row>
    <row r="214" spans="1:15">
      <c r="A214" s="79"/>
      <c r="B214" t="s">
        <v>219</v>
      </c>
      <c r="C214" s="14">
        <f>Ontario!AW82/Ontario!$BA82</f>
        <v>0.19945772128360131</v>
      </c>
      <c r="D214" s="14">
        <f>Ontario!AX82/Ontario!$BA82</f>
        <v>0.52296959772874629</v>
      </c>
      <c r="E214" s="14">
        <f>Ontario!AY82/Ontario!$BA82</f>
        <v>0.23070000509123834</v>
      </c>
      <c r="F214" s="14">
        <f>Ontario!AZ82/Ontario!$BA82</f>
        <v>4.6872675896413994E-2</v>
      </c>
      <c r="G214" s="14"/>
      <c r="H214" s="71"/>
      <c r="J214" s="61">
        <f>Proba!B193/Proba!$H193</f>
        <v>0</v>
      </c>
      <c r="K214" s="61">
        <f>Proba!C193/Proba!$H193</f>
        <v>1</v>
      </c>
      <c r="L214" s="61">
        <f>Proba!D193/Proba!$H193</f>
        <v>0</v>
      </c>
      <c r="M214" s="61">
        <f>Proba!E193/Proba!$H193</f>
        <v>0</v>
      </c>
      <c r="N214" s="63"/>
      <c r="O214" s="35"/>
    </row>
    <row r="215" spans="1:15">
      <c r="A215" s="79"/>
      <c r="B215" t="s">
        <v>220</v>
      </c>
      <c r="C215" s="14">
        <f>Ontario!AW83/Ontario!$BA83</f>
        <v>0.49338155420994623</v>
      </c>
      <c r="D215" s="14">
        <f>Ontario!AX83/Ontario!$BA83</f>
        <v>0.27788477045293453</v>
      </c>
      <c r="E215" s="14">
        <f>Ontario!AY83/Ontario!$BA83</f>
        <v>0.18936039456281653</v>
      </c>
      <c r="F215" s="14">
        <f>Ontario!AZ83/Ontario!$BA83</f>
        <v>3.937328077430275E-2</v>
      </c>
      <c r="G215" s="14"/>
      <c r="H215" s="71"/>
      <c r="J215" s="61">
        <f>Proba!B194/Proba!$H194</f>
        <v>0.99890000000000001</v>
      </c>
      <c r="K215" s="61">
        <f>Proba!C194/Proba!$H194</f>
        <v>1.1000000000000001E-3</v>
      </c>
      <c r="L215" s="61">
        <f>Proba!D194/Proba!$H194</f>
        <v>0</v>
      </c>
      <c r="M215" s="61">
        <f>Proba!E194/Proba!$H194</f>
        <v>0</v>
      </c>
      <c r="N215" s="63"/>
      <c r="O215" s="35"/>
    </row>
    <row r="216" spans="1:15">
      <c r="A216" s="79"/>
      <c r="B216" t="s">
        <v>221</v>
      </c>
      <c r="C216" s="14">
        <f>Ontario!AW84/Ontario!$BA84</f>
        <v>5.7728541279981095E-2</v>
      </c>
      <c r="D216" s="14">
        <f>Ontario!AX84/Ontario!$BA84</f>
        <v>0.52383892807487475</v>
      </c>
      <c r="E216" s="14">
        <f>Ontario!AY84/Ontario!$BA84</f>
        <v>0.38916594933416288</v>
      </c>
      <c r="F216" s="14">
        <f>Ontario!AZ84/Ontario!$BA84</f>
        <v>2.9266581310981307E-2</v>
      </c>
      <c r="G216" s="14"/>
      <c r="H216" s="71"/>
      <c r="J216" s="61">
        <f>Proba!B195/Proba!$H195</f>
        <v>0</v>
      </c>
      <c r="K216" s="61">
        <f>Proba!C195/Proba!$H195</f>
        <v>0.96335000000000004</v>
      </c>
      <c r="L216" s="61">
        <f>Proba!D195/Proba!$H195</f>
        <v>3.6650000000000002E-2</v>
      </c>
      <c r="M216" s="61">
        <f>Proba!E195/Proba!$H195</f>
        <v>0</v>
      </c>
      <c r="N216" s="63"/>
      <c r="O216" s="35"/>
    </row>
    <row r="217" spans="1:15">
      <c r="A217" s="79"/>
      <c r="B217" t="s">
        <v>222</v>
      </c>
      <c r="C217" s="14">
        <f>Ontario!AW85/Ontario!$BA85</f>
        <v>0.46132504947631131</v>
      </c>
      <c r="D217" s="14">
        <f>Ontario!AX85/Ontario!$BA85</f>
        <v>0.29249082653870168</v>
      </c>
      <c r="E217" s="14">
        <f>Ontario!AY85/Ontario!$BA85</f>
        <v>0.17113909058130092</v>
      </c>
      <c r="F217" s="14">
        <f>Ontario!AZ85/Ontario!$BA85</f>
        <v>7.5045033403686068E-2</v>
      </c>
      <c r="G217" s="14"/>
      <c r="H217" s="71"/>
      <c r="J217" s="61">
        <f>Proba!B196/Proba!$H196</f>
        <v>0.99160000000000004</v>
      </c>
      <c r="K217" s="61">
        <f>Proba!C196/Proba!$H196</f>
        <v>8.3999999999999995E-3</v>
      </c>
      <c r="L217" s="61">
        <f>Proba!D196/Proba!$H196</f>
        <v>0</v>
      </c>
      <c r="M217" s="61">
        <f>Proba!E196/Proba!$H196</f>
        <v>0</v>
      </c>
      <c r="N217" s="63"/>
      <c r="O217" s="35"/>
    </row>
    <row r="218" spans="1:15">
      <c r="A218" s="79"/>
      <c r="B218" t="s">
        <v>223</v>
      </c>
      <c r="C218" s="14">
        <f>Ontario!AW86/Ontario!$BA86</f>
        <v>0.41408583194835857</v>
      </c>
      <c r="D218" s="14">
        <f>Ontario!AX86/Ontario!$BA86</f>
        <v>0.38823469684978423</v>
      </c>
      <c r="E218" s="14">
        <f>Ontario!AY86/Ontario!$BA86</f>
        <v>0.15416331971084085</v>
      </c>
      <c r="F218" s="14">
        <f>Ontario!AZ86/Ontario!$BA86</f>
        <v>4.3516151491016369E-2</v>
      </c>
      <c r="G218" s="14"/>
      <c r="H218" s="71"/>
      <c r="J218" s="61">
        <f>Proba!B197/Proba!$H197</f>
        <v>0.63580000000000003</v>
      </c>
      <c r="K218" s="61">
        <f>Proba!C197/Proba!$H197</f>
        <v>0.36420000000000002</v>
      </c>
      <c r="L218" s="61">
        <f>Proba!D197/Proba!$H197</f>
        <v>0</v>
      </c>
      <c r="M218" s="61">
        <f>Proba!E197/Proba!$H197</f>
        <v>0</v>
      </c>
      <c r="N218" s="63"/>
      <c r="O218" s="35"/>
    </row>
    <row r="219" spans="1:15">
      <c r="A219" s="79"/>
      <c r="B219" t="s">
        <v>224</v>
      </c>
      <c r="C219" s="14">
        <f>Ontario!AW87/Ontario!$BA87</f>
        <v>0.3586421742323086</v>
      </c>
      <c r="D219" s="14">
        <f>Ontario!AX87/Ontario!$BA87</f>
        <v>0.42231445488371749</v>
      </c>
      <c r="E219" s="14">
        <f>Ontario!AY87/Ontario!$BA87</f>
        <v>0.18696060633488404</v>
      </c>
      <c r="F219" s="14">
        <f>Ontario!AZ87/Ontario!$BA87</f>
        <v>3.2082764549089829E-2</v>
      </c>
      <c r="G219" s="14"/>
      <c r="H219" s="71"/>
      <c r="J219" s="61">
        <f>Proba!B198/Proba!$H198</f>
        <v>0.16569999999999999</v>
      </c>
      <c r="K219" s="61">
        <f>Proba!C198/Proba!$H198</f>
        <v>0.83430000000000004</v>
      </c>
      <c r="L219" s="61">
        <f>Proba!D198/Proba!$H198</f>
        <v>0</v>
      </c>
      <c r="M219" s="61">
        <f>Proba!E198/Proba!$H198</f>
        <v>0</v>
      </c>
      <c r="N219" s="63"/>
      <c r="O219" s="35"/>
    </row>
    <row r="220" spans="1:15">
      <c r="A220" s="79"/>
      <c r="B220" t="s">
        <v>225</v>
      </c>
      <c r="C220" s="14">
        <f>Ontario!AW88/Ontario!$BA88</f>
        <v>0.34504061654363671</v>
      </c>
      <c r="D220" s="14">
        <f>Ontario!AX88/Ontario!$BA88</f>
        <v>0.52837051157610182</v>
      </c>
      <c r="E220" s="14">
        <f>Ontario!AY88/Ontario!$BA88</f>
        <v>8.6146435256622397E-2</v>
      </c>
      <c r="F220" s="14">
        <f>Ontario!AZ88/Ontario!$BA88</f>
        <v>4.0442436623639076E-2</v>
      </c>
      <c r="G220" s="14"/>
      <c r="H220" s="71"/>
      <c r="J220" s="61">
        <f>Proba!B199/Proba!$H199</f>
        <v>7.7000000000000002E-3</v>
      </c>
      <c r="K220" s="61">
        <f>Proba!C199/Proba!$H199</f>
        <v>0.99229999999999996</v>
      </c>
      <c r="L220" s="61">
        <f>Proba!D199/Proba!$H199</f>
        <v>0</v>
      </c>
      <c r="M220" s="61">
        <f>Proba!E199/Proba!$H199</f>
        <v>0</v>
      </c>
      <c r="N220" s="63"/>
      <c r="O220" s="35"/>
    </row>
    <row r="221" spans="1:15">
      <c r="A221" s="79"/>
      <c r="B221" t="s">
        <v>226</v>
      </c>
      <c r="C221" s="14">
        <f>Ontario!AW89/Ontario!$BA89</f>
        <v>0.54596656139395172</v>
      </c>
      <c r="D221" s="14">
        <f>Ontario!AX89/Ontario!$BA89</f>
        <v>0.3449204266756678</v>
      </c>
      <c r="E221" s="14">
        <f>Ontario!AY89/Ontario!$BA89</f>
        <v>9.2920784316019453E-2</v>
      </c>
      <c r="F221" s="14">
        <f>Ontario!AZ89/Ontario!$BA89</f>
        <v>1.6192227614361142E-2</v>
      </c>
      <c r="G221" s="14"/>
      <c r="H221" s="71"/>
      <c r="J221" s="61">
        <f>Proba!B200/Proba!$H200</f>
        <v>0.99595</v>
      </c>
      <c r="K221" s="61">
        <f>Proba!C200/Proba!$H200</f>
        <v>4.0499999999999998E-3</v>
      </c>
      <c r="L221" s="61">
        <f>Proba!D200/Proba!$H200</f>
        <v>0</v>
      </c>
      <c r="M221" s="61">
        <f>Proba!E200/Proba!$H200</f>
        <v>0</v>
      </c>
      <c r="N221" s="63"/>
      <c r="O221" s="35"/>
    </row>
    <row r="222" spans="1:15">
      <c r="A222" s="79"/>
      <c r="B222" t="s">
        <v>227</v>
      </c>
      <c r="C222" s="14">
        <f>Ontario!AW90/Ontario!$BA90</f>
        <v>0.3200778953902163</v>
      </c>
      <c r="D222" s="14">
        <f>Ontario!AX90/Ontario!$BA90</f>
        <v>0.54761754781756922</v>
      </c>
      <c r="E222" s="14">
        <f>Ontario!AY90/Ontario!$BA90</f>
        <v>9.8765609077192604E-2</v>
      </c>
      <c r="F222" s="14">
        <f>Ontario!AZ90/Ontario!$BA90</f>
        <v>3.3538947715021986E-2</v>
      </c>
      <c r="G222" s="14"/>
      <c r="H222" s="71"/>
      <c r="J222" s="61">
        <f>Proba!B201/Proba!$H201</f>
        <v>1.3500000000000001E-3</v>
      </c>
      <c r="K222" s="61">
        <f>Proba!C201/Proba!$H201</f>
        <v>0.99865000000000004</v>
      </c>
      <c r="L222" s="61">
        <f>Proba!D201/Proba!$H201</f>
        <v>0</v>
      </c>
      <c r="M222" s="61">
        <f>Proba!E201/Proba!$H201</f>
        <v>0</v>
      </c>
      <c r="N222" s="63"/>
      <c r="O222" s="35"/>
    </row>
    <row r="223" spans="1:15">
      <c r="A223" s="79"/>
      <c r="B223" t="s">
        <v>228</v>
      </c>
      <c r="C223" s="14">
        <f>Ontario!AW91/Ontario!$BA91</f>
        <v>0.39566598569309491</v>
      </c>
      <c r="D223" s="14">
        <f>Ontario!AX91/Ontario!$BA91</f>
        <v>0.33646690706740334</v>
      </c>
      <c r="E223" s="14">
        <f>Ontario!AY91/Ontario!$BA91</f>
        <v>0.24544323599991533</v>
      </c>
      <c r="F223" s="14">
        <f>Ontario!AZ91/Ontario!$BA91</f>
        <v>2.2423871239586463E-2</v>
      </c>
      <c r="G223" s="14"/>
      <c r="H223" s="71"/>
      <c r="J223" s="61">
        <f>Proba!B202/Proba!$H202</f>
        <v>0.79459999999999997</v>
      </c>
      <c r="K223" s="61">
        <f>Proba!C202/Proba!$H202</f>
        <v>0.20230000000000001</v>
      </c>
      <c r="L223" s="61">
        <f>Proba!D202/Proba!$H202</f>
        <v>3.0999999999999999E-3</v>
      </c>
      <c r="M223" s="61">
        <f>Proba!E202/Proba!$H202</f>
        <v>0</v>
      </c>
      <c r="N223" s="63"/>
      <c r="O223" s="35"/>
    </row>
    <row r="224" spans="1:15">
      <c r="A224" s="79"/>
      <c r="B224" t="s">
        <v>229</v>
      </c>
      <c r="C224" s="14">
        <f>Ontario!AW92/Ontario!$BA92</f>
        <v>0.3064466730086986</v>
      </c>
      <c r="D224" s="14">
        <f>Ontario!AX92/Ontario!$BA92</f>
        <v>0.37364024244841298</v>
      </c>
      <c r="E224" s="14">
        <f>Ontario!AY92/Ontario!$BA92</f>
        <v>0.30301275013167517</v>
      </c>
      <c r="F224" s="14">
        <f>Ontario!AZ92/Ontario!$BA92</f>
        <v>1.6900334411213337E-2</v>
      </c>
      <c r="G224" s="14"/>
      <c r="H224" s="71"/>
      <c r="J224" s="61">
        <f>Proba!B203/Proba!$H203</f>
        <v>0.12934999999999999</v>
      </c>
      <c r="K224" s="61">
        <f>Proba!C203/Proba!$H203</f>
        <v>0.76834999999999998</v>
      </c>
      <c r="L224" s="61">
        <f>Proba!D203/Proba!$H203</f>
        <v>0.1023</v>
      </c>
      <c r="M224" s="61">
        <f>Proba!E203/Proba!$H203</f>
        <v>0</v>
      </c>
      <c r="N224" s="63"/>
      <c r="O224" s="35"/>
    </row>
    <row r="225" spans="1:15">
      <c r="A225" s="79"/>
      <c r="B225" t="s">
        <v>230</v>
      </c>
      <c r="C225" s="14">
        <f>Ontario!AW93/Ontario!$BA93</f>
        <v>0.23592818851463926</v>
      </c>
      <c r="D225" s="14">
        <f>Ontario!AX93/Ontario!$BA93</f>
        <v>0.52453676248357084</v>
      </c>
      <c r="E225" s="14">
        <f>Ontario!AY93/Ontario!$BA93</f>
        <v>0.21854735525248925</v>
      </c>
      <c r="F225" s="14">
        <f>Ontario!AZ93/Ontario!$BA93</f>
        <v>2.098769374930079E-2</v>
      </c>
      <c r="G225" s="14"/>
      <c r="H225" s="71"/>
      <c r="J225" s="61">
        <f>Proba!B204/Proba!$H204</f>
        <v>0</v>
      </c>
      <c r="K225" s="61">
        <f>Proba!C204/Proba!$H204</f>
        <v>0.99995000000000001</v>
      </c>
      <c r="L225" s="61">
        <f>Proba!D204/Proba!$H204</f>
        <v>5.0000000000000002E-5</v>
      </c>
      <c r="M225" s="61">
        <f>Proba!E204/Proba!$H204</f>
        <v>0</v>
      </c>
      <c r="N225" s="63"/>
      <c r="O225" s="35"/>
    </row>
    <row r="226" spans="1:15">
      <c r="A226" s="79"/>
      <c r="B226" t="s">
        <v>231</v>
      </c>
      <c r="C226" s="14">
        <f>Ontario!AW94/Ontario!$BA94</f>
        <v>0.22671164743532102</v>
      </c>
      <c r="D226" s="14">
        <f>Ontario!AX94/Ontario!$BA94</f>
        <v>0.50742877208838166</v>
      </c>
      <c r="E226" s="14">
        <f>Ontario!AY94/Ontario!$BA94</f>
        <v>0.2540559785304119</v>
      </c>
      <c r="F226" s="14">
        <f>Ontario!AZ94/Ontario!$BA94</f>
        <v>1.1803601945885474E-2</v>
      </c>
      <c r="G226" s="14"/>
      <c r="H226" s="71"/>
      <c r="J226" s="61">
        <f>Proba!B205/Proba!$H205</f>
        <v>5.0000000000000002E-5</v>
      </c>
      <c r="K226" s="61">
        <f>Proba!C205/Proba!$H205</f>
        <v>0.99955000000000005</v>
      </c>
      <c r="L226" s="61">
        <f>Proba!D205/Proba!$H205</f>
        <v>4.0000000000000002E-4</v>
      </c>
      <c r="M226" s="61">
        <f>Proba!E205/Proba!$H205</f>
        <v>0</v>
      </c>
      <c r="N226" s="63"/>
      <c r="O226" s="35"/>
    </row>
    <row r="227" spans="1:15">
      <c r="A227" s="79"/>
      <c r="B227" t="s">
        <v>232</v>
      </c>
      <c r="C227" s="14">
        <f>Ontario!AW95/Ontario!$BA95</f>
        <v>0.20785976738638071</v>
      </c>
      <c r="D227" s="14">
        <f>Ontario!AX95/Ontario!$BA95</f>
        <v>0.50857616754429336</v>
      </c>
      <c r="E227" s="14">
        <f>Ontario!AY95/Ontario!$BA95</f>
        <v>0.24718287956591686</v>
      </c>
      <c r="F227" s="14">
        <f>Ontario!AZ95/Ontario!$BA95</f>
        <v>3.6381185503409109E-2</v>
      </c>
      <c r="G227" s="14"/>
      <c r="H227" s="71"/>
      <c r="J227" s="61">
        <f>Proba!B206/Proba!$H206</f>
        <v>0</v>
      </c>
      <c r="K227" s="61">
        <f>Proba!C206/Proba!$H206</f>
        <v>0.99970000000000003</v>
      </c>
      <c r="L227" s="61">
        <f>Proba!D206/Proba!$H206</f>
        <v>2.9999999999999997E-4</v>
      </c>
      <c r="M227" s="61">
        <f>Proba!E206/Proba!$H206</f>
        <v>0</v>
      </c>
      <c r="N227" s="63"/>
      <c r="O227" s="35"/>
    </row>
    <row r="228" spans="1:15">
      <c r="A228" s="79"/>
      <c r="B228" t="s">
        <v>233</v>
      </c>
      <c r="C228" s="14">
        <f>Ontario!AW96/Ontario!$BA96</f>
        <v>0.23187097439235649</v>
      </c>
      <c r="D228" s="14">
        <f>Ontario!AX96/Ontario!$BA96</f>
        <v>0.65571760650654509</v>
      </c>
      <c r="E228" s="14">
        <f>Ontario!AY96/Ontario!$BA96</f>
        <v>9.3899382252109462E-2</v>
      </c>
      <c r="F228" s="14">
        <f>Ontario!AZ96/Ontario!$BA96</f>
        <v>1.8512036848988962E-2</v>
      </c>
      <c r="G228" s="14"/>
      <c r="H228" s="71"/>
      <c r="J228" s="61">
        <f>Proba!B207/Proba!$H207</f>
        <v>0</v>
      </c>
      <c r="K228" s="61">
        <f>Proba!C207/Proba!$H207</f>
        <v>1</v>
      </c>
      <c r="L228" s="61">
        <f>Proba!D207/Proba!$H207</f>
        <v>0</v>
      </c>
      <c r="M228" s="61">
        <f>Proba!E207/Proba!$H207</f>
        <v>0</v>
      </c>
      <c r="N228" s="63"/>
      <c r="O228" s="35"/>
    </row>
    <row r="229" spans="1:15">
      <c r="A229" s="79"/>
      <c r="B229" t="s">
        <v>234</v>
      </c>
      <c r="C229" s="14">
        <f>Ontario!AW97/Ontario!$BA97</f>
        <v>0.23874305305849461</v>
      </c>
      <c r="D229" s="14">
        <f>Ontario!AX97/Ontario!$BA97</f>
        <v>0.56047141132825384</v>
      </c>
      <c r="E229" s="14">
        <f>Ontario!AY97/Ontario!$BA97</f>
        <v>0.18288862094286315</v>
      </c>
      <c r="F229" s="14">
        <f>Ontario!AZ97/Ontario!$BA97</f>
        <v>1.7896914670388581E-2</v>
      </c>
      <c r="G229" s="14"/>
      <c r="H229" s="71"/>
      <c r="J229" s="61">
        <f>Proba!B208/Proba!$H208</f>
        <v>0</v>
      </c>
      <c r="K229" s="61">
        <f>Proba!C208/Proba!$H208</f>
        <v>1</v>
      </c>
      <c r="L229" s="61">
        <f>Proba!D208/Proba!$H208</f>
        <v>0</v>
      </c>
      <c r="M229" s="61">
        <f>Proba!E208/Proba!$H208</f>
        <v>0</v>
      </c>
      <c r="N229" s="63"/>
      <c r="O229" s="35"/>
    </row>
    <row r="230" spans="1:15">
      <c r="A230" s="79"/>
      <c r="B230" t="s">
        <v>235</v>
      </c>
      <c r="C230" s="14">
        <f>Ontario!AW98/Ontario!$BA98</f>
        <v>0.20661373229668092</v>
      </c>
      <c r="D230" s="14">
        <f>Ontario!AX98/Ontario!$BA98</f>
        <v>0.54824675104937393</v>
      </c>
      <c r="E230" s="14">
        <f>Ontario!AY98/Ontario!$BA98</f>
        <v>0.22559835928161406</v>
      </c>
      <c r="F230" s="14">
        <f>Ontario!AZ98/Ontario!$BA98</f>
        <v>1.9541157372331024E-2</v>
      </c>
      <c r="G230" s="14"/>
      <c r="H230" s="71"/>
      <c r="J230" s="61">
        <f>Proba!B209/Proba!$H209</f>
        <v>0</v>
      </c>
      <c r="K230" s="61">
        <f>Proba!C209/Proba!$H209</f>
        <v>1</v>
      </c>
      <c r="L230" s="61">
        <f>Proba!D209/Proba!$H209</f>
        <v>0</v>
      </c>
      <c r="M230" s="61">
        <f>Proba!E209/Proba!$H209</f>
        <v>0</v>
      </c>
      <c r="N230" s="63"/>
      <c r="O230" s="35"/>
    </row>
    <row r="231" spans="1:15">
      <c r="A231" s="79"/>
      <c r="B231" t="s">
        <v>236</v>
      </c>
      <c r="C231" s="14">
        <f>Ontario!AW99/Ontario!$BA99</f>
        <v>0.43289945456462753</v>
      </c>
      <c r="D231" s="14">
        <f>Ontario!AX99/Ontario!$BA99</f>
        <v>0.37737425849440898</v>
      </c>
      <c r="E231" s="14">
        <f>Ontario!AY99/Ontario!$BA99</f>
        <v>0.13654584800596406</v>
      </c>
      <c r="F231" s="14">
        <f>Ontario!AZ99/Ontario!$BA99</f>
        <v>5.3180438934999498E-2</v>
      </c>
      <c r="G231" s="14"/>
      <c r="H231" s="71"/>
      <c r="J231" s="61">
        <f>Proba!B210/Proba!$H210</f>
        <v>0.77625</v>
      </c>
      <c r="K231" s="61">
        <f>Proba!C210/Proba!$H210</f>
        <v>0.22375</v>
      </c>
      <c r="L231" s="61">
        <f>Proba!D210/Proba!$H210</f>
        <v>0</v>
      </c>
      <c r="M231" s="61">
        <f>Proba!E210/Proba!$H210</f>
        <v>0</v>
      </c>
      <c r="N231" s="63"/>
      <c r="O231" s="35"/>
    </row>
    <row r="232" spans="1:15">
      <c r="A232" s="79"/>
      <c r="B232" t="s">
        <v>237</v>
      </c>
      <c r="C232" s="14">
        <f>Ontario!AW100/Ontario!$BA100</f>
        <v>0.44702251772780355</v>
      </c>
      <c r="D232" s="14">
        <f>Ontario!AX100/Ontario!$BA100</f>
        <v>0.3679335860762617</v>
      </c>
      <c r="E232" s="14">
        <f>Ontario!AY100/Ontario!$BA100</f>
        <v>0.12580134225142153</v>
      </c>
      <c r="F232" s="14">
        <f>Ontario!AZ100/Ontario!$BA100</f>
        <v>5.924255394451327E-2</v>
      </c>
      <c r="G232" s="14"/>
      <c r="H232" s="71"/>
      <c r="J232" s="61">
        <f>Proba!B211/Proba!$H211</f>
        <v>0.83840000000000003</v>
      </c>
      <c r="K232" s="61">
        <f>Proba!C211/Proba!$H211</f>
        <v>0.16159999999999999</v>
      </c>
      <c r="L232" s="61">
        <f>Proba!D211/Proba!$H211</f>
        <v>0</v>
      </c>
      <c r="M232" s="61">
        <f>Proba!E211/Proba!$H211</f>
        <v>0</v>
      </c>
      <c r="N232" s="63"/>
      <c r="O232" s="35"/>
    </row>
    <row r="233" spans="1:15">
      <c r="A233" s="79"/>
      <c r="B233" t="s">
        <v>238</v>
      </c>
      <c r="C233" s="14">
        <f>Ontario!AW101/Ontario!$BA101</f>
        <v>0.11197384088247357</v>
      </c>
      <c r="D233" s="14">
        <f>Ontario!AX101/Ontario!$BA101</f>
        <v>0.48734075855336434</v>
      </c>
      <c r="E233" s="14">
        <f>Ontario!AY101/Ontario!$BA101</f>
        <v>0.36250508539477805</v>
      </c>
      <c r="F233" s="14">
        <f>Ontario!AZ101/Ontario!$BA101</f>
        <v>3.8180315169384013E-2</v>
      </c>
      <c r="G233" s="14"/>
      <c r="H233" s="71"/>
      <c r="J233" s="61">
        <f>Proba!B212/Proba!$H212</f>
        <v>0</v>
      </c>
      <c r="K233" s="61">
        <f>Proba!C212/Proba!$H212</f>
        <v>0.95714999999999995</v>
      </c>
      <c r="L233" s="61">
        <f>Proba!D212/Proba!$H212</f>
        <v>4.2849999999999999E-2</v>
      </c>
      <c r="M233" s="61">
        <f>Proba!E212/Proba!$H212</f>
        <v>0</v>
      </c>
      <c r="N233" s="63"/>
      <c r="O233" s="35"/>
    </row>
    <row r="234" spans="1:15">
      <c r="A234" s="79"/>
      <c r="B234" t="s">
        <v>239</v>
      </c>
      <c r="C234" s="14">
        <f>Ontario!AW102/Ontario!$BA102</f>
        <v>0.40492643001954448</v>
      </c>
      <c r="D234" s="14">
        <f>Ontario!AX102/Ontario!$BA102</f>
        <v>0.38326760582329467</v>
      </c>
      <c r="E234" s="14">
        <f>Ontario!AY102/Ontario!$BA102</f>
        <v>0.17743160498134514</v>
      </c>
      <c r="F234" s="14">
        <f>Ontario!AZ102/Ontario!$BA102</f>
        <v>3.4374359175815689E-2</v>
      </c>
      <c r="G234" s="14"/>
      <c r="H234" s="71"/>
      <c r="J234" s="61">
        <f>Proba!B213/Proba!$H213</f>
        <v>0.61970000000000003</v>
      </c>
      <c r="K234" s="61">
        <f>Proba!C213/Proba!$H213</f>
        <v>0.38030000000000003</v>
      </c>
      <c r="L234" s="61">
        <f>Proba!D213/Proba!$H213</f>
        <v>0</v>
      </c>
      <c r="M234" s="61">
        <f>Proba!E213/Proba!$H213</f>
        <v>0</v>
      </c>
      <c r="N234" s="63"/>
      <c r="O234" s="35"/>
    </row>
    <row r="235" spans="1:15">
      <c r="A235" s="79"/>
      <c r="B235" t="s">
        <v>240</v>
      </c>
      <c r="C235" s="14">
        <f>Ontario!AW103/Ontario!$BA103</f>
        <v>0.53252227876637392</v>
      </c>
      <c r="D235" s="14">
        <f>Ontario!AX103/Ontario!$BA103</f>
        <v>0.33316186234629852</v>
      </c>
      <c r="E235" s="14">
        <f>Ontario!AY103/Ontario!$BA103</f>
        <v>0.11633533606124735</v>
      </c>
      <c r="F235" s="14">
        <f>Ontario!AZ103/Ontario!$BA103</f>
        <v>1.7980522826080283E-2</v>
      </c>
      <c r="G235" s="14"/>
      <c r="H235" s="71"/>
      <c r="J235" s="61">
        <f>Proba!B214/Proba!$H214</f>
        <v>0.99744999999999995</v>
      </c>
      <c r="K235" s="61">
        <f>Proba!C214/Proba!$H214</f>
        <v>2.5500000000000002E-3</v>
      </c>
      <c r="L235" s="61">
        <f>Proba!D214/Proba!$H214</f>
        <v>0</v>
      </c>
      <c r="M235" s="61">
        <f>Proba!E214/Proba!$H214</f>
        <v>0</v>
      </c>
      <c r="N235" s="63"/>
      <c r="O235" s="35"/>
    </row>
    <row r="236" spans="1:15">
      <c r="A236" s="79"/>
      <c r="B236" t="s">
        <v>241</v>
      </c>
      <c r="C236" s="14">
        <f>Ontario!AW104/Ontario!$BA104</f>
        <v>0.19031534863599001</v>
      </c>
      <c r="D236" s="14">
        <f>Ontario!AX104/Ontario!$BA104</f>
        <v>0.3642761978785149</v>
      </c>
      <c r="E236" s="14">
        <f>Ontario!AY104/Ontario!$BA104</f>
        <v>0.41895381927345771</v>
      </c>
      <c r="F236" s="14">
        <f>Ontario!AZ104/Ontario!$BA104</f>
        <v>2.6454634212037406E-2</v>
      </c>
      <c r="G236" s="14"/>
      <c r="H236" s="71"/>
      <c r="J236" s="61">
        <f>Proba!B215/Proba!$H215</f>
        <v>1.4999999999999999E-4</v>
      </c>
      <c r="K236" s="61">
        <f>Proba!C215/Proba!$H215</f>
        <v>0.2281</v>
      </c>
      <c r="L236" s="61">
        <f>Proba!D215/Proba!$H215</f>
        <v>0.77175000000000005</v>
      </c>
      <c r="M236" s="61">
        <f>Proba!E215/Proba!$H215</f>
        <v>0</v>
      </c>
      <c r="N236" s="63"/>
      <c r="O236" s="35"/>
    </row>
    <row r="237" spans="1:15">
      <c r="A237" s="79"/>
      <c r="B237" t="s">
        <v>242</v>
      </c>
      <c r="C237" s="14">
        <f>Ontario!AW105/Ontario!$BA105</f>
        <v>0.52205546089078725</v>
      </c>
      <c r="D237" s="14">
        <f>Ontario!AX105/Ontario!$BA105</f>
        <v>0.40652269234187899</v>
      </c>
      <c r="E237" s="14">
        <f>Ontario!AY105/Ontario!$BA105</f>
        <v>5.0636983328689447E-2</v>
      </c>
      <c r="F237" s="14">
        <f>Ontario!AZ105/Ontario!$BA105</f>
        <v>2.0784863438644122E-2</v>
      </c>
      <c r="G237" s="14"/>
      <c r="H237" s="71"/>
      <c r="J237" s="61">
        <f>Proba!B216/Proba!$H216</f>
        <v>0.93779999999999997</v>
      </c>
      <c r="K237" s="61">
        <f>Proba!C216/Proba!$H216</f>
        <v>6.2199999999999998E-2</v>
      </c>
      <c r="L237" s="61">
        <f>Proba!D216/Proba!$H216</f>
        <v>0</v>
      </c>
      <c r="M237" s="61">
        <f>Proba!E216/Proba!$H216</f>
        <v>0</v>
      </c>
      <c r="N237" s="63"/>
      <c r="O237" s="35"/>
    </row>
    <row r="238" spans="1:15">
      <c r="A238" s="79"/>
      <c r="B238" t="s">
        <v>243</v>
      </c>
      <c r="C238" s="14">
        <f>Ontario!AW106/Ontario!$BA106</f>
        <v>0.17732385523603192</v>
      </c>
      <c r="D238" s="14">
        <f>Ontario!AX106/Ontario!$BA106</f>
        <v>0.39911247918847925</v>
      </c>
      <c r="E238" s="14">
        <f>Ontario!AY106/Ontario!$BA106</f>
        <v>0.40284116305812728</v>
      </c>
      <c r="F238" s="14">
        <f>Ontario!AZ106/Ontario!$BA106</f>
        <v>2.0722502517361567E-2</v>
      </c>
      <c r="G238" s="14"/>
      <c r="H238" s="71"/>
      <c r="J238" s="61">
        <f>Proba!B217/Proba!$H217</f>
        <v>0</v>
      </c>
      <c r="K238" s="61">
        <f>Proba!C217/Proba!$H217</f>
        <v>0.48814999999999997</v>
      </c>
      <c r="L238" s="61">
        <f>Proba!D217/Proba!$H217</f>
        <v>0.51185000000000003</v>
      </c>
      <c r="M238" s="61">
        <f>Proba!E217/Proba!$H217</f>
        <v>0</v>
      </c>
      <c r="N238" s="63"/>
      <c r="O238" s="35"/>
    </row>
    <row r="239" spans="1:15">
      <c r="A239" s="79"/>
      <c r="B239" t="s">
        <v>244</v>
      </c>
      <c r="C239" s="14">
        <f>Ontario!AW107/Ontario!$BA107</f>
        <v>0.20351159174592315</v>
      </c>
      <c r="D239" s="14">
        <f>Ontario!AX107/Ontario!$BA107</f>
        <v>0.34867920107805306</v>
      </c>
      <c r="E239" s="14">
        <f>Ontario!AY107/Ontario!$BA107</f>
        <v>0.42107034848770508</v>
      </c>
      <c r="F239" s="14">
        <f>Ontario!AZ107/Ontario!$BA107</f>
        <v>2.6738858688318611E-2</v>
      </c>
      <c r="G239" s="14"/>
      <c r="H239" s="71"/>
      <c r="J239" s="61">
        <f>Proba!B218/Proba!$H218</f>
        <v>0</v>
      </c>
      <c r="K239" s="61">
        <f>Proba!C218/Proba!$H218</f>
        <v>0.15540000000000001</v>
      </c>
      <c r="L239" s="61">
        <f>Proba!D218/Proba!$H218</f>
        <v>0.84460000000000002</v>
      </c>
      <c r="M239" s="61">
        <f>Proba!E218/Proba!$H218</f>
        <v>0</v>
      </c>
      <c r="N239" s="63"/>
      <c r="O239" s="35"/>
    </row>
    <row r="240" spans="1:15">
      <c r="A240" s="79"/>
      <c r="B240" t="s">
        <v>245</v>
      </c>
      <c r="C240" s="14">
        <f>Ontario!AW108/Ontario!$BA108</f>
        <v>0.22460267997750413</v>
      </c>
      <c r="D240" s="14">
        <f>Ontario!AX108/Ontario!$BA108</f>
        <v>0.34121184707054791</v>
      </c>
      <c r="E240" s="14">
        <f>Ontario!AY108/Ontario!$BA108</f>
        <v>0.41598896980579386</v>
      </c>
      <c r="F240" s="14">
        <f>Ontario!AZ108/Ontario!$BA108</f>
        <v>1.8196503146154116E-2</v>
      </c>
      <c r="G240" s="14"/>
      <c r="H240" s="71"/>
      <c r="J240" s="61">
        <f>Proba!B219/Proba!$H219</f>
        <v>5.9999999999999995E-4</v>
      </c>
      <c r="K240" s="61">
        <f>Proba!C219/Proba!$H219</f>
        <v>0.14765</v>
      </c>
      <c r="L240" s="61">
        <f>Proba!D219/Proba!$H219</f>
        <v>0.85175000000000001</v>
      </c>
      <c r="M240" s="61">
        <f>Proba!E219/Proba!$H219</f>
        <v>0</v>
      </c>
      <c r="N240" s="63"/>
      <c r="O240" s="35"/>
    </row>
    <row r="241" spans="1:15">
      <c r="A241" s="79"/>
      <c r="B241" t="s">
        <v>246</v>
      </c>
      <c r="C241" s="14">
        <f>Ontario!AW109/Ontario!$BA109</f>
        <v>0.15269957980879406</v>
      </c>
      <c r="D241" s="14">
        <f>Ontario!AX109/Ontario!$BA109</f>
        <v>0.54471933123594607</v>
      </c>
      <c r="E241" s="14">
        <f>Ontario!AY109/Ontario!$BA109</f>
        <v>0.2721043949166157</v>
      </c>
      <c r="F241" s="14">
        <f>Ontario!AZ109/Ontario!$BA109</f>
        <v>3.0476694038644291E-2</v>
      </c>
      <c r="G241" s="14"/>
      <c r="H241" s="71"/>
      <c r="J241" s="61">
        <f>Proba!B220/Proba!$H220</f>
        <v>0</v>
      </c>
      <c r="K241" s="61">
        <f>Proba!C220/Proba!$H220</f>
        <v>0.99990000000000001</v>
      </c>
      <c r="L241" s="61">
        <f>Proba!D220/Proba!$H220</f>
        <v>1E-4</v>
      </c>
      <c r="M241" s="61">
        <f>Proba!E220/Proba!$H220</f>
        <v>0</v>
      </c>
      <c r="N241" s="63"/>
      <c r="O241" s="35"/>
    </row>
    <row r="242" spans="1:15">
      <c r="A242" s="79"/>
      <c r="B242" t="s">
        <v>247</v>
      </c>
      <c r="C242" s="14">
        <f>Ontario!AW110/Ontario!$BA110</f>
        <v>3.2335128595939344E-2</v>
      </c>
      <c r="D242" s="14">
        <f>Ontario!AX110/Ontario!$BA110</f>
        <v>0.39340363817433871</v>
      </c>
      <c r="E242" s="14">
        <f>Ontario!AY110/Ontario!$BA110</f>
        <v>0.51444608581317353</v>
      </c>
      <c r="F242" s="14">
        <f>Ontario!AZ110/Ontario!$BA110</f>
        <v>5.9815147416548455E-2</v>
      </c>
      <c r="G242" s="14"/>
      <c r="H242" s="71"/>
      <c r="J242" s="61">
        <f>Proba!B221/Proba!$H221</f>
        <v>0</v>
      </c>
      <c r="K242" s="61">
        <f>Proba!C221/Proba!$H221</f>
        <v>6.8250000000000005E-2</v>
      </c>
      <c r="L242" s="61">
        <f>Proba!D221/Proba!$H221</f>
        <v>0.93174999999999997</v>
      </c>
      <c r="M242" s="61">
        <f>Proba!E221/Proba!$H221</f>
        <v>0</v>
      </c>
      <c r="N242" s="63"/>
      <c r="O242" s="35"/>
    </row>
    <row r="243" spans="1:15">
      <c r="A243" s="79"/>
      <c r="B243" t="s">
        <v>248</v>
      </c>
      <c r="C243" s="14">
        <f>Ontario!AW111/Ontario!$BA111</f>
        <v>0.22844759241531054</v>
      </c>
      <c r="D243" s="14">
        <f>Ontario!AX111/Ontario!$BA111</f>
        <v>0.57621900817763461</v>
      </c>
      <c r="E243" s="14">
        <f>Ontario!AY111/Ontario!$BA111</f>
        <v>0.15444348927207824</v>
      </c>
      <c r="F243" s="14">
        <f>Ontario!AZ111/Ontario!$BA111</f>
        <v>4.0889910134976726E-2</v>
      </c>
      <c r="G243" s="14"/>
      <c r="H243" s="71"/>
      <c r="J243" s="61">
        <f>Proba!B222/Proba!$H222</f>
        <v>0</v>
      </c>
      <c r="K243" s="61">
        <f>Proba!C222/Proba!$H222</f>
        <v>1</v>
      </c>
      <c r="L243" s="61">
        <f>Proba!D222/Proba!$H222</f>
        <v>0</v>
      </c>
      <c r="M243" s="61">
        <f>Proba!E222/Proba!$H222</f>
        <v>0</v>
      </c>
      <c r="N243" s="63"/>
      <c r="O243" s="35"/>
    </row>
    <row r="244" spans="1:15">
      <c r="A244" s="79"/>
      <c r="B244" t="s">
        <v>249</v>
      </c>
      <c r="C244" s="14">
        <f>Ontario!AW112/Ontario!$BA112</f>
        <v>0.10433896232640598</v>
      </c>
      <c r="D244" s="14">
        <f>Ontario!AX112/Ontario!$BA112</f>
        <v>0.49892003372746535</v>
      </c>
      <c r="E244" s="14">
        <f>Ontario!AY112/Ontario!$BA112</f>
        <v>0.35382958599000203</v>
      </c>
      <c r="F244" s="14">
        <f>Ontario!AZ112/Ontario!$BA112</f>
        <v>4.2911417956126643E-2</v>
      </c>
      <c r="G244" s="14"/>
      <c r="H244" s="71"/>
      <c r="J244" s="61">
        <f>Proba!B223/Proba!$H223</f>
        <v>0</v>
      </c>
      <c r="K244" s="61">
        <f>Proba!C223/Proba!$H223</f>
        <v>0.97645000000000004</v>
      </c>
      <c r="L244" s="61">
        <f>Proba!D223/Proba!$H223</f>
        <v>2.3550000000000001E-2</v>
      </c>
      <c r="M244" s="61">
        <f>Proba!E223/Proba!$H223</f>
        <v>0</v>
      </c>
      <c r="N244" s="63"/>
      <c r="O244" s="35"/>
    </row>
    <row r="245" spans="1:15">
      <c r="A245" s="79"/>
      <c r="B245" t="s">
        <v>250</v>
      </c>
      <c r="C245" s="14">
        <f>Ontario!AW113/Ontario!$BA113</f>
        <v>0.4543727642147985</v>
      </c>
      <c r="D245" s="14">
        <f>Ontario!AX113/Ontario!$BA113</f>
        <v>0.48682949486832577</v>
      </c>
      <c r="E245" s="14">
        <f>Ontario!AY113/Ontario!$BA113</f>
        <v>4.2565497988614504E-2</v>
      </c>
      <c r="F245" s="14">
        <f>Ontario!AZ113/Ontario!$BA113</f>
        <v>1.6232242928261326E-2</v>
      </c>
      <c r="G245" s="14"/>
      <c r="H245" s="71"/>
      <c r="J245" s="61">
        <f>Proba!B224/Proba!$H224</f>
        <v>0.34310000000000002</v>
      </c>
      <c r="K245" s="61">
        <f>Proba!C224/Proba!$H224</f>
        <v>0.65690000000000004</v>
      </c>
      <c r="L245" s="61">
        <f>Proba!D224/Proba!$H224</f>
        <v>0</v>
      </c>
      <c r="M245" s="61">
        <f>Proba!E224/Proba!$H224</f>
        <v>0</v>
      </c>
      <c r="N245" s="63"/>
      <c r="O245" s="35"/>
    </row>
    <row r="246" spans="1:15">
      <c r="A246" s="79"/>
      <c r="B246" t="s">
        <v>251</v>
      </c>
      <c r="C246" s="14">
        <f>Ontario!AW114/Ontario!$BA114</f>
        <v>0.31631222548505522</v>
      </c>
      <c r="D246" s="14">
        <f>Ontario!AX114/Ontario!$BA114</f>
        <v>0.55366870741652441</v>
      </c>
      <c r="E246" s="14">
        <f>Ontario!AY114/Ontario!$BA114</f>
        <v>8.7871177733762393E-2</v>
      </c>
      <c r="F246" s="14">
        <f>Ontario!AZ114/Ontario!$BA114</f>
        <v>4.2147889364657951E-2</v>
      </c>
      <c r="G246" s="14"/>
      <c r="H246" s="71"/>
      <c r="J246" s="61">
        <f>Proba!B225/Proba!$H225</f>
        <v>5.9999999999999995E-4</v>
      </c>
      <c r="K246" s="61">
        <f>Proba!C225/Proba!$H225</f>
        <v>0.99939999999999996</v>
      </c>
      <c r="L246" s="61">
        <f>Proba!D225/Proba!$H225</f>
        <v>0</v>
      </c>
      <c r="M246" s="61">
        <f>Proba!E225/Proba!$H225</f>
        <v>0</v>
      </c>
      <c r="N246" s="63"/>
      <c r="O246" s="35"/>
    </row>
    <row r="247" spans="1:15">
      <c r="A247" s="79"/>
      <c r="B247" t="s">
        <v>252</v>
      </c>
      <c r="C247" s="14">
        <f>Ontario!AW115/Ontario!$BA115</f>
        <v>0.54034339117744701</v>
      </c>
      <c r="D247" s="14">
        <f>Ontario!AX115/Ontario!$BA115</f>
        <v>0.33326298563195417</v>
      </c>
      <c r="E247" s="14">
        <f>Ontario!AY115/Ontario!$BA115</f>
        <v>6.7948664720622193E-2</v>
      </c>
      <c r="F247" s="14">
        <f>Ontario!AZ115/Ontario!$BA115</f>
        <v>5.8444958469976653E-2</v>
      </c>
      <c r="G247" s="14"/>
      <c r="H247" s="71"/>
      <c r="J247" s="61">
        <f>Proba!B226/Proba!$H226</f>
        <v>0.99765000000000004</v>
      </c>
      <c r="K247" s="61">
        <f>Proba!C226/Proba!$H226</f>
        <v>2.3500000000000001E-3</v>
      </c>
      <c r="L247" s="61">
        <f>Proba!D226/Proba!$H226</f>
        <v>0</v>
      </c>
      <c r="M247" s="61">
        <f>Proba!E226/Proba!$H226</f>
        <v>0</v>
      </c>
      <c r="N247" s="63"/>
      <c r="O247" s="35"/>
    </row>
    <row r="248" spans="1:15">
      <c r="A248" s="79"/>
      <c r="B248" t="s">
        <v>253</v>
      </c>
      <c r="C248" s="14">
        <f>Ontario!AW116/Ontario!$BA116</f>
        <v>0.46496457565802873</v>
      </c>
      <c r="D248" s="14">
        <f>Ontario!AX116/Ontario!$BA116</f>
        <v>0.43207011493094638</v>
      </c>
      <c r="E248" s="14">
        <f>Ontario!AY116/Ontario!$BA116</f>
        <v>9.3258721233543965E-2</v>
      </c>
      <c r="F248" s="14">
        <f>Ontario!AZ116/Ontario!$BA116</f>
        <v>9.7065881774809973E-3</v>
      </c>
      <c r="G248" s="14"/>
      <c r="H248" s="71"/>
      <c r="J248" s="61">
        <f>Proba!B227/Proba!$H227</f>
        <v>0.66515000000000002</v>
      </c>
      <c r="K248" s="61">
        <f>Proba!C227/Proba!$H227</f>
        <v>0.33484999999999998</v>
      </c>
      <c r="L248" s="61">
        <f>Proba!D227/Proba!$H227</f>
        <v>0</v>
      </c>
      <c r="M248" s="61">
        <f>Proba!E227/Proba!$H227</f>
        <v>0</v>
      </c>
      <c r="N248" s="63"/>
      <c r="O248" s="35"/>
    </row>
    <row r="249" spans="1:15">
      <c r="A249" s="79"/>
      <c r="B249" t="s">
        <v>254</v>
      </c>
      <c r="C249" s="14">
        <f>Ontario!AW117/Ontario!$BA117</f>
        <v>0.30123280586523898</v>
      </c>
      <c r="D249" s="14">
        <f>Ontario!AX117/Ontario!$BA117</f>
        <v>0.59679904755168534</v>
      </c>
      <c r="E249" s="14">
        <f>Ontario!AY117/Ontario!$BA117</f>
        <v>0.10196814658307575</v>
      </c>
      <c r="F249" s="14">
        <f>Ontario!AZ117/Ontario!$BA117</f>
        <v>0</v>
      </c>
      <c r="G249" s="14"/>
      <c r="H249" s="71"/>
      <c r="J249" s="61">
        <f>Proba!B228/Proba!$H228</f>
        <v>1E-4</v>
      </c>
      <c r="K249" s="61">
        <f>Proba!C228/Proba!$H228</f>
        <v>0.99990000000000001</v>
      </c>
      <c r="L249" s="61">
        <f>Proba!D228/Proba!$H228</f>
        <v>0</v>
      </c>
      <c r="M249" s="61">
        <f>Proba!E228/Proba!$H228</f>
        <v>0</v>
      </c>
      <c r="N249" s="63"/>
      <c r="O249" s="35"/>
    </row>
    <row r="250" spans="1:15">
      <c r="A250" s="79"/>
      <c r="B250" t="s">
        <v>255</v>
      </c>
      <c r="C250" s="14">
        <f>Ontario!AW118/Ontario!$BA118</f>
        <v>0.21809241190706627</v>
      </c>
      <c r="D250" s="14">
        <f>Ontario!AX118/Ontario!$BA118</f>
        <v>0.29204434605584739</v>
      </c>
      <c r="E250" s="14">
        <f>Ontario!AY118/Ontario!$BA118</f>
        <v>0.4659127738821926</v>
      </c>
      <c r="F250" s="14">
        <f>Ontario!AZ118/Ontario!$BA118</f>
        <v>2.3950468154893868E-2</v>
      </c>
      <c r="G250" s="14"/>
      <c r="H250" s="71"/>
      <c r="J250" s="61">
        <f>Proba!B229/Proba!$H229</f>
        <v>1E-4</v>
      </c>
      <c r="K250" s="61">
        <f>Proba!C229/Proba!$H229</f>
        <v>7.0000000000000001E-3</v>
      </c>
      <c r="L250" s="61">
        <f>Proba!D229/Proba!$H229</f>
        <v>0.9929</v>
      </c>
      <c r="M250" s="61">
        <f>Proba!E229/Proba!$H229</f>
        <v>0</v>
      </c>
      <c r="N250" s="63"/>
      <c r="O250" s="35"/>
    </row>
    <row r="251" spans="1:15">
      <c r="A251" s="79"/>
      <c r="B251" t="s">
        <v>256</v>
      </c>
      <c r="C251" s="14">
        <f>Ontario!AW119/Ontario!$BA119</f>
        <v>0.24594570188823775</v>
      </c>
      <c r="D251" s="14">
        <f>Ontario!AX119/Ontario!$BA119</f>
        <v>0.32404275341004368</v>
      </c>
      <c r="E251" s="14">
        <f>Ontario!AY119/Ontario!$BA119</f>
        <v>0.40223722899839121</v>
      </c>
      <c r="F251" s="14">
        <f>Ontario!AZ119/Ontario!$BA119</f>
        <v>2.7774315703327435E-2</v>
      </c>
      <c r="G251" s="14"/>
      <c r="H251" s="71"/>
      <c r="J251" s="61">
        <f>Proba!B230/Proba!$H230</f>
        <v>5.1000000000000004E-3</v>
      </c>
      <c r="K251" s="61">
        <f>Proba!C230/Proba!$H230</f>
        <v>0.12239999999999999</v>
      </c>
      <c r="L251" s="61">
        <f>Proba!D230/Proba!$H230</f>
        <v>0.87250000000000005</v>
      </c>
      <c r="M251" s="61">
        <f>Proba!E230/Proba!$H230</f>
        <v>0</v>
      </c>
      <c r="N251" s="63"/>
      <c r="O251" s="35"/>
    </row>
    <row r="252" spans="1:15">
      <c r="A252" s="79"/>
      <c r="B252" t="s">
        <v>257</v>
      </c>
      <c r="C252" s="14">
        <f>Ontario!AW120/Ontario!$BA120</f>
        <v>0.38416472565919096</v>
      </c>
      <c r="D252" s="14">
        <f>Ontario!AX120/Ontario!$BA120</f>
        <v>0.51231529748466675</v>
      </c>
      <c r="E252" s="14">
        <f>Ontario!AY120/Ontario!$BA120</f>
        <v>8.4364193086238007E-2</v>
      </c>
      <c r="F252" s="14">
        <f>Ontario!AZ120/Ontario!$BA120</f>
        <v>1.9155783769904188E-2</v>
      </c>
      <c r="G252" s="14"/>
      <c r="H252" s="71"/>
      <c r="J252" s="61">
        <f>Proba!B231/Proba!$H231</f>
        <v>3.9399999999999998E-2</v>
      </c>
      <c r="K252" s="61">
        <f>Proba!C231/Proba!$H231</f>
        <v>0.96060000000000001</v>
      </c>
      <c r="L252" s="61">
        <f>Proba!D231/Proba!$H231</f>
        <v>0</v>
      </c>
      <c r="M252" s="61">
        <f>Proba!E231/Proba!$H231</f>
        <v>0</v>
      </c>
      <c r="N252" s="63"/>
      <c r="O252" s="35"/>
    </row>
    <row r="253" spans="1:15">
      <c r="A253" s="79"/>
      <c r="B253" t="s">
        <v>258</v>
      </c>
      <c r="C253" s="14">
        <f>Ontario!AW121/Ontario!$BA121</f>
        <v>0.14585671799141653</v>
      </c>
      <c r="D253" s="14">
        <f>Ontario!AX121/Ontario!$BA121</f>
        <v>0.51706948205300052</v>
      </c>
      <c r="E253" s="14">
        <f>Ontario!AY121/Ontario!$BA121</f>
        <v>0.31319470462947457</v>
      </c>
      <c r="F253" s="14">
        <f>Ontario!AZ121/Ontario!$BA121</f>
        <v>2.3879095326108355E-2</v>
      </c>
      <c r="G253" s="14"/>
      <c r="H253" s="71"/>
      <c r="J253" s="61">
        <f>Proba!B232/Proba!$H232</f>
        <v>0</v>
      </c>
      <c r="K253" s="61">
        <f>Proba!C232/Proba!$H232</f>
        <v>0.99719999999999998</v>
      </c>
      <c r="L253" s="61">
        <f>Proba!D232/Proba!$H232</f>
        <v>2.8E-3</v>
      </c>
      <c r="M253" s="61">
        <f>Proba!E232/Proba!$H232</f>
        <v>0</v>
      </c>
      <c r="N253" s="63"/>
      <c r="O253" s="35"/>
    </row>
    <row r="254" spans="1:15">
      <c r="A254" s="79"/>
      <c r="B254" t="s">
        <v>259</v>
      </c>
      <c r="C254" s="14">
        <f>Ontario!AW122/Ontario!$BA122</f>
        <v>0.53332188618213838</v>
      </c>
      <c r="D254" s="14">
        <f>Ontario!AX122/Ontario!$BA122</f>
        <v>0.29940778784398842</v>
      </c>
      <c r="E254" s="14">
        <f>Ontario!AY122/Ontario!$BA122</f>
        <v>0.1185571916693674</v>
      </c>
      <c r="F254" s="14">
        <f>Ontario!AZ122/Ontario!$BA122</f>
        <v>4.8713134304505828E-2</v>
      </c>
      <c r="G254" s="14"/>
      <c r="H254" s="71"/>
      <c r="J254" s="61">
        <f>Proba!B233/Proba!$H233</f>
        <v>0.99909999999999999</v>
      </c>
      <c r="K254" s="61">
        <f>Proba!C233/Proba!$H233</f>
        <v>8.9999999999999998E-4</v>
      </c>
      <c r="L254" s="61">
        <f>Proba!D233/Proba!$H233</f>
        <v>0</v>
      </c>
      <c r="M254" s="61">
        <f>Proba!E233/Proba!$H233</f>
        <v>0</v>
      </c>
      <c r="N254" s="63"/>
      <c r="O254" s="35"/>
    </row>
    <row r="255" spans="1:15">
      <c r="A255" s="79" t="s">
        <v>260</v>
      </c>
      <c r="B255" t="s">
        <v>261</v>
      </c>
      <c r="C255" s="14">
        <f>Prairies!AO2/Prairies!$AS2</f>
        <v>0.4947160654649162</v>
      </c>
      <c r="D255" s="14">
        <f>Prairies!AP2/Prairies!$AS2</f>
        <v>0.26754452228396236</v>
      </c>
      <c r="E255" s="14">
        <f>Prairies!AQ2/Prairies!$AS2</f>
        <v>0.17580830576315529</v>
      </c>
      <c r="F255" s="14">
        <f>Prairies!AR2/Prairies!$AS2</f>
        <v>6.1931106487966216E-2</v>
      </c>
      <c r="G255" s="13"/>
      <c r="H255" s="68"/>
      <c r="J255" s="61">
        <f>Proba!B234/Proba!$H234</f>
        <v>0.99934999999999996</v>
      </c>
      <c r="K255" s="61">
        <f>Proba!C234/Proba!$H234</f>
        <v>6.4999999999999997E-4</v>
      </c>
      <c r="L255" s="61">
        <f>Proba!D234/Proba!$H234</f>
        <v>0</v>
      </c>
      <c r="M255" s="61">
        <f>Proba!E234/Proba!$H234</f>
        <v>0</v>
      </c>
      <c r="N255" s="63"/>
      <c r="O255" s="35"/>
    </row>
    <row r="256" spans="1:15">
      <c r="A256" s="79"/>
      <c r="B256" t="s">
        <v>262</v>
      </c>
      <c r="C256" s="14">
        <f>Prairies!AO3/Prairies!$AS3</f>
        <v>0.43123913611910392</v>
      </c>
      <c r="D256" s="14">
        <f>Prairies!AP3/Prairies!$AS3</f>
        <v>0.39384341114398347</v>
      </c>
      <c r="E256" s="14">
        <f>Prairies!AQ3/Prairies!$AS3</f>
        <v>0.13082007859219805</v>
      </c>
      <c r="F256" s="14">
        <f>Prairies!AR3/Prairies!$AS3</f>
        <v>4.4097374144714589E-2</v>
      </c>
      <c r="G256" s="13"/>
      <c r="H256" s="68"/>
      <c r="J256" s="61">
        <f>Proba!B235/Proba!$H235</f>
        <v>0.70009999999999994</v>
      </c>
      <c r="K256" s="61">
        <f>Proba!C235/Proba!$H235</f>
        <v>0.2999</v>
      </c>
      <c r="L256" s="61">
        <f>Proba!D235/Proba!$H235</f>
        <v>0</v>
      </c>
      <c r="M256" s="61">
        <f>Proba!E235/Proba!$H235</f>
        <v>0</v>
      </c>
      <c r="N256" s="63"/>
      <c r="O256" s="35"/>
    </row>
    <row r="257" spans="1:15">
      <c r="A257" s="79"/>
      <c r="B257" t="s">
        <v>263</v>
      </c>
      <c r="C257" s="14">
        <f>Prairies!AO4/Prairies!$AS4</f>
        <v>0.11998791768378089</v>
      </c>
      <c r="D257" s="14">
        <f>Prairies!AP4/Prairies!$AS4</f>
        <v>0.40682961040319765</v>
      </c>
      <c r="E257" s="14">
        <f>Prairies!AQ4/Prairies!$AS4</f>
        <v>0.44582918243861125</v>
      </c>
      <c r="F257" s="14">
        <f>Prairies!AR4/Prairies!$AS4</f>
        <v>2.7353289474410174E-2</v>
      </c>
      <c r="G257" s="13"/>
      <c r="H257" s="68"/>
      <c r="J257" s="61">
        <f>Proba!B236/Proba!$H236</f>
        <v>0</v>
      </c>
      <c r="K257" s="61">
        <f>Proba!C236/Proba!$H236</f>
        <v>0.29335</v>
      </c>
      <c r="L257" s="61">
        <f>Proba!D236/Proba!$H236</f>
        <v>0.70665</v>
      </c>
      <c r="M257" s="61">
        <f>Proba!E236/Proba!$H236</f>
        <v>0</v>
      </c>
      <c r="N257" s="63"/>
      <c r="O257" s="35"/>
    </row>
    <row r="258" spans="1:15">
      <c r="A258" s="79"/>
      <c r="B258" t="s">
        <v>264</v>
      </c>
      <c r="C258" s="14">
        <f>Prairies!AO5/Prairies!$AS5</f>
        <v>0.50182679300152322</v>
      </c>
      <c r="D258" s="14">
        <f>Prairies!AP5/Prairies!$AS5</f>
        <v>0.27347624864122849</v>
      </c>
      <c r="E258" s="14">
        <f>Prairies!AQ5/Prairies!$AS5</f>
        <v>0.17762872348525532</v>
      </c>
      <c r="F258" s="14">
        <f>Prairies!AR5/Prairies!$AS5</f>
        <v>4.706823487199302E-2</v>
      </c>
      <c r="G258" s="13"/>
      <c r="H258" s="68"/>
      <c r="J258" s="61">
        <f>Proba!B237/Proba!$H237</f>
        <v>0.99924999999999997</v>
      </c>
      <c r="K258" s="61">
        <f>Proba!C237/Proba!$H237</f>
        <v>7.5000000000000002E-4</v>
      </c>
      <c r="L258" s="61">
        <f>Proba!D237/Proba!$H237</f>
        <v>0</v>
      </c>
      <c r="M258" s="61">
        <f>Proba!E237/Proba!$H237</f>
        <v>0</v>
      </c>
      <c r="N258" s="63"/>
      <c r="O258" s="35"/>
    </row>
    <row r="259" spans="1:15">
      <c r="A259" s="79"/>
      <c r="B259" t="s">
        <v>265</v>
      </c>
      <c r="C259" s="14">
        <f>Prairies!AO6/Prairies!$AS6</f>
        <v>0.32415091340214575</v>
      </c>
      <c r="D259" s="14">
        <f>Prairies!AP6/Prairies!$AS6</f>
        <v>0.26177657819148942</v>
      </c>
      <c r="E259" s="14">
        <f>Prairies!AQ6/Prairies!$AS6</f>
        <v>0.37858556119361181</v>
      </c>
      <c r="F259" s="14">
        <f>Prairies!AR6/Prairies!$AS6</f>
        <v>3.5486947212752973E-2</v>
      </c>
      <c r="G259" s="13"/>
      <c r="H259" s="68"/>
      <c r="J259" s="61">
        <f>Proba!B238/Proba!$H238</f>
        <v>0.2059</v>
      </c>
      <c r="K259" s="61">
        <f>Proba!C238/Proba!$H238</f>
        <v>2.7050000000000001E-2</v>
      </c>
      <c r="L259" s="61">
        <f>Proba!D238/Proba!$H238</f>
        <v>0.76705000000000001</v>
      </c>
      <c r="M259" s="61">
        <f>Proba!E238/Proba!$H238</f>
        <v>0</v>
      </c>
      <c r="N259" s="63"/>
      <c r="O259" s="35"/>
    </row>
    <row r="260" spans="1:15">
      <c r="A260" s="79"/>
      <c r="B260" t="s">
        <v>266</v>
      </c>
      <c r="C260" s="14">
        <f>Prairies!AO7/Prairies!$AS7</f>
        <v>0.41815462373946832</v>
      </c>
      <c r="D260" s="14">
        <f>Prairies!AP7/Prairies!$AS7</f>
        <v>0.30563656548489021</v>
      </c>
      <c r="E260" s="14">
        <f>Prairies!AQ7/Prairies!$AS7</f>
        <v>0.24359508305144684</v>
      </c>
      <c r="F260" s="14">
        <f>Prairies!AR7/Prairies!$AS7</f>
        <v>3.2613727724194533E-2</v>
      </c>
      <c r="G260" s="13"/>
      <c r="H260" s="68"/>
      <c r="J260" s="61">
        <f>Proba!B239/Proba!$H239</f>
        <v>0.9405</v>
      </c>
      <c r="K260" s="61">
        <f>Proba!C239/Proba!$H239</f>
        <v>5.7250000000000002E-2</v>
      </c>
      <c r="L260" s="61">
        <f>Proba!D239/Proba!$H239</f>
        <v>2.2499999999999998E-3</v>
      </c>
      <c r="M260" s="61">
        <f>Proba!E239/Proba!$H239</f>
        <v>0</v>
      </c>
      <c r="N260" s="63"/>
      <c r="O260" s="35"/>
    </row>
    <row r="261" spans="1:15">
      <c r="A261" s="79"/>
      <c r="B261" t="s">
        <v>267</v>
      </c>
      <c r="C261" s="14">
        <f>Prairies!AO8/Prairies!$AS8</f>
        <v>0.62959451586778326</v>
      </c>
      <c r="D261" s="14">
        <f>Prairies!AP8/Prairies!$AS8</f>
        <v>0.27637304193984852</v>
      </c>
      <c r="E261" s="14">
        <f>Prairies!AQ8/Prairies!$AS8</f>
        <v>3.1680047230879263E-2</v>
      </c>
      <c r="F261" s="14">
        <f>Prairies!AR8/Prairies!$AS8</f>
        <v>6.2352394961488929E-2</v>
      </c>
      <c r="G261" s="13"/>
      <c r="H261" s="68"/>
      <c r="J261" s="61">
        <f>Proba!B240/Proba!$H240</f>
        <v>1</v>
      </c>
      <c r="K261" s="61">
        <f>Proba!C240/Proba!$H240</f>
        <v>0</v>
      </c>
      <c r="L261" s="61">
        <f>Proba!D240/Proba!$H240</f>
        <v>0</v>
      </c>
      <c r="M261" s="61">
        <f>Proba!E240/Proba!$H240</f>
        <v>0</v>
      </c>
      <c r="N261" s="63"/>
      <c r="O261" s="35"/>
    </row>
    <row r="262" spans="1:15">
      <c r="A262" s="79"/>
      <c r="B262" t="s">
        <v>268</v>
      </c>
      <c r="C262" s="14">
        <f>Prairies!AO9/Prairies!$AS9</f>
        <v>0.57027200415794932</v>
      </c>
      <c r="D262" s="14">
        <f>Prairies!AP9/Prairies!$AS9</f>
        <v>0.28227743650735027</v>
      </c>
      <c r="E262" s="14">
        <f>Prairies!AQ9/Prairies!$AS9</f>
        <v>0.11280694950205772</v>
      </c>
      <c r="F262" s="14">
        <f>Prairies!AR9/Prairies!$AS9</f>
        <v>3.4643609832642676E-2</v>
      </c>
      <c r="G262" s="13"/>
      <c r="H262" s="68"/>
      <c r="J262" s="61">
        <f>Proba!B241/Proba!$H241</f>
        <v>1</v>
      </c>
      <c r="K262" s="61">
        <f>Proba!C241/Proba!$H241</f>
        <v>0</v>
      </c>
      <c r="L262" s="61">
        <f>Proba!D241/Proba!$H241</f>
        <v>0</v>
      </c>
      <c r="M262" s="61">
        <f>Proba!E241/Proba!$H241</f>
        <v>0</v>
      </c>
      <c r="N262" s="63"/>
      <c r="O262" s="35"/>
    </row>
    <row r="263" spans="1:15">
      <c r="A263" s="79"/>
      <c r="B263" t="s">
        <v>269</v>
      </c>
      <c r="C263" s="14">
        <f>Prairies!AO10/Prairies!$AS10</f>
        <v>0.35948550970025717</v>
      </c>
      <c r="D263" s="14">
        <f>Prairies!AP10/Prairies!$AS10</f>
        <v>0.52017638822548684</v>
      </c>
      <c r="E263" s="14">
        <f>Prairies!AQ10/Prairies!$AS10</f>
        <v>8.688067967155963E-2</v>
      </c>
      <c r="F263" s="14">
        <f>Prairies!AR10/Prairies!$AS10</f>
        <v>3.3457422402696287E-2</v>
      </c>
      <c r="G263" s="13"/>
      <c r="H263" s="68"/>
      <c r="J263" s="61">
        <f>Proba!B242/Proba!$H242</f>
        <v>1.2699999999999999E-2</v>
      </c>
      <c r="K263" s="61">
        <f>Proba!C242/Proba!$H242</f>
        <v>0.98729999999999996</v>
      </c>
      <c r="L263" s="61">
        <f>Proba!D242/Proba!$H242</f>
        <v>0</v>
      </c>
      <c r="M263" s="61">
        <f>Proba!E242/Proba!$H242</f>
        <v>0</v>
      </c>
      <c r="N263" s="63"/>
      <c r="O263" s="35"/>
    </row>
    <row r="264" spans="1:15">
      <c r="A264" s="79"/>
      <c r="B264" t="s">
        <v>270</v>
      </c>
      <c r="C264" s="14">
        <f>Prairies!AO11/Prairies!$AS11</f>
        <v>0.52181251777061177</v>
      </c>
      <c r="D264" s="14">
        <f>Prairies!AP11/Prairies!$AS11</f>
        <v>0.25886859000832585</v>
      </c>
      <c r="E264" s="14">
        <f>Prairies!AQ11/Prairies!$AS11</f>
        <v>0.1801932884012333</v>
      </c>
      <c r="F264" s="14">
        <f>Prairies!AR11/Prairies!$AS11</f>
        <v>3.9125603819829019E-2</v>
      </c>
      <c r="G264" s="13"/>
      <c r="H264" s="68"/>
      <c r="J264" s="61">
        <f>Proba!B243/Proba!$H243</f>
        <v>0.99995000000000001</v>
      </c>
      <c r="K264" s="61">
        <f>Proba!C243/Proba!$H243</f>
        <v>5.0000000000000002E-5</v>
      </c>
      <c r="L264" s="61">
        <f>Proba!D243/Proba!$H243</f>
        <v>0</v>
      </c>
      <c r="M264" s="61">
        <f>Proba!E243/Proba!$H243</f>
        <v>0</v>
      </c>
      <c r="N264" s="63"/>
      <c r="O264" s="35"/>
    </row>
    <row r="265" spans="1:15">
      <c r="A265" s="79"/>
      <c r="B265" t="s">
        <v>271</v>
      </c>
      <c r="C265" s="14">
        <f>Prairies!AO12/Prairies!$AS12</f>
        <v>0.13530579806063867</v>
      </c>
      <c r="D265" s="14">
        <f>Prairies!AP12/Prairies!$AS12</f>
        <v>0.32070903774368859</v>
      </c>
      <c r="E265" s="14">
        <f>Prairies!AQ12/Prairies!$AS12</f>
        <v>0.46843502290993</v>
      </c>
      <c r="F265" s="14">
        <f>Prairies!AR12/Prairies!$AS12</f>
        <v>7.5550141285742778E-2</v>
      </c>
      <c r="G265" s="13"/>
      <c r="H265" s="68"/>
      <c r="J265" s="61">
        <f>Proba!B244/Proba!$H244</f>
        <v>0</v>
      </c>
      <c r="K265" s="61">
        <f>Proba!C244/Proba!$H244</f>
        <v>2.0449999999999999E-2</v>
      </c>
      <c r="L265" s="61">
        <f>Proba!D244/Proba!$H244</f>
        <v>0.97955000000000003</v>
      </c>
      <c r="M265" s="61">
        <f>Proba!E244/Proba!$H244</f>
        <v>0</v>
      </c>
      <c r="N265" s="63"/>
      <c r="O265" s="35"/>
    </row>
    <row r="266" spans="1:15">
      <c r="A266" s="79"/>
      <c r="B266" t="s">
        <v>272</v>
      </c>
      <c r="C266" s="14">
        <f>Prairies!AO13/Prairies!$AS13</f>
        <v>0.13235621827037894</v>
      </c>
      <c r="D266" s="14">
        <f>Prairies!AP13/Prairies!$AS13</f>
        <v>0.56056293438200544</v>
      </c>
      <c r="E266" s="14">
        <f>Prairies!AQ13/Prairies!$AS13</f>
        <v>0.28453432280713392</v>
      </c>
      <c r="F266" s="14">
        <f>Prairies!AR13/Prairies!$AS13</f>
        <v>2.254652454048164E-2</v>
      </c>
      <c r="G266" s="13"/>
      <c r="H266" s="68"/>
      <c r="J266" s="61">
        <f>Proba!B245/Proba!$H245</f>
        <v>0</v>
      </c>
      <c r="K266" s="61">
        <f>Proba!C245/Proba!$H245</f>
        <v>1</v>
      </c>
      <c r="L266" s="61">
        <f>Proba!D245/Proba!$H245</f>
        <v>0</v>
      </c>
      <c r="M266" s="61">
        <f>Proba!E245/Proba!$H245</f>
        <v>0</v>
      </c>
      <c r="N266" s="63"/>
      <c r="O266" s="35"/>
    </row>
    <row r="267" spans="1:15">
      <c r="A267" s="79"/>
      <c r="B267" t="s">
        <v>273</v>
      </c>
      <c r="C267" s="14">
        <f>Prairies!AO14/Prairies!$AS14</f>
        <v>0.34268796388306344</v>
      </c>
      <c r="D267" s="14">
        <f>Prairies!AP14/Prairies!$AS14</f>
        <v>0.55592148710254718</v>
      </c>
      <c r="E267" s="14">
        <f>Prairies!AQ14/Prairies!$AS14</f>
        <v>7.4048673144285454E-2</v>
      </c>
      <c r="F267" s="14">
        <f>Prairies!AR14/Prairies!$AS14</f>
        <v>2.7341875870103973E-2</v>
      </c>
      <c r="G267" s="13"/>
      <c r="H267" s="68"/>
      <c r="J267" s="61">
        <f>Proba!B246/Proba!$H246</f>
        <v>2E-3</v>
      </c>
      <c r="K267" s="61">
        <f>Proba!C246/Proba!$H246</f>
        <v>0.998</v>
      </c>
      <c r="L267" s="61">
        <f>Proba!D246/Proba!$H246</f>
        <v>0</v>
      </c>
      <c r="M267" s="61">
        <f>Proba!E246/Proba!$H246</f>
        <v>0</v>
      </c>
      <c r="N267" s="63"/>
      <c r="O267" s="35"/>
    </row>
    <row r="268" spans="1:15">
      <c r="A268" s="79"/>
      <c r="B268" t="s">
        <v>274</v>
      </c>
      <c r="C268" s="14">
        <f>Prairies!AO15/Prairies!$AS15</f>
        <v>0.29658081628121158</v>
      </c>
      <c r="D268" s="14">
        <f>Prairies!AP15/Prairies!$AS15</f>
        <v>0.52528580894013177</v>
      </c>
      <c r="E268" s="14">
        <f>Prairies!AQ15/Prairies!$AS15</f>
        <v>0.14047504945588782</v>
      </c>
      <c r="F268" s="14">
        <f>Prairies!AR15/Prairies!$AS15</f>
        <v>3.765832532276886E-2</v>
      </c>
      <c r="G268" s="13"/>
      <c r="H268" s="68"/>
      <c r="J268" s="61">
        <f>Proba!B247/Proba!$H247</f>
        <v>6.4999999999999997E-4</v>
      </c>
      <c r="K268" s="61">
        <f>Proba!C247/Proba!$H247</f>
        <v>0.99934999999999996</v>
      </c>
      <c r="L268" s="61">
        <f>Proba!D247/Proba!$H247</f>
        <v>0</v>
      </c>
      <c r="M268" s="61">
        <f>Proba!E247/Proba!$H247</f>
        <v>0</v>
      </c>
      <c r="N268" s="63"/>
      <c r="O268" s="35"/>
    </row>
    <row r="269" spans="1:15">
      <c r="A269" s="79" t="s">
        <v>275</v>
      </c>
      <c r="B269" t="s">
        <v>276</v>
      </c>
      <c r="C269" s="14">
        <f>Prairies!AO16/Prairies!$AS16</f>
        <v>0.51117661710249496</v>
      </c>
      <c r="D269" s="14">
        <f>Prairies!AP16/Prairies!$AS16</f>
        <v>0.23792274186646339</v>
      </c>
      <c r="E269" s="14">
        <f>Prairies!AQ16/Prairies!$AS16</f>
        <v>0.22023416749049535</v>
      </c>
      <c r="F269" s="14">
        <f>Prairies!AR16/Prairies!$AS16</f>
        <v>3.0666473540546319E-2</v>
      </c>
      <c r="G269" s="13"/>
      <c r="H269" s="68"/>
      <c r="J269" s="61">
        <f>Proba!B248/Proba!$H248</f>
        <v>0.99995000000000001</v>
      </c>
      <c r="K269" s="61">
        <f>Proba!C248/Proba!$H248</f>
        <v>5.0000000000000002E-5</v>
      </c>
      <c r="L269" s="61">
        <f>Proba!D248/Proba!$H248</f>
        <v>0</v>
      </c>
      <c r="M269" s="61">
        <f>Proba!E248/Proba!$H248</f>
        <v>0</v>
      </c>
      <c r="N269" s="63"/>
      <c r="O269" s="35"/>
    </row>
    <row r="270" spans="1:15">
      <c r="A270" s="79"/>
      <c r="B270" t="s">
        <v>277</v>
      </c>
      <c r="C270" s="14">
        <f>Prairies!AO17/Prairies!$AS17</f>
        <v>0.55772103333728673</v>
      </c>
      <c r="D270" s="14">
        <f>Prairies!AP17/Prairies!$AS17</f>
        <v>0.26244558787159539</v>
      </c>
      <c r="E270" s="14">
        <f>Prairies!AQ17/Prairies!$AS17</f>
        <v>0.1474727950456205</v>
      </c>
      <c r="F270" s="14">
        <f>Prairies!AR17/Prairies!$AS17</f>
        <v>3.2360583745497364E-2</v>
      </c>
      <c r="G270" s="13"/>
      <c r="H270" s="68"/>
      <c r="J270" s="61">
        <f>Proba!B249/Proba!$H249</f>
        <v>1</v>
      </c>
      <c r="K270" s="61">
        <f>Proba!C249/Proba!$H249</f>
        <v>0</v>
      </c>
      <c r="L270" s="61">
        <f>Proba!D249/Proba!$H249</f>
        <v>0</v>
      </c>
      <c r="M270" s="61">
        <f>Proba!E249/Proba!$H249</f>
        <v>0</v>
      </c>
      <c r="N270" s="63"/>
      <c r="O270" s="35"/>
    </row>
    <row r="271" spans="1:15">
      <c r="A271" s="79"/>
      <c r="B271" t="s">
        <v>278</v>
      </c>
      <c r="C271" s="14">
        <f>Prairies!AO18/Prairies!$AS18</f>
        <v>0.31991281321766774</v>
      </c>
      <c r="D271" s="14">
        <f>Prairies!AP18/Prairies!$AS18</f>
        <v>0.25668477949344626</v>
      </c>
      <c r="E271" s="14">
        <f>Prairies!AQ18/Prairies!$AS18</f>
        <v>0.39418342921558813</v>
      </c>
      <c r="F271" s="14">
        <f>Prairies!AR18/Prairies!$AS18</f>
        <v>2.9218978073297822E-2</v>
      </c>
      <c r="G271" s="13"/>
      <c r="H271" s="68"/>
      <c r="J271" s="61">
        <f>Proba!B250/Proba!$H250</f>
        <v>0.13755000000000001</v>
      </c>
      <c r="K271" s="61">
        <f>Proba!C250/Proba!$H250</f>
        <v>1.3899999999999999E-2</v>
      </c>
      <c r="L271" s="61">
        <f>Proba!D250/Proba!$H250</f>
        <v>0.84855000000000003</v>
      </c>
      <c r="M271" s="61">
        <f>Proba!E250/Proba!$H250</f>
        <v>0</v>
      </c>
      <c r="N271" s="63"/>
      <c r="O271" s="35"/>
    </row>
    <row r="272" spans="1:15">
      <c r="A272" s="79"/>
      <c r="B272" t="s">
        <v>279</v>
      </c>
      <c r="C272" s="14">
        <f>Prairies!AO19/Prairies!$AS19</f>
        <v>0.53913430255589379</v>
      </c>
      <c r="D272" s="14">
        <f>Prairies!AP19/Prairies!$AS19</f>
        <v>0.24498442544050905</v>
      </c>
      <c r="E272" s="14">
        <f>Prairies!AQ19/Prairies!$AS19</f>
        <v>0.18494544853959927</v>
      </c>
      <c r="F272" s="14">
        <f>Prairies!AR19/Prairies!$AS19</f>
        <v>3.093582346399789E-2</v>
      </c>
      <c r="G272" s="13"/>
      <c r="H272" s="68"/>
      <c r="J272" s="61">
        <f>Proba!B251/Proba!$H251</f>
        <v>1</v>
      </c>
      <c r="K272" s="61">
        <f>Proba!C251/Proba!$H251</f>
        <v>0</v>
      </c>
      <c r="L272" s="61">
        <f>Proba!D251/Proba!$H251</f>
        <v>0</v>
      </c>
      <c r="M272" s="61">
        <f>Proba!E251/Proba!$H251</f>
        <v>0</v>
      </c>
      <c r="N272" s="63"/>
      <c r="O272" s="35"/>
    </row>
    <row r="273" spans="1:15">
      <c r="A273" s="79"/>
      <c r="B273" t="s">
        <v>280</v>
      </c>
      <c r="C273" s="14">
        <f>Prairies!AO20/Prairies!$AS20</f>
        <v>0.46125920307136897</v>
      </c>
      <c r="D273" s="14">
        <f>Prairies!AP20/Prairies!$AS20</f>
        <v>0.24191524289495508</v>
      </c>
      <c r="E273" s="14">
        <f>Prairies!AQ20/Prairies!$AS20</f>
        <v>0.26516202168094816</v>
      </c>
      <c r="F273" s="14">
        <f>Prairies!AR20/Prairies!$AS20</f>
        <v>3.1663532352727973E-2</v>
      </c>
      <c r="G273" s="13"/>
      <c r="H273" s="68"/>
      <c r="J273" s="61">
        <f>Proba!B252/Proba!$H252</f>
        <v>0.998</v>
      </c>
      <c r="K273" s="61">
        <f>Proba!C252/Proba!$H252</f>
        <v>1.1999999999999999E-3</v>
      </c>
      <c r="L273" s="61">
        <f>Proba!D252/Proba!$H252</f>
        <v>8.0000000000000004E-4</v>
      </c>
      <c r="M273" s="61">
        <f>Proba!E252/Proba!$H252</f>
        <v>0</v>
      </c>
      <c r="N273" s="63"/>
      <c r="O273" s="35"/>
    </row>
    <row r="274" spans="1:15">
      <c r="A274" s="79"/>
      <c r="B274" t="s">
        <v>281</v>
      </c>
      <c r="C274" s="14">
        <f>Prairies!AO21/Prairies!$AS21</f>
        <v>0.47780723665099023</v>
      </c>
      <c r="D274" s="14">
        <f>Prairies!AP21/Prairies!$AS21</f>
        <v>0.23947782183622288</v>
      </c>
      <c r="E274" s="14">
        <f>Prairies!AQ21/Prairies!$AS21</f>
        <v>0.25583380574212117</v>
      </c>
      <c r="F274" s="14">
        <f>Prairies!AR21/Prairies!$AS21</f>
        <v>2.6881135770665712E-2</v>
      </c>
      <c r="G274" s="13"/>
      <c r="H274" s="68"/>
      <c r="J274" s="61">
        <f>Proba!B253/Proba!$H253</f>
        <v>0.99895</v>
      </c>
      <c r="K274" s="61">
        <f>Proba!C253/Proba!$H253</f>
        <v>4.4999999999999999E-4</v>
      </c>
      <c r="L274" s="61">
        <f>Proba!D253/Proba!$H253</f>
        <v>5.9999999999999995E-4</v>
      </c>
      <c r="M274" s="61">
        <f>Proba!E253/Proba!$H253</f>
        <v>0</v>
      </c>
      <c r="N274" s="63"/>
      <c r="O274" s="35"/>
    </row>
    <row r="275" spans="1:15">
      <c r="A275" s="79"/>
      <c r="B275" t="s">
        <v>282</v>
      </c>
      <c r="C275" s="14">
        <f>Prairies!AO22/Prairies!$AS22</f>
        <v>0.34255518281358555</v>
      </c>
      <c r="D275" s="14">
        <f>Prairies!AP22/Prairies!$AS22</f>
        <v>0.29469919862334765</v>
      </c>
      <c r="E275" s="14">
        <f>Prairies!AQ22/Prairies!$AS22</f>
        <v>0.33092108183472368</v>
      </c>
      <c r="F275" s="14">
        <f>Prairies!AR22/Prairies!$AS22</f>
        <v>3.1824536728343032E-2</v>
      </c>
      <c r="G275" s="13"/>
      <c r="H275" s="68"/>
      <c r="J275" s="61">
        <f>Proba!B254/Proba!$H254</f>
        <v>0.49625000000000002</v>
      </c>
      <c r="K275" s="61">
        <f>Proba!C254/Proba!$H254</f>
        <v>0.13894999999999999</v>
      </c>
      <c r="L275" s="61">
        <f>Proba!D254/Proba!$H254</f>
        <v>0.36480000000000001</v>
      </c>
      <c r="M275" s="61">
        <f>Proba!E254/Proba!$H254</f>
        <v>0</v>
      </c>
      <c r="N275" s="63"/>
      <c r="O275" s="35"/>
    </row>
    <row r="276" spans="1:15">
      <c r="A276" s="79"/>
      <c r="B276" t="s">
        <v>283</v>
      </c>
      <c r="C276" s="14">
        <f>Prairies!AO23/Prairies!$AS23</f>
        <v>0.38632596675145792</v>
      </c>
      <c r="D276" s="14">
        <f>Prairies!AP23/Prairies!$AS23</f>
        <v>0.26439567617216869</v>
      </c>
      <c r="E276" s="14">
        <f>Prairies!AQ23/Prairies!$AS23</f>
        <v>0.31470236568441501</v>
      </c>
      <c r="F276" s="14">
        <f>Prairies!AR23/Prairies!$AS23</f>
        <v>3.4575991391958376E-2</v>
      </c>
      <c r="G276" s="13"/>
      <c r="H276" s="68"/>
      <c r="J276" s="61">
        <f>Proba!B255/Proba!$H255</f>
        <v>0.83665</v>
      </c>
      <c r="K276" s="61">
        <f>Proba!C255/Proba!$H255</f>
        <v>3.1300000000000001E-2</v>
      </c>
      <c r="L276" s="61">
        <f>Proba!D255/Proba!$H255</f>
        <v>0.13205</v>
      </c>
      <c r="M276" s="61">
        <f>Proba!E255/Proba!$H255</f>
        <v>0</v>
      </c>
      <c r="N276" s="63"/>
      <c r="O276" s="35"/>
    </row>
    <row r="277" spans="1:15">
      <c r="A277" s="79"/>
      <c r="B277" t="s">
        <v>284</v>
      </c>
      <c r="C277" s="14">
        <f>Prairies!AO24/Prairies!$AS24</f>
        <v>0.20848331122200245</v>
      </c>
      <c r="D277" s="14">
        <f>Prairies!AP24/Prairies!$AS24</f>
        <v>0.6392378748805323</v>
      </c>
      <c r="E277" s="14">
        <f>Prairies!AQ24/Prairies!$AS24</f>
        <v>0.12383860503910898</v>
      </c>
      <c r="F277" s="14">
        <f>Prairies!AR24/Prairies!$AS24</f>
        <v>2.8440208858356183E-2</v>
      </c>
      <c r="G277" s="13"/>
      <c r="H277" s="68"/>
      <c r="J277" s="61">
        <f>Proba!B256/Proba!$H256</f>
        <v>0</v>
      </c>
      <c r="K277" s="61">
        <f>Proba!C256/Proba!$H256</f>
        <v>1</v>
      </c>
      <c r="L277" s="61">
        <f>Proba!D256/Proba!$H256</f>
        <v>0</v>
      </c>
      <c r="M277" s="61">
        <f>Proba!E256/Proba!$H256</f>
        <v>0</v>
      </c>
      <c r="N277" s="63"/>
      <c r="O277" s="35"/>
    </row>
    <row r="278" spans="1:15">
      <c r="A278" s="79"/>
      <c r="B278" t="s">
        <v>285</v>
      </c>
      <c r="C278" s="14">
        <f>Prairies!AO25/Prairies!$AS25</f>
        <v>0.32452529148102904</v>
      </c>
      <c r="D278" s="14">
        <f>Prairies!AP25/Prairies!$AS25</f>
        <v>0.30305886218288658</v>
      </c>
      <c r="E278" s="14">
        <f>Prairies!AQ25/Prairies!$AS25</f>
        <v>0.34141378520739352</v>
      </c>
      <c r="F278" s="14">
        <f>Prairies!AR25/Prairies!$AS25</f>
        <v>3.1002061128691069E-2</v>
      </c>
      <c r="G278" s="13"/>
      <c r="H278" s="68"/>
      <c r="J278" s="61">
        <f>Proba!B257/Proba!$H257</f>
        <v>0.3231</v>
      </c>
      <c r="K278" s="61">
        <f>Proba!C257/Proba!$H257</f>
        <v>0.19234999999999999</v>
      </c>
      <c r="L278" s="61">
        <f>Proba!D257/Proba!$H257</f>
        <v>0.48454999999999998</v>
      </c>
      <c r="M278" s="61">
        <f>Proba!E257/Proba!$H257</f>
        <v>0</v>
      </c>
      <c r="N278" s="63"/>
      <c r="O278" s="35"/>
    </row>
    <row r="279" spans="1:15">
      <c r="A279" s="79"/>
      <c r="B279" t="s">
        <v>286</v>
      </c>
      <c r="C279" s="14">
        <f>Prairies!AO26/Prairies!$AS26</f>
        <v>0.34174253534376897</v>
      </c>
      <c r="D279" s="14">
        <f>Prairies!AP26/Prairies!$AS26</f>
        <v>0.31443549587692105</v>
      </c>
      <c r="E279" s="14">
        <f>Prairies!AQ26/Prairies!$AS26</f>
        <v>0.30968226783177399</v>
      </c>
      <c r="F279" s="14">
        <f>Prairies!AR26/Prairies!$AS26</f>
        <v>3.4139700947535996E-2</v>
      </c>
      <c r="G279" s="13"/>
      <c r="H279" s="68"/>
      <c r="J279" s="61">
        <f>Proba!B258/Proba!$H258</f>
        <v>0.52200000000000002</v>
      </c>
      <c r="K279" s="61">
        <f>Proba!C258/Proba!$H258</f>
        <v>0.26900000000000002</v>
      </c>
      <c r="L279" s="61">
        <f>Proba!D258/Proba!$H258</f>
        <v>0.20899999999999999</v>
      </c>
      <c r="M279" s="61">
        <f>Proba!E258/Proba!$H258</f>
        <v>0</v>
      </c>
      <c r="N279" s="63"/>
      <c r="O279" s="35"/>
    </row>
    <row r="280" spans="1:15">
      <c r="A280" s="79"/>
      <c r="B280" t="s">
        <v>287</v>
      </c>
      <c r="C280" s="14">
        <f>Prairies!AO27/Prairies!$AS27</f>
        <v>0.28817252343437832</v>
      </c>
      <c r="D280" s="14">
        <f>Prairies!AP27/Prairies!$AS27</f>
        <v>0.29935791954150004</v>
      </c>
      <c r="E280" s="14">
        <f>Prairies!AQ27/Prairies!$AS27</f>
        <v>0.38156299649179265</v>
      </c>
      <c r="F280" s="14">
        <f>Prairies!AR27/Prairies!$AS27</f>
        <v>3.090656053232901E-2</v>
      </c>
      <c r="G280" s="13"/>
      <c r="H280" s="68"/>
      <c r="J280" s="61">
        <f>Proba!B259/Proba!$H259</f>
        <v>6.8250000000000005E-2</v>
      </c>
      <c r="K280" s="61">
        <f>Proba!C259/Proba!$H259</f>
        <v>0.1095</v>
      </c>
      <c r="L280" s="61">
        <f>Proba!D259/Proba!$H259</f>
        <v>0.82225000000000004</v>
      </c>
      <c r="M280" s="61">
        <f>Proba!E259/Proba!$H259</f>
        <v>0</v>
      </c>
      <c r="N280" s="63"/>
      <c r="O280" s="35"/>
    </row>
    <row r="281" spans="1:15">
      <c r="A281" s="79"/>
      <c r="B281" t="s">
        <v>288</v>
      </c>
      <c r="C281" s="14">
        <f>Prairies!AO28/Prairies!$AS28</f>
        <v>0.56062053187354455</v>
      </c>
      <c r="D281" s="14">
        <f>Prairies!AP28/Prairies!$AS28</f>
        <v>0.2723101913584004</v>
      </c>
      <c r="E281" s="14">
        <f>Prairies!AQ28/Prairies!$AS28</f>
        <v>0.130139994857254</v>
      </c>
      <c r="F281" s="14">
        <f>Prairies!AR28/Prairies!$AS28</f>
        <v>3.6929281910801026E-2</v>
      </c>
      <c r="G281" s="13"/>
      <c r="H281" s="68"/>
      <c r="J281" s="61">
        <f>Proba!B260/Proba!$H260</f>
        <v>0.99995000000000001</v>
      </c>
      <c r="K281" s="61">
        <f>Proba!C260/Proba!$H260</f>
        <v>5.0000000000000002E-5</v>
      </c>
      <c r="L281" s="61">
        <f>Proba!D260/Proba!$H260</f>
        <v>0</v>
      </c>
      <c r="M281" s="61">
        <f>Proba!E260/Proba!$H260</f>
        <v>0</v>
      </c>
      <c r="N281" s="63"/>
      <c r="O281" s="35"/>
    </row>
    <row r="282" spans="1:15">
      <c r="A282" s="79"/>
      <c r="B282" t="s">
        <v>289</v>
      </c>
      <c r="C282" s="14">
        <f>Prairies!AO29/Prairies!$AS29</f>
        <v>0.51968117072691644</v>
      </c>
      <c r="D282" s="14">
        <f>Prairies!AP29/Prairies!$AS29</f>
        <v>0.28353782634375496</v>
      </c>
      <c r="E282" s="14">
        <f>Prairies!AQ29/Prairies!$AS29</f>
        <v>0.16698640515760596</v>
      </c>
      <c r="F282" s="14">
        <f>Prairies!AR29/Prairies!$AS29</f>
        <v>2.9794597771722667E-2</v>
      </c>
      <c r="G282" s="13"/>
      <c r="H282" s="68"/>
      <c r="J282" s="61">
        <f>Proba!B261/Proba!$H261</f>
        <v>0.999</v>
      </c>
      <c r="K282" s="61">
        <f>Proba!C261/Proba!$H261</f>
        <v>1E-3</v>
      </c>
      <c r="L282" s="61">
        <f>Proba!D261/Proba!$H261</f>
        <v>0</v>
      </c>
      <c r="M282" s="61">
        <f>Proba!E261/Proba!$H261</f>
        <v>0</v>
      </c>
      <c r="N282" s="63"/>
      <c r="O282" s="35"/>
    </row>
    <row r="283" spans="1:15">
      <c r="A283" s="79" t="s">
        <v>290</v>
      </c>
      <c r="B283" t="s">
        <v>291</v>
      </c>
      <c r="C283" s="14">
        <f>Alberta!AN2/Alberta!$AS2</f>
        <v>0.58398222188303583</v>
      </c>
      <c r="D283" s="14">
        <f>Alberta!AO2/Alberta!$AS2</f>
        <v>0.235115391397476</v>
      </c>
      <c r="E283" s="14">
        <f>Alberta!AP2/Alberta!$AS2</f>
        <v>0.12355887503783269</v>
      </c>
      <c r="F283" s="14">
        <f>Alberta!AQ2/Alberta!$AS2</f>
        <v>5.7343511681655523E-2</v>
      </c>
      <c r="G283" s="13"/>
      <c r="H283" s="68"/>
      <c r="J283" s="61">
        <f>Proba!B262/Proba!$H262</f>
        <v>1</v>
      </c>
      <c r="K283" s="61">
        <f>Proba!C262/Proba!$H262</f>
        <v>0</v>
      </c>
      <c r="L283" s="61">
        <f>Proba!D262/Proba!$H262</f>
        <v>0</v>
      </c>
      <c r="M283" s="61">
        <f>Proba!E262/Proba!$H262</f>
        <v>0</v>
      </c>
      <c r="N283" s="63"/>
      <c r="O283" s="35"/>
    </row>
    <row r="284" spans="1:15">
      <c r="A284" s="79"/>
      <c r="B284" t="s">
        <v>292</v>
      </c>
      <c r="C284" s="14">
        <f>Alberta!AN3/Alberta!$AS3</f>
        <v>0.71083206603761062</v>
      </c>
      <c r="D284" s="14">
        <f>Alberta!AO3/Alberta!$AS3</f>
        <v>0.17784600064469838</v>
      </c>
      <c r="E284" s="14">
        <f>Alberta!AP3/Alberta!$AS3</f>
        <v>9.2026759600756278E-2</v>
      </c>
      <c r="F284" s="14">
        <f>Alberta!AQ3/Alberta!$AS3</f>
        <v>1.9295173716934746E-2</v>
      </c>
      <c r="G284" s="13"/>
      <c r="H284" s="68"/>
      <c r="J284" s="61">
        <f>Proba!B263/Proba!$H263</f>
        <v>1</v>
      </c>
      <c r="K284" s="61">
        <f>Proba!C263/Proba!$H263</f>
        <v>0</v>
      </c>
      <c r="L284" s="61">
        <f>Proba!D263/Proba!$H263</f>
        <v>0</v>
      </c>
      <c r="M284" s="61">
        <f>Proba!E263/Proba!$H263</f>
        <v>0</v>
      </c>
      <c r="N284" s="63"/>
      <c r="O284" s="35"/>
    </row>
    <row r="285" spans="1:15">
      <c r="A285" s="79"/>
      <c r="B285" t="s">
        <v>293</v>
      </c>
      <c r="C285" s="14">
        <f>Alberta!AN4/Alberta!$AS4</f>
        <v>0.71728065012367148</v>
      </c>
      <c r="D285" s="14">
        <f>Alberta!AO4/Alberta!$AS4</f>
        <v>0.19256813624733338</v>
      </c>
      <c r="E285" s="14">
        <f>Alberta!AP4/Alberta!$AS4</f>
        <v>7.5632042503654087E-2</v>
      </c>
      <c r="F285" s="14">
        <f>Alberta!AQ4/Alberta!$AS4</f>
        <v>1.4519171125340995E-2</v>
      </c>
      <c r="G285" s="13"/>
      <c r="H285" s="68"/>
      <c r="J285" s="61">
        <f>Proba!B264/Proba!$H264</f>
        <v>1</v>
      </c>
      <c r="K285" s="61">
        <f>Proba!C264/Proba!$H264</f>
        <v>0</v>
      </c>
      <c r="L285" s="61">
        <f>Proba!D264/Proba!$H264</f>
        <v>0</v>
      </c>
      <c r="M285" s="61">
        <f>Proba!E264/Proba!$H264</f>
        <v>0</v>
      </c>
      <c r="N285" s="63"/>
      <c r="O285" s="35"/>
    </row>
    <row r="286" spans="1:15">
      <c r="A286" s="79"/>
      <c r="B286" t="s">
        <v>294</v>
      </c>
      <c r="C286" s="14">
        <f>Alberta!AN5/Alberta!$AS5</f>
        <v>0.43088089548397174</v>
      </c>
      <c r="D286" s="14">
        <f>Alberta!AO5/Alberta!$AS5</f>
        <v>0.34418997163735243</v>
      </c>
      <c r="E286" s="14">
        <f>Alberta!AP5/Alberta!$AS5</f>
        <v>0.142805449421158</v>
      </c>
      <c r="F286" s="14">
        <f>Alberta!AQ5/Alberta!$AS5</f>
        <v>8.2123683457517915E-2</v>
      </c>
      <c r="G286" s="13"/>
      <c r="H286" s="68"/>
      <c r="J286" s="61">
        <f>Proba!B265/Proba!$H265</f>
        <v>0.89715</v>
      </c>
      <c r="K286" s="61">
        <f>Proba!C265/Proba!$H265</f>
        <v>0.10285</v>
      </c>
      <c r="L286" s="61">
        <f>Proba!D265/Proba!$H265</f>
        <v>0</v>
      </c>
      <c r="M286" s="61">
        <f>Proba!E265/Proba!$H265</f>
        <v>0</v>
      </c>
      <c r="N286" s="63"/>
      <c r="O286" s="35"/>
    </row>
    <row r="287" spans="1:15">
      <c r="A287" s="79"/>
      <c r="B287" t="s">
        <v>295</v>
      </c>
      <c r="C287" s="14">
        <f>Alberta!AN6/Alberta!$AS6</f>
        <v>0.39745555205234506</v>
      </c>
      <c r="D287" s="14">
        <f>Alberta!AO6/Alberta!$AS6</f>
        <v>0.36995262909675325</v>
      </c>
      <c r="E287" s="14">
        <f>Alberta!AP6/Alberta!$AS6</f>
        <v>0.14774628274145432</v>
      </c>
      <c r="F287" s="14">
        <f>Alberta!AQ6/Alberta!$AS6</f>
        <v>8.484553610944727E-2</v>
      </c>
      <c r="G287" s="13"/>
      <c r="H287" s="68"/>
      <c r="J287" s="61">
        <f>Proba!B266/Proba!$H266</f>
        <v>0.65980000000000005</v>
      </c>
      <c r="K287" s="61">
        <f>Proba!C266/Proba!$H266</f>
        <v>0.3402</v>
      </c>
      <c r="L287" s="61">
        <f>Proba!D266/Proba!$H266</f>
        <v>0</v>
      </c>
      <c r="M287" s="61">
        <f>Proba!E266/Proba!$H266</f>
        <v>0</v>
      </c>
      <c r="N287" s="63"/>
      <c r="O287" s="35"/>
    </row>
    <row r="288" spans="1:15">
      <c r="A288" s="79"/>
      <c r="B288" t="s">
        <v>296</v>
      </c>
      <c r="C288" s="14">
        <f>Alberta!AN7/Alberta!$AS7</f>
        <v>0.51342812879359567</v>
      </c>
      <c r="D288" s="14">
        <f>Alberta!AO7/Alberta!$AS7</f>
        <v>0.3301447781394497</v>
      </c>
      <c r="E288" s="14">
        <f>Alberta!AP7/Alberta!$AS7</f>
        <v>0.12380055355363931</v>
      </c>
      <c r="F288" s="14">
        <f>Alberta!AQ7/Alberta!$AS7</f>
        <v>3.2626539513315234E-2</v>
      </c>
      <c r="G288" s="13"/>
      <c r="H288" s="68"/>
      <c r="J288" s="61">
        <f>Proba!B267/Proba!$H267</f>
        <v>0.99570000000000003</v>
      </c>
      <c r="K288" s="61">
        <f>Proba!C267/Proba!$H267</f>
        <v>4.3E-3</v>
      </c>
      <c r="L288" s="61">
        <f>Proba!D267/Proba!$H267</f>
        <v>0</v>
      </c>
      <c r="M288" s="61">
        <f>Proba!E267/Proba!$H267</f>
        <v>0</v>
      </c>
      <c r="N288" s="63"/>
      <c r="O288" s="35"/>
    </row>
    <row r="289" spans="1:15">
      <c r="A289" s="79"/>
      <c r="B289" t="s">
        <v>297</v>
      </c>
      <c r="C289" s="14">
        <f>Alberta!AN8/Alberta!$AS8</f>
        <v>0.62202628112664526</v>
      </c>
      <c r="D289" s="14">
        <f>Alberta!AO8/Alberta!$AS8</f>
        <v>0.2301622892838544</v>
      </c>
      <c r="E289" s="14">
        <f>Alberta!AP8/Alberta!$AS8</f>
        <v>0.11331049556277192</v>
      </c>
      <c r="F289" s="14">
        <f>Alberta!AQ8/Alberta!$AS8</f>
        <v>3.4500934026728353E-2</v>
      </c>
      <c r="G289" s="13"/>
      <c r="H289" s="68"/>
      <c r="J289" s="61">
        <f>Proba!B268/Proba!$H268</f>
        <v>1</v>
      </c>
      <c r="K289" s="61">
        <f>Proba!C268/Proba!$H268</f>
        <v>0</v>
      </c>
      <c r="L289" s="61">
        <f>Proba!D268/Proba!$H268</f>
        <v>0</v>
      </c>
      <c r="M289" s="61">
        <f>Proba!E268/Proba!$H268</f>
        <v>0</v>
      </c>
      <c r="N289" s="63"/>
      <c r="O289" s="35"/>
    </row>
    <row r="290" spans="1:15">
      <c r="A290" s="79"/>
      <c r="B290" t="s">
        <v>298</v>
      </c>
      <c r="C290" s="14">
        <f>Alberta!AN9/Alberta!$AS9</f>
        <v>0.63812197185255293</v>
      </c>
      <c r="D290" s="14">
        <f>Alberta!AO9/Alberta!$AS9</f>
        <v>0.22011077565008275</v>
      </c>
      <c r="E290" s="14">
        <f>Alberta!AP9/Alberta!$AS9</f>
        <v>9.7865982396820608E-2</v>
      </c>
      <c r="F290" s="14">
        <f>Alberta!AQ9/Alberta!$AS9</f>
        <v>4.3901270100543684E-2</v>
      </c>
      <c r="G290" s="13"/>
      <c r="H290" s="68"/>
      <c r="J290" s="61">
        <f>Proba!B269/Proba!$H269</f>
        <v>1</v>
      </c>
      <c r="K290" s="61">
        <f>Proba!C269/Proba!$H269</f>
        <v>0</v>
      </c>
      <c r="L290" s="61">
        <f>Proba!D269/Proba!$H269</f>
        <v>0</v>
      </c>
      <c r="M290" s="61">
        <f>Proba!E269/Proba!$H269</f>
        <v>0</v>
      </c>
      <c r="N290" s="63"/>
      <c r="O290" s="35"/>
    </row>
    <row r="291" spans="1:15">
      <c r="A291" s="79"/>
      <c r="B291" t="s">
        <v>299</v>
      </c>
      <c r="C291" s="14">
        <f>Alberta!AN10/Alberta!$AS10</f>
        <v>0.54679160217087541</v>
      </c>
      <c r="D291" s="14">
        <f>Alberta!AO10/Alberta!$AS10</f>
        <v>0.27843130772033275</v>
      </c>
      <c r="E291" s="14">
        <f>Alberta!AP10/Alberta!$AS10</f>
        <v>0.12561710786449684</v>
      </c>
      <c r="F291" s="14">
        <f>Alberta!AQ10/Alberta!$AS10</f>
        <v>4.9159982244294964E-2</v>
      </c>
      <c r="G291" s="13"/>
      <c r="H291" s="68"/>
      <c r="J291" s="61">
        <f>Proba!B270/Proba!$H270</f>
        <v>0.99995000000000001</v>
      </c>
      <c r="K291" s="61">
        <f>Proba!C270/Proba!$H270</f>
        <v>5.0000000000000002E-5</v>
      </c>
      <c r="L291" s="61">
        <f>Proba!D270/Proba!$H270</f>
        <v>0</v>
      </c>
      <c r="M291" s="61">
        <f>Proba!E270/Proba!$H270</f>
        <v>0</v>
      </c>
      <c r="N291" s="63"/>
      <c r="O291" s="35"/>
    </row>
    <row r="292" spans="1:15">
      <c r="A292" s="79"/>
      <c r="B292" t="s">
        <v>300</v>
      </c>
      <c r="C292" s="14">
        <f>Alberta!AN11/Alberta!$AS11</f>
        <v>0.56145483414580566</v>
      </c>
      <c r="D292" s="14">
        <f>Alberta!AO11/Alberta!$AS11</f>
        <v>0.28049463418658532</v>
      </c>
      <c r="E292" s="14">
        <f>Alberta!AP11/Alberta!$AS11</f>
        <v>0.10638181485999075</v>
      </c>
      <c r="F292" s="14">
        <f>Alberta!AQ11/Alberta!$AS11</f>
        <v>5.1668716807618177E-2</v>
      </c>
      <c r="G292" s="13"/>
      <c r="H292" s="68"/>
      <c r="J292" s="61">
        <f>Proba!B271/Proba!$H271</f>
        <v>1</v>
      </c>
      <c r="K292" s="61">
        <f>Proba!C271/Proba!$H271</f>
        <v>0</v>
      </c>
      <c r="L292" s="61">
        <f>Proba!D271/Proba!$H271</f>
        <v>0</v>
      </c>
      <c r="M292" s="61">
        <f>Proba!E271/Proba!$H271</f>
        <v>0</v>
      </c>
      <c r="N292" s="63"/>
      <c r="O292" s="35"/>
    </row>
    <row r="293" spans="1:15">
      <c r="A293" s="79"/>
      <c r="B293" t="s">
        <v>301</v>
      </c>
      <c r="C293" s="14">
        <f>Alberta!AN12/Alberta!$AS12</f>
        <v>0.63365130813556192</v>
      </c>
      <c r="D293" s="14">
        <f>Alberta!AO12/Alberta!$AS12</f>
        <v>0.22763014873412016</v>
      </c>
      <c r="E293" s="14">
        <f>Alberta!AP12/Alberta!$AS12</f>
        <v>0.10354408977528477</v>
      </c>
      <c r="F293" s="14">
        <f>Alberta!AQ12/Alberta!$AS12</f>
        <v>3.5174453355033171E-2</v>
      </c>
      <c r="G293" s="13"/>
      <c r="H293" s="68"/>
      <c r="J293" s="61">
        <f>Proba!B272/Proba!$H272</f>
        <v>1</v>
      </c>
      <c r="K293" s="61">
        <f>Proba!C272/Proba!$H272</f>
        <v>0</v>
      </c>
      <c r="L293" s="61">
        <f>Proba!D272/Proba!$H272</f>
        <v>0</v>
      </c>
      <c r="M293" s="61">
        <f>Proba!E272/Proba!$H272</f>
        <v>0</v>
      </c>
      <c r="N293" s="63"/>
      <c r="O293" s="35"/>
    </row>
    <row r="294" spans="1:15">
      <c r="A294" s="79"/>
      <c r="B294" t="s">
        <v>302</v>
      </c>
      <c r="C294" s="14">
        <f>Alberta!AN13/Alberta!$AS13</f>
        <v>0.50202526006726234</v>
      </c>
      <c r="D294" s="14">
        <f>Alberta!AO13/Alberta!$AS13</f>
        <v>0.32466803456535159</v>
      </c>
      <c r="E294" s="14">
        <f>Alberta!AP13/Alberta!$AS13</f>
        <v>0.10287168316260301</v>
      </c>
      <c r="F294" s="14">
        <f>Alberta!AQ13/Alberta!$AS13</f>
        <v>7.0435022204783107E-2</v>
      </c>
      <c r="G294" s="13"/>
      <c r="H294" s="68"/>
      <c r="J294" s="61">
        <f>Proba!B273/Proba!$H273</f>
        <v>0.99339999999999995</v>
      </c>
      <c r="K294" s="61">
        <f>Proba!C273/Proba!$H273</f>
        <v>6.6E-3</v>
      </c>
      <c r="L294" s="61">
        <f>Proba!D273/Proba!$H273</f>
        <v>0</v>
      </c>
      <c r="M294" s="61">
        <f>Proba!E273/Proba!$H273</f>
        <v>0</v>
      </c>
      <c r="N294" s="63"/>
      <c r="O294" s="35"/>
    </row>
    <row r="295" spans="1:15">
      <c r="A295" s="79"/>
      <c r="B295" t="s">
        <v>303</v>
      </c>
      <c r="C295" s="14">
        <f>Alberta!AN14/Alberta!$AS14</f>
        <v>0.44146230985271623</v>
      </c>
      <c r="D295" s="14">
        <f>Alberta!AO14/Alberta!$AS14</f>
        <v>0.44010543239092914</v>
      </c>
      <c r="E295" s="14">
        <f>Alberta!AP14/Alberta!$AS14</f>
        <v>9.2568155702627206E-2</v>
      </c>
      <c r="F295" s="14">
        <f>Alberta!AQ14/Alberta!$AS14</f>
        <v>2.5864102053727425E-2</v>
      </c>
      <c r="G295" s="13"/>
      <c r="H295" s="68"/>
      <c r="J295" s="61">
        <f>Proba!B274/Proba!$H274</f>
        <v>0.52200000000000002</v>
      </c>
      <c r="K295" s="61">
        <f>Proba!C274/Proba!$H274</f>
        <v>0.47799999999999998</v>
      </c>
      <c r="L295" s="61">
        <f>Proba!D274/Proba!$H274</f>
        <v>0</v>
      </c>
      <c r="M295" s="61">
        <f>Proba!E274/Proba!$H274</f>
        <v>0</v>
      </c>
      <c r="N295" s="63"/>
      <c r="O295" s="35"/>
    </row>
    <row r="296" spans="1:15">
      <c r="A296" s="79"/>
      <c r="B296" t="s">
        <v>304</v>
      </c>
      <c r="C296" s="14">
        <f>Alberta!AN15/Alberta!$AS15</f>
        <v>0.38194378008463958</v>
      </c>
      <c r="D296" s="14">
        <f>Alberta!AO15/Alberta!$AS15</f>
        <v>0.34392947928617912</v>
      </c>
      <c r="E296" s="14">
        <f>Alberta!AP15/Alberta!$AS15</f>
        <v>0.2582140080232867</v>
      </c>
      <c r="F296" s="14">
        <f>Alberta!AQ15/Alberta!$AS15</f>
        <v>1.5912732605894594E-2</v>
      </c>
      <c r="G296" s="13"/>
      <c r="H296" s="68"/>
      <c r="J296" s="61">
        <f>Proba!B275/Proba!$H275</f>
        <v>0.88070000000000004</v>
      </c>
      <c r="K296" s="61">
        <f>Proba!C275/Proba!$H275</f>
        <v>0.1154</v>
      </c>
      <c r="L296" s="61">
        <f>Proba!D275/Proba!$H275</f>
        <v>3.8999999999999998E-3</v>
      </c>
      <c r="M296" s="61">
        <f>Proba!E275/Proba!$H275</f>
        <v>0</v>
      </c>
      <c r="N296" s="63"/>
      <c r="O296" s="35"/>
    </row>
    <row r="297" spans="1:15">
      <c r="A297" s="79"/>
      <c r="B297" t="s">
        <v>305</v>
      </c>
      <c r="C297" s="14">
        <f>Alberta!AN16/Alberta!$AS16</f>
        <v>0.36167917414976525</v>
      </c>
      <c r="D297" s="14">
        <f>Alberta!AO16/Alberta!$AS16</f>
        <v>0.24641972271795443</v>
      </c>
      <c r="E297" s="14">
        <f>Alberta!AP16/Alberta!$AS16</f>
        <v>0.37735185553243134</v>
      </c>
      <c r="F297" s="14">
        <f>Alberta!AQ16/Alberta!$AS16</f>
        <v>1.45492475998491E-2</v>
      </c>
      <c r="G297" s="13"/>
      <c r="H297" s="68"/>
      <c r="J297" s="61">
        <f>Proba!B276/Proba!$H276</f>
        <v>0.40584999999999999</v>
      </c>
      <c r="K297" s="61">
        <f>Proba!C276/Proba!$H276</f>
        <v>7.4999999999999997E-3</v>
      </c>
      <c r="L297" s="61">
        <f>Proba!D276/Proba!$H276</f>
        <v>0.58665</v>
      </c>
      <c r="M297" s="61">
        <f>Proba!E276/Proba!$H276</f>
        <v>0</v>
      </c>
      <c r="N297" s="63"/>
      <c r="O297" s="35"/>
    </row>
    <row r="298" spans="1:15">
      <c r="A298" s="79"/>
      <c r="B298" t="s">
        <v>306</v>
      </c>
      <c r="C298" s="14">
        <f>Alberta!AN17/Alberta!$AS17</f>
        <v>0.4488100218272868</v>
      </c>
      <c r="D298" s="14">
        <f>Alberta!AO17/Alberta!$AS17</f>
        <v>0.2754662121223253</v>
      </c>
      <c r="E298" s="14">
        <f>Alberta!AP17/Alberta!$AS17</f>
        <v>0.2669360091083085</v>
      </c>
      <c r="F298" s="14">
        <f>Alberta!AQ17/Alberta!$AS17</f>
        <v>8.7877569420793996E-3</v>
      </c>
      <c r="G298" s="13"/>
      <c r="H298" s="68"/>
      <c r="J298" s="61">
        <f>Proba!B277/Proba!$H277</f>
        <v>0.98604999999999998</v>
      </c>
      <c r="K298" s="61">
        <f>Proba!C277/Proba!$H277</f>
        <v>8.3000000000000001E-3</v>
      </c>
      <c r="L298" s="61">
        <f>Proba!D277/Proba!$H277</f>
        <v>5.6499999999999996E-3</v>
      </c>
      <c r="M298" s="61">
        <f>Proba!E277/Proba!$H277</f>
        <v>0</v>
      </c>
      <c r="N298" s="63"/>
      <c r="O298" s="35"/>
    </row>
    <row r="299" spans="1:15">
      <c r="A299" s="79"/>
      <c r="B299" t="s">
        <v>307</v>
      </c>
      <c r="C299" s="14">
        <f>Alberta!AN18/Alberta!$AS18</f>
        <v>0.46096819788238519</v>
      </c>
      <c r="D299" s="14">
        <f>Alberta!AO18/Alberta!$AS18</f>
        <v>0.31765006263342871</v>
      </c>
      <c r="E299" s="14">
        <f>Alberta!AP18/Alberta!$AS18</f>
        <v>0.21187434266566532</v>
      </c>
      <c r="F299" s="14">
        <f>Alberta!AQ18/Alberta!$AS18</f>
        <v>9.5073968185207299E-3</v>
      </c>
      <c r="G299" s="13"/>
      <c r="H299" s="68"/>
      <c r="J299" s="61">
        <f>Proba!B278/Proba!$H278</f>
        <v>0.97360000000000002</v>
      </c>
      <c r="K299" s="61">
        <f>Proba!C278/Proba!$H278</f>
        <v>2.615E-2</v>
      </c>
      <c r="L299" s="61">
        <f>Proba!D278/Proba!$H278</f>
        <v>2.5000000000000001E-4</v>
      </c>
      <c r="M299" s="61">
        <f>Proba!E278/Proba!$H278</f>
        <v>0</v>
      </c>
      <c r="N299" s="63"/>
      <c r="O299" s="35"/>
    </row>
    <row r="300" spans="1:15">
      <c r="A300" s="79"/>
      <c r="B300" t="s">
        <v>308</v>
      </c>
      <c r="C300" s="14">
        <f>Alberta!AN19/Alberta!$AS19</f>
        <v>0.43297833026082044</v>
      </c>
      <c r="D300" s="14">
        <f>Alberta!AO19/Alberta!$AS19</f>
        <v>0.32862518784782513</v>
      </c>
      <c r="E300" s="14">
        <f>Alberta!AP19/Alberta!$AS19</f>
        <v>0.20803072290115066</v>
      </c>
      <c r="F300" s="14">
        <f>Alberta!AQ19/Alberta!$AS19</f>
        <v>3.0365758990203748E-2</v>
      </c>
      <c r="G300" s="13"/>
      <c r="H300" s="68"/>
      <c r="J300" s="61">
        <f>Proba!B279/Proba!$H279</f>
        <v>0.92059999999999997</v>
      </c>
      <c r="K300" s="61">
        <f>Proba!C279/Proba!$H279</f>
        <v>7.9200000000000007E-2</v>
      </c>
      <c r="L300" s="61">
        <f>Proba!D279/Proba!$H279</f>
        <v>2.0000000000000001E-4</v>
      </c>
      <c r="M300" s="61">
        <f>Proba!E279/Proba!$H279</f>
        <v>0</v>
      </c>
      <c r="N300" s="63"/>
      <c r="O300" s="35"/>
    </row>
    <row r="301" spans="1:15">
      <c r="A301" s="79"/>
      <c r="B301" t="s">
        <v>309</v>
      </c>
      <c r="C301" s="14">
        <f>Alberta!AN20/Alberta!$AS20</f>
        <v>0.27687350941113648</v>
      </c>
      <c r="D301" s="14">
        <f>Alberta!AO20/Alberta!$AS20</f>
        <v>0.20055693078799811</v>
      </c>
      <c r="E301" s="14">
        <f>Alberta!AP20/Alberta!$AS20</f>
        <v>0.51956327689673187</v>
      </c>
      <c r="F301" s="14">
        <f>Alberta!AQ20/Alberta!$AS20</f>
        <v>3.0062829041335041E-3</v>
      </c>
      <c r="G301" s="13"/>
      <c r="H301" s="68"/>
      <c r="J301" s="61">
        <f>Proba!B280/Proba!$H280</f>
        <v>1.1000000000000001E-3</v>
      </c>
      <c r="K301" s="61">
        <f>Proba!C280/Proba!$H280</f>
        <v>0</v>
      </c>
      <c r="L301" s="61">
        <f>Proba!D280/Proba!$H280</f>
        <v>0.99890000000000001</v>
      </c>
      <c r="M301" s="61">
        <f>Proba!E280/Proba!$H280</f>
        <v>0</v>
      </c>
      <c r="N301" s="63"/>
      <c r="O301" s="35"/>
    </row>
    <row r="302" spans="1:15">
      <c r="A302" s="79"/>
      <c r="B302" t="s">
        <v>310</v>
      </c>
      <c r="C302" s="14">
        <f>Alberta!AN21/Alberta!$AS21</f>
        <v>0.50955309780597757</v>
      </c>
      <c r="D302" s="14">
        <f>Alberta!AO21/Alberta!$AS21</f>
        <v>0.29288123135266286</v>
      </c>
      <c r="E302" s="14">
        <f>Alberta!AP21/Alberta!$AS21</f>
        <v>0.18135024704405758</v>
      </c>
      <c r="F302" s="14">
        <f>Alberta!AQ21/Alberta!$AS21</f>
        <v>1.6215423797301787E-2</v>
      </c>
      <c r="G302" s="13"/>
      <c r="H302" s="68"/>
      <c r="J302" s="61">
        <f>Proba!B281/Proba!$H281</f>
        <v>0.99855000000000005</v>
      </c>
      <c r="K302" s="61">
        <f>Proba!C281/Proba!$H281</f>
        <v>1.4499999999999999E-3</v>
      </c>
      <c r="L302" s="61">
        <f>Proba!D281/Proba!$H281</f>
        <v>0</v>
      </c>
      <c r="M302" s="61">
        <f>Proba!E281/Proba!$H281</f>
        <v>0</v>
      </c>
      <c r="N302" s="63"/>
      <c r="O302" s="35"/>
    </row>
    <row r="303" spans="1:15">
      <c r="A303" s="79"/>
      <c r="B303" t="s">
        <v>311</v>
      </c>
      <c r="C303" s="14">
        <f>Alberta!AN22/Alberta!$AS22</f>
        <v>0.63156331695022694</v>
      </c>
      <c r="D303" s="14">
        <f>Alberta!AO22/Alberta!$AS22</f>
        <v>0.21193510856237602</v>
      </c>
      <c r="E303" s="14">
        <f>Alberta!AP22/Alberta!$AS22</f>
        <v>0.13537660873210228</v>
      </c>
      <c r="F303" s="14">
        <f>Alberta!AQ22/Alberta!$AS22</f>
        <v>2.1124965755294659E-2</v>
      </c>
      <c r="G303" s="13"/>
      <c r="H303" s="68"/>
      <c r="J303" s="61">
        <f>Proba!B282/Proba!$H282</f>
        <v>1</v>
      </c>
      <c r="K303" s="61">
        <f>Proba!C282/Proba!$H282</f>
        <v>0</v>
      </c>
      <c r="L303" s="61">
        <f>Proba!D282/Proba!$H282</f>
        <v>0</v>
      </c>
      <c r="M303" s="61">
        <f>Proba!E282/Proba!$H282</f>
        <v>0</v>
      </c>
      <c r="N303" s="63"/>
      <c r="O303" s="35"/>
    </row>
    <row r="304" spans="1:15">
      <c r="A304" s="79"/>
      <c r="B304" t="s">
        <v>312</v>
      </c>
      <c r="C304" s="14">
        <f>Alberta!AN23/Alberta!$AS23</f>
        <v>0.67716174407843788</v>
      </c>
      <c r="D304" s="14">
        <f>Alberta!AO23/Alberta!$AS23</f>
        <v>0.19690649608612137</v>
      </c>
      <c r="E304" s="14">
        <f>Alberta!AP23/Alberta!$AS23</f>
        <v>9.7273483407856146E-2</v>
      </c>
      <c r="F304" s="14">
        <f>Alberta!AQ23/Alberta!$AS23</f>
        <v>2.8658276427584624E-2</v>
      </c>
      <c r="G304" s="13"/>
      <c r="H304" s="68"/>
      <c r="J304" s="61">
        <f>Proba!B283/Proba!$H283</f>
        <v>1</v>
      </c>
      <c r="K304" s="61">
        <f>Proba!C283/Proba!$H283</f>
        <v>0</v>
      </c>
      <c r="L304" s="61">
        <f>Proba!D283/Proba!$H283</f>
        <v>0</v>
      </c>
      <c r="M304" s="61">
        <f>Proba!E283/Proba!$H283</f>
        <v>0</v>
      </c>
      <c r="N304" s="63"/>
      <c r="O304" s="35"/>
    </row>
    <row r="305" spans="1:15">
      <c r="A305" s="79"/>
      <c r="B305" t="s">
        <v>313</v>
      </c>
      <c r="C305" s="14">
        <f>Alberta!AN24/Alberta!$AS24</f>
        <v>0.54009378986314405</v>
      </c>
      <c r="D305" s="14">
        <f>Alberta!AO24/Alberta!$AS24</f>
        <v>0.32045313180800639</v>
      </c>
      <c r="E305" s="14">
        <f>Alberta!AP24/Alberta!$AS24</f>
        <v>0.12357432963601728</v>
      </c>
      <c r="F305" s="14">
        <f>Alberta!AQ24/Alberta!$AS24</f>
        <v>1.5878748692832331E-2</v>
      </c>
      <c r="G305" s="13"/>
      <c r="H305" s="68"/>
      <c r="J305" s="61">
        <f>Proba!B284/Proba!$H284</f>
        <v>0.99870000000000003</v>
      </c>
      <c r="K305" s="61">
        <f>Proba!C284/Proba!$H284</f>
        <v>1.2999999999999999E-3</v>
      </c>
      <c r="L305" s="61">
        <f>Proba!D284/Proba!$H284</f>
        <v>0</v>
      </c>
      <c r="M305" s="61">
        <f>Proba!E284/Proba!$H284</f>
        <v>0</v>
      </c>
      <c r="N305" s="63"/>
      <c r="O305" s="35"/>
    </row>
    <row r="306" spans="1:15">
      <c r="A306" s="79"/>
      <c r="B306" t="s">
        <v>314</v>
      </c>
      <c r="C306" s="14">
        <f>Alberta!AN25/Alberta!$AS25</f>
        <v>0.64472220267721214</v>
      </c>
      <c r="D306" s="14">
        <f>Alberta!AO25/Alberta!$AS25</f>
        <v>0.18898466648025886</v>
      </c>
      <c r="E306" s="14">
        <f>Alberta!AP25/Alberta!$AS25</f>
        <v>0.14831320357661792</v>
      </c>
      <c r="F306" s="14">
        <f>Alberta!AQ25/Alberta!$AS25</f>
        <v>1.7979927265911178E-2</v>
      </c>
      <c r="G306" s="13"/>
      <c r="H306" s="68"/>
      <c r="J306" s="61">
        <f>Proba!B285/Proba!$H285</f>
        <v>1</v>
      </c>
      <c r="K306" s="61">
        <f>Proba!C285/Proba!$H285</f>
        <v>0</v>
      </c>
      <c r="L306" s="61">
        <f>Proba!D285/Proba!$H285</f>
        <v>0</v>
      </c>
      <c r="M306" s="61">
        <f>Proba!E285/Proba!$H285</f>
        <v>0</v>
      </c>
      <c r="N306" s="63"/>
      <c r="O306" s="35"/>
    </row>
    <row r="307" spans="1:15">
      <c r="A307" s="79"/>
      <c r="B307" t="s">
        <v>315</v>
      </c>
      <c r="C307" s="14">
        <f>Alberta!AN26/Alberta!$AS26</f>
        <v>0.66627342665990863</v>
      </c>
      <c r="D307" s="14">
        <f>Alberta!AO26/Alberta!$AS26</f>
        <v>0.20601515365824202</v>
      </c>
      <c r="E307" s="14">
        <f>Alberta!AP26/Alberta!$AS26</f>
        <v>0.10525504591091764</v>
      </c>
      <c r="F307" s="14">
        <f>Alberta!AQ26/Alberta!$AS26</f>
        <v>2.245637377093165E-2</v>
      </c>
      <c r="G307" s="13"/>
      <c r="H307" s="68"/>
      <c r="J307" s="61">
        <f>Proba!B286/Proba!$H286</f>
        <v>1</v>
      </c>
      <c r="K307" s="61">
        <f>Proba!C286/Proba!$H286</f>
        <v>0</v>
      </c>
      <c r="L307" s="61">
        <f>Proba!D286/Proba!$H286</f>
        <v>0</v>
      </c>
      <c r="M307" s="61">
        <f>Proba!E286/Proba!$H286</f>
        <v>0</v>
      </c>
      <c r="N307" s="63"/>
      <c r="O307" s="35"/>
    </row>
    <row r="308" spans="1:15">
      <c r="A308" s="79"/>
      <c r="B308" t="s">
        <v>316</v>
      </c>
      <c r="C308" s="14">
        <f>Alberta!AN27/Alberta!$AS27</f>
        <v>0.41789676748011578</v>
      </c>
      <c r="D308" s="14">
        <f>Alberta!AO27/Alberta!$AS27</f>
        <v>0.25461956626430793</v>
      </c>
      <c r="E308" s="14">
        <f>Alberta!AP27/Alberta!$AS27</f>
        <v>0.30159368941335951</v>
      </c>
      <c r="F308" s="14">
        <f>Alberta!AQ27/Alberta!$AS27</f>
        <v>2.588997684221685E-2</v>
      </c>
      <c r="G308" s="13"/>
      <c r="H308" s="68"/>
      <c r="J308" s="61">
        <f>Proba!B287/Proba!$H287</f>
        <v>0.96189999999999998</v>
      </c>
      <c r="K308" s="61">
        <f>Proba!C287/Proba!$H287</f>
        <v>4.8999999999999998E-3</v>
      </c>
      <c r="L308" s="61">
        <f>Proba!D287/Proba!$H287</f>
        <v>3.32E-2</v>
      </c>
      <c r="M308" s="61">
        <f>Proba!E287/Proba!$H287</f>
        <v>0</v>
      </c>
      <c r="N308" s="63"/>
      <c r="O308" s="35"/>
    </row>
    <row r="309" spans="1:15">
      <c r="A309" s="79"/>
      <c r="B309" t="s">
        <v>317</v>
      </c>
      <c r="C309" s="14">
        <f>Alberta!AN28/Alberta!$AS28</f>
        <v>0.56603428475578876</v>
      </c>
      <c r="D309" s="14">
        <f>Alberta!AO28/Alberta!$AS28</f>
        <v>0.26675141810825315</v>
      </c>
      <c r="E309" s="14">
        <f>Alberta!AP28/Alberta!$AS28</f>
        <v>0.14255945336633571</v>
      </c>
      <c r="F309" s="14">
        <f>Alberta!AQ28/Alberta!$AS28</f>
        <v>2.465484376962232E-2</v>
      </c>
      <c r="G309" s="13"/>
      <c r="H309" s="68"/>
      <c r="J309" s="61">
        <f>Proba!B288/Proba!$H288</f>
        <v>1</v>
      </c>
      <c r="K309" s="61">
        <f>Proba!C288/Proba!$H288</f>
        <v>0</v>
      </c>
      <c r="L309" s="61">
        <f>Proba!D288/Proba!$H288</f>
        <v>0</v>
      </c>
      <c r="M309" s="61">
        <f>Proba!E288/Proba!$H288</f>
        <v>0</v>
      </c>
      <c r="N309" s="63"/>
      <c r="O309" s="35"/>
    </row>
    <row r="310" spans="1:15">
      <c r="A310" s="79"/>
      <c r="B310" t="s">
        <v>318</v>
      </c>
      <c r="C310" s="14">
        <f>Alberta!AN29/Alberta!$AS29</f>
        <v>0.66232189378272632</v>
      </c>
      <c r="D310" s="14">
        <f>Alberta!AO29/Alberta!$AS29</f>
        <v>0.19386436113899902</v>
      </c>
      <c r="E310" s="14">
        <f>Alberta!AP29/Alberta!$AS29</f>
        <v>0.12481627753683311</v>
      </c>
      <c r="F310" s="14">
        <f>Alberta!AQ29/Alberta!$AS29</f>
        <v>1.8997467541441465E-2</v>
      </c>
      <c r="G310" s="13"/>
      <c r="H310" s="68"/>
      <c r="J310" s="61">
        <f>Proba!B289/Proba!$H289</f>
        <v>1</v>
      </c>
      <c r="K310" s="61">
        <f>Proba!C289/Proba!$H289</f>
        <v>0</v>
      </c>
      <c r="L310" s="61">
        <f>Proba!D289/Proba!$H289</f>
        <v>0</v>
      </c>
      <c r="M310" s="61">
        <f>Proba!E289/Proba!$H289</f>
        <v>0</v>
      </c>
      <c r="N310" s="63"/>
      <c r="O310" s="35"/>
    </row>
    <row r="311" spans="1:15">
      <c r="A311" s="79"/>
      <c r="B311" t="s">
        <v>319</v>
      </c>
      <c r="C311" s="14">
        <f>Alberta!AN30/Alberta!$AS30</f>
        <v>0.64773744650746168</v>
      </c>
      <c r="D311" s="14">
        <f>Alberta!AO30/Alberta!$AS30</f>
        <v>0.18992631173408445</v>
      </c>
      <c r="E311" s="14">
        <f>Alberta!AP30/Alberta!$AS30</f>
        <v>0.13510363148245133</v>
      </c>
      <c r="F311" s="14">
        <f>Alberta!AQ30/Alberta!$AS30</f>
        <v>2.7232610276002569E-2</v>
      </c>
      <c r="G311" s="13"/>
      <c r="H311" s="68"/>
      <c r="J311" s="61">
        <f>Proba!B290/Proba!$H290</f>
        <v>1</v>
      </c>
      <c r="K311" s="61">
        <f>Proba!C290/Proba!$H290</f>
        <v>0</v>
      </c>
      <c r="L311" s="61">
        <f>Proba!D290/Proba!$H290</f>
        <v>0</v>
      </c>
      <c r="M311" s="61">
        <f>Proba!E290/Proba!$H290</f>
        <v>0</v>
      </c>
      <c r="N311" s="63"/>
      <c r="O311" s="35"/>
    </row>
    <row r="312" spans="1:15">
      <c r="A312" s="79"/>
      <c r="B312" t="s">
        <v>320</v>
      </c>
      <c r="C312" s="14">
        <f>Alberta!AN31/Alberta!$AS31</f>
        <v>0.66785793337843247</v>
      </c>
      <c r="D312" s="14">
        <f>Alberta!AO31/Alberta!$AS31</f>
        <v>0.18995481694586464</v>
      </c>
      <c r="E312" s="14">
        <f>Alberta!AP31/Alberta!$AS31</f>
        <v>0.11168784048987382</v>
      </c>
      <c r="F312" s="14">
        <f>Alberta!AQ31/Alberta!$AS31</f>
        <v>3.0499409185829079E-2</v>
      </c>
      <c r="G312" s="13"/>
      <c r="H312" s="68"/>
      <c r="J312" s="61">
        <f>Proba!B291/Proba!$H291</f>
        <v>1</v>
      </c>
      <c r="K312" s="61">
        <f>Proba!C291/Proba!$H291</f>
        <v>0</v>
      </c>
      <c r="L312" s="61">
        <f>Proba!D291/Proba!$H291</f>
        <v>0</v>
      </c>
      <c r="M312" s="61">
        <f>Proba!E291/Proba!$H291</f>
        <v>0</v>
      </c>
      <c r="N312" s="63"/>
      <c r="O312" s="35"/>
    </row>
    <row r="313" spans="1:15">
      <c r="A313" s="79"/>
      <c r="B313" t="s">
        <v>321</v>
      </c>
      <c r="C313" s="14">
        <f>Alberta!AN32/Alberta!$AS32</f>
        <v>0.3670534011033324</v>
      </c>
      <c r="D313" s="14">
        <f>Alberta!AO32/Alberta!$AS32</f>
        <v>0.21586893549028036</v>
      </c>
      <c r="E313" s="14">
        <f>Alberta!AP32/Alberta!$AS32</f>
        <v>0.10353123891807271</v>
      </c>
      <c r="F313" s="14">
        <f>Alberta!AQ32/Alberta!$AS32</f>
        <v>2.052127830697964E-2</v>
      </c>
      <c r="G313" s="13"/>
      <c r="H313" s="69">
        <f>Alberta!AR32/Alberta!$AS32</f>
        <v>0.29302514618133479</v>
      </c>
      <c r="J313" s="61">
        <f>Proba!B292/Proba!$H292</f>
        <v>0.89994073488739634</v>
      </c>
      <c r="K313" s="61">
        <f>Proba!C292/Proba!$H292</f>
        <v>4.6918214144606877E-3</v>
      </c>
      <c r="L313" s="61">
        <f>Proba!D292/Proba!$H292</f>
        <v>0</v>
      </c>
      <c r="M313" s="61">
        <f>Proba!E292/Proba!$H292</f>
        <v>0</v>
      </c>
      <c r="O313" s="73">
        <f>Proba!G292/Proba!$H292</f>
        <v>9.5367443698143026E-2</v>
      </c>
    </row>
    <row r="314" spans="1:15">
      <c r="A314" s="79"/>
      <c r="B314" t="s">
        <v>322</v>
      </c>
      <c r="C314" s="14">
        <f>Alberta!AN33/Alberta!$AS33</f>
        <v>0.43575187770503998</v>
      </c>
      <c r="D314" s="14">
        <f>Alberta!AO33/Alberta!$AS33</f>
        <v>0.17573779847872864</v>
      </c>
      <c r="E314" s="14">
        <f>Alberta!AP33/Alberta!$AS33</f>
        <v>0.11139379574285227</v>
      </c>
      <c r="F314" s="14">
        <f>Alberta!AQ33/Alberta!$AS33</f>
        <v>2.5357751115563133E-2</v>
      </c>
      <c r="G314" s="13"/>
      <c r="H314" s="69">
        <f>Alberta!AR33/Alberta!$AS33</f>
        <v>0.2517587769578159</v>
      </c>
      <c r="J314" s="61">
        <f>Proba!B293/Proba!$H293</f>
        <v>0.99885022995400918</v>
      </c>
      <c r="K314" s="61">
        <f>Proba!C293/Proba!$H293</f>
        <v>4.9990001999600085E-5</v>
      </c>
      <c r="L314" s="61">
        <f>Proba!D293/Proba!$H293</f>
        <v>0</v>
      </c>
      <c r="M314" s="61">
        <f>Proba!E293/Proba!$H293</f>
        <v>0</v>
      </c>
      <c r="N314" s="63"/>
      <c r="O314" s="73">
        <f>Proba!G293/Proba!$H293</f>
        <v>1.0997800439912018E-3</v>
      </c>
    </row>
    <row r="315" spans="1:15">
      <c r="A315" s="79"/>
      <c r="B315" t="s">
        <v>323</v>
      </c>
      <c r="C315" s="14">
        <f>Alberta!AN34/Alberta!$AS34</f>
        <v>0.64892000735126298</v>
      </c>
      <c r="D315" s="14">
        <f>Alberta!AO34/Alberta!$AS34</f>
        <v>0.20885147723825118</v>
      </c>
      <c r="E315" s="14">
        <f>Alberta!AP34/Alberta!$AS34</f>
        <v>0.12213896487139252</v>
      </c>
      <c r="F315" s="14">
        <f>Alberta!AQ34/Alberta!$AS34</f>
        <v>2.0089550539093344E-2</v>
      </c>
      <c r="G315" s="13"/>
      <c r="H315" s="68"/>
      <c r="J315" s="61">
        <f>Proba!B294/Proba!$H294</f>
        <v>1</v>
      </c>
      <c r="K315" s="61">
        <f>Proba!C294/Proba!$H294</f>
        <v>0</v>
      </c>
      <c r="L315" s="61">
        <f>Proba!D294/Proba!$H294</f>
        <v>0</v>
      </c>
      <c r="M315" s="61">
        <f>Proba!E294/Proba!$H294</f>
        <v>0</v>
      </c>
      <c r="N315" s="63"/>
      <c r="O315" s="35"/>
    </row>
    <row r="316" spans="1:15">
      <c r="A316" s="79"/>
      <c r="B316" t="s">
        <v>324</v>
      </c>
      <c r="C316" s="14">
        <f>Alberta!AN35/Alberta!$AS35</f>
        <v>0.65938606848896397</v>
      </c>
      <c r="D316" s="14">
        <f>Alberta!AO35/Alberta!$AS35</f>
        <v>0.18480768118033589</v>
      </c>
      <c r="E316" s="14">
        <f>Alberta!AP35/Alberta!$AS35</f>
        <v>0.12217989509464582</v>
      </c>
      <c r="F316" s="14">
        <f>Alberta!AQ35/Alberta!$AS35</f>
        <v>3.3626355236054367E-2</v>
      </c>
      <c r="G316" s="13"/>
      <c r="H316" s="68"/>
      <c r="J316" s="61">
        <f>Proba!B295/Proba!$H295</f>
        <v>1</v>
      </c>
      <c r="K316" s="61">
        <f>Proba!C295/Proba!$H295</f>
        <v>0</v>
      </c>
      <c r="L316" s="61">
        <f>Proba!D295/Proba!$H295</f>
        <v>0</v>
      </c>
      <c r="M316" s="61">
        <f>Proba!E295/Proba!$H295</f>
        <v>0</v>
      </c>
      <c r="N316" s="63"/>
      <c r="O316" s="35"/>
    </row>
    <row r="317" spans="1:15">
      <c r="A317" s="79" t="s">
        <v>15</v>
      </c>
      <c r="B317" t="s">
        <v>325</v>
      </c>
      <c r="C317" s="14">
        <f>BC!AN2/BC!$AR2</f>
        <v>0.54907362035005525</v>
      </c>
      <c r="D317" s="14">
        <f>BC!AO2/BC!$AR2</f>
        <v>0.26830386842373677</v>
      </c>
      <c r="E317" s="14">
        <f>BC!AP2/BC!$AR2</f>
        <v>0.12725105646454429</v>
      </c>
      <c r="F317" s="14">
        <f>BC!AQ2/BC!$AR2</f>
        <v>5.5371454761663642E-2</v>
      </c>
      <c r="G317" s="13"/>
      <c r="H317" s="68"/>
      <c r="J317" s="61">
        <f>Proba!B296/Proba!$H296</f>
        <v>0.99980000000000002</v>
      </c>
      <c r="K317" s="61">
        <f>Proba!C296/Proba!$H296</f>
        <v>2.0000000000000001E-4</v>
      </c>
      <c r="L317" s="61">
        <f>Proba!D296/Proba!$H296</f>
        <v>0</v>
      </c>
      <c r="M317" s="61">
        <f>Proba!E296/Proba!$H296</f>
        <v>0</v>
      </c>
      <c r="N317" s="63"/>
      <c r="O317" s="35"/>
    </row>
    <row r="318" spans="1:15">
      <c r="A318" s="79"/>
      <c r="B318" t="s">
        <v>326</v>
      </c>
      <c r="C318" s="14">
        <f>BC!AN3/BC!$AR3</f>
        <v>0.34424389533500849</v>
      </c>
      <c r="D318" s="14">
        <f>BC!AO3/BC!$AR3</f>
        <v>0.31769640144872541</v>
      </c>
      <c r="E318" s="14">
        <f>BC!AP3/BC!$AR3</f>
        <v>0.2898559821673467</v>
      </c>
      <c r="F318" s="14">
        <f>BC!AQ3/BC!$AR3</f>
        <v>4.8203721048919422E-2</v>
      </c>
      <c r="G318" s="13"/>
      <c r="H318" s="68"/>
      <c r="J318" s="61">
        <f>Proba!B297/Proba!$H297</f>
        <v>0.56964999999999999</v>
      </c>
      <c r="K318" s="61">
        <f>Proba!C297/Proba!$H297</f>
        <v>0.30790000000000001</v>
      </c>
      <c r="L318" s="61">
        <f>Proba!D297/Proba!$H297</f>
        <v>0.12245</v>
      </c>
      <c r="M318" s="61">
        <f>Proba!E297/Proba!$H297</f>
        <v>0</v>
      </c>
      <c r="N318" s="63"/>
      <c r="O318" s="35"/>
    </row>
    <row r="319" spans="1:15">
      <c r="A319" s="79"/>
      <c r="B319" t="s">
        <v>327</v>
      </c>
      <c r="C319" s="14">
        <f>BC!AN4/BC!$AR4</f>
        <v>0.25540559716101735</v>
      </c>
      <c r="D319" s="14">
        <f>BC!AO4/BC!$AR4</f>
        <v>0.31464470948418571</v>
      </c>
      <c r="E319" s="14">
        <f>BC!AP4/BC!$AR4</f>
        <v>0.3856675960800523</v>
      </c>
      <c r="F319" s="14">
        <f>BC!AQ4/BC!$AR4</f>
        <v>4.4282097274744643E-2</v>
      </c>
      <c r="G319" s="13"/>
      <c r="H319" s="68"/>
      <c r="J319" s="61">
        <f>Proba!B298/Proba!$H298</f>
        <v>1.43E-2</v>
      </c>
      <c r="K319" s="61">
        <f>Proba!C298/Proba!$H298</f>
        <v>0.1305</v>
      </c>
      <c r="L319" s="61">
        <f>Proba!D298/Proba!$H298</f>
        <v>0.85519999999999996</v>
      </c>
      <c r="M319" s="61">
        <f>Proba!E298/Proba!$H298</f>
        <v>0</v>
      </c>
      <c r="N319" s="63"/>
      <c r="O319" s="35"/>
    </row>
    <row r="320" spans="1:15">
      <c r="A320" s="79"/>
      <c r="B320" t="s">
        <v>328</v>
      </c>
      <c r="C320" s="14">
        <f>BC!AN5/BC!$AR5</f>
        <v>0.42441096287839758</v>
      </c>
      <c r="D320" s="14">
        <f>BC!AO5/BC!$AR5</f>
        <v>0.24799926651980245</v>
      </c>
      <c r="E320" s="14">
        <f>BC!AP5/BC!$AR5</f>
        <v>0.25214741071163421</v>
      </c>
      <c r="F320" s="14">
        <f>BC!AQ5/BC!$AR5</f>
        <v>7.5442359890165706E-2</v>
      </c>
      <c r="G320" s="13"/>
      <c r="H320" s="68"/>
      <c r="J320" s="61">
        <f>Proba!B299/Proba!$H299</f>
        <v>0.99030000000000007</v>
      </c>
      <c r="K320" s="61">
        <f>Proba!C299/Proba!$H299</f>
        <v>5.2000000000000006E-3</v>
      </c>
      <c r="L320" s="61">
        <f>Proba!D299/Proba!$H299</f>
        <v>4.5000000000000005E-3</v>
      </c>
      <c r="M320" s="61">
        <f>Proba!E299/Proba!$H299</f>
        <v>0</v>
      </c>
      <c r="N320" s="63"/>
      <c r="O320" s="35"/>
    </row>
    <row r="321" spans="1:15">
      <c r="A321" s="79"/>
      <c r="B321" t="s">
        <v>329</v>
      </c>
      <c r="C321" s="14">
        <f>BC!AN6/BC!$AR6</f>
        <v>0.43050664598923483</v>
      </c>
      <c r="D321" s="14">
        <f>BC!AO6/BC!$AR6</f>
        <v>0.28450009645290703</v>
      </c>
      <c r="E321" s="14">
        <f>BC!AP6/BC!$AR6</f>
        <v>0.19755470155264357</v>
      </c>
      <c r="F321" s="14">
        <f>BC!AQ6/BC!$AR6</f>
        <v>8.7438556005214538E-2</v>
      </c>
      <c r="G321" s="13"/>
      <c r="H321" s="68"/>
      <c r="J321" s="61">
        <f>Proba!B300/Proba!$H300</f>
        <v>0.98094999999999999</v>
      </c>
      <c r="K321" s="61">
        <f>Proba!C300/Proba!$H300</f>
        <v>1.9E-2</v>
      </c>
      <c r="L321" s="61">
        <f>Proba!D300/Proba!$H300</f>
        <v>5.0000000000000002E-5</v>
      </c>
      <c r="M321" s="61">
        <f>Proba!E300/Proba!$H300</f>
        <v>0</v>
      </c>
      <c r="N321" s="63"/>
      <c r="O321" s="35"/>
    </row>
    <row r="322" spans="1:15">
      <c r="A322" s="79"/>
      <c r="B322" t="s">
        <v>330</v>
      </c>
      <c r="C322" s="14">
        <f>BC!AN7/BC!$AR7</f>
        <v>0.47695195498672488</v>
      </c>
      <c r="D322" s="14">
        <f>BC!AO7/BC!$AR7</f>
        <v>0.29344241495549589</v>
      </c>
      <c r="E322" s="14">
        <f>BC!AP7/BC!$AR7</f>
        <v>0.17031213927988606</v>
      </c>
      <c r="F322" s="14">
        <f>BC!AQ7/BC!$AR7</f>
        <v>5.9293490777893074E-2</v>
      </c>
      <c r="G322" s="13"/>
      <c r="H322" s="68"/>
      <c r="J322" s="61">
        <f>Proba!B301/Proba!$H301</f>
        <v>0.99339999999999995</v>
      </c>
      <c r="K322" s="61">
        <f>Proba!C301/Proba!$H301</f>
        <v>6.6E-3</v>
      </c>
      <c r="L322" s="61">
        <f>Proba!D301/Proba!$H301</f>
        <v>0</v>
      </c>
      <c r="M322" s="61">
        <f>Proba!E301/Proba!$H301</f>
        <v>0</v>
      </c>
      <c r="N322" s="63"/>
      <c r="O322" s="35"/>
    </row>
    <row r="323" spans="1:15">
      <c r="A323" s="79"/>
      <c r="B323" t="s">
        <v>331</v>
      </c>
      <c r="C323" s="14">
        <f>BC!AN8/BC!$AR8</f>
        <v>0.43673148735117717</v>
      </c>
      <c r="D323" s="14">
        <f>BC!AO8/BC!$AR8</f>
        <v>0.32377182314183411</v>
      </c>
      <c r="E323" s="14">
        <f>BC!AP8/BC!$AR8</f>
        <v>0.18384101305536471</v>
      </c>
      <c r="F323" s="14">
        <f>BC!AQ8/BC!$AR8</f>
        <v>5.5655676451624045E-2</v>
      </c>
      <c r="G323" s="13"/>
      <c r="H323" s="68"/>
      <c r="J323" s="61">
        <f>Proba!B302/Proba!$H302</f>
        <v>0.93564999999999998</v>
      </c>
      <c r="K323" s="61">
        <f>Proba!C302/Proba!$H302</f>
        <v>6.4350000000000004E-2</v>
      </c>
      <c r="L323" s="61">
        <f>Proba!D302/Proba!$H302</f>
        <v>0</v>
      </c>
      <c r="M323" s="61">
        <f>Proba!E302/Proba!$H302</f>
        <v>0</v>
      </c>
      <c r="N323" s="63"/>
      <c r="O323" s="35"/>
    </row>
    <row r="324" spans="1:15">
      <c r="A324" s="79"/>
      <c r="B324" t="s">
        <v>332</v>
      </c>
      <c r="C324" s="14">
        <f>BC!AN9/BC!$AR9</f>
        <v>0.3874679189906447</v>
      </c>
      <c r="D324" s="14">
        <f>BC!AO9/BC!$AR9</f>
        <v>0.30007078568242601</v>
      </c>
      <c r="E324" s="14">
        <f>BC!AP9/BC!$AR9</f>
        <v>0.25754077950398818</v>
      </c>
      <c r="F324" s="14">
        <f>BC!AQ9/BC!$AR9</f>
        <v>5.49205158229411E-2</v>
      </c>
      <c r="G324" s="13"/>
      <c r="H324" s="68"/>
      <c r="J324" s="61">
        <f>Proba!B303/Proba!$H303</f>
        <v>0.86734999999999995</v>
      </c>
      <c r="K324" s="61">
        <f>Proba!C303/Proba!$H303</f>
        <v>0.1137</v>
      </c>
      <c r="L324" s="61">
        <f>Proba!D303/Proba!$H303</f>
        <v>1.8950000000000002E-2</v>
      </c>
      <c r="M324" s="61">
        <f>Proba!E303/Proba!$H303</f>
        <v>0</v>
      </c>
      <c r="N324" s="63"/>
      <c r="O324" s="35"/>
    </row>
    <row r="325" spans="1:15">
      <c r="A325" s="79"/>
      <c r="B325" t="s">
        <v>333</v>
      </c>
      <c r="C325" s="14">
        <f>BC!AN10/BC!$AR10</f>
        <v>0.32583259003076065</v>
      </c>
      <c r="D325" s="14">
        <f>BC!AO10/BC!$AR10</f>
        <v>0.26097447218969444</v>
      </c>
      <c r="E325" s="14">
        <f>BC!AP10/BC!$AR10</f>
        <v>0.3369303109657788</v>
      </c>
      <c r="F325" s="14">
        <f>BC!AQ10/BC!$AR10</f>
        <v>7.6262626813766124E-2</v>
      </c>
      <c r="G325" s="13"/>
      <c r="H325" s="68"/>
      <c r="J325" s="61">
        <f>Proba!B304/Proba!$H304</f>
        <v>0.40844999999999998</v>
      </c>
      <c r="K325" s="61">
        <f>Proba!C304/Proba!$H304</f>
        <v>5.8200000000000002E-2</v>
      </c>
      <c r="L325" s="61">
        <f>Proba!D304/Proba!$H304</f>
        <v>0.53334999999999999</v>
      </c>
      <c r="M325" s="61">
        <f>Proba!E304/Proba!$H304</f>
        <v>0</v>
      </c>
      <c r="N325" s="63"/>
      <c r="O325" s="35"/>
    </row>
    <row r="326" spans="1:15">
      <c r="A326" s="79"/>
      <c r="B326" t="s">
        <v>334</v>
      </c>
      <c r="C326" s="14">
        <f>BC!AN11/BC!$AR11</f>
        <v>0.30918858116396952</v>
      </c>
      <c r="D326" s="14">
        <f>BC!AO11/BC!$AR11</f>
        <v>0.24940783942412487</v>
      </c>
      <c r="E326" s="14">
        <f>BC!AP11/BC!$AR11</f>
        <v>0.3621207941708347</v>
      </c>
      <c r="F326" s="14">
        <f>BC!AQ11/BC!$AR11</f>
        <v>7.9282785241070866E-2</v>
      </c>
      <c r="G326" s="13"/>
      <c r="H326" s="68"/>
      <c r="J326" s="61">
        <f>Proba!B305/Proba!$H305</f>
        <v>0.20280000000000001</v>
      </c>
      <c r="K326" s="61">
        <f>Proba!C305/Proba!$H305</f>
        <v>2.9049999999999999E-2</v>
      </c>
      <c r="L326" s="61">
        <f>Proba!D305/Proba!$H305</f>
        <v>0.76815</v>
      </c>
      <c r="M326" s="61">
        <f>Proba!E305/Proba!$H305</f>
        <v>0</v>
      </c>
      <c r="N326" s="63"/>
      <c r="O326" s="35"/>
    </row>
    <row r="327" spans="1:15">
      <c r="A327" s="79"/>
      <c r="B327" t="s">
        <v>335</v>
      </c>
      <c r="C327" s="14">
        <f>BC!AN12/BC!$AR12</f>
        <v>0.33852825947017295</v>
      </c>
      <c r="D327" s="14">
        <f>BC!AO12/BC!$AR12</f>
        <v>0.3888105267848212</v>
      </c>
      <c r="E327" s="14">
        <f>BC!AP12/BC!$AR12</f>
        <v>0.21611194086879665</v>
      </c>
      <c r="F327" s="14">
        <f>BC!AQ12/BC!$AR12</f>
        <v>5.6549272876209228E-2</v>
      </c>
      <c r="G327" s="13"/>
      <c r="H327" s="68"/>
      <c r="J327" s="61">
        <f>Proba!B306/Proba!$H306</f>
        <v>0.23300000000000001</v>
      </c>
      <c r="K327" s="61">
        <f>Proba!C306/Proba!$H306</f>
        <v>0.7661</v>
      </c>
      <c r="L327" s="61">
        <f>Proba!D306/Proba!$H306</f>
        <v>8.9999999999999998E-4</v>
      </c>
      <c r="M327" s="61">
        <f>Proba!E306/Proba!$H306</f>
        <v>0</v>
      </c>
      <c r="N327" s="63"/>
      <c r="O327" s="35"/>
    </row>
    <row r="328" spans="1:15">
      <c r="A328" s="79"/>
      <c r="B328" t="s">
        <v>336</v>
      </c>
      <c r="C328" s="14">
        <f>BC!AN13/BC!$AR13</f>
        <v>0.25138402211901795</v>
      </c>
      <c r="D328" s="14">
        <f>BC!AO13/BC!$AR13</f>
        <v>0.28355252537830916</v>
      </c>
      <c r="E328" s="14">
        <f>BC!AP13/BC!$AR13</f>
        <v>0.3315548682591109</v>
      </c>
      <c r="F328" s="14">
        <f>BC!AQ13/BC!$AR13</f>
        <v>0.13350858424356202</v>
      </c>
      <c r="G328" s="13"/>
      <c r="H328" s="68"/>
      <c r="J328" s="61">
        <f>Proba!B307/Proba!$H307</f>
        <v>5.7099999999999998E-2</v>
      </c>
      <c r="K328" s="61">
        <f>Proba!C307/Proba!$H307</f>
        <v>0.21575</v>
      </c>
      <c r="L328" s="61">
        <f>Proba!D307/Proba!$H307</f>
        <v>0.72714999999999996</v>
      </c>
      <c r="M328" s="61">
        <f>Proba!E307/Proba!$H307</f>
        <v>0</v>
      </c>
      <c r="N328" s="63"/>
      <c r="O328" s="35"/>
    </row>
    <row r="329" spans="1:15">
      <c r="A329" s="79"/>
      <c r="B329" t="s">
        <v>337</v>
      </c>
      <c r="C329" s="14">
        <f>BC!AN14/BC!$AR14</f>
        <v>0.33804881946565957</v>
      </c>
      <c r="D329" s="14">
        <f>BC!AO14/BC!$AR14</f>
        <v>0.36034067595480213</v>
      </c>
      <c r="E329" s="14">
        <f>BC!AP14/BC!$AR14</f>
        <v>0.26696114887336292</v>
      </c>
      <c r="F329" s="14">
        <f>BC!AQ14/BC!$AR14</f>
        <v>3.4649355706175437E-2</v>
      </c>
      <c r="G329" s="13"/>
      <c r="H329" s="68"/>
      <c r="J329" s="61">
        <f>Proba!B308/Proba!$H308</f>
        <v>0.35425000000000001</v>
      </c>
      <c r="K329" s="61">
        <f>Proba!C308/Proba!$H308</f>
        <v>0.6159</v>
      </c>
      <c r="L329" s="61">
        <f>Proba!D308/Proba!$H308</f>
        <v>2.9850000000000002E-2</v>
      </c>
      <c r="M329" s="61">
        <f>Proba!E308/Proba!$H308</f>
        <v>0</v>
      </c>
      <c r="N329" s="63"/>
      <c r="O329" s="35"/>
    </row>
    <row r="330" spans="1:15">
      <c r="A330" s="79"/>
      <c r="B330" t="s">
        <v>338</v>
      </c>
      <c r="C330" s="14">
        <f>BC!AN15/BC!$AR15</f>
        <v>0.40195977896450819</v>
      </c>
      <c r="D330" s="14">
        <f>BC!AO15/BC!$AR15</f>
        <v>0.23459082880775556</v>
      </c>
      <c r="E330" s="14">
        <f>BC!AP15/BC!$AR15</f>
        <v>0.30395333037919481</v>
      </c>
      <c r="F330" s="14">
        <f>BC!AQ15/BC!$AR15</f>
        <v>5.9496061848541469E-2</v>
      </c>
      <c r="G330" s="13"/>
      <c r="H330" s="68"/>
      <c r="J330" s="61">
        <f>Proba!B309/Proba!$H309</f>
        <v>0.9214</v>
      </c>
      <c r="K330" s="61">
        <f>Proba!C309/Proba!$H309</f>
        <v>5.1999999999999998E-3</v>
      </c>
      <c r="L330" s="61">
        <f>Proba!D309/Proba!$H309</f>
        <v>7.3400000000000007E-2</v>
      </c>
      <c r="M330" s="61">
        <f>Proba!E309/Proba!$H309</f>
        <v>0</v>
      </c>
      <c r="N330" s="63"/>
      <c r="O330" s="35"/>
    </row>
    <row r="331" spans="1:15">
      <c r="A331" s="79"/>
      <c r="B331" t="s">
        <v>339</v>
      </c>
      <c r="C331" s="14">
        <f>BC!AN16/BC!$AR16</f>
        <v>0.49028511127118157</v>
      </c>
      <c r="D331" s="14">
        <f>BC!AO16/BC!$AR16</f>
        <v>0.35271437655692817</v>
      </c>
      <c r="E331" s="14">
        <f>BC!AP16/BC!$AR16</f>
        <v>0.15700051217189029</v>
      </c>
      <c r="F331" s="14">
        <f>BC!AQ16/BC!$AR16</f>
        <v>0</v>
      </c>
      <c r="G331" s="13"/>
      <c r="H331" s="68"/>
      <c r="J331" s="61">
        <f>Proba!B310/Proba!$H310</f>
        <v>0.96314999999999995</v>
      </c>
      <c r="K331" s="61">
        <f>Proba!C310/Proba!$H310</f>
        <v>3.6850000000000001E-2</v>
      </c>
      <c r="L331" s="61">
        <f>Proba!D310/Proba!$H310</f>
        <v>0</v>
      </c>
      <c r="M331" s="61">
        <f>Proba!E310/Proba!$H310</f>
        <v>0</v>
      </c>
      <c r="N331" s="63"/>
      <c r="O331" s="35"/>
    </row>
    <row r="332" spans="1:15">
      <c r="A332" s="79"/>
      <c r="B332" t="s">
        <v>340</v>
      </c>
      <c r="C332" s="14">
        <f>BC!AN17/BC!$AR17</f>
        <v>0.38299885489145302</v>
      </c>
      <c r="D332" s="14">
        <f>BC!AO17/BC!$AR17</f>
        <v>0.21787923131495734</v>
      </c>
      <c r="E332" s="14">
        <f>BC!AP17/BC!$AR17</f>
        <v>0.3255871038632826</v>
      </c>
      <c r="F332" s="14">
        <f>BC!AQ17/BC!$AR17</f>
        <v>7.3534809930307046E-2</v>
      </c>
      <c r="G332" s="13"/>
      <c r="H332" s="68"/>
      <c r="J332" s="61">
        <f>Proba!B311/Proba!$H311</f>
        <v>0.79984999999999995</v>
      </c>
      <c r="K332" s="61">
        <f>Proba!C311/Proba!$H311</f>
        <v>2.8999999999999998E-3</v>
      </c>
      <c r="L332" s="61">
        <f>Proba!D311/Proba!$H311</f>
        <v>0.19725000000000001</v>
      </c>
      <c r="M332" s="61">
        <f>Proba!E311/Proba!$H311</f>
        <v>0</v>
      </c>
      <c r="N332" s="63"/>
      <c r="O332" s="35"/>
    </row>
    <row r="333" spans="1:15">
      <c r="A333" s="79"/>
      <c r="B333" t="s">
        <v>341</v>
      </c>
      <c r="C333" s="14">
        <f>BC!AN18/BC!$AR18</f>
        <v>0.51696011231273442</v>
      </c>
      <c r="D333" s="14">
        <f>BC!AO18/BC!$AR18</f>
        <v>0.29282508338773927</v>
      </c>
      <c r="E333" s="14">
        <f>BC!AP18/BC!$AR18</f>
        <v>0.12854351595284669</v>
      </c>
      <c r="F333" s="14">
        <f>BC!AQ18/BC!$AR18</f>
        <v>6.1671288346679676E-2</v>
      </c>
      <c r="G333" s="13"/>
      <c r="H333" s="68"/>
      <c r="J333" s="61">
        <f>Proba!B312/Proba!$H312</f>
        <v>0.99709999999999999</v>
      </c>
      <c r="K333" s="61">
        <f>Proba!C312/Proba!$H312</f>
        <v>2.8999999999999998E-3</v>
      </c>
      <c r="L333" s="61">
        <f>Proba!D312/Proba!$H312</f>
        <v>0</v>
      </c>
      <c r="M333" s="61">
        <f>Proba!E312/Proba!$H312</f>
        <v>0</v>
      </c>
      <c r="N333" s="63"/>
      <c r="O333" s="35"/>
    </row>
    <row r="334" spans="1:15">
      <c r="A334" s="79"/>
      <c r="B334" t="s">
        <v>342</v>
      </c>
      <c r="C334" s="14">
        <f>BC!AN19/BC!$AR19</f>
        <v>0.42466498214683546</v>
      </c>
      <c r="D334" s="14">
        <f>BC!AO19/BC!$AR19</f>
        <v>0.26494401829642666</v>
      </c>
      <c r="E334" s="14">
        <f>BC!AP19/BC!$AR19</f>
        <v>0.25525997546137202</v>
      </c>
      <c r="F334" s="14">
        <f>BC!AQ19/BC!$AR19</f>
        <v>5.5131024095365758E-2</v>
      </c>
      <c r="G334" s="13"/>
      <c r="H334" s="68"/>
      <c r="J334" s="61">
        <f>Proba!B313/Proba!$H313</f>
        <v>0.98334999999999995</v>
      </c>
      <c r="K334" s="61">
        <f>Proba!C313/Proba!$H313</f>
        <v>1.065E-2</v>
      </c>
      <c r="L334" s="61">
        <f>Proba!D313/Proba!$H313</f>
        <v>6.0000000000000001E-3</v>
      </c>
      <c r="M334" s="61">
        <f>Proba!E313/Proba!$H313</f>
        <v>0</v>
      </c>
      <c r="N334" s="63"/>
      <c r="O334" s="35"/>
    </row>
    <row r="335" spans="1:15">
      <c r="A335" s="79"/>
      <c r="B335" t="s">
        <v>343</v>
      </c>
      <c r="C335" s="14">
        <f>BC!AN20/BC!$AR20</f>
        <v>0.27208619148075996</v>
      </c>
      <c r="D335" s="14">
        <f>BC!AO20/BC!$AR20</f>
        <v>0.24835396468430454</v>
      </c>
      <c r="E335" s="14">
        <f>BC!AP20/BC!$AR20</f>
        <v>0.30311921864105562</v>
      </c>
      <c r="F335" s="14">
        <f>BC!AQ20/BC!$AR20</f>
        <v>0.17644062519387993</v>
      </c>
      <c r="G335" s="13"/>
      <c r="H335" s="68"/>
      <c r="J335" s="61">
        <f>Proba!B314/Proba!$H314</f>
        <v>0.25171224316352542</v>
      </c>
      <c r="K335" s="61">
        <f>Proba!C314/Proba!$H314</f>
        <v>0.13003049542568612</v>
      </c>
      <c r="L335" s="61">
        <f>Proba!D314/Proba!$H314</f>
        <v>0.61790731390291453</v>
      </c>
      <c r="M335" s="61">
        <f>Proba!E314/Proba!$H314</f>
        <v>3.4994750787381888E-4</v>
      </c>
      <c r="N335" s="63"/>
      <c r="O335" s="35"/>
    </row>
    <row r="336" spans="1:15">
      <c r="A336" s="79"/>
      <c r="B336" t="s">
        <v>344</v>
      </c>
      <c r="C336" s="14">
        <f>BC!AN21/BC!$AR21</f>
        <v>0.20596651297003396</v>
      </c>
      <c r="D336" s="14">
        <f>BC!AO21/BC!$AR21</f>
        <v>0.28349189532525548</v>
      </c>
      <c r="E336" s="14">
        <f>BC!AP21/BC!$AR21</f>
        <v>0.45943695658113526</v>
      </c>
      <c r="F336" s="14">
        <f>BC!AQ21/BC!$AR21</f>
        <v>5.1104635123575402E-2</v>
      </c>
      <c r="G336" s="13"/>
      <c r="H336" s="68"/>
      <c r="J336" s="61">
        <f>Proba!B315/Proba!$H315</f>
        <v>0</v>
      </c>
      <c r="K336" s="61">
        <f>Proba!C315/Proba!$H315</f>
        <v>5.0000000000000001E-3</v>
      </c>
      <c r="L336" s="61">
        <f>Proba!D315/Proba!$H315</f>
        <v>0.995</v>
      </c>
      <c r="M336" s="61">
        <f>Proba!E315/Proba!$H315</f>
        <v>0</v>
      </c>
      <c r="N336" s="63"/>
      <c r="O336" s="35"/>
    </row>
    <row r="337" spans="1:15">
      <c r="A337" s="79"/>
      <c r="B337" t="s">
        <v>345</v>
      </c>
      <c r="C337" s="14">
        <f>BC!AN22/BC!$AR22</f>
        <v>0.33691255178895241</v>
      </c>
      <c r="D337" s="14">
        <f>BC!AO22/BC!$AR22</f>
        <v>0.25713977251256526</v>
      </c>
      <c r="E337" s="14">
        <f>BC!AP22/BC!$AR22</f>
        <v>0.34677697895348558</v>
      </c>
      <c r="F337" s="14">
        <f>BC!AQ22/BC!$AR22</f>
        <v>5.9170696744996698E-2</v>
      </c>
      <c r="G337" s="13"/>
      <c r="H337" s="68"/>
      <c r="J337" s="61">
        <f>Proba!B316/Proba!$H316</f>
        <v>0.42465000000000003</v>
      </c>
      <c r="K337" s="61">
        <f>Proba!C316/Proba!$H316</f>
        <v>3.7249999999999998E-2</v>
      </c>
      <c r="L337" s="61">
        <f>Proba!D316/Proba!$H316</f>
        <v>0.53810000000000002</v>
      </c>
      <c r="M337" s="61">
        <f>Proba!E316/Proba!$H316</f>
        <v>0</v>
      </c>
      <c r="N337" s="63"/>
      <c r="O337" s="35"/>
    </row>
    <row r="338" spans="1:15">
      <c r="A338" s="79"/>
      <c r="B338" t="s">
        <v>346</v>
      </c>
      <c r="C338" s="14">
        <f>BC!AN23/BC!$AR23</f>
        <v>0.40462675663870951</v>
      </c>
      <c r="D338" s="14">
        <f>BC!AO23/BC!$AR23</f>
        <v>0.26660144600845592</v>
      </c>
      <c r="E338" s="14">
        <f>BC!AP23/BC!$AR23</f>
        <v>0.20812845569336971</v>
      </c>
      <c r="F338" s="14">
        <f>BC!AQ23/BC!$AR23</f>
        <v>0.12064334165946482</v>
      </c>
      <c r="G338" s="13"/>
      <c r="H338" s="68"/>
      <c r="J338" s="61">
        <f>Proba!B317/Proba!$H317</f>
        <v>0.97694999999999999</v>
      </c>
      <c r="K338" s="61">
        <f>Proba!C317/Proba!$H317</f>
        <v>2.205E-2</v>
      </c>
      <c r="L338" s="61">
        <f>Proba!D317/Proba!$H317</f>
        <v>1E-3</v>
      </c>
      <c r="M338" s="61">
        <f>Proba!E317/Proba!$H317</f>
        <v>0</v>
      </c>
      <c r="N338" s="63"/>
      <c r="O338" s="35"/>
    </row>
    <row r="339" spans="1:15">
      <c r="A339" s="79"/>
      <c r="B339" t="s">
        <v>347</v>
      </c>
      <c r="C339" s="14">
        <f>BC!AN24/BC!$AR24</f>
        <v>0.33446473078194444</v>
      </c>
      <c r="D339" s="14">
        <f>BC!AO24/BC!$AR24</f>
        <v>0.50061446034686885</v>
      </c>
      <c r="E339" s="14">
        <f>BC!AP24/BC!$AR24</f>
        <v>0.10353590799476665</v>
      </c>
      <c r="F339" s="14">
        <f>BC!AQ24/BC!$AR24</f>
        <v>6.1384900876419998E-2</v>
      </c>
      <c r="G339" s="13"/>
      <c r="H339" s="68"/>
      <c r="J339" s="61">
        <f>Proba!B318/Proba!$H318</f>
        <v>1.18E-2</v>
      </c>
      <c r="K339" s="61">
        <f>Proba!C318/Proba!$H318</f>
        <v>0.98819999999999997</v>
      </c>
      <c r="L339" s="61">
        <f>Proba!D318/Proba!$H318</f>
        <v>0</v>
      </c>
      <c r="M339" s="61">
        <f>Proba!E318/Proba!$H318</f>
        <v>0</v>
      </c>
      <c r="N339" s="63"/>
      <c r="O339" s="35"/>
    </row>
    <row r="340" spans="1:15">
      <c r="A340" s="79"/>
      <c r="B340" t="s">
        <v>348</v>
      </c>
      <c r="C340" s="14">
        <f>BC!AN25/BC!$AR25</f>
        <v>0.36499870009686558</v>
      </c>
      <c r="D340" s="14">
        <f>BC!AO25/BC!$AR25</f>
        <v>0.2593819332499589</v>
      </c>
      <c r="E340" s="14">
        <f>BC!AP25/BC!$AR25</f>
        <v>0.31726338129487358</v>
      </c>
      <c r="F340" s="14">
        <f>BC!AQ25/BC!$AR25</f>
        <v>5.8355985358301783E-2</v>
      </c>
      <c r="G340" s="13"/>
      <c r="H340" s="68"/>
      <c r="J340" s="61">
        <f>Proba!B319/Proba!$H319</f>
        <v>0.73045000000000004</v>
      </c>
      <c r="K340" s="61">
        <f>Proba!C319/Proba!$H319</f>
        <v>3.9100000000000003E-2</v>
      </c>
      <c r="L340" s="61">
        <f>Proba!D319/Proba!$H319</f>
        <v>0.23044999999999999</v>
      </c>
      <c r="M340" s="61">
        <f>Proba!E319/Proba!$H319</f>
        <v>0</v>
      </c>
      <c r="N340" s="63"/>
      <c r="O340" s="35"/>
    </row>
    <row r="341" spans="1:15">
      <c r="A341" s="79"/>
      <c r="B341" t="s">
        <v>349</v>
      </c>
      <c r="C341" s="14">
        <f>BC!AN26/BC!$AR26</f>
        <v>0.3223726600102465</v>
      </c>
      <c r="D341" s="14">
        <f>BC!AO26/BC!$AR26</f>
        <v>0.28718327221385304</v>
      </c>
      <c r="E341" s="14">
        <f>BC!AP26/BC!$AR26</f>
        <v>0.33909842732158124</v>
      </c>
      <c r="F341" s="14">
        <f>BC!AQ26/BC!$AR26</f>
        <v>5.134564045431908E-2</v>
      </c>
      <c r="G341" s="13"/>
      <c r="H341" s="68"/>
      <c r="J341" s="61">
        <f>Proba!B320/Proba!$H320</f>
        <v>0.35020000000000001</v>
      </c>
      <c r="K341" s="61">
        <f>Proba!C320/Proba!$H320</f>
        <v>0.1234</v>
      </c>
      <c r="L341" s="61">
        <f>Proba!D320/Proba!$H320</f>
        <v>0.52639999999999998</v>
      </c>
      <c r="M341" s="61">
        <f>Proba!E320/Proba!$H320</f>
        <v>0</v>
      </c>
      <c r="N341" s="63"/>
      <c r="O341" s="35"/>
    </row>
    <row r="342" spans="1:15">
      <c r="A342" s="79"/>
      <c r="B342" t="s">
        <v>350</v>
      </c>
      <c r="C342" s="14">
        <f>BC!AN27/BC!$AR27</f>
        <v>0.50111628037433931</v>
      </c>
      <c r="D342" s="14">
        <f>BC!AO27/BC!$AR27</f>
        <v>0.23451583875784426</v>
      </c>
      <c r="E342" s="14">
        <f>BC!AP27/BC!$AR27</f>
        <v>0.19454847786812313</v>
      </c>
      <c r="F342" s="14">
        <f>BC!AQ27/BC!$AR27</f>
        <v>6.9819402999693234E-2</v>
      </c>
      <c r="G342" s="13"/>
      <c r="H342" s="68"/>
      <c r="J342" s="61">
        <f>Proba!B321/Proba!$H321</f>
        <v>0.99970000000000003</v>
      </c>
      <c r="K342" s="61">
        <f>Proba!C321/Proba!$H321</f>
        <v>2.5000000000000001E-4</v>
      </c>
      <c r="L342" s="61">
        <f>Proba!D321/Proba!$H321</f>
        <v>5.0000000000000002E-5</v>
      </c>
      <c r="M342" s="61">
        <f>Proba!E321/Proba!$H321</f>
        <v>0</v>
      </c>
      <c r="N342" s="63"/>
      <c r="O342" s="35"/>
    </row>
    <row r="343" spans="1:15">
      <c r="A343" s="79"/>
      <c r="B343" t="s">
        <v>351</v>
      </c>
      <c r="C343" s="14">
        <f>BC!AN28/BC!$AR28</f>
        <v>0.4369175397702057</v>
      </c>
      <c r="D343" s="14">
        <f>BC!AO28/BC!$AR28</f>
        <v>0.3881885197212413</v>
      </c>
      <c r="E343" s="14">
        <f>BC!AP28/BC!$AR28</f>
        <v>0.11633774077103773</v>
      </c>
      <c r="F343" s="14">
        <f>BC!AQ28/BC!$AR28</f>
        <v>5.8556199737515288E-2</v>
      </c>
      <c r="G343" s="13"/>
      <c r="H343" s="68"/>
      <c r="J343" s="61">
        <f>Proba!B322/Proba!$H322</f>
        <v>0.72814999999999996</v>
      </c>
      <c r="K343" s="61">
        <f>Proba!C322/Proba!$H322</f>
        <v>0.27184999999999998</v>
      </c>
      <c r="L343" s="61">
        <f>Proba!D322/Proba!$H322</f>
        <v>0</v>
      </c>
      <c r="M343" s="61">
        <f>Proba!E322/Proba!$H322</f>
        <v>0</v>
      </c>
      <c r="N343" s="63"/>
      <c r="O343" s="35"/>
    </row>
    <row r="344" spans="1:15">
      <c r="A344" s="79"/>
      <c r="B344" t="s">
        <v>352</v>
      </c>
      <c r="C344" s="14">
        <f>BC!AN29/BC!$AR29</f>
        <v>0.24290493096564483</v>
      </c>
      <c r="D344" s="14">
        <f>BC!AO29/BC!$AR29</f>
        <v>0.25114904993873988</v>
      </c>
      <c r="E344" s="14">
        <f>BC!AP29/BC!$AR29</f>
        <v>3.8003298262372961E-2</v>
      </c>
      <c r="F344" s="14">
        <f>BC!AQ29/BC!$AR29</f>
        <v>0.46794272083324229</v>
      </c>
      <c r="G344" s="13"/>
      <c r="H344" s="68"/>
      <c r="J344" s="61">
        <f>Proba!B323/Proba!$H323</f>
        <v>4.9995000499950008E-5</v>
      </c>
      <c r="K344" s="61">
        <f>Proba!C323/Proba!$H323</f>
        <v>4.9995000499950004E-4</v>
      </c>
      <c r="L344" s="61">
        <f>Proba!D323/Proba!$H323</f>
        <v>0</v>
      </c>
      <c r="M344" s="61">
        <f>Proba!E323/Proba!$H323</f>
        <v>0.99945005499450057</v>
      </c>
      <c r="N344" s="63"/>
      <c r="O344" s="35"/>
    </row>
    <row r="345" spans="1:15">
      <c r="A345" s="79"/>
      <c r="B345" t="s">
        <v>353</v>
      </c>
      <c r="C345" s="14">
        <f>BC!AN30/BC!$AR30</f>
        <v>0.23194863999615642</v>
      </c>
      <c r="D345" s="14">
        <f>BC!AO30/BC!$AR30</f>
        <v>0.219471045211661</v>
      </c>
      <c r="E345" s="14">
        <f>BC!AP30/BC!$AR30</f>
        <v>0.50760921374976065</v>
      </c>
      <c r="F345" s="14">
        <f>BC!AQ30/BC!$AR30</f>
        <v>4.0971101042422048E-2</v>
      </c>
      <c r="G345" s="13"/>
      <c r="H345" s="68"/>
      <c r="J345" s="61">
        <f>Proba!B324/Proba!$H324</f>
        <v>0</v>
      </c>
      <c r="K345" s="61">
        <f>Proba!C324/Proba!$H324</f>
        <v>5.0000000000000002E-5</v>
      </c>
      <c r="L345" s="61">
        <f>Proba!D324/Proba!$H324</f>
        <v>0.99995000000000001</v>
      </c>
      <c r="M345" s="61">
        <f>Proba!E324/Proba!$H324</f>
        <v>0</v>
      </c>
      <c r="N345" s="63"/>
      <c r="O345" s="35"/>
    </row>
    <row r="346" spans="1:15">
      <c r="A346" s="79"/>
      <c r="B346" t="s">
        <v>354</v>
      </c>
      <c r="C346" s="14">
        <f>BC!AN31/BC!$AR31</f>
        <v>0.33103984972988493</v>
      </c>
      <c r="D346" s="14">
        <f>BC!AO31/BC!$AR31</f>
        <v>0.25107994130630551</v>
      </c>
      <c r="E346" s="14">
        <f>BC!AP31/BC!$AR31</f>
        <v>0.32813282824128637</v>
      </c>
      <c r="F346" s="14">
        <f>BC!AQ31/BC!$AR31</f>
        <v>8.9747380722523237E-2</v>
      </c>
      <c r="G346" s="13"/>
      <c r="H346" s="68"/>
      <c r="J346" s="61">
        <f>Proba!B325/Proba!$H325</f>
        <v>0.50114999999999998</v>
      </c>
      <c r="K346" s="61">
        <f>Proba!C325/Proba!$H325</f>
        <v>3.9100000000000003E-2</v>
      </c>
      <c r="L346" s="61">
        <f>Proba!D325/Proba!$H325</f>
        <v>0.45974999999999999</v>
      </c>
      <c r="M346" s="61">
        <f>Proba!E325/Proba!$H325</f>
        <v>0</v>
      </c>
      <c r="N346" s="63"/>
      <c r="O346" s="35"/>
    </row>
    <row r="347" spans="1:15">
      <c r="A347" s="79"/>
      <c r="B347" t="s">
        <v>355</v>
      </c>
      <c r="C347" s="14">
        <f>BC!AN32/BC!$AR32</f>
        <v>0.40010698276272022</v>
      </c>
      <c r="D347" s="14">
        <f>BC!AO32/BC!$AR32</f>
        <v>0.40144355213290434</v>
      </c>
      <c r="E347" s="14">
        <f>BC!AP32/BC!$AR32</f>
        <v>0.12944282128974346</v>
      </c>
      <c r="F347" s="14">
        <f>BC!AQ32/BC!$AR32</f>
        <v>6.9006643814631882E-2</v>
      </c>
      <c r="G347" s="13"/>
      <c r="H347" s="68"/>
      <c r="J347" s="61">
        <f>Proba!B326/Proba!$H326</f>
        <v>0.48185</v>
      </c>
      <c r="K347" s="61">
        <f>Proba!C326/Proba!$H326</f>
        <v>0.51815</v>
      </c>
      <c r="L347" s="61">
        <f>Proba!D326/Proba!$H326</f>
        <v>0</v>
      </c>
      <c r="M347" s="61">
        <f>Proba!E326/Proba!$H326</f>
        <v>0</v>
      </c>
      <c r="N347" s="63"/>
      <c r="O347" s="35"/>
    </row>
    <row r="348" spans="1:15">
      <c r="A348" s="79"/>
      <c r="B348" t="s">
        <v>356</v>
      </c>
      <c r="C348" s="14">
        <f>BC!AN33/BC!$AR33</f>
        <v>0.3977367394651084</v>
      </c>
      <c r="D348" s="14">
        <f>BC!AO33/BC!$AR33</f>
        <v>0.38860378049960503</v>
      </c>
      <c r="E348" s="14">
        <f>BC!AP33/BC!$AR33</f>
        <v>0.16332662829146272</v>
      </c>
      <c r="F348" s="14">
        <f>BC!AQ33/BC!$AR33</f>
        <v>5.0332851743823896E-2</v>
      </c>
      <c r="G348" s="13"/>
      <c r="H348" s="68"/>
      <c r="J348" s="61">
        <f>Proba!B327/Proba!$H327</f>
        <v>0.53505000000000003</v>
      </c>
      <c r="K348" s="61">
        <f>Proba!C327/Proba!$H327</f>
        <v>0.46494999999999997</v>
      </c>
      <c r="L348" s="61">
        <f>Proba!D327/Proba!$H327</f>
        <v>0</v>
      </c>
      <c r="M348" s="61">
        <f>Proba!E327/Proba!$H327</f>
        <v>0</v>
      </c>
      <c r="N348" s="63"/>
      <c r="O348" s="35"/>
    </row>
    <row r="349" spans="1:15">
      <c r="A349" s="79"/>
      <c r="B349" t="s">
        <v>357</v>
      </c>
      <c r="C349" s="14">
        <f>BC!AN34/BC!$AR34</f>
        <v>0.22031894693544246</v>
      </c>
      <c r="D349" s="14">
        <f>BC!AO34/BC!$AR34</f>
        <v>0.38132492525401951</v>
      </c>
      <c r="E349" s="14">
        <f>BC!AP34/BC!$AR34</f>
        <v>0.35286949561092179</v>
      </c>
      <c r="F349" s="14">
        <f>BC!AQ34/BC!$AR34</f>
        <v>4.5486632199616343E-2</v>
      </c>
      <c r="G349" s="13"/>
      <c r="H349" s="68"/>
      <c r="J349" s="61">
        <f>Proba!B328/Proba!$H328</f>
        <v>2.0999999999999999E-3</v>
      </c>
      <c r="K349" s="61">
        <f>Proba!C328/Proba!$H328</f>
        <v>0.67015000000000002</v>
      </c>
      <c r="L349" s="61">
        <f>Proba!D328/Proba!$H328</f>
        <v>0.32774999999999999</v>
      </c>
      <c r="M349" s="61">
        <f>Proba!E328/Proba!$H328</f>
        <v>0</v>
      </c>
      <c r="N349" s="63"/>
      <c r="O349" s="35"/>
    </row>
    <row r="350" spans="1:15">
      <c r="A350" s="79"/>
      <c r="B350" t="s">
        <v>358</v>
      </c>
      <c r="C350" s="14">
        <f>BC!AN35/BC!$AR35</f>
        <v>0.1342629249399806</v>
      </c>
      <c r="D350" s="14">
        <f>BC!AO35/BC!$AR35</f>
        <v>0.53323263332197268</v>
      </c>
      <c r="E350" s="14">
        <f>BC!AP35/BC!$AR35</f>
        <v>0.29828765301729043</v>
      </c>
      <c r="F350" s="14">
        <f>BC!AQ35/BC!$AR35</f>
        <v>3.4216788720756418E-2</v>
      </c>
      <c r="G350" s="13"/>
      <c r="H350" s="68"/>
      <c r="J350" s="61">
        <f>Proba!B329/Proba!$H329</f>
        <v>0</v>
      </c>
      <c r="K350" s="61">
        <f>Proba!C329/Proba!$H329</f>
        <v>0.99970000000000003</v>
      </c>
      <c r="L350" s="61">
        <f>Proba!D329/Proba!$H329</f>
        <v>2.9999999999999997E-4</v>
      </c>
      <c r="M350" s="61">
        <f>Proba!E329/Proba!$H329</f>
        <v>0</v>
      </c>
      <c r="N350" s="63"/>
      <c r="O350" s="35"/>
    </row>
    <row r="351" spans="1:15">
      <c r="A351" s="79"/>
      <c r="B351" t="s">
        <v>359</v>
      </c>
      <c r="C351" s="14">
        <f>BC!AN36/BC!$AR36</f>
        <v>0.1338810283874694</v>
      </c>
      <c r="D351" s="14">
        <f>BC!AO36/BC!$AR36</f>
        <v>0.5011476054792714</v>
      </c>
      <c r="E351" s="14">
        <f>BC!AP36/BC!$AR36</f>
        <v>0.20292573632705441</v>
      </c>
      <c r="F351" s="14">
        <f>BC!AQ36/BC!$AR36</f>
        <v>0.16204562980620485</v>
      </c>
      <c r="G351" s="13"/>
      <c r="H351" s="68"/>
      <c r="J351" s="61">
        <f>Proba!B330/Proba!$H330</f>
        <v>0</v>
      </c>
      <c r="K351" s="61">
        <f>Proba!C330/Proba!$H330</f>
        <v>1</v>
      </c>
      <c r="L351" s="61">
        <f>Proba!D330/Proba!$H330</f>
        <v>0</v>
      </c>
      <c r="M351" s="61">
        <f>Proba!E330/Proba!$H330</f>
        <v>0</v>
      </c>
      <c r="N351" s="63"/>
      <c r="O351" s="35"/>
    </row>
    <row r="352" spans="1:15">
      <c r="A352" s="79"/>
      <c r="B352" t="s">
        <v>360</v>
      </c>
      <c r="C352" s="14">
        <f>BC!AN37/BC!$AR37</f>
        <v>6.3003223527668725E-2</v>
      </c>
      <c r="D352" s="14">
        <f>BC!AO37/BC!$AR37</f>
        <v>0.30679620946442826</v>
      </c>
      <c r="E352" s="14">
        <f>BC!AP37/BC!$AR37</f>
        <v>0.54103681270876613</v>
      </c>
      <c r="F352" s="14">
        <f>BC!AQ37/BC!$AR37</f>
        <v>8.916375429913681E-2</v>
      </c>
      <c r="G352" s="13"/>
      <c r="H352" s="68"/>
      <c r="J352" s="61">
        <f>Proba!B331/Proba!$H331</f>
        <v>0</v>
      </c>
      <c r="K352" s="61">
        <f>Proba!C331/Proba!$H331</f>
        <v>5.9999999999999995E-4</v>
      </c>
      <c r="L352" s="61">
        <f>Proba!D331/Proba!$H331</f>
        <v>0.99939999999999996</v>
      </c>
      <c r="M352" s="61">
        <f>Proba!E331/Proba!$H331</f>
        <v>0</v>
      </c>
      <c r="N352" s="63"/>
      <c r="O352" s="35"/>
    </row>
    <row r="353" spans="1:15">
      <c r="A353" s="79"/>
      <c r="B353" t="s">
        <v>361</v>
      </c>
      <c r="C353" s="14">
        <f>BC!AN38/BC!$AR38</f>
        <v>0.27968187776687625</v>
      </c>
      <c r="D353" s="14">
        <f>BC!AO38/BC!$AR38</f>
        <v>0.36617681442262379</v>
      </c>
      <c r="E353" s="14">
        <f>BC!AP38/BC!$AR38</f>
        <v>0.25546298490095942</v>
      </c>
      <c r="F353" s="14">
        <f>BC!AQ38/BC!$AR38</f>
        <v>9.8678322909540553E-2</v>
      </c>
      <c r="G353" s="13"/>
      <c r="H353" s="68"/>
      <c r="J353" s="61">
        <f>Proba!B332/Proba!$H332</f>
        <v>8.6800000000000002E-2</v>
      </c>
      <c r="K353" s="61">
        <f>Proba!C332/Proba!$H332</f>
        <v>0.88580000000000003</v>
      </c>
      <c r="L353" s="61">
        <f>Proba!D332/Proba!$H332</f>
        <v>2.7400000000000001E-2</v>
      </c>
      <c r="M353" s="61">
        <f>Proba!E332/Proba!$H332</f>
        <v>0</v>
      </c>
      <c r="N353" s="63"/>
      <c r="O353" s="35"/>
    </row>
    <row r="354" spans="1:15">
      <c r="A354" s="79"/>
      <c r="B354" t="s">
        <v>362</v>
      </c>
      <c r="C354" s="14">
        <f>BC!AN39/BC!$AR39</f>
        <v>0.14755942800953245</v>
      </c>
      <c r="D354" s="14">
        <f>BC!AO39/BC!$AR39</f>
        <v>0.34996709331622256</v>
      </c>
      <c r="E354" s="14">
        <f>BC!AP39/BC!$AR39</f>
        <v>0.45937411647191845</v>
      </c>
      <c r="F354" s="14">
        <f>BC!AQ39/BC!$AR39</f>
        <v>4.3099362202326498E-2</v>
      </c>
      <c r="G354" s="13"/>
      <c r="H354" s="68"/>
      <c r="J354" s="61">
        <f>Proba!B333/Proba!$H333</f>
        <v>0</v>
      </c>
      <c r="K354" s="61">
        <f>Proba!C333/Proba!$H333</f>
        <v>5.5500000000000001E-2</v>
      </c>
      <c r="L354" s="61">
        <f>Proba!D333/Proba!$H333</f>
        <v>0.94450000000000001</v>
      </c>
      <c r="M354" s="61">
        <f>Proba!E333/Proba!$H333</f>
        <v>0</v>
      </c>
      <c r="N354" s="63"/>
      <c r="O354" s="35"/>
    </row>
    <row r="355" spans="1:15">
      <c r="A355" s="79"/>
      <c r="B355" t="s">
        <v>363</v>
      </c>
      <c r="C355" s="14">
        <f>BC!AN40/BC!$AR40</f>
        <v>0.23608324110115661</v>
      </c>
      <c r="D355" s="14">
        <f>BC!AO40/BC!$AR40</f>
        <v>0.61855182924844099</v>
      </c>
      <c r="E355" s="14">
        <f>BC!AP40/BC!$AR40</f>
        <v>8.0398996264453709E-2</v>
      </c>
      <c r="F355" s="14">
        <f>BC!AQ40/BC!$AR40</f>
        <v>6.4965933385948707E-2</v>
      </c>
      <c r="G355" s="13"/>
      <c r="H355" s="68"/>
      <c r="J355" s="61">
        <f>Proba!B334/Proba!$H334</f>
        <v>0</v>
      </c>
      <c r="K355" s="61">
        <f>Proba!C334/Proba!$H334</f>
        <v>1</v>
      </c>
      <c r="L355" s="61">
        <f>Proba!D334/Proba!$H334</f>
        <v>0</v>
      </c>
      <c r="M355" s="61">
        <f>Proba!E334/Proba!$H334</f>
        <v>0</v>
      </c>
      <c r="N355" s="63"/>
      <c r="O355" s="35"/>
    </row>
    <row r="356" spans="1:15">
      <c r="A356" s="79"/>
      <c r="B356" t="s">
        <v>364</v>
      </c>
      <c r="C356" s="14">
        <f>BC!AN41/BC!$AR41</f>
        <v>0.29137027609805233</v>
      </c>
      <c r="D356" s="14">
        <f>BC!AO41/BC!$AR41</f>
        <v>0.53142634527682242</v>
      </c>
      <c r="E356" s="14">
        <f>BC!AP41/BC!$AR41</f>
        <v>0.14685254052319396</v>
      </c>
      <c r="F356" s="14">
        <f>BC!AQ41/BC!$AR41</f>
        <v>3.0350838101931309E-2</v>
      </c>
      <c r="G356" s="13"/>
      <c r="H356" s="68"/>
      <c r="J356" s="61">
        <f>Proba!B335/Proba!$H335</f>
        <v>5.5000000000000003E-4</v>
      </c>
      <c r="K356" s="61">
        <f>Proba!C335/Proba!$H335</f>
        <v>0.99944999999999995</v>
      </c>
      <c r="L356" s="61">
        <f>Proba!D335/Proba!$H335</f>
        <v>0</v>
      </c>
      <c r="M356" s="61">
        <f>Proba!E335/Proba!$H335</f>
        <v>0</v>
      </c>
      <c r="N356" s="63"/>
      <c r="O356" s="35"/>
    </row>
    <row r="357" spans="1:15">
      <c r="A357" s="79"/>
      <c r="B357" t="s">
        <v>365</v>
      </c>
      <c r="C357" s="14">
        <f>BC!AN42/BC!$AR42</f>
        <v>0.10395638584323136</v>
      </c>
      <c r="D357" s="14">
        <f>BC!AO42/BC!$AR42</f>
        <v>0.15573369577542523</v>
      </c>
      <c r="E357" s="14">
        <f>BC!AP42/BC!$AR42</f>
        <v>0.3887941518335728</v>
      </c>
      <c r="F357" s="14">
        <f>BC!AQ42/BC!$AR42</f>
        <v>0.35151576654777061</v>
      </c>
      <c r="G357" s="13"/>
      <c r="H357" s="68"/>
      <c r="J357" s="61">
        <f>Proba!B336/Proba!$H336</f>
        <v>0</v>
      </c>
      <c r="K357" s="61">
        <f>Proba!C336/Proba!$H336</f>
        <v>0</v>
      </c>
      <c r="L357" s="61">
        <f>Proba!D336/Proba!$H336</f>
        <v>0.71998824508987602</v>
      </c>
      <c r="M357" s="61">
        <f>Proba!E336/Proba!$H336</f>
        <v>0.28001175491012392</v>
      </c>
      <c r="N357" s="63"/>
      <c r="O357" s="35"/>
    </row>
    <row r="358" spans="1:15">
      <c r="A358" s="79"/>
      <c r="B358" t="s">
        <v>366</v>
      </c>
      <c r="C358" s="14">
        <f>BC!AN43/BC!$AR43</f>
        <v>0.31888354577763622</v>
      </c>
      <c r="D358" s="14">
        <f>BC!AO43/BC!$AR43</f>
        <v>0.44423511585964975</v>
      </c>
      <c r="E358" s="14">
        <f>BC!AP43/BC!$AR43</f>
        <v>0.15086242957357252</v>
      </c>
      <c r="F358" s="14">
        <f>BC!AQ43/BC!$AR43</f>
        <v>8.6018908789141563E-2</v>
      </c>
      <c r="G358" s="13"/>
      <c r="H358" s="68"/>
      <c r="J358" s="61">
        <f>Proba!B337/Proba!$H337</f>
        <v>3.73E-2</v>
      </c>
      <c r="K358" s="61">
        <f>Proba!C337/Proba!$H337</f>
        <v>0.9627</v>
      </c>
      <c r="L358" s="61">
        <f>Proba!D337/Proba!$H337</f>
        <v>0</v>
      </c>
      <c r="M358" s="61">
        <f>Proba!E337/Proba!$H337</f>
        <v>0</v>
      </c>
      <c r="N358" s="63"/>
      <c r="O358" s="35"/>
    </row>
    <row r="359" spans="1:15">
      <c r="A359" s="79" t="s">
        <v>367</v>
      </c>
      <c r="B359" s="17" t="s">
        <v>368</v>
      </c>
      <c r="C359" s="14">
        <f>Territories!Z2/Territories!$AD2</f>
        <v>0.26270565815490743</v>
      </c>
      <c r="D359" s="14">
        <f>Territories!AA2/Territories!$AD2</f>
        <v>0.49923094346457397</v>
      </c>
      <c r="E359" s="14">
        <f>Territories!AB2/Territories!$AD2</f>
        <v>0.12947841243409408</v>
      </c>
      <c r="F359" s="14">
        <f>Territories!AC2/Territories!$AD2</f>
        <v>0.10858498594642446</v>
      </c>
      <c r="G359" s="13"/>
      <c r="H359" s="68"/>
      <c r="J359" s="13"/>
      <c r="K359" s="13"/>
      <c r="L359" s="13"/>
      <c r="M359" s="13"/>
      <c r="N359" s="13"/>
      <c r="O359" s="35"/>
    </row>
    <row r="360" spans="1:15">
      <c r="A360" s="79"/>
      <c r="B360" s="17" t="s">
        <v>369</v>
      </c>
      <c r="C360" s="14">
        <f>Territories!Z3/Territories!$AD3</f>
        <v>0.2474509265292785</v>
      </c>
      <c r="D360" s="14">
        <f>Territories!AA3/Territories!$AD3</f>
        <v>0.35878260716506971</v>
      </c>
      <c r="E360" s="14">
        <f>Territories!AB3/Territories!$AD3</f>
        <v>0.36168228139426695</v>
      </c>
      <c r="F360" s="14">
        <f>Territories!AC3/Territories!$AD3</f>
        <v>3.2084184911384782E-2</v>
      </c>
      <c r="G360" s="13"/>
      <c r="H360" s="68"/>
      <c r="J360" s="13"/>
      <c r="K360" s="13"/>
      <c r="L360" s="13"/>
      <c r="M360" s="13"/>
      <c r="N360" s="13"/>
      <c r="O360" s="35"/>
    </row>
    <row r="361" spans="1:15">
      <c r="A361" s="79"/>
      <c r="B361" s="17" t="s">
        <v>370</v>
      </c>
      <c r="C361" s="14">
        <f>Territories!Z4/Territories!$AD4</f>
        <v>0.42100183494314375</v>
      </c>
      <c r="D361" s="14">
        <f>Territories!AA4/Territories!$AD4</f>
        <v>0.45793628865025149</v>
      </c>
      <c r="E361" s="14">
        <f>Territories!AB4/Territories!$AD4</f>
        <v>9.9982230423863741E-2</v>
      </c>
      <c r="F361" s="14">
        <f>Territories!AC4/Territories!$AD4</f>
        <v>2.1079645982741105E-2</v>
      </c>
      <c r="G361" s="13"/>
      <c r="H361" s="68"/>
      <c r="J361" s="13"/>
      <c r="K361" s="13"/>
      <c r="L361" s="13"/>
      <c r="M361" s="13"/>
      <c r="N361" s="13"/>
      <c r="O361" s="35"/>
    </row>
    <row r="363" spans="1:15" ht="15" customHeight="1">
      <c r="B363" s="80" t="s">
        <v>371</v>
      </c>
      <c r="C363" s="80"/>
      <c r="D363" s="80"/>
      <c r="E363" s="80"/>
      <c r="F363" s="80"/>
    </row>
    <row r="364" spans="1:15">
      <c r="B364" s="80"/>
      <c r="C364" s="80"/>
      <c r="D364" s="80"/>
      <c r="E364" s="80"/>
      <c r="F364" s="80"/>
    </row>
    <row r="365" spans="1:15">
      <c r="B365" t="s">
        <v>372</v>
      </c>
    </row>
  </sheetData>
  <mergeCells count="17">
    <mergeCell ref="J19:N21"/>
    <mergeCell ref="J8:N11"/>
    <mergeCell ref="B1:F1"/>
    <mergeCell ref="B2:C2"/>
    <mergeCell ref="J1:M1"/>
    <mergeCell ref="A134:A254"/>
    <mergeCell ref="B363:F364"/>
    <mergeCell ref="A24:A30"/>
    <mergeCell ref="A31:A34"/>
    <mergeCell ref="A35:A45"/>
    <mergeCell ref="A46:A55"/>
    <mergeCell ref="A56:A133"/>
    <mergeCell ref="A255:A268"/>
    <mergeCell ref="A269:A282"/>
    <mergeCell ref="A283:A316"/>
    <mergeCell ref="A317:A358"/>
    <mergeCell ref="A359:A361"/>
  </mergeCells>
  <conditionalFormatting sqref="C24:C361">
    <cfRule type="expression" dxfId="10" priority="20">
      <formula>$C24=MAX($C24:$G24)</formula>
    </cfRule>
  </conditionalFormatting>
  <conditionalFormatting sqref="D24:D361">
    <cfRule type="expression" dxfId="9" priority="19">
      <formula>$D24=MAX($C24:$G24)</formula>
    </cfRule>
  </conditionalFormatting>
  <conditionalFormatting sqref="E24:E361">
    <cfRule type="expression" dxfId="8" priority="18">
      <formula>$E24=MAX($C24:$G24)</formula>
    </cfRule>
  </conditionalFormatting>
  <conditionalFormatting sqref="F24:F361">
    <cfRule type="expression" dxfId="7" priority="17">
      <formula>$F24=MAX($C24:$G24)</formula>
    </cfRule>
  </conditionalFormatting>
  <conditionalFormatting sqref="G56:G133 H61">
    <cfRule type="expression" dxfId="6" priority="16">
      <formula>$G56=MAX($C56:$G56)</formula>
    </cfRule>
  </conditionalFormatting>
  <conditionalFormatting sqref="J24:J358">
    <cfRule type="expression" dxfId="5" priority="9">
      <formula>$J24=0</formula>
    </cfRule>
    <cfRule type="colorScale" priority="15">
      <colorScale>
        <cfvo type="num" val="0"/>
        <cfvo type="num" val="0.45"/>
        <cfvo type="num" val="0.75"/>
        <color theme="4" tint="0.79998168889431442"/>
        <color theme="4" tint="0.59999389629810485"/>
        <color theme="4" tint="0.39997558519241921"/>
      </colorScale>
    </cfRule>
  </conditionalFormatting>
  <conditionalFormatting sqref="K24:K358">
    <cfRule type="expression" dxfId="4" priority="8">
      <formula>$K24=0</formula>
    </cfRule>
    <cfRule type="colorScale" priority="13">
      <colorScale>
        <cfvo type="num" val="0"/>
        <cfvo type="num" val="0.45"/>
        <cfvo type="num" val="0.75"/>
        <color theme="5" tint="0.79998168889431442"/>
        <color theme="5" tint="0.59999389629810485"/>
        <color theme="5" tint="0.39997558519241921"/>
      </colorScale>
    </cfRule>
  </conditionalFormatting>
  <conditionalFormatting sqref="L24:L358">
    <cfRule type="expression" dxfId="3" priority="7">
      <formula>$L24=0</formula>
    </cfRule>
    <cfRule type="colorScale" priority="12">
      <colorScale>
        <cfvo type="num" val="0"/>
        <cfvo type="num" val="0.45"/>
        <cfvo type="num" val="0.75"/>
        <color theme="9" tint="0.79998168889431442"/>
        <color theme="9" tint="0.59999389629810485"/>
        <color theme="9" tint="0.39997558519241921"/>
      </colorScale>
    </cfRule>
  </conditionalFormatting>
  <conditionalFormatting sqref="M24:M358">
    <cfRule type="expression" dxfId="2" priority="6">
      <formula>$M24=0</formula>
    </cfRule>
    <cfRule type="colorScale" priority="11">
      <colorScale>
        <cfvo type="num" val="0"/>
        <cfvo type="num" val="0.45"/>
        <cfvo type="num" val="0.75"/>
        <color theme="6" tint="0.79998168889431442"/>
        <color theme="6" tint="0.59999389629810485"/>
        <color theme="6" tint="0.39997558519241921"/>
      </colorScale>
    </cfRule>
  </conditionalFormatting>
  <conditionalFormatting sqref="N56:N133">
    <cfRule type="expression" dxfId="1" priority="5">
      <formula>$N56=0</formula>
    </cfRule>
    <cfRule type="colorScale" priority="10">
      <colorScale>
        <cfvo type="num" val="0"/>
        <cfvo type="num" val="0.3"/>
        <cfvo type="num" val="0.7"/>
        <color theme="7" tint="0.79998168889431442"/>
        <color theme="7" tint="0.59999389629810485"/>
        <color theme="7" tint="0.39997558519241921"/>
      </colorScale>
    </cfRule>
  </conditionalFormatting>
  <conditionalFormatting sqref="O24:O358">
    <cfRule type="expression" dxfId="0" priority="1">
      <formula>$O24=0</formula>
    </cfRule>
    <cfRule type="colorScale" priority="2">
      <colorScale>
        <cfvo type="num" val="0"/>
        <cfvo type="num" val="0.45"/>
        <cfvo type="num" val="0.75"/>
        <color theme="0" tint="-0.14999847407452621"/>
        <color theme="0" tint="-0.249977111117893"/>
        <color theme="0" tint="-0.34998626667073579"/>
      </colorScale>
    </cfRule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1"/>
  <sheetViews>
    <sheetView zoomScale="80" zoomScaleNormal="80" workbookViewId="0">
      <pane xSplit="4" ySplit="1" topLeftCell="AT2" activePane="bottomRight" state="frozen"/>
      <selection pane="bottomLeft" activeCell="A2" sqref="A2"/>
      <selection pane="topRight" activeCell="D1" sqref="D1"/>
      <selection pane="bottomRight" activeCell="BB9" sqref="BB9"/>
    </sheetView>
  </sheetViews>
  <sheetFormatPr defaultRowHeight="15"/>
  <cols>
    <col min="2" max="2" width="26.7109375" customWidth="1"/>
    <col min="3" max="3" width="34" customWidth="1"/>
    <col min="18" max="18" width="9.140625" customWidth="1"/>
  </cols>
  <sheetData>
    <row r="1" spans="1:65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G1" t="s">
        <v>376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N1" t="s">
        <v>402</v>
      </c>
      <c r="AO1" t="s">
        <v>403</v>
      </c>
      <c r="AP1" t="s">
        <v>404</v>
      </c>
      <c r="AQ1" t="s">
        <v>6</v>
      </c>
      <c r="AR1" t="s">
        <v>7</v>
      </c>
      <c r="AT1" t="s">
        <v>405</v>
      </c>
      <c r="AV1" t="s">
        <v>406</v>
      </c>
      <c r="AW1" t="s">
        <v>403</v>
      </c>
      <c r="AX1" t="s">
        <v>404</v>
      </c>
      <c r="AY1" t="s">
        <v>6</v>
      </c>
      <c r="AZ1" t="s">
        <v>7</v>
      </c>
      <c r="BA1" t="s">
        <v>407</v>
      </c>
      <c r="BC1" t="s">
        <v>408</v>
      </c>
      <c r="BD1" t="s">
        <v>403</v>
      </c>
      <c r="BE1" t="s">
        <v>404</v>
      </c>
      <c r="BF1" t="s">
        <v>6</v>
      </c>
      <c r="BG1" t="s">
        <v>7</v>
      </c>
      <c r="BI1" t="s">
        <v>409</v>
      </c>
      <c r="BJ1" t="s">
        <v>403</v>
      </c>
      <c r="BK1" t="s">
        <v>404</v>
      </c>
      <c r="BL1" t="s">
        <v>6</v>
      </c>
      <c r="BM1" t="s">
        <v>7</v>
      </c>
    </row>
    <row r="2" spans="1:65">
      <c r="A2" t="s">
        <v>410</v>
      </c>
      <c r="B2" t="s">
        <v>24</v>
      </c>
      <c r="C2" t="s">
        <v>24</v>
      </c>
      <c r="D2">
        <v>10001</v>
      </c>
      <c r="E2">
        <v>10</v>
      </c>
      <c r="G2">
        <v>10001</v>
      </c>
      <c r="H2">
        <v>13214</v>
      </c>
      <c r="I2">
        <v>11820</v>
      </c>
      <c r="J2">
        <v>10164</v>
      </c>
      <c r="K2">
        <v>226</v>
      </c>
      <c r="L2">
        <v>35625</v>
      </c>
      <c r="M2" s="2">
        <f>H2/$L2*100</f>
        <v>37.091929824561404</v>
      </c>
      <c r="N2" s="2">
        <f>I2/$L2*100</f>
        <v>33.178947368421049</v>
      </c>
      <c r="O2" s="2">
        <f>J2/$L2*100</f>
        <v>28.530526315789473</v>
      </c>
      <c r="P2" s="2">
        <f>K2/$L2*100</f>
        <v>0.63438596491228072</v>
      </c>
      <c r="Q2">
        <v>37.9</v>
      </c>
      <c r="R2">
        <v>29.3</v>
      </c>
      <c r="S2">
        <v>29.5</v>
      </c>
      <c r="T2">
        <v>3</v>
      </c>
      <c r="U2" s="54">
        <v>0</v>
      </c>
      <c r="V2">
        <f t="shared" ref="V2:X17" si="0">IF(N2=MAX($M2:$P2),1,0)</f>
        <v>0</v>
      </c>
      <c r="W2">
        <f t="shared" si="0"/>
        <v>0</v>
      </c>
      <c r="X2">
        <f t="shared" si="0"/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I2" s="1" t="s">
        <v>411</v>
      </c>
      <c r="AO2">
        <f>(1-BJ2*AI$9-(1-BJ2)*AI$11)*AW2+BJ2*AI$9*(AI$6+AI$6/AI$8*(AW2-AI$6))+(1-BJ2)*AI$11*(AW2+(AI$6-AI$10)/(100-AI$10)*(AI$6-AW2))</f>
        <v>13.308495200388549</v>
      </c>
      <c r="AP2">
        <f>(1-BK2*AJ$9-(1-BK2)*AJ$11)*AX2+BK2*AJ$9*(AJ$6+AJ$6/AJ$8*(AX2-AJ$6))+(1-BK2)*AJ$11*(AX2+(AJ$6-AJ$10)/(100-AJ$10)*(AJ$6-AX2))</f>
        <v>51.43793304570562</v>
      </c>
      <c r="AQ2">
        <f>(1-BL2*AK$9-(1-BL2)*AK$11)*AY2+BL2*AK$9*(AK$6+AK$6/AK$8*(AY2-AK$6))+(1-BL2)*AK$11*(AY2+(AK$6-AK$10)/(100-AK$10)*(AK$6-AY2))</f>
        <v>13.10327672536836</v>
      </c>
      <c r="AR2">
        <f>(1-BM2*AL$9-(1-BM2)*AL$11)*AZ2+BM2*AL$9*(AL$6+AL$6/AL$8*(AZ2-AL$6))+(1-BM2)*AL$11*(AZ2+(AL$6-AL$10)/(100-AL$10)*(AL$6-AZ2))</f>
        <v>1.9076329187605099</v>
      </c>
      <c r="AS2" s="38">
        <f>BA2</f>
        <v>19</v>
      </c>
      <c r="AT2">
        <f>SUM(AO2:AS2)</f>
        <v>98.757337890223042</v>
      </c>
      <c r="AW2" s="54">
        <f t="array" ref="AW2">MIN(100,MAX(0,M2-BA2/3-AC2*5+AI$7*(U2*AI$20+SUMPRODUCT($Y2:$AB2,TRANSPOSE(AI$21:AI$24)))))</f>
        <v>13.308495200388549</v>
      </c>
      <c r="AX2" s="54">
        <f t="array" ref="AX2">MIN(100,MAX(0,N2-BA2/3-AD2*5+AJ$7*(V2*AJ$20+SUMPRODUCT($Y2:$AB2,TRANSPOSE(AJ$21:AJ$24)))))</f>
        <v>51.094810068116061</v>
      </c>
      <c r="AY2" s="54">
        <f t="array" ref="AY2">MIN(100,MAX(0,O2-BA2/3-AE2*5+AK$7*(W2*AK$20+SUMPRODUCT($Y2:$AB2,TRANSPOSE(AK$21:AK$24)))))</f>
        <v>13.10327672536836</v>
      </c>
      <c r="AZ2">
        <f t="array" ref="AZ2">MIN(100,MAX(0,P2+AL$7*(X2*AL$20+SUMPRODUCT($Y2:$AB2,TRANSPOSE(AL$21:AL$24)))))</f>
        <v>1.9076329187605099</v>
      </c>
      <c r="BA2">
        <v>19</v>
      </c>
      <c r="BD2">
        <f>IF(AO2=MAX($AO2:$AR2),1,0)</f>
        <v>0</v>
      </c>
      <c r="BE2">
        <f>IF(AP2=MAX($AO2:$AR2),1,0)</f>
        <v>1</v>
      </c>
      <c r="BF2">
        <f>IF(AQ2=MAX($AO2:$AR2),1,0)</f>
        <v>0</v>
      </c>
      <c r="BG2">
        <f>IF(AR2=MAX($AO2:$AR2),1,0)</f>
        <v>0</v>
      </c>
      <c r="BJ2">
        <f>IF(AW2&gt;AI$6,1,0)</f>
        <v>0</v>
      </c>
      <c r="BK2">
        <f>IF(AX2&gt;AJ$6,1,0)</f>
        <v>0</v>
      </c>
      <c r="BL2">
        <f>IF(AY2&gt;AK$6,1,0)</f>
        <v>0</v>
      </c>
      <c r="BM2">
        <f>IF(AZ2&gt;AL$6,1,0)</f>
        <v>0</v>
      </c>
    </row>
    <row r="3" spans="1:65">
      <c r="A3" t="s">
        <v>410</v>
      </c>
      <c r="B3" t="s">
        <v>25</v>
      </c>
      <c r="C3" t="s">
        <v>412</v>
      </c>
      <c r="D3">
        <v>10002</v>
      </c>
      <c r="E3">
        <v>10</v>
      </c>
      <c r="G3">
        <v>10002</v>
      </c>
      <c r="H3">
        <v>9412</v>
      </c>
      <c r="I3">
        <v>16805</v>
      </c>
      <c r="J3">
        <v>4303</v>
      </c>
      <c r="K3">
        <v>270</v>
      </c>
      <c r="L3">
        <v>30856</v>
      </c>
      <c r="M3" s="2">
        <f t="shared" ref="M3:M33" si="1">H3/$L3*100</f>
        <v>30.50298159191081</v>
      </c>
      <c r="N3" s="2">
        <f t="shared" ref="N3:N33" si="2">I3/$L3*100</f>
        <v>54.462665283899405</v>
      </c>
      <c r="O3" s="2">
        <f t="shared" ref="O3:O33" si="3">J3/$L3*100</f>
        <v>13.945423904589058</v>
      </c>
      <c r="P3" s="2">
        <f t="shared" ref="P3:P33" si="4">K3/$L3*100</f>
        <v>0.87503240860772624</v>
      </c>
      <c r="Q3">
        <v>37.9</v>
      </c>
      <c r="R3">
        <v>29.3</v>
      </c>
      <c r="S3">
        <v>29.5</v>
      </c>
      <c r="T3">
        <v>3</v>
      </c>
      <c r="U3">
        <f t="shared" ref="U3:U32" si="5">IF(M3=MAX($M3:$P3),1,0)</f>
        <v>0</v>
      </c>
      <c r="V3">
        <f t="shared" si="0"/>
        <v>1</v>
      </c>
      <c r="W3">
        <f t="shared" si="0"/>
        <v>0</v>
      </c>
      <c r="X3">
        <f t="shared" si="0"/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O3">
        <f t="shared" ref="AO3:AO33" si="6">(1-BJ3*AI$9-(1-BJ3)*AI$11)*AW3+BJ3*AI$9*(AI$6+AI$6/AI$8*(AW3-AI$6))+(1-BJ3)*AI$11*(AW3+(AI$6-AI$10)/(100-AI$10)*(AI$6-AW3))</f>
        <v>13.052880301071287</v>
      </c>
      <c r="AP3">
        <f t="shared" ref="AP3:AP33" si="7">(1-BK3*AJ$9-(1-BK3)*AJ$11)*AX3+BK3*AJ$9*(AJ$6+AJ$6/AJ$8*(AX3-AJ$6))+(1-BK3)*AJ$11*(AX3+(AJ$6-AJ$10)/(100-AJ$10)*(AJ$6-AX3))</f>
        <v>78.711861316927752</v>
      </c>
      <c r="AQ3">
        <f t="shared" ref="AQ3:AQ33" si="8">(1-BL3*AK$9-(1-BL3)*AK$11)*AY3+BL3*AK$9*(AK$6+AK$6/AK$8*(AY3-AK$6))+(1-BL3)*AK$11*(AY3+(AK$6-AK$10)/(100-AK$10)*(AK$6-AY3))</f>
        <v>4.8515076475012773</v>
      </c>
      <c r="AR3">
        <f t="shared" ref="AR3:AR33" si="9">(1-BM3*AL$9-(1-BM3)*AL$11)*AZ3+BM3*AL$9*(AL$6+AL$6/AL$8*(AZ3-AL$6))+(1-BM3)*AL$11*(AZ3+(AL$6-AL$10)/(100-AL$10)*(AL$6-AZ3))</f>
        <v>2.1482793624559555</v>
      </c>
      <c r="AT3">
        <f t="shared" ref="AT3:AT33" si="10">SUM(AO3:AR3)</f>
        <v>98.764528627956267</v>
      </c>
      <c r="AW3">
        <f t="array" ref="AW3">MIN(100,MAX(0,M3-AC3*5+AI$7*(U3*AI$20+SUMPRODUCT($Y3:$AB3,TRANSPOSE(AI$21:AI$24)))))</f>
        <v>13.052880301071287</v>
      </c>
      <c r="AX3">
        <f t="array" ref="AX3">MIN(100,MAX(0,N3-AD3*5+AJ$7*(V3*AJ$20+SUMPRODUCT($Y3:$AB3,TRANSPOSE(AJ$21:AJ$24)))))</f>
        <v>78.711861316927752</v>
      </c>
      <c r="AY3">
        <f t="array" ref="AY3">MIN(100,MAX(0,O3-AE3*5+AK$7*(W3*AK$20+SUMPRODUCT($Y3:$AB3,TRANSPOSE(AK$21:AK$24)))))</f>
        <v>4.8515076475012773</v>
      </c>
      <c r="AZ3">
        <f t="array" ref="AZ3">MIN(100,MAX(0,P3+AL$7*(X3*AL$20+SUMPRODUCT($Y3:$AB3,TRANSPOSE(AL$21:AL$24)))))</f>
        <v>2.1482793624559555</v>
      </c>
      <c r="BD3">
        <f t="shared" ref="BD3:BD33" si="11">IF(AO3=MAX($AO3:$AR3),1,0)</f>
        <v>0</v>
      </c>
      <c r="BE3">
        <f t="shared" ref="BE3:BE33" si="12">IF(AP3=MAX($AO3:$AR3),1,0)</f>
        <v>1</v>
      </c>
      <c r="BF3">
        <f t="shared" ref="BF3:BF33" si="13">IF(AQ3=MAX($AO3:$AR3),1,0)</f>
        <v>0</v>
      </c>
      <c r="BG3">
        <f t="shared" ref="BG3:BG33" si="14">IF(AR3=MAX($AO3:$AR3),1,0)</f>
        <v>0</v>
      </c>
      <c r="BJ3">
        <f t="shared" ref="BJ3:BJ33" si="15">IF(AW3&gt;AI$6,1,0)</f>
        <v>0</v>
      </c>
      <c r="BK3">
        <f t="shared" ref="BK3:BK33" si="16">IF(AX3&gt;AJ$6,1,0)</f>
        <v>1</v>
      </c>
      <c r="BL3">
        <f t="shared" ref="BL3:BL33" si="17">IF(AY3&gt;AK$6,1,0)</f>
        <v>0</v>
      </c>
      <c r="BM3">
        <f t="shared" ref="BM3:BM33" si="18">IF(AZ3&gt;AL$6,1,0)</f>
        <v>0</v>
      </c>
    </row>
    <row r="4" spans="1:65">
      <c r="A4" t="s">
        <v>410</v>
      </c>
      <c r="B4" t="s">
        <v>26</v>
      </c>
      <c r="C4" t="s">
        <v>413</v>
      </c>
      <c r="D4">
        <v>10003</v>
      </c>
      <c r="E4">
        <v>10</v>
      </c>
      <c r="G4">
        <v>10003</v>
      </c>
      <c r="H4">
        <v>8724</v>
      </c>
      <c r="I4">
        <v>15805</v>
      </c>
      <c r="J4">
        <v>3920</v>
      </c>
      <c r="K4">
        <v>254</v>
      </c>
      <c r="L4">
        <v>28778</v>
      </c>
      <c r="M4" s="2">
        <f t="shared" si="1"/>
        <v>30.314823823754256</v>
      </c>
      <c r="N4" s="2">
        <f t="shared" si="2"/>
        <v>54.920425324900968</v>
      </c>
      <c r="O4" s="2">
        <f t="shared" si="3"/>
        <v>13.621516436166518</v>
      </c>
      <c r="P4" s="2">
        <f t="shared" si="4"/>
        <v>0.88261866703732017</v>
      </c>
      <c r="Q4">
        <v>37.9</v>
      </c>
      <c r="R4">
        <v>29.3</v>
      </c>
      <c r="S4">
        <v>29.5</v>
      </c>
      <c r="T4">
        <v>3</v>
      </c>
      <c r="U4">
        <f t="shared" si="5"/>
        <v>0</v>
      </c>
      <c r="V4">
        <f t="shared" si="0"/>
        <v>1</v>
      </c>
      <c r="W4">
        <f t="shared" si="0"/>
        <v>0</v>
      </c>
      <c r="X4">
        <f t="shared" si="0"/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I4" s="38" t="s">
        <v>403</v>
      </c>
      <c r="AJ4" s="38" t="s">
        <v>404</v>
      </c>
      <c r="AK4" s="38" t="s">
        <v>6</v>
      </c>
      <c r="AL4" s="38" t="s">
        <v>7</v>
      </c>
      <c r="AO4">
        <f t="shared" si="6"/>
        <v>12.864722532914733</v>
      </c>
      <c r="AP4">
        <f t="shared" si="7"/>
        <v>79.169621357929316</v>
      </c>
      <c r="AQ4">
        <f t="shared" si="8"/>
        <v>4.5276001790787372</v>
      </c>
      <c r="AR4">
        <f t="shared" si="9"/>
        <v>2.1558656208855496</v>
      </c>
      <c r="AT4">
        <f t="shared" si="10"/>
        <v>98.717809690808323</v>
      </c>
      <c r="AW4">
        <f t="array" ref="AW4">MIN(100,MAX(0,M4-AC4*5+AI$7*(U4*AI$20+SUMPRODUCT($Y4:$AB4,TRANSPOSE(AI$21:AI$24)))))</f>
        <v>12.864722532914733</v>
      </c>
      <c r="AX4">
        <f t="array" ref="AX4">MIN(100,MAX(0,N4-AD4*5+AJ$7*(V4*AJ$20+SUMPRODUCT($Y4:$AB4,TRANSPOSE(AJ$21:AJ$24)))))</f>
        <v>79.169621357929316</v>
      </c>
      <c r="AY4">
        <f t="array" ref="AY4">MIN(100,MAX(0,O4-AE4*5+AK$7*(W4*AK$20+SUMPRODUCT($Y4:$AB4,TRANSPOSE(AK$21:AK$24)))))</f>
        <v>4.5276001790787372</v>
      </c>
      <c r="AZ4">
        <f t="array" ref="AZ4">MIN(100,MAX(0,P4+AL$7*(X4*AL$20+SUMPRODUCT($Y4:$AB4,TRANSPOSE(AL$21:AL$24)))))</f>
        <v>2.1558656208855496</v>
      </c>
      <c r="BD4">
        <f t="shared" si="11"/>
        <v>0</v>
      </c>
      <c r="BE4">
        <f t="shared" si="12"/>
        <v>1</v>
      </c>
      <c r="BF4">
        <f t="shared" si="13"/>
        <v>0</v>
      </c>
      <c r="BG4">
        <f t="shared" si="14"/>
        <v>0</v>
      </c>
      <c r="BJ4">
        <f t="shared" si="15"/>
        <v>0</v>
      </c>
      <c r="BK4">
        <f t="shared" si="16"/>
        <v>1</v>
      </c>
      <c r="BL4">
        <f t="shared" si="17"/>
        <v>0</v>
      </c>
      <c r="BM4">
        <f t="shared" si="18"/>
        <v>0</v>
      </c>
    </row>
    <row r="5" spans="1:65">
      <c r="A5" t="s">
        <v>410</v>
      </c>
      <c r="B5" t="s">
        <v>27</v>
      </c>
      <c r="C5" t="s">
        <v>27</v>
      </c>
      <c r="D5">
        <v>10004</v>
      </c>
      <c r="E5">
        <v>10</v>
      </c>
      <c r="G5">
        <v>10004</v>
      </c>
      <c r="H5">
        <v>4256</v>
      </c>
      <c r="I5">
        <v>4177</v>
      </c>
      <c r="J5">
        <v>2120</v>
      </c>
      <c r="K5">
        <v>139</v>
      </c>
      <c r="L5">
        <v>10692</v>
      </c>
      <c r="M5" s="2">
        <f t="shared" si="1"/>
        <v>39.80546202768425</v>
      </c>
      <c r="N5" s="2">
        <f t="shared" si="2"/>
        <v>39.066591844369626</v>
      </c>
      <c r="O5" s="2">
        <f t="shared" si="3"/>
        <v>19.827908716797609</v>
      </c>
      <c r="P5" s="2">
        <f t="shared" si="4"/>
        <v>1.3000374111485222</v>
      </c>
      <c r="Q5">
        <v>37.9</v>
      </c>
      <c r="R5">
        <v>29.3</v>
      </c>
      <c r="S5">
        <v>29.5</v>
      </c>
      <c r="T5">
        <v>3</v>
      </c>
      <c r="U5">
        <f t="shared" si="5"/>
        <v>1</v>
      </c>
      <c r="V5" s="4">
        <f t="shared" si="0"/>
        <v>0</v>
      </c>
      <c r="W5">
        <f t="shared" si="0"/>
        <v>0</v>
      </c>
      <c r="X5">
        <f t="shared" si="0"/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H5">
        <v>2011</v>
      </c>
      <c r="AI5" s="38">
        <v>37.9</v>
      </c>
      <c r="AJ5" s="38">
        <v>29.3</v>
      </c>
      <c r="AK5" s="38">
        <v>29.5</v>
      </c>
      <c r="AL5" s="38">
        <v>3</v>
      </c>
      <c r="AO5">
        <f t="shared" si="6"/>
        <v>21.94861045763334</v>
      </c>
      <c r="AP5">
        <f t="shared" si="7"/>
        <v>63.315787877397966</v>
      </c>
      <c r="AQ5">
        <f t="shared" si="8"/>
        <v>10.733992459709828</v>
      </c>
      <c r="AR5">
        <f t="shared" si="9"/>
        <v>0</v>
      </c>
      <c r="AT5">
        <f t="shared" si="10"/>
        <v>95.998390794741127</v>
      </c>
      <c r="AW5">
        <f t="array" ref="AW5">MIN(100,MAX(0,M5-AC5*5+AI$7*(U5*AI$20+SUMPRODUCT($Y5:$AB5,TRANSPOSE(AI$21:AI$24)))))</f>
        <v>22.355360736844727</v>
      </c>
      <c r="AX5">
        <f t="array" ref="AX5">MIN(100,MAX(0,N5-AD5*5+AJ$7*(V5*AJ$20+SUMPRODUCT($Y5:$AB5,TRANSPOSE(AJ$21:AJ$24)))))</f>
        <v>63.315787877397966</v>
      </c>
      <c r="AY5">
        <f t="array" ref="AY5">MIN(100,MAX(0,O5-AE5*5+AK$7*(W5*AK$20+SUMPRODUCT($Y5:$AB5,TRANSPOSE(AK$21:AK$24)))))</f>
        <v>10.733992459709828</v>
      </c>
      <c r="AZ5" s="54">
        <v>0</v>
      </c>
      <c r="BD5">
        <f t="shared" si="11"/>
        <v>0</v>
      </c>
      <c r="BE5">
        <f t="shared" si="12"/>
        <v>1</v>
      </c>
      <c r="BF5">
        <f t="shared" si="13"/>
        <v>0</v>
      </c>
      <c r="BG5">
        <f t="shared" si="14"/>
        <v>0</v>
      </c>
      <c r="BJ5">
        <f t="shared" si="15"/>
        <v>1</v>
      </c>
      <c r="BK5">
        <f t="shared" si="16"/>
        <v>1</v>
      </c>
      <c r="BL5">
        <f t="shared" si="17"/>
        <v>0</v>
      </c>
      <c r="BM5">
        <f t="shared" si="18"/>
        <v>0</v>
      </c>
    </row>
    <row r="6" spans="1:65">
      <c r="A6" t="s">
        <v>410</v>
      </c>
      <c r="B6" t="s">
        <v>28</v>
      </c>
      <c r="C6" t="s">
        <v>28</v>
      </c>
      <c r="D6">
        <v>10005</v>
      </c>
      <c r="E6">
        <v>10</v>
      </c>
      <c r="G6">
        <v>10005</v>
      </c>
      <c r="H6">
        <v>9051</v>
      </c>
      <c r="I6">
        <v>19770</v>
      </c>
      <c r="J6">
        <v>6394</v>
      </c>
      <c r="K6">
        <v>370</v>
      </c>
      <c r="L6">
        <v>35842</v>
      </c>
      <c r="M6" s="2">
        <f t="shared" si="1"/>
        <v>25.252497070475975</v>
      </c>
      <c r="N6" s="2">
        <f t="shared" si="2"/>
        <v>55.158752301768878</v>
      </c>
      <c r="O6" s="2">
        <f t="shared" si="3"/>
        <v>17.83940628313152</v>
      </c>
      <c r="P6" s="2">
        <f t="shared" si="4"/>
        <v>1.0323084649294123</v>
      </c>
      <c r="Q6">
        <v>37.9</v>
      </c>
      <c r="R6">
        <v>29.3</v>
      </c>
      <c r="S6">
        <v>29.5</v>
      </c>
      <c r="T6">
        <v>3</v>
      </c>
      <c r="U6" s="54">
        <f t="shared" si="5"/>
        <v>0</v>
      </c>
      <c r="V6">
        <v>0</v>
      </c>
      <c r="W6">
        <f t="shared" si="0"/>
        <v>0</v>
      </c>
      <c r="X6">
        <f t="shared" si="0"/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H6">
        <v>2015</v>
      </c>
      <c r="AI6" s="38">
        <f>projections!C4</f>
        <v>20.449898709160475</v>
      </c>
      <c r="AJ6" s="38">
        <f>projections!D4</f>
        <v>53.549196033028345</v>
      </c>
      <c r="AK6" s="38">
        <f>projections!E4</f>
        <v>20.406083742912219</v>
      </c>
      <c r="AL6" s="38">
        <f>projections!F4</f>
        <v>4.2732469538482292</v>
      </c>
      <c r="AO6">
        <f t="shared" si="6"/>
        <v>7.802395779636452</v>
      </c>
      <c r="AP6">
        <f t="shared" si="7"/>
        <v>79.407948334797226</v>
      </c>
      <c r="AQ6">
        <f t="shared" si="8"/>
        <v>8.7454900260437398</v>
      </c>
      <c r="AR6">
        <f t="shared" si="9"/>
        <v>2.3055554187776415</v>
      </c>
      <c r="AT6">
        <f t="shared" si="10"/>
        <v>98.261389559255065</v>
      </c>
      <c r="AW6">
        <f t="array" ref="AW6">MIN(100,MAX(0,M6-AC6*5+AI$7*(U6*AI$20+SUMPRODUCT($Y6:$AB6,TRANSPOSE(AI$21:AI$24)))))</f>
        <v>7.802395779636452</v>
      </c>
      <c r="AX6">
        <f t="array" ref="AX6">MIN(100,MAX(0,N6-AD6*5+AJ$7*(V6*AJ$20+SUMPRODUCT($Y6:$AB6,TRANSPOSE(AJ$21:AJ$24)))))</f>
        <v>79.407948334797226</v>
      </c>
      <c r="AY6">
        <f t="array" ref="AY6">MIN(100,MAX(0,O6-AE6*5+AK$7*(W6*AK$20+SUMPRODUCT($Y6:$AB6,TRANSPOSE(AK$21:AK$24)))))</f>
        <v>8.7454900260437398</v>
      </c>
      <c r="AZ6">
        <f t="array" ref="AZ6">MIN(100,MAX(0,P6+AL$7*(X6*AL$20+SUMPRODUCT($Y6:$AB6,TRANSPOSE(AL$21:AL$24)))))</f>
        <v>2.3055554187776415</v>
      </c>
      <c r="BD6">
        <f t="shared" si="11"/>
        <v>0</v>
      </c>
      <c r="BE6">
        <f t="shared" si="12"/>
        <v>1</v>
      </c>
      <c r="BF6">
        <f t="shared" si="13"/>
        <v>0</v>
      </c>
      <c r="BG6">
        <f t="shared" si="14"/>
        <v>0</v>
      </c>
      <c r="BJ6">
        <f t="shared" si="15"/>
        <v>0</v>
      </c>
      <c r="BK6">
        <f t="shared" si="16"/>
        <v>1</v>
      </c>
      <c r="BL6">
        <f t="shared" si="17"/>
        <v>0</v>
      </c>
      <c r="BM6">
        <f t="shared" si="18"/>
        <v>0</v>
      </c>
    </row>
    <row r="7" spans="1:65">
      <c r="A7" t="s">
        <v>410</v>
      </c>
      <c r="B7" t="s">
        <v>29</v>
      </c>
      <c r="C7" t="s">
        <v>414</v>
      </c>
      <c r="D7">
        <v>10006</v>
      </c>
      <c r="E7">
        <v>10</v>
      </c>
      <c r="G7">
        <v>10006</v>
      </c>
      <c r="H7">
        <v>7538</v>
      </c>
      <c r="I7">
        <v>2863</v>
      </c>
      <c r="J7">
        <v>26042</v>
      </c>
      <c r="K7">
        <v>415</v>
      </c>
      <c r="L7">
        <v>36859</v>
      </c>
      <c r="M7" s="2">
        <f t="shared" si="1"/>
        <v>20.450907512412165</v>
      </c>
      <c r="N7" s="2">
        <f t="shared" si="2"/>
        <v>7.7674380748256873</v>
      </c>
      <c r="O7" s="2">
        <f t="shared" si="3"/>
        <v>70.653029110936274</v>
      </c>
      <c r="P7" s="2">
        <f t="shared" si="4"/>
        <v>1.1259122602349494</v>
      </c>
      <c r="Q7">
        <v>37.9</v>
      </c>
      <c r="R7">
        <v>29.3</v>
      </c>
      <c r="S7">
        <v>29.5</v>
      </c>
      <c r="T7">
        <v>3</v>
      </c>
      <c r="U7">
        <f t="shared" si="5"/>
        <v>0</v>
      </c>
      <c r="V7">
        <f t="shared" si="0"/>
        <v>0</v>
      </c>
      <c r="W7">
        <f t="shared" si="0"/>
        <v>1</v>
      </c>
      <c r="X7">
        <f t="shared" si="0"/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H7" t="s">
        <v>415</v>
      </c>
      <c r="AI7" s="38">
        <f>AI6-AI5</f>
        <v>-17.450101290839523</v>
      </c>
      <c r="AJ7" s="38">
        <f>AJ6-AJ5</f>
        <v>24.249196033028344</v>
      </c>
      <c r="AK7" s="38">
        <f>AK6-AK5</f>
        <v>-9.0939162570877805</v>
      </c>
      <c r="AL7" s="38">
        <f>AL6-AL5</f>
        <v>1.2732469538482292</v>
      </c>
      <c r="AO7">
        <f t="shared" si="6"/>
        <v>3.0008062215726419</v>
      </c>
      <c r="AP7">
        <f t="shared" si="7"/>
        <v>35.026884683158904</v>
      </c>
      <c r="AQ7">
        <f t="shared" si="8"/>
        <v>61.55911285384849</v>
      </c>
      <c r="AR7">
        <f t="shared" si="9"/>
        <v>2.3991592140831788</v>
      </c>
      <c r="AT7">
        <f t="shared" si="10"/>
        <v>101.98596297266322</v>
      </c>
      <c r="AW7">
        <f t="array" ref="AW7">MIN(100,MAX(0,M7-AC7*5+AI$7*(U7*AI$20+SUMPRODUCT($Y7:$AB7,TRANSPOSE(AI$21:AI$24)))))</f>
        <v>3.0008062215726419</v>
      </c>
      <c r="AX7">
        <f t="array" ref="AX7">MIN(100,MAX(0,N7-AD7*5+AJ$7*(V7*AJ$20+SUMPRODUCT($Y7:$AB7,TRANSPOSE(AJ$21:AJ$24)))))</f>
        <v>32.016634107854031</v>
      </c>
      <c r="AY7">
        <f t="array" ref="AY7">MIN(100,MAX(0,O7-AE7*5+AK$7*(W7*AK$20+SUMPRODUCT($Y7:$AB7,TRANSPOSE(AK$21:AK$24)))))</f>
        <v>61.55911285384849</v>
      </c>
      <c r="AZ7">
        <f t="array" ref="AZ7">MIN(100,MAX(0,P7+AL$7*(X7*AL$20+SUMPRODUCT($Y7:$AB7,TRANSPOSE(AL$21:AL$24)))))</f>
        <v>2.3991592140831788</v>
      </c>
      <c r="BD7">
        <f t="shared" si="11"/>
        <v>0</v>
      </c>
      <c r="BE7">
        <f t="shared" si="12"/>
        <v>0</v>
      </c>
      <c r="BF7">
        <f t="shared" si="13"/>
        <v>1</v>
      </c>
      <c r="BG7">
        <f t="shared" si="14"/>
        <v>0</v>
      </c>
      <c r="BJ7">
        <f t="shared" si="15"/>
        <v>0</v>
      </c>
      <c r="BK7">
        <f t="shared" si="16"/>
        <v>0</v>
      </c>
      <c r="BL7">
        <f t="shared" si="17"/>
        <v>1</v>
      </c>
      <c r="BM7">
        <f t="shared" si="18"/>
        <v>0</v>
      </c>
    </row>
    <row r="8" spans="1:65">
      <c r="A8" t="s">
        <v>410</v>
      </c>
      <c r="B8" t="s">
        <v>30</v>
      </c>
      <c r="C8" t="s">
        <v>416</v>
      </c>
      <c r="D8">
        <v>10007</v>
      </c>
      <c r="E8">
        <v>10</v>
      </c>
      <c r="G8">
        <v>10007</v>
      </c>
      <c r="H8">
        <v>9366</v>
      </c>
      <c r="I8">
        <v>11104</v>
      </c>
      <c r="J8">
        <v>17925</v>
      </c>
      <c r="K8">
        <v>280</v>
      </c>
      <c r="L8">
        <v>38684</v>
      </c>
      <c r="M8" s="2">
        <f t="shared" si="1"/>
        <v>24.211560335022231</v>
      </c>
      <c r="N8" s="2">
        <f t="shared" si="2"/>
        <v>28.704373901354565</v>
      </c>
      <c r="O8" s="2">
        <f t="shared" si="3"/>
        <v>46.336986867955744</v>
      </c>
      <c r="P8" s="2">
        <f t="shared" si="4"/>
        <v>0.72381346293041049</v>
      </c>
      <c r="Q8">
        <v>37.9</v>
      </c>
      <c r="R8">
        <v>29.3</v>
      </c>
      <c r="S8">
        <v>29.5</v>
      </c>
      <c r="T8">
        <v>3</v>
      </c>
      <c r="U8">
        <f t="shared" si="5"/>
        <v>0</v>
      </c>
      <c r="V8">
        <f t="shared" si="0"/>
        <v>0</v>
      </c>
      <c r="W8">
        <f t="shared" si="0"/>
        <v>1</v>
      </c>
      <c r="X8">
        <f t="shared" si="0"/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H8" t="s">
        <v>417</v>
      </c>
      <c r="AI8">
        <v>26</v>
      </c>
      <c r="AJ8">
        <v>25</v>
      </c>
      <c r="AK8">
        <v>18</v>
      </c>
      <c r="AL8">
        <v>1</v>
      </c>
      <c r="AO8">
        <f t="shared" si="6"/>
        <v>6.7614590441827076</v>
      </c>
      <c r="AP8">
        <f t="shared" si="7"/>
        <v>53.036838419217396</v>
      </c>
      <c r="AQ8">
        <f t="shared" si="8"/>
        <v>37.24307061086796</v>
      </c>
      <c r="AR8">
        <f t="shared" si="9"/>
        <v>1.9970604167786397</v>
      </c>
      <c r="AT8">
        <f t="shared" si="10"/>
        <v>99.038428491046702</v>
      </c>
      <c r="AW8">
        <f t="array" ref="AW8">MIN(100,MAX(0,M8-AC8*5+AI$7*(U8*AI$20+SUMPRODUCT($Y8:$AB8,TRANSPOSE(AI$21:AI$24)))))</f>
        <v>6.7614590441827076</v>
      </c>
      <c r="AX8">
        <f t="array" ref="AX8">MIN(100,MAX(0,N8-AD8*5+AJ$7*(V8*AJ$20+SUMPRODUCT($Y8:$AB8,TRANSPOSE(AJ$21:AJ$24)))))</f>
        <v>52.953569934382912</v>
      </c>
      <c r="AY8">
        <f t="array" ref="AY8">MIN(100,MAX(0,O8-AE8*5+AK$7*(W8*AK$20+SUMPRODUCT($Y8:$AB8,TRANSPOSE(AK$21:AK$24)))))</f>
        <v>37.24307061086796</v>
      </c>
      <c r="AZ8">
        <f t="array" ref="AZ8">MIN(100,MAX(0,P8+AL$7*(X8*AL$20+SUMPRODUCT($Y8:$AB8,TRANSPOSE(AL$21:AL$24)))))</f>
        <v>1.9970604167786397</v>
      </c>
      <c r="BD8">
        <f t="shared" si="11"/>
        <v>0</v>
      </c>
      <c r="BE8">
        <f t="shared" si="12"/>
        <v>1</v>
      </c>
      <c r="BF8">
        <f t="shared" si="13"/>
        <v>0</v>
      </c>
      <c r="BG8">
        <f t="shared" si="14"/>
        <v>0</v>
      </c>
      <c r="BJ8">
        <f t="shared" si="15"/>
        <v>0</v>
      </c>
      <c r="BK8">
        <f t="shared" si="16"/>
        <v>0</v>
      </c>
      <c r="BL8">
        <f t="shared" si="17"/>
        <v>1</v>
      </c>
      <c r="BM8">
        <f t="shared" si="18"/>
        <v>0</v>
      </c>
    </row>
    <row r="9" spans="1:65">
      <c r="A9" t="s">
        <v>418</v>
      </c>
      <c r="B9" t="s">
        <v>32</v>
      </c>
      <c r="C9" t="s">
        <v>32</v>
      </c>
      <c r="D9">
        <v>11001</v>
      </c>
      <c r="E9">
        <v>11</v>
      </c>
      <c r="G9">
        <v>11001</v>
      </c>
      <c r="H9">
        <v>8107</v>
      </c>
      <c r="I9">
        <v>10486</v>
      </c>
      <c r="J9">
        <v>2164</v>
      </c>
      <c r="K9">
        <v>373</v>
      </c>
      <c r="L9">
        <v>21130</v>
      </c>
      <c r="M9" s="2">
        <f t="shared" si="1"/>
        <v>38.367250354945575</v>
      </c>
      <c r="N9" s="2">
        <f t="shared" si="2"/>
        <v>49.626123994320871</v>
      </c>
      <c r="O9" s="2">
        <f t="shared" si="3"/>
        <v>10.241362991008044</v>
      </c>
      <c r="P9" s="2">
        <f t="shared" si="4"/>
        <v>1.7652626597255088</v>
      </c>
      <c r="Q9">
        <v>37.9</v>
      </c>
      <c r="R9">
        <v>29.3</v>
      </c>
      <c r="S9">
        <v>29.5</v>
      </c>
      <c r="T9">
        <v>3</v>
      </c>
      <c r="U9">
        <f t="shared" si="5"/>
        <v>0</v>
      </c>
      <c r="V9">
        <f t="shared" si="0"/>
        <v>1</v>
      </c>
      <c r="W9">
        <f t="shared" si="0"/>
        <v>0</v>
      </c>
      <c r="X9">
        <f t="shared" si="0"/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H9" t="s">
        <v>419</v>
      </c>
      <c r="AI9">
        <f>IF(AI6&lt;AI8,1,0)</f>
        <v>1</v>
      </c>
      <c r="AJ9">
        <f>IF(AJ6&lt;AJ8,1,0)</f>
        <v>0</v>
      </c>
      <c r="AK9">
        <f>IF(AK6&lt;AK8,1,0)</f>
        <v>0</v>
      </c>
      <c r="AL9">
        <f>IF(AL6&lt;AL8,1,0)</f>
        <v>0</v>
      </c>
      <c r="AO9">
        <f t="shared" si="6"/>
        <v>20.817407264178026</v>
      </c>
      <c r="AP9">
        <f t="shared" si="7"/>
        <v>73.875320027349218</v>
      </c>
      <c r="AQ9">
        <f t="shared" si="8"/>
        <v>1.1474467339202636</v>
      </c>
      <c r="AR9">
        <f t="shared" si="9"/>
        <v>3.0385096135737379</v>
      </c>
      <c r="AT9">
        <f t="shared" si="10"/>
        <v>98.878683639021247</v>
      </c>
      <c r="AW9">
        <f t="array" ref="AW9">MIN(100,MAX(0,M9-AC9*5+AI$7*(U9*AI$20+SUMPRODUCT($Y9:$AB9,TRANSPOSE(AI$21:AI$24)))))</f>
        <v>20.917149064106052</v>
      </c>
      <c r="AX9">
        <f t="array" ref="AX9">MIN(100,MAX(0,N9-AD9*5+AJ$7*(V9*AJ$20+SUMPRODUCT($Y9:$AB9,TRANSPOSE(AJ$21:AJ$24)))))</f>
        <v>73.875320027349218</v>
      </c>
      <c r="AY9">
        <f t="array" ref="AY9">MIN(100,MAX(0,O9-AE9*5+AK$7*(W9*AK$20+SUMPRODUCT($Y9:$AB9,TRANSPOSE(AK$21:AK$24)))))</f>
        <v>1.1474467339202636</v>
      </c>
      <c r="AZ9">
        <f t="array" ref="AZ9">MIN(100,MAX(0,P9+AL$7*(X9*AL$20+SUMPRODUCT($Y9:$AB9,TRANSPOSE(AL$21:AL$24)))))</f>
        <v>3.0385096135737379</v>
      </c>
      <c r="BD9">
        <f t="shared" si="11"/>
        <v>0</v>
      </c>
      <c r="BE9">
        <f t="shared" si="12"/>
        <v>1</v>
      </c>
      <c r="BF9">
        <f t="shared" si="13"/>
        <v>0</v>
      </c>
      <c r="BG9">
        <f t="shared" si="14"/>
        <v>0</v>
      </c>
      <c r="BJ9">
        <f t="shared" si="15"/>
        <v>1</v>
      </c>
      <c r="BK9">
        <f t="shared" si="16"/>
        <v>1</v>
      </c>
      <c r="BL9">
        <f t="shared" si="17"/>
        <v>0</v>
      </c>
      <c r="BM9">
        <f t="shared" si="18"/>
        <v>0</v>
      </c>
    </row>
    <row r="10" spans="1:65">
      <c r="A10" t="s">
        <v>418</v>
      </c>
      <c r="B10" t="s">
        <v>33</v>
      </c>
      <c r="C10" t="s">
        <v>33</v>
      </c>
      <c r="D10">
        <v>11002</v>
      </c>
      <c r="E10">
        <v>11</v>
      </c>
      <c r="G10">
        <v>11002</v>
      </c>
      <c r="H10">
        <v>6040</v>
      </c>
      <c r="I10">
        <v>7292</v>
      </c>
      <c r="J10">
        <v>4632</v>
      </c>
      <c r="K10">
        <v>417</v>
      </c>
      <c r="L10">
        <v>18468</v>
      </c>
      <c r="M10" s="2">
        <f t="shared" si="1"/>
        <v>32.705219839722766</v>
      </c>
      <c r="N10" s="2">
        <f t="shared" si="2"/>
        <v>39.4845137535196</v>
      </c>
      <c r="O10" s="2">
        <f t="shared" si="3"/>
        <v>25.081221572449643</v>
      </c>
      <c r="P10" s="2">
        <f t="shared" si="4"/>
        <v>2.2579597141000649</v>
      </c>
      <c r="Q10">
        <v>37.9</v>
      </c>
      <c r="R10">
        <v>29.3</v>
      </c>
      <c r="S10">
        <v>29.5</v>
      </c>
      <c r="T10">
        <v>3</v>
      </c>
      <c r="U10">
        <f t="shared" si="5"/>
        <v>0</v>
      </c>
      <c r="V10">
        <f t="shared" si="0"/>
        <v>1</v>
      </c>
      <c r="W10">
        <f t="shared" si="0"/>
        <v>0</v>
      </c>
      <c r="X10">
        <f t="shared" si="0"/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H10" t="s">
        <v>420</v>
      </c>
      <c r="AI10">
        <v>40</v>
      </c>
      <c r="AJ10">
        <v>46</v>
      </c>
      <c r="AK10">
        <v>33</v>
      </c>
      <c r="AL10">
        <v>11</v>
      </c>
      <c r="AO10">
        <f t="shared" si="6"/>
        <v>15.255118548883242</v>
      </c>
      <c r="AP10">
        <f t="shared" si="7"/>
        <v>63.733709786547948</v>
      </c>
      <c r="AQ10">
        <f t="shared" si="8"/>
        <v>15.987305315361862</v>
      </c>
      <c r="AR10">
        <f t="shared" si="9"/>
        <v>3.5312066679482941</v>
      </c>
      <c r="AT10">
        <f t="shared" si="10"/>
        <v>98.507340318741356</v>
      </c>
      <c r="AW10">
        <f t="array" ref="AW10">MIN(100,MAX(0,M10-AC10*5+AI$7*(U10*AI$20+SUMPRODUCT($Y10:$AB10,TRANSPOSE(AI$21:AI$24)))))</f>
        <v>15.255118548883242</v>
      </c>
      <c r="AX10">
        <f t="array" ref="AX10">MIN(100,MAX(0,N10-AD10*5+AJ$7*(V10*AJ$20+SUMPRODUCT($Y10:$AB10,TRANSPOSE(AJ$21:AJ$24)))))</f>
        <v>63.733709786547948</v>
      </c>
      <c r="AY10">
        <f t="array" ref="AY10">MIN(100,MAX(0,O10-AE10*5+AK$7*(W10*AK$20+SUMPRODUCT($Y10:$AB10,TRANSPOSE(AK$21:AK$24)))))</f>
        <v>15.987305315361862</v>
      </c>
      <c r="AZ10">
        <f t="array" ref="AZ10">MIN(100,MAX(0,P10+AL$7*(X10*AL$20+SUMPRODUCT($Y10:$AB10,TRANSPOSE(AL$21:AL$24)))))</f>
        <v>3.5312066679482941</v>
      </c>
      <c r="BD10">
        <f t="shared" si="11"/>
        <v>0</v>
      </c>
      <c r="BE10">
        <f t="shared" si="12"/>
        <v>1</v>
      </c>
      <c r="BF10">
        <f t="shared" si="13"/>
        <v>0</v>
      </c>
      <c r="BG10">
        <f t="shared" si="14"/>
        <v>0</v>
      </c>
      <c r="BJ10">
        <f t="shared" si="15"/>
        <v>0</v>
      </c>
      <c r="BK10">
        <f t="shared" si="16"/>
        <v>1</v>
      </c>
      <c r="BL10">
        <f t="shared" si="17"/>
        <v>0</v>
      </c>
      <c r="BM10">
        <f t="shared" si="18"/>
        <v>0</v>
      </c>
    </row>
    <row r="11" spans="1:65">
      <c r="A11" t="s">
        <v>418</v>
      </c>
      <c r="B11" t="s">
        <v>34</v>
      </c>
      <c r="C11" t="s">
        <v>34</v>
      </c>
      <c r="D11">
        <v>11003</v>
      </c>
      <c r="E11">
        <v>11</v>
      </c>
      <c r="G11">
        <v>11003</v>
      </c>
      <c r="H11">
        <v>10467</v>
      </c>
      <c r="I11">
        <v>5997</v>
      </c>
      <c r="J11">
        <v>2369</v>
      </c>
      <c r="K11">
        <v>320</v>
      </c>
      <c r="L11">
        <v>19153</v>
      </c>
      <c r="M11" s="2">
        <f t="shared" si="1"/>
        <v>54.649402182425732</v>
      </c>
      <c r="N11" s="2">
        <f t="shared" si="2"/>
        <v>31.311021772046153</v>
      </c>
      <c r="O11" s="2">
        <f t="shared" si="3"/>
        <v>12.368819506082598</v>
      </c>
      <c r="P11" s="2">
        <f t="shared" si="4"/>
        <v>1.6707565394455177</v>
      </c>
      <c r="Q11">
        <v>37.9</v>
      </c>
      <c r="R11">
        <v>29.3</v>
      </c>
      <c r="S11">
        <v>29.5</v>
      </c>
      <c r="T11">
        <v>3</v>
      </c>
      <c r="U11">
        <f t="shared" si="5"/>
        <v>1</v>
      </c>
      <c r="V11">
        <f t="shared" si="0"/>
        <v>0</v>
      </c>
      <c r="W11">
        <f t="shared" si="0"/>
        <v>0</v>
      </c>
      <c r="X11">
        <f t="shared" si="0"/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H11" t="s">
        <v>421</v>
      </c>
      <c r="AI11">
        <f>IF(AI6&gt;AI10,1,0)</f>
        <v>0</v>
      </c>
      <c r="AJ11">
        <f>IF(AJ6&gt;AJ10,1,0)</f>
        <v>1</v>
      </c>
      <c r="AK11">
        <f>IF(AK6&gt;AK10,1,0)</f>
        <v>0</v>
      </c>
      <c r="AL11">
        <f>IF(AL6&gt;AL10,1,0)</f>
        <v>0</v>
      </c>
      <c r="AO11">
        <f t="shared" si="6"/>
        <v>33.623882481068073</v>
      </c>
      <c r="AP11">
        <f t="shared" si="7"/>
        <v>55.560217805074501</v>
      </c>
      <c r="AQ11">
        <f t="shared" si="8"/>
        <v>3.2749032489948178</v>
      </c>
      <c r="AR11">
        <f t="shared" si="9"/>
        <v>2.9440034932937467</v>
      </c>
      <c r="AT11">
        <f t="shared" si="10"/>
        <v>95.403007028431148</v>
      </c>
      <c r="AW11">
        <f t="array" ref="AW11">MIN(100,MAX(0,M11-AC11*5+AI$7*(U11*AI$20+SUMPRODUCT($Y11:$AB11,TRANSPOSE(AI$21:AI$24)))))</f>
        <v>37.199300891586205</v>
      </c>
      <c r="AX11">
        <f t="array" ref="AX11">MIN(100,MAX(0,N11-AD11*5+AJ$7*(V11*AJ$20+SUMPRODUCT($Y11:$AB11,TRANSPOSE(AJ$21:AJ$24)))))</f>
        <v>55.560217805074501</v>
      </c>
      <c r="AY11">
        <f t="array" ref="AY11">MIN(100,MAX(0,O11-AE11*5+AK$7*(W11*AK$20+SUMPRODUCT($Y11:$AB11,TRANSPOSE(AK$21:AK$24)))))</f>
        <v>3.2749032489948178</v>
      </c>
      <c r="AZ11">
        <f t="array" ref="AZ11">MIN(100,MAX(0,P11+AL$7*(X11*AL$20+SUMPRODUCT($Y11:$AB11,TRANSPOSE(AL$21:AL$24)))))</f>
        <v>2.9440034932937467</v>
      </c>
      <c r="BD11">
        <f t="shared" si="11"/>
        <v>0</v>
      </c>
      <c r="BE11">
        <f t="shared" si="12"/>
        <v>1</v>
      </c>
      <c r="BF11">
        <f t="shared" si="13"/>
        <v>0</v>
      </c>
      <c r="BG11">
        <f t="shared" si="14"/>
        <v>0</v>
      </c>
      <c r="BJ11">
        <f t="shared" si="15"/>
        <v>1</v>
      </c>
      <c r="BK11">
        <f t="shared" si="16"/>
        <v>1</v>
      </c>
      <c r="BL11">
        <f t="shared" si="17"/>
        <v>0</v>
      </c>
      <c r="BM11">
        <f t="shared" si="18"/>
        <v>0</v>
      </c>
    </row>
    <row r="12" spans="1:65">
      <c r="A12" t="s">
        <v>418</v>
      </c>
      <c r="B12" t="s">
        <v>35</v>
      </c>
      <c r="C12" t="s">
        <v>35</v>
      </c>
      <c r="D12">
        <v>11004</v>
      </c>
      <c r="E12">
        <v>11</v>
      </c>
      <c r="G12">
        <v>11004</v>
      </c>
      <c r="H12">
        <v>7934</v>
      </c>
      <c r="I12">
        <v>8605</v>
      </c>
      <c r="J12">
        <v>2970</v>
      </c>
      <c r="K12">
        <v>785</v>
      </c>
      <c r="L12">
        <v>20294</v>
      </c>
      <c r="M12" s="2">
        <f t="shared" si="1"/>
        <v>39.095299103183208</v>
      </c>
      <c r="N12" s="2">
        <f t="shared" si="2"/>
        <v>42.401695082290331</v>
      </c>
      <c r="O12" s="2">
        <f t="shared" si="3"/>
        <v>14.634867448506947</v>
      </c>
      <c r="P12" s="2">
        <f t="shared" si="4"/>
        <v>3.8681383660195134</v>
      </c>
      <c r="Q12">
        <v>37.9</v>
      </c>
      <c r="R12">
        <v>29.3</v>
      </c>
      <c r="S12">
        <v>29.5</v>
      </c>
      <c r="T12">
        <v>3</v>
      </c>
      <c r="U12">
        <f t="shared" si="5"/>
        <v>0</v>
      </c>
      <c r="V12">
        <f t="shared" si="0"/>
        <v>1</v>
      </c>
      <c r="W12">
        <f t="shared" si="0"/>
        <v>0</v>
      </c>
      <c r="X12">
        <f t="shared" si="0"/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O12">
        <f t="shared" si="6"/>
        <v>21.390042770208439</v>
      </c>
      <c r="AP12">
        <f t="shared" si="7"/>
        <v>66.650891115318672</v>
      </c>
      <c r="AQ12">
        <f t="shared" si="8"/>
        <v>5.5409511914191665</v>
      </c>
      <c r="AR12">
        <f t="shared" si="9"/>
        <v>5.1413853198677426</v>
      </c>
      <c r="AT12">
        <f t="shared" si="10"/>
        <v>98.723270396814016</v>
      </c>
      <c r="AW12">
        <f t="array" ref="AW12">MIN(100,MAX(0,M12-AC12*5+AI$7*(U12*AI$20+SUMPRODUCT($Y12:$AB12,TRANSPOSE(AI$21:AI$24)))))</f>
        <v>21.645197812343685</v>
      </c>
      <c r="AX12">
        <f t="array" ref="AX12">MIN(100,MAX(0,N12-AD12*5+AJ$7*(V12*AJ$20+SUMPRODUCT($Y12:$AB12,TRANSPOSE(AJ$21:AJ$24)))))</f>
        <v>66.650891115318672</v>
      </c>
      <c r="AY12">
        <f t="array" ref="AY12">MIN(100,MAX(0,O12-AE12*5+AK$7*(W12*AK$20+SUMPRODUCT($Y12:$AB12,TRANSPOSE(AK$21:AK$24)))))</f>
        <v>5.5409511914191665</v>
      </c>
      <c r="AZ12">
        <f t="array" ref="AZ12">MIN(100,MAX(0,P12+AL$7*(X12*AL$20+SUMPRODUCT($Y12:$AB12,TRANSPOSE(AL$21:AL$24)))))</f>
        <v>5.1413853198677426</v>
      </c>
      <c r="BD12">
        <f t="shared" si="11"/>
        <v>0</v>
      </c>
      <c r="BE12">
        <f t="shared" si="12"/>
        <v>1</v>
      </c>
      <c r="BF12">
        <f t="shared" si="13"/>
        <v>0</v>
      </c>
      <c r="BG12">
        <f t="shared" si="14"/>
        <v>0</v>
      </c>
      <c r="BJ12">
        <f t="shared" si="15"/>
        <v>1</v>
      </c>
      <c r="BK12">
        <f t="shared" si="16"/>
        <v>1</v>
      </c>
      <c r="BL12">
        <f t="shared" si="17"/>
        <v>0</v>
      </c>
      <c r="BM12">
        <f t="shared" si="18"/>
        <v>1</v>
      </c>
    </row>
    <row r="13" spans="1:65">
      <c r="A13" t="s">
        <v>422</v>
      </c>
      <c r="B13" t="s">
        <v>37</v>
      </c>
      <c r="C13" t="s">
        <v>423</v>
      </c>
      <c r="D13">
        <v>12001</v>
      </c>
      <c r="E13">
        <v>12</v>
      </c>
      <c r="G13">
        <v>12001</v>
      </c>
      <c r="H13">
        <v>12719</v>
      </c>
      <c r="I13">
        <v>17196</v>
      </c>
      <c r="J13">
        <v>7818</v>
      </c>
      <c r="K13">
        <v>1265</v>
      </c>
      <c r="L13">
        <v>38997</v>
      </c>
      <c r="M13" s="2">
        <f t="shared" si="1"/>
        <v>32.615329384311615</v>
      </c>
      <c r="N13" s="2">
        <f t="shared" si="2"/>
        <v>44.095699669205324</v>
      </c>
      <c r="O13" s="2">
        <f t="shared" si="3"/>
        <v>20.047695976613586</v>
      </c>
      <c r="P13" s="2">
        <f t="shared" si="4"/>
        <v>3.2438392696874119</v>
      </c>
      <c r="Q13">
        <v>37.9</v>
      </c>
      <c r="R13">
        <v>29.3</v>
      </c>
      <c r="S13">
        <v>29.5</v>
      </c>
      <c r="T13">
        <v>3</v>
      </c>
      <c r="U13">
        <f t="shared" si="5"/>
        <v>0</v>
      </c>
      <c r="V13">
        <f t="shared" si="0"/>
        <v>1</v>
      </c>
      <c r="W13">
        <f t="shared" si="0"/>
        <v>0</v>
      </c>
      <c r="X13">
        <f t="shared" si="0"/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O13">
        <f t="shared" si="6"/>
        <v>15.165228093472091</v>
      </c>
      <c r="AP13">
        <f t="shared" si="7"/>
        <v>68.344895702233671</v>
      </c>
      <c r="AQ13">
        <f t="shared" si="8"/>
        <v>10.953779719525805</v>
      </c>
      <c r="AR13">
        <f t="shared" si="9"/>
        <v>4.5170862235356406</v>
      </c>
      <c r="AT13">
        <f t="shared" si="10"/>
        <v>98.980989738767221</v>
      </c>
      <c r="AW13">
        <f t="array" ref="AW13">MIN(100,MAX(0,M13-AC13*5+AI$7*(U13*AI$20+SUMPRODUCT($Y13:$AB13,TRANSPOSE(AI$21:AI$24)))))</f>
        <v>15.165228093472091</v>
      </c>
      <c r="AX13">
        <f t="array" ref="AX13">MIN(100,MAX(0,N13-AD13*5+AJ$7*(V13*AJ$20+SUMPRODUCT($Y13:$AB13,TRANSPOSE(AJ$21:AJ$24)))))</f>
        <v>68.344895702233671</v>
      </c>
      <c r="AY13">
        <f t="array" ref="AY13">MIN(100,MAX(0,O13-AE13*5+AK$7*(W13*AK$20+SUMPRODUCT($Y13:$AB13,TRANSPOSE(AK$21:AK$24)))))</f>
        <v>10.953779719525805</v>
      </c>
      <c r="AZ13">
        <f t="array" ref="AZ13">MIN(100,MAX(0,P13+AL$7*(X13*AL$20+SUMPRODUCT($Y13:$AB13,TRANSPOSE(AL$21:AL$24)))))</f>
        <v>4.5170862235356406</v>
      </c>
      <c r="BD13">
        <f t="shared" si="11"/>
        <v>0</v>
      </c>
      <c r="BE13">
        <f t="shared" si="12"/>
        <v>1</v>
      </c>
      <c r="BF13">
        <f t="shared" si="13"/>
        <v>0</v>
      </c>
      <c r="BG13">
        <f t="shared" si="14"/>
        <v>0</v>
      </c>
      <c r="BJ13">
        <f t="shared" si="15"/>
        <v>0</v>
      </c>
      <c r="BK13">
        <f t="shared" si="16"/>
        <v>1</v>
      </c>
      <c r="BL13">
        <f t="shared" si="17"/>
        <v>0</v>
      </c>
      <c r="BM13">
        <f t="shared" si="18"/>
        <v>1</v>
      </c>
    </row>
    <row r="14" spans="1:65">
      <c r="A14" t="s">
        <v>422</v>
      </c>
      <c r="B14" t="s">
        <v>38</v>
      </c>
      <c r="C14" t="s">
        <v>38</v>
      </c>
      <c r="D14">
        <v>12002</v>
      </c>
      <c r="E14">
        <v>12</v>
      </c>
      <c r="G14">
        <v>12002</v>
      </c>
      <c r="H14">
        <v>21494</v>
      </c>
      <c r="I14">
        <v>5424</v>
      </c>
      <c r="J14">
        <v>10422</v>
      </c>
      <c r="K14">
        <v>1479</v>
      </c>
      <c r="L14">
        <v>38876</v>
      </c>
      <c r="M14" s="2">
        <f t="shared" si="1"/>
        <v>55.288609939294162</v>
      </c>
      <c r="N14" s="2">
        <f t="shared" si="2"/>
        <v>13.952052680316903</v>
      </c>
      <c r="O14" s="2">
        <f t="shared" si="3"/>
        <v>26.808313612511576</v>
      </c>
      <c r="P14" s="2">
        <f t="shared" si="4"/>
        <v>3.8044037452412796</v>
      </c>
      <c r="Q14">
        <v>37.9</v>
      </c>
      <c r="R14">
        <v>29.3</v>
      </c>
      <c r="S14">
        <v>29.5</v>
      </c>
      <c r="T14">
        <v>3</v>
      </c>
      <c r="U14" s="54">
        <v>0</v>
      </c>
      <c r="V14">
        <f t="shared" si="0"/>
        <v>0</v>
      </c>
      <c r="W14">
        <f t="shared" si="0"/>
        <v>0</v>
      </c>
      <c r="X14">
        <f t="shared" si="0"/>
        <v>0</v>
      </c>
      <c r="Y14">
        <v>0</v>
      </c>
      <c r="Z14">
        <v>0</v>
      </c>
      <c r="AA14">
        <v>1</v>
      </c>
      <c r="AB14">
        <v>0</v>
      </c>
      <c r="AC14" s="54">
        <v>1</v>
      </c>
      <c r="AD14">
        <v>0</v>
      </c>
      <c r="AE14">
        <v>0</v>
      </c>
      <c r="AH14" t="s">
        <v>3</v>
      </c>
      <c r="AI14" s="8">
        <f>AO35</f>
        <v>19.482435582988728</v>
      </c>
      <c r="AJ14" s="8">
        <f>AP35</f>
        <v>55.558683193000988</v>
      </c>
      <c r="AK14" s="8">
        <f>AQ35</f>
        <v>17.987737260876894</v>
      </c>
      <c r="AL14" s="8">
        <f>AR35</f>
        <v>4.0522512961102448</v>
      </c>
      <c r="AO14">
        <f t="shared" si="6"/>
        <v>30.193968647847562</v>
      </c>
      <c r="AP14">
        <f t="shared" si="7"/>
        <v>40.346890621139316</v>
      </c>
      <c r="AQ14">
        <f t="shared" si="8"/>
        <v>17.714397355423795</v>
      </c>
      <c r="AR14">
        <f t="shared" si="9"/>
        <v>5.0776506990895083</v>
      </c>
      <c r="AT14">
        <f t="shared" si="10"/>
        <v>93.33290732350018</v>
      </c>
      <c r="AW14">
        <f t="array" ref="AW14">MIN(100,MAX(0,M14-AC14*5+AI$7*(U14*AI$20+SUMPRODUCT($Y14:$AB14,TRANSPOSE(AI$21:AI$24)))))</f>
        <v>32.838508648454635</v>
      </c>
      <c r="AX14" s="4">
        <f t="array" ref="AX14">MIN(100,MAX(0,N14-AD14*5+AJ$7*(V14*AJ$20+SUMPRODUCT($Y14:$AB14,TRANSPOSE(AJ$21:AJ$24)))))</f>
        <v>38.201248713345251</v>
      </c>
      <c r="AY14">
        <f t="array" ref="AY14">MIN(100,MAX(0,O14-AE14*5+AK$7*(W14*AK$20+SUMPRODUCT($Y14:$AB14,TRANSPOSE(AK$21:AK$24)))))</f>
        <v>17.714397355423795</v>
      </c>
      <c r="AZ14">
        <f t="array" ref="AZ14">MIN(100,MAX(0,P14+AL$7*(X14*AL$20+SUMPRODUCT($Y14:$AB14,TRANSPOSE(AL$21:AL$24)))))</f>
        <v>5.0776506990895083</v>
      </c>
      <c r="BD14">
        <f t="shared" si="11"/>
        <v>0</v>
      </c>
      <c r="BE14">
        <f t="shared" si="12"/>
        <v>1</v>
      </c>
      <c r="BF14">
        <f t="shared" si="13"/>
        <v>0</v>
      </c>
      <c r="BG14">
        <f t="shared" si="14"/>
        <v>0</v>
      </c>
      <c r="BJ14">
        <f t="shared" si="15"/>
        <v>1</v>
      </c>
      <c r="BK14">
        <f t="shared" si="16"/>
        <v>0</v>
      </c>
      <c r="BL14">
        <f t="shared" si="17"/>
        <v>0</v>
      </c>
      <c r="BM14">
        <f t="shared" si="18"/>
        <v>1</v>
      </c>
    </row>
    <row r="15" spans="1:65">
      <c r="A15" t="s">
        <v>422</v>
      </c>
      <c r="B15" t="s">
        <v>39</v>
      </c>
      <c r="C15" t="s">
        <v>424</v>
      </c>
      <c r="D15">
        <v>12003</v>
      </c>
      <c r="E15">
        <v>12</v>
      </c>
      <c r="G15">
        <v>12003</v>
      </c>
      <c r="H15">
        <v>19875</v>
      </c>
      <c r="I15">
        <v>6902</v>
      </c>
      <c r="J15">
        <v>8439</v>
      </c>
      <c r="K15">
        <v>2015</v>
      </c>
      <c r="L15">
        <v>37547</v>
      </c>
      <c r="M15" s="2">
        <f t="shared" si="1"/>
        <v>52.933656483873548</v>
      </c>
      <c r="N15" s="2">
        <f t="shared" si="2"/>
        <v>18.382294191280263</v>
      </c>
      <c r="O15" s="2">
        <f t="shared" si="3"/>
        <v>22.475830292699818</v>
      </c>
      <c r="P15" s="2">
        <f t="shared" si="4"/>
        <v>5.366607185660639</v>
      </c>
      <c r="Q15">
        <v>37.9</v>
      </c>
      <c r="R15">
        <v>29.3</v>
      </c>
      <c r="S15">
        <v>29.5</v>
      </c>
      <c r="T15">
        <v>3</v>
      </c>
      <c r="U15">
        <f t="shared" si="5"/>
        <v>1</v>
      </c>
      <c r="V15">
        <f t="shared" si="0"/>
        <v>0</v>
      </c>
      <c r="W15">
        <f t="shared" si="0"/>
        <v>0</v>
      </c>
      <c r="X15">
        <f t="shared" si="0"/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H15" t="s">
        <v>425</v>
      </c>
      <c r="AI15" s="38">
        <f>BD35</f>
        <v>0</v>
      </c>
      <c r="AJ15" s="38">
        <f>BE35</f>
        <v>29</v>
      </c>
      <c r="AK15" s="38">
        <f>BF35</f>
        <v>3</v>
      </c>
      <c r="AL15" s="38">
        <f>BG35</f>
        <v>0</v>
      </c>
      <c r="AO15">
        <f t="shared" si="6"/>
        <v>32.274389183142304</v>
      </c>
      <c r="AP15">
        <f t="shared" si="7"/>
        <v>51.039385282025847</v>
      </c>
      <c r="AQ15">
        <f t="shared" si="8"/>
        <v>6.3819140356120378</v>
      </c>
      <c r="AR15">
        <f t="shared" si="9"/>
        <v>6.6398541395088682</v>
      </c>
      <c r="AT15">
        <f t="shared" si="10"/>
        <v>96.335542640289063</v>
      </c>
      <c r="AW15">
        <f t="array" ref="AW15">MIN(100,MAX(0,M15-AC15*5+AI$7*(U15*AI$20+SUMPRODUCT($Y15:$AB15,TRANSPOSE(AI$21:AI$24)))))</f>
        <v>35.483555193034022</v>
      </c>
      <c r="AX15" s="54">
        <f t="array" ref="AX15">MIN(100,MAX(0,N15+8-AD15*5+AJ$7*(V15*AJ$20+SUMPRODUCT($Y15:$AB15,TRANSPOSE(AJ$21:AJ$24)))))</f>
        <v>50.631490224308607</v>
      </c>
      <c r="AY15" s="54">
        <f t="array" ref="AY15">MIN(100,MAX(0,O15-7-AE15*5+AK$7*(W15*AK$20+SUMPRODUCT($Y15:$AB15,TRANSPOSE(AK$21:AK$24)))))</f>
        <v>6.3819140356120378</v>
      </c>
      <c r="AZ15">
        <f t="array" ref="AZ15">MIN(100,MAX(0,P15+AL$7*(X15*AL$20+SUMPRODUCT($Y15:$AB15,TRANSPOSE(AL$21:AL$24)))))</f>
        <v>6.6398541395088682</v>
      </c>
      <c r="BD15">
        <f t="shared" si="11"/>
        <v>0</v>
      </c>
      <c r="BE15">
        <f t="shared" si="12"/>
        <v>1</v>
      </c>
      <c r="BF15">
        <f t="shared" si="13"/>
        <v>0</v>
      </c>
      <c r="BG15">
        <f t="shared" si="14"/>
        <v>0</v>
      </c>
      <c r="BJ15">
        <f t="shared" si="15"/>
        <v>1</v>
      </c>
      <c r="BK15">
        <f t="shared" si="16"/>
        <v>0</v>
      </c>
      <c r="BL15">
        <f t="shared" si="17"/>
        <v>0</v>
      </c>
      <c r="BM15">
        <f t="shared" si="18"/>
        <v>1</v>
      </c>
    </row>
    <row r="16" spans="1:65">
      <c r="A16" t="s">
        <v>422</v>
      </c>
      <c r="B16" t="s">
        <v>40</v>
      </c>
      <c r="C16" t="s">
        <v>426</v>
      </c>
      <c r="D16">
        <v>12004</v>
      </c>
      <c r="E16">
        <v>12</v>
      </c>
      <c r="G16">
        <v>12004</v>
      </c>
      <c r="H16">
        <v>11011</v>
      </c>
      <c r="I16">
        <v>15278</v>
      </c>
      <c r="J16">
        <v>16026</v>
      </c>
      <c r="K16">
        <v>1684</v>
      </c>
      <c r="L16">
        <v>43999</v>
      </c>
      <c r="M16" s="2">
        <f t="shared" si="1"/>
        <v>25.025568762926433</v>
      </c>
      <c r="N16" s="2">
        <f t="shared" si="2"/>
        <v>34.723516443555539</v>
      </c>
      <c r="O16" s="2">
        <f t="shared" si="3"/>
        <v>36.423555080797293</v>
      </c>
      <c r="P16" s="2">
        <f t="shared" si="4"/>
        <v>3.8273597127207437</v>
      </c>
      <c r="Q16">
        <v>37.9</v>
      </c>
      <c r="R16">
        <v>29.3</v>
      </c>
      <c r="S16">
        <v>29.5</v>
      </c>
      <c r="T16">
        <v>3</v>
      </c>
      <c r="U16">
        <f t="shared" si="5"/>
        <v>0</v>
      </c>
      <c r="V16">
        <f t="shared" si="0"/>
        <v>0</v>
      </c>
      <c r="W16">
        <f t="shared" si="0"/>
        <v>1</v>
      </c>
      <c r="X16">
        <f t="shared" si="0"/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O16">
        <f t="shared" si="6"/>
        <v>7.5754674720869097</v>
      </c>
      <c r="AP16">
        <f t="shared" si="7"/>
        <v>58.972712476583879</v>
      </c>
      <c r="AQ16">
        <f t="shared" si="8"/>
        <v>27.329638823709512</v>
      </c>
      <c r="AR16">
        <f t="shared" si="9"/>
        <v>5.1006066665689733</v>
      </c>
      <c r="AT16">
        <f t="shared" si="10"/>
        <v>98.978425438949287</v>
      </c>
      <c r="AW16">
        <f t="array" ref="AW16">MIN(100,MAX(0,M16-AC16*5+AI$7*(U16*AI$20+SUMPRODUCT($Y16:$AB16,TRANSPOSE(AI$21:AI$24)))))</f>
        <v>7.5754674720869097</v>
      </c>
      <c r="AX16">
        <f t="array" ref="AX16">MIN(100,MAX(0,N16-AD16*5+AJ$7*(V16*AJ$20+SUMPRODUCT($Y16:$AB16,TRANSPOSE(AJ$21:AJ$24)))))</f>
        <v>58.972712476583879</v>
      </c>
      <c r="AY16">
        <f t="array" ref="AY16">MIN(100,MAX(0,O16-AE16*5+AK$7*(W16*AK$20+SUMPRODUCT($Y16:$AB16,TRANSPOSE(AK$21:AK$24)))))</f>
        <v>27.329638823709512</v>
      </c>
      <c r="AZ16">
        <f t="array" ref="AZ16">MIN(100,MAX(0,P16+AL$7*(X16*AL$20+SUMPRODUCT($Y16:$AB16,TRANSPOSE(AL$21:AL$24)))))</f>
        <v>5.1006066665689733</v>
      </c>
      <c r="BD16">
        <f t="shared" si="11"/>
        <v>0</v>
      </c>
      <c r="BE16">
        <f t="shared" si="12"/>
        <v>1</v>
      </c>
      <c r="BF16">
        <f t="shared" si="13"/>
        <v>0</v>
      </c>
      <c r="BG16">
        <f t="shared" si="14"/>
        <v>0</v>
      </c>
      <c r="BJ16">
        <f t="shared" si="15"/>
        <v>0</v>
      </c>
      <c r="BK16">
        <f t="shared" si="16"/>
        <v>1</v>
      </c>
      <c r="BL16">
        <f t="shared" si="17"/>
        <v>1</v>
      </c>
      <c r="BM16">
        <f t="shared" si="18"/>
        <v>1</v>
      </c>
    </row>
    <row r="17" spans="1:65">
      <c r="A17" t="s">
        <v>422</v>
      </c>
      <c r="B17" t="s">
        <v>41</v>
      </c>
      <c r="C17" t="s">
        <v>41</v>
      </c>
      <c r="D17">
        <v>12005</v>
      </c>
      <c r="E17">
        <v>12</v>
      </c>
      <c r="G17">
        <v>12005</v>
      </c>
      <c r="H17">
        <v>8292</v>
      </c>
      <c r="I17">
        <v>11805</v>
      </c>
      <c r="J17">
        <v>23761</v>
      </c>
      <c r="K17">
        <v>2023</v>
      </c>
      <c r="L17">
        <v>46033</v>
      </c>
      <c r="M17" s="2">
        <f t="shared" si="1"/>
        <v>18.013164468967915</v>
      </c>
      <c r="N17" s="2">
        <f t="shared" si="2"/>
        <v>25.644646232050921</v>
      </c>
      <c r="O17" s="2">
        <f t="shared" si="3"/>
        <v>51.617318010992122</v>
      </c>
      <c r="P17" s="2">
        <f t="shared" si="4"/>
        <v>4.3946733864836096</v>
      </c>
      <c r="Q17">
        <v>37.9</v>
      </c>
      <c r="R17">
        <v>29.3</v>
      </c>
      <c r="S17">
        <v>29.5</v>
      </c>
      <c r="T17">
        <v>3</v>
      </c>
      <c r="U17">
        <f t="shared" si="5"/>
        <v>0</v>
      </c>
      <c r="V17">
        <f t="shared" si="0"/>
        <v>0</v>
      </c>
      <c r="W17">
        <f t="shared" si="0"/>
        <v>1</v>
      </c>
      <c r="X17">
        <f t="shared" si="0"/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O17">
        <f t="shared" si="6"/>
        <v>0.56306317812839168</v>
      </c>
      <c r="AP17">
        <f t="shared" si="7"/>
        <v>50.404860453307343</v>
      </c>
      <c r="AQ17">
        <f t="shared" si="8"/>
        <v>42.523401753904338</v>
      </c>
      <c r="AR17">
        <f t="shared" si="9"/>
        <v>5.6679203403318388</v>
      </c>
      <c r="AT17">
        <f t="shared" si="10"/>
        <v>99.159245725671909</v>
      </c>
      <c r="AW17">
        <f t="array" ref="AW17">MIN(100,MAX(0,M17-AC17*5+AI$7*(U17*AI$20+SUMPRODUCT($Y17:$AB17,TRANSPOSE(AI$21:AI$24)))))</f>
        <v>0.56306317812839168</v>
      </c>
      <c r="AX17">
        <f t="array" ref="AX17">MIN(100,MAX(0,N17-AD17*5+AJ$7*(V17*AJ$20+SUMPRODUCT($Y17:$AB17,TRANSPOSE(AJ$21:AJ$24)))))</f>
        <v>49.893842265079265</v>
      </c>
      <c r="AY17">
        <f t="array" ref="AY17">MIN(100,MAX(0,O17-AE17*5+AK$7*(W17*AK$20+SUMPRODUCT($Y17:$AB17,TRANSPOSE(AK$21:AK$24)))))</f>
        <v>42.523401753904338</v>
      </c>
      <c r="AZ17">
        <f t="array" ref="AZ17">MIN(100,MAX(0,P17+AL$7*(X17*AL$20+SUMPRODUCT($Y17:$AB17,TRANSPOSE(AL$21:AL$24)))))</f>
        <v>5.6679203403318388</v>
      </c>
      <c r="BD17">
        <f t="shared" si="11"/>
        <v>0</v>
      </c>
      <c r="BE17">
        <f t="shared" si="12"/>
        <v>1</v>
      </c>
      <c r="BF17">
        <f t="shared" si="13"/>
        <v>0</v>
      </c>
      <c r="BG17">
        <f t="shared" si="14"/>
        <v>0</v>
      </c>
      <c r="BJ17">
        <f t="shared" si="15"/>
        <v>0</v>
      </c>
      <c r="BK17">
        <f t="shared" si="16"/>
        <v>0</v>
      </c>
      <c r="BL17">
        <f t="shared" si="17"/>
        <v>1</v>
      </c>
      <c r="BM17">
        <f t="shared" si="18"/>
        <v>1</v>
      </c>
    </row>
    <row r="18" spans="1:65">
      <c r="A18" t="s">
        <v>422</v>
      </c>
      <c r="B18" t="s">
        <v>42</v>
      </c>
      <c r="C18" t="s">
        <v>42</v>
      </c>
      <c r="D18">
        <v>12006</v>
      </c>
      <c r="E18">
        <v>12</v>
      </c>
      <c r="G18">
        <v>12006</v>
      </c>
      <c r="H18">
        <v>12005</v>
      </c>
      <c r="I18">
        <v>14824</v>
      </c>
      <c r="J18">
        <v>11318</v>
      </c>
      <c r="K18">
        <v>1632</v>
      </c>
      <c r="L18">
        <v>39779</v>
      </c>
      <c r="M18" s="2">
        <f t="shared" si="1"/>
        <v>30.179240302672266</v>
      </c>
      <c r="N18" s="2">
        <f t="shared" si="2"/>
        <v>37.26589406470751</v>
      </c>
      <c r="O18" s="2">
        <f t="shared" si="3"/>
        <v>28.452198396138666</v>
      </c>
      <c r="P18" s="2">
        <f t="shared" si="4"/>
        <v>4.1026672364815608</v>
      </c>
      <c r="Q18">
        <v>37.9</v>
      </c>
      <c r="R18">
        <v>29.3</v>
      </c>
      <c r="S18">
        <v>29.5</v>
      </c>
      <c r="T18">
        <v>3</v>
      </c>
      <c r="U18">
        <f t="shared" si="5"/>
        <v>0</v>
      </c>
      <c r="V18">
        <f t="shared" ref="V18:V33" si="19">IF(N18=MAX($M18:$P18),1,0)</f>
        <v>1</v>
      </c>
      <c r="W18">
        <f t="shared" ref="W18:W33" si="20">IF(O18=MAX($M18:$P18),1,0)</f>
        <v>0</v>
      </c>
      <c r="X18">
        <f t="shared" ref="X18:X33" si="21">IF(P18=MAX($M18:$P18),1,0)</f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O18">
        <f t="shared" si="6"/>
        <v>12.729139011832743</v>
      </c>
      <c r="AP18">
        <f t="shared" si="7"/>
        <v>61.51509009773585</v>
      </c>
      <c r="AQ18">
        <f t="shared" si="8"/>
        <v>19.358282139050885</v>
      </c>
      <c r="AR18">
        <f t="shared" si="9"/>
        <v>5.37591419032979</v>
      </c>
      <c r="AT18">
        <f t="shared" si="10"/>
        <v>98.978425438949273</v>
      </c>
      <c r="AW18">
        <f t="array" ref="AW18">MIN(100,MAX(0,M18-AC18*5+AI$7*(U18*AI$20+SUMPRODUCT($Y18:$AB18,TRANSPOSE(AI$21:AI$24)))))</f>
        <v>12.729139011832743</v>
      </c>
      <c r="AX18">
        <f t="array" ref="AX18">MIN(100,MAX(0,N18-AD18*5+AJ$7*(V18*AJ$20+SUMPRODUCT($Y18:$AB18,TRANSPOSE(AJ$21:AJ$24)))))</f>
        <v>61.51509009773585</v>
      </c>
      <c r="AY18">
        <f t="array" ref="AY18">MIN(100,MAX(0,O18-AE18*5+AK$7*(W18*AK$20+SUMPRODUCT($Y18:$AB18,TRANSPOSE(AK$21:AK$24)))))</f>
        <v>19.358282139050885</v>
      </c>
      <c r="AZ18">
        <f t="array" ref="AZ18">MIN(100,MAX(0,P18+AL$7*(X18*AL$20+SUMPRODUCT($Y18:$AB18,TRANSPOSE(AL$21:AL$24)))))</f>
        <v>5.37591419032979</v>
      </c>
      <c r="BD18">
        <f t="shared" si="11"/>
        <v>0</v>
      </c>
      <c r="BE18">
        <f t="shared" si="12"/>
        <v>1</v>
      </c>
      <c r="BF18">
        <f t="shared" si="13"/>
        <v>0</v>
      </c>
      <c r="BG18">
        <f t="shared" si="14"/>
        <v>0</v>
      </c>
      <c r="BJ18">
        <f t="shared" si="15"/>
        <v>0</v>
      </c>
      <c r="BK18">
        <f t="shared" si="16"/>
        <v>1</v>
      </c>
      <c r="BL18">
        <f t="shared" si="17"/>
        <v>0</v>
      </c>
      <c r="BM18">
        <f t="shared" si="18"/>
        <v>1</v>
      </c>
    </row>
    <row r="19" spans="1:65">
      <c r="A19" t="s">
        <v>422</v>
      </c>
      <c r="B19" t="s">
        <v>43</v>
      </c>
      <c r="C19" t="s">
        <v>427</v>
      </c>
      <c r="D19">
        <v>12007</v>
      </c>
      <c r="E19">
        <v>12</v>
      </c>
      <c r="G19">
        <v>12007</v>
      </c>
      <c r="H19">
        <v>14714</v>
      </c>
      <c r="I19">
        <v>15887</v>
      </c>
      <c r="J19">
        <v>8043</v>
      </c>
      <c r="K19">
        <v>1520</v>
      </c>
      <c r="L19">
        <v>40164</v>
      </c>
      <c r="M19" s="2">
        <f t="shared" si="1"/>
        <v>36.63479733094313</v>
      </c>
      <c r="N19" s="2">
        <f t="shared" si="2"/>
        <v>39.555323174982568</v>
      </c>
      <c r="O19" s="2">
        <f t="shared" si="3"/>
        <v>20.025395876904692</v>
      </c>
      <c r="P19" s="2">
        <f t="shared" si="4"/>
        <v>3.7844836171696046</v>
      </c>
      <c r="Q19">
        <v>37.9</v>
      </c>
      <c r="R19">
        <v>29.3</v>
      </c>
      <c r="S19">
        <v>29.5</v>
      </c>
      <c r="T19">
        <v>3</v>
      </c>
      <c r="U19">
        <f t="shared" si="5"/>
        <v>0</v>
      </c>
      <c r="V19">
        <f t="shared" si="19"/>
        <v>1</v>
      </c>
      <c r="W19">
        <f t="shared" si="20"/>
        <v>0</v>
      </c>
      <c r="X19">
        <f t="shared" si="21"/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I19" s="38" t="s">
        <v>403</v>
      </c>
      <c r="AJ19" s="38" t="s">
        <v>404</v>
      </c>
      <c r="AK19" s="38" t="s">
        <v>6</v>
      </c>
      <c r="AL19" s="38" t="s">
        <v>7</v>
      </c>
      <c r="AO19">
        <f t="shared" si="6"/>
        <v>19.184696040103606</v>
      </c>
      <c r="AP19">
        <f t="shared" si="7"/>
        <v>63.804519208010916</v>
      </c>
      <c r="AQ19">
        <f t="shared" si="8"/>
        <v>10.931479619816912</v>
      </c>
      <c r="AR19">
        <f t="shared" si="9"/>
        <v>5.0577305710178333</v>
      </c>
      <c r="AT19">
        <f t="shared" si="10"/>
        <v>98.978425438949259</v>
      </c>
      <c r="AW19">
        <f t="array" ref="AW19">MIN(100,MAX(0,M19-AC19*5+AI$7*(U19*AI$20+SUMPRODUCT($Y19:$AB19,TRANSPOSE(AI$21:AI$24)))))</f>
        <v>19.184696040103606</v>
      </c>
      <c r="AX19">
        <f t="array" ref="AX19">MIN(100,MAX(0,N19-AD19*5+AJ$7*(V19*AJ$20+SUMPRODUCT($Y19:$AB19,TRANSPOSE(AJ$21:AJ$24)))))</f>
        <v>63.804519208010916</v>
      </c>
      <c r="AY19">
        <f t="array" ref="AY19">MIN(100,MAX(0,O19-AE19*5+AK$7*(W19*AK$20+SUMPRODUCT($Y19:$AB19,TRANSPOSE(AK$21:AK$24)))))</f>
        <v>10.931479619816912</v>
      </c>
      <c r="AZ19">
        <f t="array" ref="AZ19">MIN(100,MAX(0,P19+AL$7*(X19*AL$20+SUMPRODUCT($Y19:$AB19,TRANSPOSE(AL$21:AL$24)))))</f>
        <v>5.0577305710178333</v>
      </c>
      <c r="BD19">
        <f t="shared" si="11"/>
        <v>0</v>
      </c>
      <c r="BE19">
        <f t="shared" si="12"/>
        <v>1</v>
      </c>
      <c r="BF19">
        <f t="shared" si="13"/>
        <v>0</v>
      </c>
      <c r="BG19">
        <f t="shared" si="14"/>
        <v>0</v>
      </c>
      <c r="BJ19">
        <f t="shared" si="15"/>
        <v>0</v>
      </c>
      <c r="BK19">
        <f t="shared" si="16"/>
        <v>1</v>
      </c>
      <c r="BL19">
        <f t="shared" si="17"/>
        <v>0</v>
      </c>
      <c r="BM19">
        <f t="shared" si="18"/>
        <v>1</v>
      </c>
    </row>
    <row r="20" spans="1:65">
      <c r="A20" t="s">
        <v>422</v>
      </c>
      <c r="B20" t="s">
        <v>44</v>
      </c>
      <c r="C20" t="s">
        <v>428</v>
      </c>
      <c r="D20">
        <v>12008</v>
      </c>
      <c r="E20">
        <v>12</v>
      </c>
      <c r="G20">
        <v>12008</v>
      </c>
      <c r="H20">
        <v>11772</v>
      </c>
      <c r="I20">
        <v>4409</v>
      </c>
      <c r="J20">
        <v>21174</v>
      </c>
      <c r="K20">
        <v>1637</v>
      </c>
      <c r="L20">
        <v>38996</v>
      </c>
      <c r="M20" s="2">
        <f t="shared" si="1"/>
        <v>30.187711560160018</v>
      </c>
      <c r="N20" s="2">
        <f t="shared" si="2"/>
        <v>11.306287824392246</v>
      </c>
      <c r="O20" s="2">
        <f t="shared" si="3"/>
        <v>54.297876705303104</v>
      </c>
      <c r="P20" s="2">
        <f t="shared" si="4"/>
        <v>4.1978664478408039</v>
      </c>
      <c r="Q20">
        <v>37.9</v>
      </c>
      <c r="R20">
        <v>29.3</v>
      </c>
      <c r="S20">
        <v>29.5</v>
      </c>
      <c r="T20">
        <v>3</v>
      </c>
      <c r="U20">
        <f t="shared" si="5"/>
        <v>0</v>
      </c>
      <c r="V20">
        <f t="shared" si="19"/>
        <v>0</v>
      </c>
      <c r="W20">
        <f t="shared" si="20"/>
        <v>1</v>
      </c>
      <c r="X20">
        <f t="shared" si="21"/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H20" t="s">
        <v>429</v>
      </c>
      <c r="AI20">
        <v>0</v>
      </c>
      <c r="AJ20">
        <v>0</v>
      </c>
      <c r="AK20">
        <v>0</v>
      </c>
      <c r="AL20">
        <v>0</v>
      </c>
      <c r="AO20">
        <f t="shared" si="6"/>
        <v>12.737610269320495</v>
      </c>
      <c r="AP20">
        <f t="shared" si="7"/>
        <v>38.071003497708588</v>
      </c>
      <c r="AQ20">
        <f t="shared" si="8"/>
        <v>45.203960448215327</v>
      </c>
      <c r="AR20">
        <f t="shared" si="9"/>
        <v>5.471113401689033</v>
      </c>
      <c r="AT20">
        <f t="shared" si="10"/>
        <v>101.48368761693345</v>
      </c>
      <c r="AW20">
        <f t="array" ref="AW20">MIN(100,MAX(0,M20-AC20*5+AI$7*(U20*AI$20+SUMPRODUCT($Y20:$AB20,TRANSPOSE(AI$21:AI$24)))))</f>
        <v>12.737610269320495</v>
      </c>
      <c r="AX20">
        <f t="array" ref="AX20">MIN(100,MAX(0,N20-AD20*5+AJ$7*(V20*AJ$20+SUMPRODUCT($Y20:$AB20,TRANSPOSE(AJ$21:AJ$24)))))</f>
        <v>35.55548385742059</v>
      </c>
      <c r="AY20">
        <f t="array" ref="AY20">MIN(100,MAX(0,O20-AE20*5+AK$7*(W20*AK$20+SUMPRODUCT($Y20:$AB20,TRANSPOSE(AK$21:AK$24)))))</f>
        <v>45.203960448215327</v>
      </c>
      <c r="AZ20">
        <f t="array" ref="AZ20">MIN(100,MAX(0,P20+AL$7*(X20*AL$20+SUMPRODUCT($Y20:$AB20,TRANSPOSE(AL$21:AL$24)))))</f>
        <v>5.471113401689033</v>
      </c>
      <c r="BD20">
        <f t="shared" si="11"/>
        <v>0</v>
      </c>
      <c r="BE20">
        <f t="shared" si="12"/>
        <v>0</v>
      </c>
      <c r="BF20">
        <f t="shared" si="13"/>
        <v>1</v>
      </c>
      <c r="BG20">
        <f t="shared" si="14"/>
        <v>0</v>
      </c>
      <c r="BJ20">
        <f t="shared" si="15"/>
        <v>0</v>
      </c>
      <c r="BK20">
        <f t="shared" si="16"/>
        <v>0</v>
      </c>
      <c r="BL20">
        <f t="shared" si="17"/>
        <v>1</v>
      </c>
      <c r="BM20">
        <f t="shared" si="18"/>
        <v>1</v>
      </c>
    </row>
    <row r="21" spans="1:65">
      <c r="A21" t="s">
        <v>422</v>
      </c>
      <c r="B21" t="s">
        <v>45</v>
      </c>
      <c r="C21" t="s">
        <v>430</v>
      </c>
      <c r="D21">
        <v>12009</v>
      </c>
      <c r="E21">
        <v>12</v>
      </c>
      <c r="G21">
        <v>12009</v>
      </c>
      <c r="H21">
        <v>19709</v>
      </c>
      <c r="I21">
        <v>8431</v>
      </c>
      <c r="J21">
        <v>16939</v>
      </c>
      <c r="K21">
        <v>1875</v>
      </c>
      <c r="L21">
        <v>46954</v>
      </c>
      <c r="M21" s="2">
        <f t="shared" si="1"/>
        <v>41.975124590024279</v>
      </c>
      <c r="N21" s="2">
        <f t="shared" si="2"/>
        <v>17.955871704221153</v>
      </c>
      <c r="O21" s="2">
        <f t="shared" si="3"/>
        <v>36.075733696809642</v>
      </c>
      <c r="P21" s="2">
        <f t="shared" si="4"/>
        <v>3.9932700089449247</v>
      </c>
      <c r="Q21">
        <v>37.9</v>
      </c>
      <c r="R21">
        <v>29.3</v>
      </c>
      <c r="S21">
        <v>29.5</v>
      </c>
      <c r="T21">
        <v>3</v>
      </c>
      <c r="U21" s="54">
        <v>0</v>
      </c>
      <c r="V21">
        <f t="shared" si="19"/>
        <v>0</v>
      </c>
      <c r="W21">
        <f t="shared" si="20"/>
        <v>0</v>
      </c>
      <c r="X21">
        <f t="shared" si="21"/>
        <v>0</v>
      </c>
      <c r="Y21">
        <v>0</v>
      </c>
      <c r="Z21">
        <v>0</v>
      </c>
      <c r="AA21">
        <v>1</v>
      </c>
      <c r="AB21">
        <v>0</v>
      </c>
      <c r="AC21" s="54">
        <v>1</v>
      </c>
      <c r="AD21">
        <v>0</v>
      </c>
      <c r="AE21">
        <v>0</v>
      </c>
      <c r="AH21" t="s">
        <v>395</v>
      </c>
      <c r="AI21">
        <v>1</v>
      </c>
      <c r="AJ21">
        <v>1</v>
      </c>
      <c r="AK21">
        <v>1</v>
      </c>
      <c r="AL21">
        <v>1</v>
      </c>
      <c r="AO21">
        <f t="shared" si="6"/>
        <v>19.525023299184756</v>
      </c>
      <c r="AP21">
        <f t="shared" si="7"/>
        <v>43.790976039632056</v>
      </c>
      <c r="AQ21">
        <f t="shared" si="8"/>
        <v>26.981817439721862</v>
      </c>
      <c r="AR21">
        <f t="shared" si="9"/>
        <v>5.2665169627931538</v>
      </c>
      <c r="AT21">
        <f t="shared" si="10"/>
        <v>95.564333741331822</v>
      </c>
      <c r="AW21">
        <f t="array" ref="AW21">MIN(100,MAX(0,M21-AC21*5+AI$7*(U21*AI$20+SUMPRODUCT($Y21:$AB21,TRANSPOSE(AI$21:AI$24)))))</f>
        <v>19.525023299184756</v>
      </c>
      <c r="AX21">
        <f t="array" ref="AX21">MIN(100,MAX(0,N21-AD21*5+AJ$7*(V21*AJ$20+SUMPRODUCT($Y21:$AB21,TRANSPOSE(AJ$21:AJ$24)))))</f>
        <v>42.205067737249493</v>
      </c>
      <c r="AY21">
        <f t="array" ref="AY21">MIN(100,MAX(0,O21-AE21*5+AK$7*(W21*AK$20+SUMPRODUCT($Y21:$AB21,TRANSPOSE(AK$21:AK$24)))))</f>
        <v>26.981817439721862</v>
      </c>
      <c r="AZ21">
        <f t="array" ref="AZ21">MIN(100,MAX(0,P21+AL$7*(X21*AL$20+SUMPRODUCT($Y21:$AB21,TRANSPOSE(AL$21:AL$24)))))</f>
        <v>5.2665169627931538</v>
      </c>
      <c r="BD21">
        <f t="shared" si="11"/>
        <v>0</v>
      </c>
      <c r="BE21">
        <f t="shared" si="12"/>
        <v>1</v>
      </c>
      <c r="BF21">
        <f t="shared" si="13"/>
        <v>0</v>
      </c>
      <c r="BG21">
        <f t="shared" si="14"/>
        <v>0</v>
      </c>
      <c r="BJ21">
        <f t="shared" si="15"/>
        <v>0</v>
      </c>
      <c r="BK21">
        <f t="shared" si="16"/>
        <v>0</v>
      </c>
      <c r="BL21">
        <f t="shared" si="17"/>
        <v>1</v>
      </c>
      <c r="BM21">
        <f t="shared" si="18"/>
        <v>1</v>
      </c>
    </row>
    <row r="22" spans="1:65">
      <c r="A22" t="s">
        <v>422</v>
      </c>
      <c r="B22" t="s">
        <v>46</v>
      </c>
      <c r="C22" t="s">
        <v>431</v>
      </c>
      <c r="D22">
        <v>12010</v>
      </c>
      <c r="E22">
        <v>12</v>
      </c>
      <c r="G22">
        <v>12010</v>
      </c>
      <c r="H22">
        <v>14023</v>
      </c>
      <c r="I22">
        <v>14788</v>
      </c>
      <c r="J22">
        <v>7049</v>
      </c>
      <c r="K22">
        <v>1191</v>
      </c>
      <c r="L22">
        <v>37051</v>
      </c>
      <c r="M22" s="2">
        <f t="shared" si="1"/>
        <v>37.847831367574422</v>
      </c>
      <c r="N22" s="2">
        <f t="shared" si="2"/>
        <v>39.912552967531241</v>
      </c>
      <c r="O22" s="2">
        <f t="shared" si="3"/>
        <v>19.025127526922351</v>
      </c>
      <c r="P22" s="2">
        <f t="shared" si="4"/>
        <v>3.2144881379719847</v>
      </c>
      <c r="Q22">
        <v>37.9</v>
      </c>
      <c r="R22">
        <v>29.3</v>
      </c>
      <c r="S22">
        <v>29.5</v>
      </c>
      <c r="T22">
        <v>3</v>
      </c>
      <c r="U22">
        <f t="shared" si="5"/>
        <v>0</v>
      </c>
      <c r="V22">
        <f t="shared" si="19"/>
        <v>1</v>
      </c>
      <c r="W22">
        <f t="shared" si="20"/>
        <v>0</v>
      </c>
      <c r="X22">
        <f t="shared" si="21"/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H22" t="s">
        <v>396</v>
      </c>
      <c r="AI22">
        <v>1</v>
      </c>
      <c r="AJ22">
        <v>1</v>
      </c>
      <c r="AK22">
        <v>1</v>
      </c>
      <c r="AL22">
        <v>1</v>
      </c>
      <c r="AO22">
        <f t="shared" si="6"/>
        <v>20.397730076734899</v>
      </c>
      <c r="AP22">
        <f t="shared" si="7"/>
        <v>64.161749000559581</v>
      </c>
      <c r="AQ22">
        <f t="shared" si="8"/>
        <v>9.93121126983457</v>
      </c>
      <c r="AR22">
        <f t="shared" si="9"/>
        <v>4.4877350918202144</v>
      </c>
      <c r="AT22">
        <f t="shared" si="10"/>
        <v>98.978425438949273</v>
      </c>
      <c r="AW22">
        <f t="array" ref="AW22">MIN(100,MAX(0,M22-AC22*5+AI$7*(U22*AI$20+SUMPRODUCT($Y22:$AB22,TRANSPOSE(AI$21:AI$24)))))</f>
        <v>20.397730076734899</v>
      </c>
      <c r="AX22">
        <f t="array" ref="AX22">MIN(100,MAX(0,N22-AD22*5+AJ$7*(V22*AJ$20+SUMPRODUCT($Y22:$AB22,TRANSPOSE(AJ$21:AJ$24)))))</f>
        <v>64.161749000559581</v>
      </c>
      <c r="AY22">
        <f t="array" ref="AY22">MIN(100,MAX(0,O22-AE22*5+AK$7*(W22*AK$20+SUMPRODUCT($Y22:$AB22,TRANSPOSE(AK$21:AK$24)))))</f>
        <v>9.93121126983457</v>
      </c>
      <c r="AZ22">
        <f t="array" ref="AZ22">MIN(100,MAX(0,P22+AL$7*(X22*AL$20+SUMPRODUCT($Y22:$AB22,TRANSPOSE(AL$21:AL$24)))))</f>
        <v>4.4877350918202144</v>
      </c>
      <c r="BD22">
        <f t="shared" si="11"/>
        <v>0</v>
      </c>
      <c r="BE22">
        <f t="shared" si="12"/>
        <v>1</v>
      </c>
      <c r="BF22">
        <f t="shared" si="13"/>
        <v>0</v>
      </c>
      <c r="BG22">
        <f t="shared" si="14"/>
        <v>0</v>
      </c>
      <c r="BJ22">
        <f t="shared" si="15"/>
        <v>0</v>
      </c>
      <c r="BK22">
        <f t="shared" si="16"/>
        <v>1</v>
      </c>
      <c r="BL22">
        <f t="shared" si="17"/>
        <v>0</v>
      </c>
      <c r="BM22">
        <f t="shared" si="18"/>
        <v>1</v>
      </c>
    </row>
    <row r="23" spans="1:65">
      <c r="A23" t="s">
        <v>422</v>
      </c>
      <c r="B23" t="s">
        <v>47</v>
      </c>
      <c r="C23" t="s">
        <v>47</v>
      </c>
      <c r="D23">
        <v>12011</v>
      </c>
      <c r="E23">
        <v>12</v>
      </c>
      <c r="G23">
        <v>12011</v>
      </c>
      <c r="H23">
        <v>20204</v>
      </c>
      <c r="I23">
        <v>15632</v>
      </c>
      <c r="J23">
        <v>5631</v>
      </c>
      <c r="K23">
        <v>1487</v>
      </c>
      <c r="L23">
        <v>42954</v>
      </c>
      <c r="M23" s="2">
        <f t="shared" si="1"/>
        <v>47.036364482935234</v>
      </c>
      <c r="N23" s="2">
        <f t="shared" si="2"/>
        <v>36.39241979792336</v>
      </c>
      <c r="O23" s="2">
        <f t="shared" si="3"/>
        <v>13.109372817432602</v>
      </c>
      <c r="P23" s="2">
        <f t="shared" si="4"/>
        <v>3.4618429017088044</v>
      </c>
      <c r="Q23">
        <v>37.9</v>
      </c>
      <c r="R23">
        <v>29.3</v>
      </c>
      <c r="S23">
        <v>29.5</v>
      </c>
      <c r="T23">
        <v>3</v>
      </c>
      <c r="U23" s="54">
        <v>0</v>
      </c>
      <c r="V23">
        <f t="shared" si="19"/>
        <v>0</v>
      </c>
      <c r="W23">
        <f t="shared" si="20"/>
        <v>0</v>
      </c>
      <c r="X23">
        <f t="shared" si="21"/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H23" t="s">
        <v>397</v>
      </c>
      <c r="AI23">
        <v>1</v>
      </c>
      <c r="AJ23">
        <v>1</v>
      </c>
      <c r="AK23">
        <v>1</v>
      </c>
      <c r="AL23">
        <v>1</v>
      </c>
      <c r="AO23">
        <f t="shared" si="6"/>
        <v>27.635965180160355</v>
      </c>
      <c r="AP23">
        <f t="shared" si="7"/>
        <v>60.641615830951707</v>
      </c>
      <c r="AQ23">
        <f t="shared" si="8"/>
        <v>4.0154565603448216</v>
      </c>
      <c r="AR23">
        <f t="shared" si="9"/>
        <v>4.7350898555570335</v>
      </c>
      <c r="AT23">
        <f t="shared" si="10"/>
        <v>97.028127427013914</v>
      </c>
      <c r="AW23">
        <f t="array" ref="AW23">MIN(100,MAX(0,M23-AC23*5+AI$7*(U23*AI$20+SUMPRODUCT($Y23:$AB23,TRANSPOSE(AI$21:AI$24)))))</f>
        <v>29.586263192095711</v>
      </c>
      <c r="AX23">
        <f t="array" ref="AX23">MIN(100,MAX(0,N23-AD23*5+AJ$7*(V23*AJ$20+SUMPRODUCT($Y23:$AB23,TRANSPOSE(AJ$21:AJ$24)))))</f>
        <v>60.641615830951707</v>
      </c>
      <c r="AY23">
        <f t="array" ref="AY23">MIN(100,MAX(0,O23-AE23*5+AK$7*(W23*AK$20+SUMPRODUCT($Y23:$AB23,TRANSPOSE(AK$21:AK$24)))))</f>
        <v>4.0154565603448216</v>
      </c>
      <c r="AZ23">
        <f t="array" ref="AZ23">MIN(100,MAX(0,P23+AL$7*(X23*AL$20+SUMPRODUCT($Y23:$AB23,TRANSPOSE(AL$21:AL$24)))))</f>
        <v>4.7350898555570335</v>
      </c>
      <c r="BD23">
        <f t="shared" si="11"/>
        <v>0</v>
      </c>
      <c r="BE23">
        <f t="shared" si="12"/>
        <v>1</v>
      </c>
      <c r="BF23">
        <f t="shared" si="13"/>
        <v>0</v>
      </c>
      <c r="BG23">
        <f t="shared" si="14"/>
        <v>0</v>
      </c>
      <c r="BJ23">
        <f t="shared" si="15"/>
        <v>1</v>
      </c>
      <c r="BK23">
        <f t="shared" si="16"/>
        <v>1</v>
      </c>
      <c r="BL23">
        <f t="shared" si="17"/>
        <v>0</v>
      </c>
      <c r="BM23">
        <f t="shared" si="18"/>
        <v>1</v>
      </c>
    </row>
    <row r="24" spans="1:65">
      <c r="A24" t="s">
        <v>432</v>
      </c>
      <c r="B24" t="s">
        <v>49</v>
      </c>
      <c r="C24" t="s">
        <v>433</v>
      </c>
      <c r="D24">
        <v>13001</v>
      </c>
      <c r="E24">
        <v>13</v>
      </c>
      <c r="G24">
        <v>13001</v>
      </c>
      <c r="H24">
        <v>7749</v>
      </c>
      <c r="I24">
        <v>6705</v>
      </c>
      <c r="J24">
        <v>32361</v>
      </c>
      <c r="K24">
        <v>31</v>
      </c>
      <c r="L24">
        <v>46847</v>
      </c>
      <c r="M24" s="2">
        <f t="shared" si="1"/>
        <v>16.541080538775162</v>
      </c>
      <c r="N24" s="2">
        <f t="shared" si="2"/>
        <v>14.312549362819391</v>
      </c>
      <c r="O24" s="2">
        <f>J24/$L24*100</f>
        <v>69.078062629410624</v>
      </c>
      <c r="P24" s="2">
        <f t="shared" si="4"/>
        <v>6.6172860588724999E-2</v>
      </c>
      <c r="Q24">
        <v>37.9</v>
      </c>
      <c r="R24">
        <v>29.3</v>
      </c>
      <c r="S24">
        <v>29.5</v>
      </c>
      <c r="T24">
        <v>3</v>
      </c>
      <c r="U24">
        <f t="shared" si="5"/>
        <v>0</v>
      </c>
      <c r="V24">
        <f t="shared" si="19"/>
        <v>0</v>
      </c>
      <c r="W24" s="54">
        <v>0</v>
      </c>
      <c r="X24">
        <f t="shared" si="21"/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 s="54">
        <v>1</v>
      </c>
      <c r="AH24" t="s">
        <v>398</v>
      </c>
      <c r="AI24">
        <v>1</v>
      </c>
      <c r="AJ24">
        <v>1</v>
      </c>
      <c r="AK24">
        <v>1</v>
      </c>
      <c r="AL24">
        <v>1</v>
      </c>
      <c r="AO24">
        <f t="shared" si="6"/>
        <v>0</v>
      </c>
      <c r="AP24">
        <f t="shared" si="7"/>
        <v>40.656989893910918</v>
      </c>
      <c r="AQ24">
        <f t="shared" si="8"/>
        <v>54.98414637232284</v>
      </c>
      <c r="AR24">
        <f t="shared" si="9"/>
        <v>1.3394198144369542</v>
      </c>
      <c r="AT24">
        <f t="shared" si="10"/>
        <v>96.980556080670709</v>
      </c>
      <c r="AW24">
        <f t="array" ref="AW24">MIN(100,MAX(0,M24-AC24*5+AI$7*(U24*AI$20+SUMPRODUCT($Y24:$AB24,TRANSPOSE(AI$21:AI$24)))))</f>
        <v>0</v>
      </c>
      <c r="AX24">
        <f t="array" ref="AX24">MIN(100,MAX(0,N24-AD24*5+AJ$7*(V24*AJ$20+SUMPRODUCT($Y24:$AB24,TRANSPOSE(AJ$21:AJ$24)))))</f>
        <v>38.561745395847737</v>
      </c>
      <c r="AY24">
        <f t="array" ref="AY24">MIN(100,MAX(0,O24-AE24*5+AK$7*(W24*AK$20+SUMPRODUCT($Y24:$AB24,TRANSPOSE(AK$21:AK$24)))))</f>
        <v>54.98414637232284</v>
      </c>
      <c r="AZ24">
        <f t="array" ref="AZ24">MIN(100,MAX(0,P24+AL$7*(X24*AL$20+SUMPRODUCT($Y24:$AB24,TRANSPOSE(AL$21:AL$24)))))</f>
        <v>1.3394198144369542</v>
      </c>
      <c r="BD24">
        <f t="shared" si="11"/>
        <v>0</v>
      </c>
      <c r="BE24">
        <f t="shared" si="12"/>
        <v>0</v>
      </c>
      <c r="BF24">
        <f t="shared" si="13"/>
        <v>1</v>
      </c>
      <c r="BG24">
        <f t="shared" si="14"/>
        <v>0</v>
      </c>
      <c r="BJ24">
        <f t="shared" si="15"/>
        <v>0</v>
      </c>
      <c r="BK24">
        <f t="shared" si="16"/>
        <v>0</v>
      </c>
      <c r="BL24">
        <f t="shared" si="17"/>
        <v>1</v>
      </c>
      <c r="BM24">
        <f t="shared" si="18"/>
        <v>0</v>
      </c>
    </row>
    <row r="25" spans="1:65">
      <c r="A25" t="s">
        <v>432</v>
      </c>
      <c r="B25" t="s">
        <v>50</v>
      </c>
      <c r="C25" t="s">
        <v>50</v>
      </c>
      <c r="D25">
        <v>13002</v>
      </c>
      <c r="E25">
        <v>13</v>
      </c>
      <c r="G25">
        <v>13002</v>
      </c>
      <c r="H25">
        <v>14425</v>
      </c>
      <c r="I25">
        <v>18507</v>
      </c>
      <c r="J25">
        <v>10655</v>
      </c>
      <c r="K25">
        <v>1896</v>
      </c>
      <c r="L25">
        <v>45484</v>
      </c>
      <c r="M25" s="2">
        <f t="shared" si="1"/>
        <v>31.714449037024007</v>
      </c>
      <c r="N25" s="2">
        <f t="shared" si="2"/>
        <v>40.689033506287927</v>
      </c>
      <c r="O25" s="2">
        <f t="shared" si="3"/>
        <v>23.425820068595552</v>
      </c>
      <c r="P25" s="2">
        <f t="shared" si="4"/>
        <v>4.1684988127693261</v>
      </c>
      <c r="Q25">
        <v>37.9</v>
      </c>
      <c r="R25">
        <v>29.3</v>
      </c>
      <c r="S25">
        <v>29.5</v>
      </c>
      <c r="T25">
        <v>3</v>
      </c>
      <c r="U25">
        <f t="shared" si="5"/>
        <v>0</v>
      </c>
      <c r="V25">
        <f t="shared" si="19"/>
        <v>1</v>
      </c>
      <c r="W25">
        <f t="shared" si="20"/>
        <v>0</v>
      </c>
      <c r="X25">
        <f t="shared" si="21"/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O25">
        <f t="shared" si="6"/>
        <v>14.264347746184484</v>
      </c>
      <c r="AP25">
        <f t="shared" si="7"/>
        <v>64.938229539316268</v>
      </c>
      <c r="AQ25">
        <f t="shared" si="8"/>
        <v>14.331903811507772</v>
      </c>
      <c r="AR25">
        <f t="shared" si="9"/>
        <v>5.4417457666175553</v>
      </c>
      <c r="AT25">
        <f t="shared" si="10"/>
        <v>98.976226863626081</v>
      </c>
      <c r="AW25">
        <f t="array" ref="AW25">MIN(100,MAX(0,M25-AC25*5+AI$7*(U25*AI$20+SUMPRODUCT($Y25:$AB25,TRANSPOSE(AI$21:AI$24)))))</f>
        <v>14.264347746184484</v>
      </c>
      <c r="AX25">
        <f t="array" ref="AX25">MIN(100,MAX(0,N25-AD25*5+AJ$7*(V25*AJ$20+SUMPRODUCT($Y25:$AB25,TRANSPOSE(AJ$21:AJ$24)))))</f>
        <v>64.938229539316268</v>
      </c>
      <c r="AY25">
        <f t="array" ref="AY25">MIN(100,MAX(0,O25-AE25*5+AK$7*(W25*AK$20+SUMPRODUCT($Y25:$AB25,TRANSPOSE(AK$21:AK$24)))))</f>
        <v>14.331903811507772</v>
      </c>
      <c r="AZ25">
        <f t="array" ref="AZ25">MIN(100,MAX(0,P25+AL$7*(X25*AL$20+SUMPRODUCT($Y25:$AB25,TRANSPOSE(AL$21:AL$24)))))</f>
        <v>5.4417457666175553</v>
      </c>
      <c r="BD25">
        <f t="shared" si="11"/>
        <v>0</v>
      </c>
      <c r="BE25">
        <f t="shared" si="12"/>
        <v>1</v>
      </c>
      <c r="BF25">
        <f t="shared" si="13"/>
        <v>0</v>
      </c>
      <c r="BG25">
        <f t="shared" si="14"/>
        <v>0</v>
      </c>
      <c r="BJ25">
        <f t="shared" si="15"/>
        <v>0</v>
      </c>
      <c r="BK25">
        <f t="shared" si="16"/>
        <v>1</v>
      </c>
      <c r="BL25">
        <f t="shared" si="17"/>
        <v>0</v>
      </c>
      <c r="BM25">
        <f t="shared" si="18"/>
        <v>1</v>
      </c>
    </row>
    <row r="26" spans="1:65">
      <c r="A26" t="s">
        <v>432</v>
      </c>
      <c r="B26" t="s">
        <v>51</v>
      </c>
      <c r="C26" t="s">
        <v>51</v>
      </c>
      <c r="D26">
        <v>13003</v>
      </c>
      <c r="E26">
        <v>13</v>
      </c>
      <c r="G26">
        <v>13003</v>
      </c>
      <c r="H26">
        <v>18213</v>
      </c>
      <c r="I26">
        <v>9314</v>
      </c>
      <c r="J26">
        <v>9423</v>
      </c>
      <c r="K26">
        <v>1609</v>
      </c>
      <c r="L26">
        <v>38772</v>
      </c>
      <c r="M26" s="2">
        <f t="shared" si="1"/>
        <v>46.974620860414731</v>
      </c>
      <c r="N26" s="2">
        <f t="shared" si="2"/>
        <v>24.022490457030845</v>
      </c>
      <c r="O26" s="2">
        <f t="shared" si="3"/>
        <v>24.303621169916433</v>
      </c>
      <c r="P26" s="2">
        <f t="shared" si="4"/>
        <v>4.149901991127618</v>
      </c>
      <c r="Q26">
        <v>37.9</v>
      </c>
      <c r="R26">
        <v>29.3</v>
      </c>
      <c r="S26">
        <v>29.5</v>
      </c>
      <c r="T26">
        <v>3</v>
      </c>
      <c r="U26">
        <f t="shared" si="5"/>
        <v>1</v>
      </c>
      <c r="V26">
        <f t="shared" si="19"/>
        <v>0</v>
      </c>
      <c r="W26">
        <f t="shared" si="20"/>
        <v>0</v>
      </c>
      <c r="X26">
        <f t="shared" si="21"/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O26">
        <f t="shared" si="6"/>
        <v>27.587401686834166</v>
      </c>
      <c r="AP26">
        <f t="shared" si="7"/>
        <v>49.009481936467559</v>
      </c>
      <c r="AQ26">
        <f t="shared" si="8"/>
        <v>15.209704912828652</v>
      </c>
      <c r="AR26">
        <f t="shared" si="9"/>
        <v>5.4231489449758472</v>
      </c>
      <c r="AT26">
        <f t="shared" si="10"/>
        <v>97.229737481106227</v>
      </c>
      <c r="AW26">
        <f t="array" ref="AW26">MIN(100,MAX(0,M26-AC26*5+AI$7*(U26*AI$20+SUMPRODUCT($Y26:$AB26,TRANSPOSE(AI$21:AI$24)))))</f>
        <v>29.524519569575208</v>
      </c>
      <c r="AX26">
        <f t="array" ref="AX26">MIN(100,MAX(0,N26-AD26*5+AJ$7*(V26*AJ$20+SUMPRODUCT($Y26:$AB26,TRANSPOSE(AJ$21:AJ$24)))))</f>
        <v>48.271686490059189</v>
      </c>
      <c r="AY26">
        <f t="array" ref="AY26">MIN(100,MAX(0,O26-AE26*5+AK$7*(W26*AK$20+SUMPRODUCT($Y26:$AB26,TRANSPOSE(AK$21:AK$24)))))</f>
        <v>15.209704912828652</v>
      </c>
      <c r="AZ26">
        <f t="array" ref="AZ26">MIN(100,MAX(0,P26+AL$7*(X26*AL$20+SUMPRODUCT($Y26:$AB26,TRANSPOSE(AL$21:AL$24)))))</f>
        <v>5.4231489449758472</v>
      </c>
      <c r="BD26">
        <f t="shared" si="11"/>
        <v>0</v>
      </c>
      <c r="BE26">
        <f t="shared" si="12"/>
        <v>1</v>
      </c>
      <c r="BF26">
        <f t="shared" si="13"/>
        <v>0</v>
      </c>
      <c r="BG26">
        <f t="shared" si="14"/>
        <v>0</v>
      </c>
      <c r="BJ26">
        <f t="shared" si="15"/>
        <v>1</v>
      </c>
      <c r="BK26">
        <f t="shared" si="16"/>
        <v>0</v>
      </c>
      <c r="BL26">
        <f t="shared" si="17"/>
        <v>0</v>
      </c>
      <c r="BM26">
        <f t="shared" si="18"/>
        <v>1</v>
      </c>
    </row>
    <row r="27" spans="1:65">
      <c r="A27" t="s">
        <v>432</v>
      </c>
      <c r="B27" t="s">
        <v>52</v>
      </c>
      <c r="C27" t="s">
        <v>52</v>
      </c>
      <c r="D27">
        <v>13004</v>
      </c>
      <c r="E27">
        <v>13</v>
      </c>
      <c r="G27">
        <v>13004</v>
      </c>
      <c r="H27">
        <v>22821</v>
      </c>
      <c r="I27">
        <v>4109</v>
      </c>
      <c r="J27">
        <v>10578</v>
      </c>
      <c r="K27">
        <v>1859</v>
      </c>
      <c r="L27">
        <v>39374</v>
      </c>
      <c r="M27" s="2">
        <f t="shared" si="1"/>
        <v>57.959567227104181</v>
      </c>
      <c r="N27" s="2">
        <f t="shared" si="2"/>
        <v>10.43582059226901</v>
      </c>
      <c r="O27" s="2">
        <f t="shared" si="3"/>
        <v>26.865444201757505</v>
      </c>
      <c r="P27" s="2">
        <f t="shared" si="4"/>
        <v>4.7213897495809416</v>
      </c>
      <c r="Q27">
        <v>37.9</v>
      </c>
      <c r="R27">
        <v>29.3</v>
      </c>
      <c r="S27">
        <v>29.5</v>
      </c>
      <c r="T27">
        <v>3</v>
      </c>
      <c r="U27">
        <f t="shared" si="5"/>
        <v>1</v>
      </c>
      <c r="V27">
        <f t="shared" si="19"/>
        <v>0</v>
      </c>
      <c r="W27">
        <f t="shared" si="20"/>
        <v>0</v>
      </c>
      <c r="X27">
        <f t="shared" si="21"/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H27">
        <v>2015</v>
      </c>
      <c r="AO27">
        <f t="shared" si="6"/>
        <v>36.227441707001844</v>
      </c>
      <c r="AP27">
        <f t="shared" si="7"/>
        <v>37.32222752068953</v>
      </c>
      <c r="AQ27">
        <f t="shared" si="8"/>
        <v>17.771527944669725</v>
      </c>
      <c r="AR27">
        <f t="shared" si="9"/>
        <v>5.9946367034291708</v>
      </c>
      <c r="AT27">
        <f t="shared" si="10"/>
        <v>97.315833875790261</v>
      </c>
      <c r="AW27">
        <f t="array" ref="AW27">MIN(100,MAX(0,M27-AC27*5+AI$7*(U27*AI$20+SUMPRODUCT($Y27:$AB27,TRANSPOSE(AI$21:AI$24)))))</f>
        <v>40.509465936264661</v>
      </c>
      <c r="AX27">
        <f t="array" ref="AX27">MIN(100,MAX(0,N27-AD27*5+AJ$7*(V27*AJ$20+SUMPRODUCT($Y27:$AB27,TRANSPOSE(AJ$21:AJ$24)))))</f>
        <v>34.685016625297351</v>
      </c>
      <c r="AY27">
        <f t="array" ref="AY27">MIN(100,MAX(0,O27-AE27*5+AK$7*(W27*AK$20+SUMPRODUCT($Y27:$AB27,TRANSPOSE(AK$21:AK$24)))))</f>
        <v>17.771527944669725</v>
      </c>
      <c r="AZ27">
        <f t="array" ref="AZ27">MIN(100,MAX(0,P27+AL$7*(X27*AL$20+SUMPRODUCT($Y27:$AB27,TRANSPOSE(AL$21:AL$24)))))</f>
        <v>5.9946367034291708</v>
      </c>
      <c r="BD27">
        <f t="shared" si="11"/>
        <v>0</v>
      </c>
      <c r="BE27">
        <f t="shared" si="12"/>
        <v>1</v>
      </c>
      <c r="BF27">
        <f t="shared" si="13"/>
        <v>0</v>
      </c>
      <c r="BG27">
        <f t="shared" si="14"/>
        <v>0</v>
      </c>
      <c r="BJ27">
        <f t="shared" si="15"/>
        <v>1</v>
      </c>
      <c r="BK27">
        <f t="shared" si="16"/>
        <v>0</v>
      </c>
      <c r="BL27">
        <f t="shared" si="17"/>
        <v>0</v>
      </c>
      <c r="BM27">
        <f t="shared" si="18"/>
        <v>1</v>
      </c>
    </row>
    <row r="28" spans="1:65">
      <c r="A28" t="s">
        <v>432</v>
      </c>
      <c r="B28" t="s">
        <v>53</v>
      </c>
      <c r="C28" t="s">
        <v>434</v>
      </c>
      <c r="D28">
        <v>13005</v>
      </c>
      <c r="E28">
        <v>13</v>
      </c>
      <c r="G28">
        <v>13005</v>
      </c>
      <c r="H28">
        <v>14541</v>
      </c>
      <c r="I28">
        <v>12497</v>
      </c>
      <c r="J28">
        <v>6948</v>
      </c>
      <c r="K28">
        <v>646</v>
      </c>
      <c r="L28">
        <v>35923</v>
      </c>
      <c r="M28" s="2">
        <f t="shared" si="1"/>
        <v>40.478245135428551</v>
      </c>
      <c r="N28" s="2">
        <f t="shared" si="2"/>
        <v>34.788297191214539</v>
      </c>
      <c r="O28" s="2">
        <f t="shared" si="3"/>
        <v>19.341369039334129</v>
      </c>
      <c r="P28" s="2">
        <f t="shared" si="4"/>
        <v>1.7982907886312391</v>
      </c>
      <c r="Q28">
        <v>37.9</v>
      </c>
      <c r="R28">
        <v>29.3</v>
      </c>
      <c r="S28">
        <v>29.5</v>
      </c>
      <c r="T28">
        <v>3</v>
      </c>
      <c r="U28">
        <f t="shared" si="5"/>
        <v>1</v>
      </c>
      <c r="V28">
        <f t="shared" si="19"/>
        <v>0</v>
      </c>
      <c r="W28">
        <f t="shared" si="20"/>
        <v>0</v>
      </c>
      <c r="X28">
        <f t="shared" si="21"/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H28" t="s">
        <v>395</v>
      </c>
      <c r="AI28" s="5">
        <f>SUMPRODUCT($Y$2:$Y$33,AO$2:AO$33)/SUM($Y$2:$Y$33)</f>
        <v>11.248481362485673</v>
      </c>
      <c r="AJ28" s="5">
        <f t="shared" ref="AJ28:AL28" si="22">SUMPRODUCT($Y$2:$Y$33,AP$2:AP$33)/SUM($Y$2:$Y$33)</f>
        <v>62.872410719304881</v>
      </c>
      <c r="AK28" s="5">
        <f t="shared" si="22"/>
        <v>20.109150071774057</v>
      </c>
      <c r="AL28" s="5">
        <f t="shared" si="22"/>
        <v>1.8447932788202106</v>
      </c>
      <c r="AO28">
        <f t="shared" si="6"/>
        <v>22.477777627118154</v>
      </c>
      <c r="AP28">
        <f t="shared" si="7"/>
        <v>59.03749322424288</v>
      </c>
      <c r="AQ28">
        <f t="shared" si="8"/>
        <v>10.247452782246349</v>
      </c>
      <c r="AR28">
        <f t="shared" si="9"/>
        <v>3.0715377424794683</v>
      </c>
      <c r="AT28">
        <f t="shared" si="10"/>
        <v>94.834261376086843</v>
      </c>
      <c r="AW28">
        <f t="array" ref="AW28">MIN(100,MAX(0,M28-AC28*5+AI$7*(U28*AI$20+SUMPRODUCT($Y28:$AB28,TRANSPOSE(AI$21:AI$24)))))</f>
        <v>23.028143844589028</v>
      </c>
      <c r="AX28">
        <f t="array" ref="AX28">MIN(100,MAX(0,N28-AD28*5+AJ$7*(V28*AJ$20+SUMPRODUCT($Y28:$AB28,TRANSPOSE(AJ$21:AJ$24)))))</f>
        <v>59.03749322424288</v>
      </c>
      <c r="AY28">
        <f t="array" ref="AY28">MIN(100,MAX(0,O28-AE28*5+AK$7*(W28*AK$20+SUMPRODUCT($Y28:$AB28,TRANSPOSE(AK$21:AK$24)))))</f>
        <v>10.247452782246349</v>
      </c>
      <c r="AZ28">
        <f t="array" ref="AZ28">MIN(100,MAX(0,P28+AL$7*(X28*AL$20+SUMPRODUCT($Y28:$AB28,TRANSPOSE(AL$21:AL$24)))))</f>
        <v>3.0715377424794683</v>
      </c>
      <c r="BD28">
        <f t="shared" si="11"/>
        <v>0</v>
      </c>
      <c r="BE28">
        <f t="shared" si="12"/>
        <v>1</v>
      </c>
      <c r="BF28">
        <f t="shared" si="13"/>
        <v>0</v>
      </c>
      <c r="BG28">
        <f t="shared" si="14"/>
        <v>0</v>
      </c>
      <c r="BJ28">
        <f t="shared" si="15"/>
        <v>1</v>
      </c>
      <c r="BK28">
        <f t="shared" si="16"/>
        <v>1</v>
      </c>
      <c r="BL28">
        <f t="shared" si="17"/>
        <v>0</v>
      </c>
      <c r="BM28">
        <f t="shared" si="18"/>
        <v>0</v>
      </c>
    </row>
    <row r="29" spans="1:65">
      <c r="A29" t="s">
        <v>432</v>
      </c>
      <c r="B29" t="s">
        <v>54</v>
      </c>
      <c r="C29" t="s">
        <v>435</v>
      </c>
      <c r="D29">
        <v>13006</v>
      </c>
      <c r="E29">
        <v>13</v>
      </c>
      <c r="G29">
        <v>13006</v>
      </c>
      <c r="H29">
        <v>18352</v>
      </c>
      <c r="I29">
        <v>7373</v>
      </c>
      <c r="J29">
        <v>7888</v>
      </c>
      <c r="K29">
        <v>850</v>
      </c>
      <c r="L29">
        <v>34503</v>
      </c>
      <c r="M29" s="2">
        <f t="shared" si="1"/>
        <v>53.189577717879601</v>
      </c>
      <c r="N29" s="2">
        <f t="shared" si="2"/>
        <v>21.369156305248818</v>
      </c>
      <c r="O29" s="2">
        <f t="shared" si="3"/>
        <v>22.861780135060719</v>
      </c>
      <c r="P29" s="2">
        <f t="shared" si="4"/>
        <v>2.4635538938643018</v>
      </c>
      <c r="Q29">
        <v>37.9</v>
      </c>
      <c r="R29">
        <v>29.3</v>
      </c>
      <c r="S29">
        <v>29.5</v>
      </c>
      <c r="T29">
        <v>3</v>
      </c>
      <c r="U29">
        <f t="shared" si="5"/>
        <v>1</v>
      </c>
      <c r="V29">
        <f t="shared" si="19"/>
        <v>0</v>
      </c>
      <c r="W29">
        <f t="shared" si="20"/>
        <v>0</v>
      </c>
      <c r="X29">
        <f t="shared" si="21"/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H29" t="s">
        <v>396</v>
      </c>
      <c r="AI29" s="5">
        <f>SUMPRODUCT($Z$2:$Z$33,AO$2:AO$33)/SUM($Z$2:$Z$33)</f>
        <v>22.771612766084445</v>
      </c>
      <c r="AJ29" s="5">
        <f t="shared" ref="AJ29:AL29" si="23">SUMPRODUCT($Z$2:$Z$33,AP$2:AP$33)/SUM($Z$2:$Z$33)</f>
        <v>64.955034683572592</v>
      </c>
      <c r="AK29" s="5">
        <f t="shared" si="23"/>
        <v>6.4876516224240284</v>
      </c>
      <c r="AL29" s="5">
        <f t="shared" si="23"/>
        <v>3.6637762736708805</v>
      </c>
      <c r="AO29">
        <f t="shared" si="6"/>
        <v>32.475680079794117</v>
      </c>
      <c r="AP29">
        <f t="shared" si="7"/>
        <v>46.727083704184267</v>
      </c>
      <c r="AQ29">
        <f t="shared" si="8"/>
        <v>13.767863877972939</v>
      </c>
      <c r="AR29">
        <f t="shared" si="9"/>
        <v>3.736800847712531</v>
      </c>
      <c r="AT29">
        <f t="shared" si="10"/>
        <v>96.707428509663856</v>
      </c>
      <c r="AW29">
        <f t="array" ref="AW29">MIN(100,MAX(0,M29-AC29*5+AI$7*(U29*AI$20+SUMPRODUCT($Y29:$AB29,TRANSPOSE(AI$21:AI$24)))))</f>
        <v>35.739476427040074</v>
      </c>
      <c r="AX29">
        <f t="array" ref="AX29">MIN(100,MAX(0,N29-AD29*5+AJ$7*(V29*AJ$20+SUMPRODUCT($Y29:$AB29,TRANSPOSE(AJ$21:AJ$24)))))</f>
        <v>45.618352338277163</v>
      </c>
      <c r="AY29">
        <f t="array" ref="AY29">MIN(100,MAX(0,O29-AE29*5+AK$7*(W29*AK$20+SUMPRODUCT($Y29:$AB29,TRANSPOSE(AK$21:AK$24)))))</f>
        <v>13.767863877972939</v>
      </c>
      <c r="AZ29">
        <f t="array" ref="AZ29">MIN(100,MAX(0,P29+AL$7*(X29*AL$20+SUMPRODUCT($Y29:$AB29,TRANSPOSE(AL$21:AL$24)))))</f>
        <v>3.736800847712531</v>
      </c>
      <c r="BD29">
        <f t="shared" si="11"/>
        <v>0</v>
      </c>
      <c r="BE29">
        <f t="shared" si="12"/>
        <v>1</v>
      </c>
      <c r="BF29">
        <f t="shared" si="13"/>
        <v>0</v>
      </c>
      <c r="BG29">
        <f t="shared" si="14"/>
        <v>0</v>
      </c>
      <c r="BJ29">
        <f t="shared" si="15"/>
        <v>1</v>
      </c>
      <c r="BK29">
        <f t="shared" si="16"/>
        <v>0</v>
      </c>
      <c r="BL29">
        <f t="shared" si="17"/>
        <v>0</v>
      </c>
      <c r="BM29">
        <f t="shared" si="18"/>
        <v>0</v>
      </c>
    </row>
    <row r="30" spans="1:65">
      <c r="A30" t="s">
        <v>432</v>
      </c>
      <c r="B30" t="s">
        <v>55</v>
      </c>
      <c r="C30" t="s">
        <v>436</v>
      </c>
      <c r="D30">
        <v>13007</v>
      </c>
      <c r="E30">
        <v>13</v>
      </c>
      <c r="G30">
        <v>13007</v>
      </c>
      <c r="H30">
        <v>16327</v>
      </c>
      <c r="I30">
        <v>13547</v>
      </c>
      <c r="J30">
        <v>12637</v>
      </c>
      <c r="K30">
        <v>1899</v>
      </c>
      <c r="L30">
        <v>44410</v>
      </c>
      <c r="M30" s="2">
        <f t="shared" si="1"/>
        <v>36.764242287773023</v>
      </c>
      <c r="N30" s="2">
        <f t="shared" si="2"/>
        <v>30.504390902949787</v>
      </c>
      <c r="O30" s="2">
        <f t="shared" si="3"/>
        <v>28.45530285971628</v>
      </c>
      <c r="P30" s="2">
        <f t="shared" si="4"/>
        <v>4.2760639495609096</v>
      </c>
      <c r="Q30">
        <v>37.9</v>
      </c>
      <c r="R30">
        <v>29.3</v>
      </c>
      <c r="S30">
        <v>29.5</v>
      </c>
      <c r="T30">
        <v>3</v>
      </c>
      <c r="U30">
        <f t="shared" si="5"/>
        <v>1</v>
      </c>
      <c r="V30">
        <f t="shared" si="19"/>
        <v>0</v>
      </c>
      <c r="W30">
        <f t="shared" si="20"/>
        <v>0</v>
      </c>
      <c r="X30">
        <f t="shared" si="21"/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H30" t="s">
        <v>397</v>
      </c>
      <c r="AI30" s="5">
        <f>SUMPRODUCT($AA$2:$AA$33,AO$2:AO$33)/SUM($AA$2:$AA$33)</f>
        <v>17.998389132001282</v>
      </c>
      <c r="AJ30" s="5">
        <f t="shared" ref="AJ30:AL30" si="24">SUMPRODUCT($AA$2:$AA$33,AP$2:AP$33)/SUM($AA$2:$AA$33)</f>
        <v>54.644881655444436</v>
      </c>
      <c r="AK30" s="5">
        <f t="shared" si="24"/>
        <v>20.120485378650894</v>
      </c>
      <c r="AL30" s="5">
        <f t="shared" si="24"/>
        <v>5.2179289220219891</v>
      </c>
      <c r="AO30">
        <f t="shared" si="6"/>
        <v>19.314140996933499</v>
      </c>
      <c r="AP30">
        <f t="shared" si="7"/>
        <v>54.753586935978134</v>
      </c>
      <c r="AQ30">
        <f t="shared" si="8"/>
        <v>19.3613866026285</v>
      </c>
      <c r="AR30">
        <f t="shared" si="9"/>
        <v>5.5493109034091388</v>
      </c>
      <c r="AT30">
        <f t="shared" si="10"/>
        <v>98.978425438949273</v>
      </c>
      <c r="AW30">
        <f t="array" ref="AW30">MIN(100,MAX(0,M30-AC30*5+AI$7*(U30*AI$20+SUMPRODUCT($Y30:$AB30,TRANSPOSE(AI$21:AI$24)))))</f>
        <v>19.314140996933499</v>
      </c>
      <c r="AX30">
        <f t="array" ref="AX30">MIN(100,MAX(0,N30-AD30*5+AJ$7*(V30*AJ$20+SUMPRODUCT($Y30:$AB30,TRANSPOSE(AJ$21:AJ$24)))))</f>
        <v>54.753586935978134</v>
      </c>
      <c r="AY30">
        <f t="array" ref="AY30">MIN(100,MAX(0,O30-AE30*5+AK$7*(W30*AK$20+SUMPRODUCT($Y30:$AB30,TRANSPOSE(AK$21:AK$24)))))</f>
        <v>19.3613866026285</v>
      </c>
      <c r="AZ30">
        <f t="array" ref="AZ30">MIN(100,MAX(0,P30+AL$7*(X30*AL$20+SUMPRODUCT($Y30:$AB30,TRANSPOSE(AL$21:AL$24)))))</f>
        <v>5.5493109034091388</v>
      </c>
      <c r="BD30">
        <f t="shared" si="11"/>
        <v>0</v>
      </c>
      <c r="BE30">
        <f t="shared" si="12"/>
        <v>1</v>
      </c>
      <c r="BF30">
        <f t="shared" si="13"/>
        <v>0</v>
      </c>
      <c r="BG30">
        <f t="shared" si="14"/>
        <v>0</v>
      </c>
      <c r="BJ30">
        <f t="shared" si="15"/>
        <v>0</v>
      </c>
      <c r="BK30">
        <f t="shared" si="16"/>
        <v>1</v>
      </c>
      <c r="BL30">
        <f t="shared" si="17"/>
        <v>0</v>
      </c>
      <c r="BM30">
        <f t="shared" si="18"/>
        <v>1</v>
      </c>
    </row>
    <row r="31" spans="1:65">
      <c r="A31" t="s">
        <v>432</v>
      </c>
      <c r="B31" t="s">
        <v>56</v>
      </c>
      <c r="C31" t="s">
        <v>56</v>
      </c>
      <c r="D31">
        <v>13008</v>
      </c>
      <c r="E31">
        <v>13</v>
      </c>
      <c r="G31">
        <v>13008</v>
      </c>
      <c r="H31">
        <v>18701</v>
      </c>
      <c r="I31">
        <v>4476</v>
      </c>
      <c r="J31">
        <v>7693</v>
      </c>
      <c r="K31">
        <v>1682</v>
      </c>
      <c r="L31">
        <v>33007</v>
      </c>
      <c r="M31" s="2">
        <f t="shared" si="1"/>
        <v>56.657678674220627</v>
      </c>
      <c r="N31" s="2">
        <f t="shared" si="2"/>
        <v>13.560759838822067</v>
      </c>
      <c r="O31" s="2">
        <f t="shared" si="3"/>
        <v>23.307177265428543</v>
      </c>
      <c r="P31" s="2">
        <f t="shared" si="4"/>
        <v>5.095888750871028</v>
      </c>
      <c r="Q31">
        <v>37.9</v>
      </c>
      <c r="R31">
        <v>29.3</v>
      </c>
      <c r="S31">
        <v>29.5</v>
      </c>
      <c r="T31">
        <v>3</v>
      </c>
      <c r="U31">
        <f t="shared" si="5"/>
        <v>1</v>
      </c>
      <c r="V31">
        <f t="shared" si="19"/>
        <v>0</v>
      </c>
      <c r="W31">
        <f t="shared" si="20"/>
        <v>0</v>
      </c>
      <c r="X31">
        <f t="shared" si="21"/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H31" t="s">
        <v>398</v>
      </c>
      <c r="AI31" s="5">
        <f>SUMPRODUCT($AB$2:$AB$33,AO$2:AO$33)/SUM($AB$2:$AB$33)</f>
        <v>25.562983760188768</v>
      </c>
      <c r="AJ31" s="5">
        <f t="shared" ref="AJ31:AL31" si="25">SUMPRODUCT($AB$2:$AB$33,AP$2:AP$33)/SUM($AB$2:$AB$33)</f>
        <v>47.685715019671868</v>
      </c>
      <c r="AK31" s="5">
        <f t="shared" si="25"/>
        <v>18.756759619078618</v>
      </c>
      <c r="AL31" s="5">
        <f t="shared" si="25"/>
        <v>4.4706165286860955</v>
      </c>
      <c r="AO31">
        <f t="shared" si="6"/>
        <v>35.203461359421688</v>
      </c>
      <c r="AP31">
        <f t="shared" si="7"/>
        <v>40.010300490140132</v>
      </c>
      <c r="AQ31">
        <f t="shared" si="8"/>
        <v>14.213261008340762</v>
      </c>
      <c r="AR31">
        <f t="shared" si="9"/>
        <v>6.3691357047192572</v>
      </c>
      <c r="AT31">
        <f t="shared" si="10"/>
        <v>95.796158562621841</v>
      </c>
      <c r="AW31">
        <f t="array" ref="AW31">MIN(100,MAX(0,M31-AC31*5+AI$7*(U31*AI$20+SUMPRODUCT($Y31:$AB31,TRANSPOSE(AI$21:AI$24)))))</f>
        <v>39.207577383381107</v>
      </c>
      <c r="AX31">
        <f t="array" ref="AX31">MIN(100,MAX(0,N31-AD31*5+AJ$7*(V31*AJ$20+SUMPRODUCT($Y31:$AB31,TRANSPOSE(AJ$21:AJ$24)))))</f>
        <v>37.809955871850413</v>
      </c>
      <c r="AY31">
        <f t="array" ref="AY31">MIN(100,MAX(0,O31-AE31*5+AK$7*(W31*AK$20+SUMPRODUCT($Y31:$AB31,TRANSPOSE(AK$21:AK$24)))))</f>
        <v>14.213261008340762</v>
      </c>
      <c r="AZ31">
        <f t="array" ref="AZ31">MIN(100,MAX(0,P31+AL$7*(X31*AL$20+SUMPRODUCT($Y31:$AB31,TRANSPOSE(AL$21:AL$24)))))</f>
        <v>6.3691357047192572</v>
      </c>
      <c r="BD31">
        <f t="shared" si="11"/>
        <v>0</v>
      </c>
      <c r="BE31">
        <f t="shared" si="12"/>
        <v>1</v>
      </c>
      <c r="BF31">
        <f t="shared" si="13"/>
        <v>0</v>
      </c>
      <c r="BG31">
        <f t="shared" si="14"/>
        <v>0</v>
      </c>
      <c r="BJ31">
        <f t="shared" si="15"/>
        <v>1</v>
      </c>
      <c r="BK31">
        <f t="shared" si="16"/>
        <v>0</v>
      </c>
      <c r="BL31">
        <f t="shared" si="17"/>
        <v>0</v>
      </c>
      <c r="BM31">
        <f t="shared" si="18"/>
        <v>1</v>
      </c>
    </row>
    <row r="32" spans="1:65">
      <c r="A32" t="s">
        <v>432</v>
      </c>
      <c r="B32" t="s">
        <v>57</v>
      </c>
      <c r="C32" t="s">
        <v>437</v>
      </c>
      <c r="D32">
        <v>13009</v>
      </c>
      <c r="E32">
        <v>13</v>
      </c>
      <c r="G32">
        <v>13009</v>
      </c>
      <c r="H32">
        <v>17881</v>
      </c>
      <c r="I32">
        <v>5750</v>
      </c>
      <c r="J32">
        <v>11052</v>
      </c>
      <c r="K32">
        <v>992</v>
      </c>
      <c r="L32">
        <v>35964</v>
      </c>
      <c r="M32" s="2">
        <f t="shared" si="1"/>
        <v>49.719163608052497</v>
      </c>
      <c r="N32" s="2">
        <f t="shared" si="2"/>
        <v>15.988210432654876</v>
      </c>
      <c r="O32" s="2">
        <f t="shared" si="3"/>
        <v>30.73073073073073</v>
      </c>
      <c r="P32" s="2">
        <f t="shared" si="4"/>
        <v>2.7583138694249807</v>
      </c>
      <c r="Q32">
        <v>37.9</v>
      </c>
      <c r="R32">
        <v>29.3</v>
      </c>
      <c r="S32">
        <v>29.5</v>
      </c>
      <c r="T32">
        <v>3</v>
      </c>
      <c r="U32">
        <f t="shared" si="5"/>
        <v>1</v>
      </c>
      <c r="V32">
        <f t="shared" si="19"/>
        <v>0</v>
      </c>
      <c r="W32">
        <f t="shared" si="20"/>
        <v>0</v>
      </c>
      <c r="X32">
        <f t="shared" si="21"/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O32">
        <f t="shared" si="6"/>
        <v>32.498950405073202</v>
      </c>
      <c r="AP32">
        <f t="shared" si="7"/>
        <v>42.098393669281556</v>
      </c>
      <c r="AQ32">
        <f t="shared" si="8"/>
        <v>17.63681447364295</v>
      </c>
      <c r="AR32">
        <f t="shared" si="9"/>
        <v>4.0315608232732103</v>
      </c>
      <c r="AT32">
        <f t="shared" si="10"/>
        <v>96.265719371270919</v>
      </c>
      <c r="AW32" s="54">
        <f t="array" ref="AW32">MIN(100,MAX(0,M32+3.5-AC32*5+AI$7*(U32*AI$20+SUMPRODUCT($Y32:$AB32,TRANSPOSE(AI$21:AI$24)))))</f>
        <v>35.76906231721297</v>
      </c>
      <c r="AX32">
        <f t="array" ref="AX32">MIN(100,MAX(0,N32-AD32*5+AJ$7*(V32*AJ$20+SUMPRODUCT($Y32:$AB32,TRANSPOSE(AJ$21:AJ$24)))))</f>
        <v>40.237406465683222</v>
      </c>
      <c r="AY32" s="54">
        <f t="array" ref="AY32">MIN(100,MAX(0,O32-4-AE32*5+AK$7*(W32*AK$20+SUMPRODUCT($Y32:$AB32,TRANSPOSE(AK$21:AK$24)))))</f>
        <v>17.63681447364295</v>
      </c>
      <c r="AZ32">
        <f t="array" ref="AZ32">MIN(100,MAX(0,P32+AL$7*(X32*AL$20+SUMPRODUCT($Y32:$AB32,TRANSPOSE(AL$21:AL$24)))))</f>
        <v>4.0315608232732103</v>
      </c>
      <c r="BD32">
        <f t="shared" si="11"/>
        <v>0</v>
      </c>
      <c r="BE32">
        <f t="shared" si="12"/>
        <v>1</v>
      </c>
      <c r="BF32">
        <f t="shared" si="13"/>
        <v>0</v>
      </c>
      <c r="BG32">
        <f t="shared" si="14"/>
        <v>0</v>
      </c>
      <c r="BJ32">
        <f t="shared" si="15"/>
        <v>1</v>
      </c>
      <c r="BK32">
        <f t="shared" si="16"/>
        <v>0</v>
      </c>
      <c r="BL32">
        <f t="shared" si="17"/>
        <v>0</v>
      </c>
      <c r="BM32">
        <f t="shared" si="18"/>
        <v>0</v>
      </c>
    </row>
    <row r="33" spans="1:65">
      <c r="A33" t="s">
        <v>432</v>
      </c>
      <c r="B33" t="s">
        <v>58</v>
      </c>
      <c r="C33" t="s">
        <v>438</v>
      </c>
      <c r="D33">
        <v>13010</v>
      </c>
      <c r="E33">
        <v>13</v>
      </c>
      <c r="G33">
        <v>13010</v>
      </c>
      <c r="H33">
        <v>21410</v>
      </c>
      <c r="I33">
        <v>5591</v>
      </c>
      <c r="J33">
        <v>6594</v>
      </c>
      <c r="K33">
        <v>853</v>
      </c>
      <c r="L33">
        <v>34456</v>
      </c>
      <c r="M33" s="2">
        <f t="shared" si="1"/>
        <v>62.13721848154168</v>
      </c>
      <c r="N33" s="2">
        <f t="shared" si="2"/>
        <v>16.226491757603899</v>
      </c>
      <c r="O33" s="2">
        <f t="shared" si="3"/>
        <v>19.137450661713491</v>
      </c>
      <c r="P33" s="2">
        <f t="shared" si="4"/>
        <v>2.4756210819596007</v>
      </c>
      <c r="Q33">
        <v>37.9</v>
      </c>
      <c r="R33">
        <v>29.3</v>
      </c>
      <c r="S33">
        <v>29.5</v>
      </c>
      <c r="T33">
        <v>3</v>
      </c>
      <c r="U33" s="54">
        <v>0</v>
      </c>
      <c r="V33">
        <f t="shared" si="19"/>
        <v>0</v>
      </c>
      <c r="W33">
        <f t="shared" si="20"/>
        <v>0</v>
      </c>
      <c r="X33">
        <f t="shared" si="21"/>
        <v>0</v>
      </c>
      <c r="Y33">
        <v>0</v>
      </c>
      <c r="Z33">
        <v>0</v>
      </c>
      <c r="AA33">
        <v>0</v>
      </c>
      <c r="AB33">
        <v>1</v>
      </c>
      <c r="AC33" s="54">
        <v>1</v>
      </c>
      <c r="AD33">
        <v>0</v>
      </c>
      <c r="AE33">
        <v>0</v>
      </c>
      <c r="AO33">
        <f t="shared" si="6"/>
        <v>35.580635993526521</v>
      </c>
      <c r="AP33">
        <f t="shared" si="7"/>
        <v>42.303363282507426</v>
      </c>
      <c r="AQ33">
        <f t="shared" si="8"/>
        <v>10.04353440462571</v>
      </c>
      <c r="AR33">
        <f t="shared" si="9"/>
        <v>3.7488680358078299</v>
      </c>
      <c r="AT33">
        <f t="shared" si="10"/>
        <v>91.676401716467481</v>
      </c>
      <c r="AW33">
        <f t="array" ref="AW33">MIN(100,MAX(0,M33-AC33*5+AI$7*(U33*AI$20+SUMPRODUCT($Y33:$AB33,TRANSPOSE(AI$21:AI$24)))))</f>
        <v>39.687117190702153</v>
      </c>
      <c r="AX33">
        <f t="array" ref="AX33">MIN(100,MAX(0,N33-AD33*5+AJ$7*(V33*AJ$20+SUMPRODUCT($Y33:$AB33,TRANSPOSE(AJ$21:AJ$24)))))</f>
        <v>40.475687790632243</v>
      </c>
      <c r="AY33">
        <f t="array" ref="AY33">MIN(100,MAX(0,O33-AE33*5+AK$7*(W33*AK$20+SUMPRODUCT($Y33:$AB33,TRANSPOSE(AK$21:AK$24)))))</f>
        <v>10.04353440462571</v>
      </c>
      <c r="AZ33">
        <f t="array" ref="AZ33">MIN(100,MAX(0,P33+AL$7*(X33*AL$20+SUMPRODUCT($Y33:$AB33,TRANSPOSE(AL$21:AL$24)))))</f>
        <v>3.7488680358078299</v>
      </c>
      <c r="BD33">
        <f t="shared" si="11"/>
        <v>0</v>
      </c>
      <c r="BE33">
        <f t="shared" si="12"/>
        <v>1</v>
      </c>
      <c r="BF33">
        <f t="shared" si="13"/>
        <v>0</v>
      </c>
      <c r="BG33">
        <f t="shared" si="14"/>
        <v>0</v>
      </c>
      <c r="BJ33">
        <f t="shared" si="15"/>
        <v>1</v>
      </c>
      <c r="BK33">
        <f t="shared" si="16"/>
        <v>0</v>
      </c>
      <c r="BL33">
        <f t="shared" si="17"/>
        <v>0</v>
      </c>
      <c r="BM33">
        <f t="shared" si="18"/>
        <v>0</v>
      </c>
    </row>
    <row r="35" spans="1:65">
      <c r="AH35">
        <v>2011</v>
      </c>
      <c r="AO35" s="2">
        <f>AVERAGE(AO2:AO33)</f>
        <v>19.482435582988728</v>
      </c>
      <c r="AP35" s="2">
        <f>AVERAGE(AP2:AP33)</f>
        <v>55.558683193000988</v>
      </c>
      <c r="AQ35" s="2">
        <f>AVERAGE(AQ2:AQ33)</f>
        <v>17.987737260876894</v>
      </c>
      <c r="AR35" s="2">
        <f>AVERAGE(AR2:AR33)</f>
        <v>4.0522512961102448</v>
      </c>
      <c r="AS35" s="2"/>
      <c r="AW35" s="2">
        <f>AVERAGE(AW2:AW33)</f>
        <v>20.531031938120677</v>
      </c>
      <c r="AX35" s="2">
        <f>AVERAGE(AX2:AX33)</f>
        <v>54.837726485073723</v>
      </c>
      <c r="AY35" s="2">
        <f>AVERAGE(AY2:AY33)</f>
        <v>17.987737260876894</v>
      </c>
      <c r="AZ35" s="2">
        <f>AVERAGE(AZ2:AZ33)</f>
        <v>4.0522512961102448</v>
      </c>
      <c r="BA35" s="2"/>
      <c r="BB35" s="2"/>
      <c r="BC35" t="s">
        <v>405</v>
      </c>
      <c r="BD35">
        <f>SUM(BD2:BD33)</f>
        <v>0</v>
      </c>
      <c r="BE35">
        <f>SUM(BE2:BE33)</f>
        <v>29</v>
      </c>
      <c r="BF35">
        <f>SUM(BF2:BF33)</f>
        <v>3</v>
      </c>
      <c r="BG35">
        <f>SUM(BG2:BG33)</f>
        <v>0</v>
      </c>
    </row>
    <row r="36" spans="1:65">
      <c r="J36" t="s">
        <v>439</v>
      </c>
      <c r="AH36" t="s">
        <v>395</v>
      </c>
      <c r="AI36" s="5">
        <f>SUMPRODUCT($Y$2:$Y$33,H$2:H$33)/SUMPRODUCT($Y$2:$Y$33,$L$2:$L$33)</f>
        <v>0.28325265947657086</v>
      </c>
      <c r="AJ36" s="5">
        <f>SUMPRODUCT($Y$2:$Y$33,I$2:I$33)/SUMPRODUCT($Y$2:$Y$33,$L$2:$L$33)</f>
        <v>0.37887878676335257</v>
      </c>
      <c r="AK36" s="5">
        <f>SUMPRODUCT($Y$2:$Y$33,J$2:J$33)/SUMPRODUCT($Y$2:$Y$33,$L$2:$L$33)</f>
        <v>0.32607575367173408</v>
      </c>
      <c r="AL36" s="5">
        <f>SUMPRODUCT($Y$2:$Y$33,K$2:K$33)/SUMPRODUCT($Y$2:$Y$33,$L$2:$L$33)</f>
        <v>8.990687230831523E-3</v>
      </c>
    </row>
    <row r="37" spans="1:65">
      <c r="R37" t="s">
        <v>440</v>
      </c>
      <c r="AH37" t="s">
        <v>396</v>
      </c>
      <c r="AI37" s="5">
        <f>SUMPRODUCT($Z$2:$Z$33,H$2:H$33)/SUMPRODUCT($Z$2:$Z$33,$L$2:$L$33)</f>
        <v>0.41176545006009235</v>
      </c>
      <c r="AJ37" s="5">
        <f>SUMPRODUCT($Z$2:$Z$33,I$2:I$33)/SUMPRODUCT($Z$2:$Z$33,$L$2:$L$33)</f>
        <v>0.40964007843633371</v>
      </c>
      <c r="AK37" s="5">
        <f>SUMPRODUCT($Z$2:$Z$33,J$2:J$33)/SUMPRODUCT($Z$2:$Z$33,$L$2:$L$33)</f>
        <v>0.15352014675185022</v>
      </c>
      <c r="AL37" s="5">
        <f>SUMPRODUCT($Z$2:$Z$33,K$2:K$33)/SUMPRODUCT($Z$2:$Z$33,$L$2:$L$33)</f>
        <v>2.3973685875134418E-2</v>
      </c>
    </row>
    <row r="38" spans="1:65">
      <c r="J38" t="s">
        <v>27</v>
      </c>
      <c r="L38">
        <v>2011</v>
      </c>
      <c r="M38" s="2">
        <v>39.799999999999997</v>
      </c>
      <c r="N38" s="2">
        <v>39.1</v>
      </c>
      <c r="O38" s="2">
        <v>19.8</v>
      </c>
      <c r="P38" s="2">
        <v>1.3</v>
      </c>
      <c r="AH38" t="s">
        <v>397</v>
      </c>
      <c r="AI38" s="5">
        <f>SUMPRODUCT($AA$2:$AA$33,H$2:H$33)/SUMPRODUCT($AA$2:$AA$33,$L$2:$L$33)</f>
        <v>0.36738229755178908</v>
      </c>
      <c r="AJ38" s="5">
        <f>SUMPRODUCT($AA$2:$AA$33,I$2:I$33)/SUMPRODUCT($AA$2:$AA$33,$L$2:$L$33)</f>
        <v>0.2893009859310956</v>
      </c>
      <c r="AK38" s="5">
        <f>SUMPRODUCT($AA$2:$AA$33,J$2:J$33)/SUMPRODUCT($AA$2:$AA$33,$L$2:$L$33)</f>
        <v>0.30269192422731805</v>
      </c>
      <c r="AL38" s="5">
        <f>SUMPRODUCT($AA$2:$AA$33,K$2:K$33)/SUMPRODUCT($AA$2:$AA$33,$L$2:$L$33)</f>
        <v>3.9454968428049186E-2</v>
      </c>
    </row>
    <row r="39" spans="1:65">
      <c r="J39" s="53">
        <v>41395</v>
      </c>
      <c r="L39" t="s">
        <v>441</v>
      </c>
      <c r="M39" s="2">
        <v>32.4</v>
      </c>
      <c r="N39" s="2">
        <v>47.99</v>
      </c>
      <c r="O39" s="2">
        <v>19.190000000000001</v>
      </c>
      <c r="P39" s="2">
        <v>0</v>
      </c>
      <c r="R39">
        <v>23</v>
      </c>
      <c r="S39">
        <v>47</v>
      </c>
      <c r="T39">
        <v>23</v>
      </c>
      <c r="U39">
        <v>4</v>
      </c>
      <c r="AH39" t="s">
        <v>398</v>
      </c>
      <c r="AI39" s="5">
        <f>SUMPRODUCT($AB$2:$AB$33,H$2:H$33)/SUMPRODUCT($AB$2:$AB$33,$L$2:$L$33)</f>
        <v>0.43839069815300713</v>
      </c>
      <c r="AJ39" s="5">
        <f>SUMPRODUCT($AB$2:$AB$33,I$2:I$33)/SUMPRODUCT($AB$2:$AB$33,$L$2:$L$33)</f>
        <v>0.22603539640891085</v>
      </c>
      <c r="AK39" s="5">
        <f>SUMPRODUCT($AB$2:$AB$33,J$2:J$33)/SUMPRODUCT($AB$2:$AB$33,$L$2:$L$33)</f>
        <v>0.29796007614343778</v>
      </c>
      <c r="AL39" s="5">
        <f>SUMPRODUCT($AB$2:$AB$33,K$2:K$33)/SUMPRODUCT($AB$2:$AB$33,$L$2:$L$33)</f>
        <v>3.1684416319390854E-2</v>
      </c>
    </row>
    <row r="40" spans="1:65">
      <c r="L40" t="s">
        <v>442</v>
      </c>
      <c r="M40" s="2">
        <f>M38+(R39-AI$5)</f>
        <v>24.9</v>
      </c>
      <c r="N40" s="2">
        <f>N38+(S39-AJ$5)</f>
        <v>56.8</v>
      </c>
      <c r="O40" s="2">
        <f>O38+(T39-AK$5)</f>
        <v>13.3</v>
      </c>
      <c r="P40" s="2">
        <f>P38+(U39-AL$5)</f>
        <v>2.2999999999999998</v>
      </c>
    </row>
    <row r="41" spans="1:65">
      <c r="L41" t="s">
        <v>443</v>
      </c>
      <c r="M41" s="2">
        <f>M38+0.5*(M39-M40)</f>
        <v>43.55</v>
      </c>
      <c r="N41" s="2">
        <f t="shared" ref="N41:P41" si="26">N38+0.5*(N39-N40)</f>
        <v>34.695000000000007</v>
      </c>
      <c r="O41" s="2">
        <f t="shared" si="26"/>
        <v>22.745000000000001</v>
      </c>
      <c r="P41" s="2">
        <f t="shared" si="26"/>
        <v>0.15000000000000013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7"/>
  <sheetViews>
    <sheetView zoomScale="80" zoomScaleNormal="80" workbookViewId="0">
      <pane xSplit="4" ySplit="1" topLeftCell="AJ2" activePane="bottomRight" state="frozen"/>
      <selection pane="bottomLeft" activeCell="A2" sqref="A2"/>
      <selection pane="topRight" activeCell="D1" sqref="D1"/>
      <selection pane="bottomRight" activeCell="BI26" sqref="BI26"/>
    </sheetView>
  </sheetViews>
  <sheetFormatPr defaultRowHeight="15"/>
  <cols>
    <col min="2" max="2" width="25.5703125" customWidth="1"/>
    <col min="3" max="3" width="30.42578125" customWidth="1"/>
    <col min="23" max="23" width="8.28515625" customWidth="1"/>
    <col min="24" max="24" width="10.42578125" customWidth="1"/>
    <col min="25" max="25" width="11" customWidth="1"/>
    <col min="26" max="26" width="9.28515625" customWidth="1"/>
    <col min="27" max="27" width="10.42578125" customWidth="1"/>
    <col min="42" max="42" width="12.7109375" customWidth="1"/>
    <col min="86" max="94" width="9" customWidth="1"/>
  </cols>
  <sheetData>
    <row r="1" spans="1:101">
      <c r="A1" t="s">
        <v>373</v>
      </c>
      <c r="B1" t="s">
        <v>374</v>
      </c>
      <c r="C1" t="s">
        <v>375</v>
      </c>
      <c r="D1" t="s">
        <v>376</v>
      </c>
      <c r="E1" t="s">
        <v>444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445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446</v>
      </c>
      <c r="R1" t="s">
        <v>387</v>
      </c>
      <c r="S1" t="s">
        <v>388</v>
      </c>
      <c r="T1" t="s">
        <v>389</v>
      </c>
      <c r="U1" t="s">
        <v>390</v>
      </c>
      <c r="V1" t="s">
        <v>447</v>
      </c>
      <c r="W1" t="s">
        <v>391</v>
      </c>
      <c r="X1" t="s">
        <v>392</v>
      </c>
      <c r="Y1" t="s">
        <v>393</v>
      </c>
      <c r="Z1" t="s">
        <v>394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399</v>
      </c>
      <c r="AL1" t="s">
        <v>458</v>
      </c>
      <c r="AM1" t="s">
        <v>459</v>
      </c>
      <c r="AN1" t="s">
        <v>460</v>
      </c>
      <c r="AX1" t="s">
        <v>402</v>
      </c>
      <c r="AY1" t="s">
        <v>403</v>
      </c>
      <c r="AZ1" t="s">
        <v>404</v>
      </c>
      <c r="BA1" t="s">
        <v>6</v>
      </c>
      <c r="BB1" t="s">
        <v>7</v>
      </c>
      <c r="BC1" t="s">
        <v>8</v>
      </c>
      <c r="BD1" t="s">
        <v>407</v>
      </c>
      <c r="BE1" t="s">
        <v>405</v>
      </c>
      <c r="BG1" t="s">
        <v>406</v>
      </c>
      <c r="BH1" t="s">
        <v>403</v>
      </c>
      <c r="BI1" t="s">
        <v>404</v>
      </c>
      <c r="BJ1" t="s">
        <v>6</v>
      </c>
      <c r="BK1" t="s">
        <v>7</v>
      </c>
      <c r="BL1" t="s">
        <v>8</v>
      </c>
      <c r="BM1" t="s">
        <v>407</v>
      </c>
      <c r="BO1" t="s">
        <v>461</v>
      </c>
      <c r="BP1" t="s">
        <v>403</v>
      </c>
      <c r="BQ1" t="s">
        <v>404</v>
      </c>
      <c r="BR1" t="s">
        <v>6</v>
      </c>
      <c r="BS1" t="s">
        <v>7</v>
      </c>
      <c r="BT1" t="s">
        <v>8</v>
      </c>
      <c r="BV1" t="s">
        <v>409</v>
      </c>
      <c r="BW1" t="s">
        <v>403</v>
      </c>
      <c r="BX1" t="s">
        <v>404</v>
      </c>
      <c r="BY1" t="s">
        <v>6</v>
      </c>
      <c r="BZ1" t="s">
        <v>7</v>
      </c>
      <c r="CA1" t="s">
        <v>8</v>
      </c>
      <c r="CC1" t="s">
        <v>462</v>
      </c>
      <c r="CD1" t="s">
        <v>403</v>
      </c>
      <c r="CE1" t="s">
        <v>404</v>
      </c>
      <c r="CF1" t="s">
        <v>6</v>
      </c>
      <c r="CG1" t="s">
        <v>7</v>
      </c>
      <c r="CH1" t="s">
        <v>8</v>
      </c>
      <c r="CJ1" t="s">
        <v>463</v>
      </c>
      <c r="CK1" t="s">
        <v>403</v>
      </c>
      <c r="CL1" t="s">
        <v>404</v>
      </c>
      <c r="CM1" t="s">
        <v>6</v>
      </c>
      <c r="CN1" t="s">
        <v>7</v>
      </c>
      <c r="CO1" t="s">
        <v>8</v>
      </c>
      <c r="CR1" t="s">
        <v>464</v>
      </c>
      <c r="CS1" t="s">
        <v>403</v>
      </c>
      <c r="CT1" t="s">
        <v>404</v>
      </c>
      <c r="CU1" t="s">
        <v>6</v>
      </c>
      <c r="CV1" t="s">
        <v>7</v>
      </c>
      <c r="CW1" t="s">
        <v>8</v>
      </c>
    </row>
    <row r="2" spans="1:101">
      <c r="A2" t="s">
        <v>465</v>
      </c>
      <c r="B2" t="s">
        <v>60</v>
      </c>
      <c r="C2" t="s">
        <v>466</v>
      </c>
      <c r="D2">
        <v>24001</v>
      </c>
      <c r="E2">
        <v>245</v>
      </c>
      <c r="F2">
        <v>24</v>
      </c>
      <c r="G2">
        <v>7116</v>
      </c>
      <c r="H2">
        <v>3302</v>
      </c>
      <c r="I2">
        <v>14141</v>
      </c>
      <c r="J2">
        <v>1228</v>
      </c>
      <c r="K2">
        <v>5763</v>
      </c>
      <c r="L2">
        <v>31549</v>
      </c>
      <c r="M2" s="3">
        <f t="shared" ref="M2:M33" si="0">G2/$L2*100</f>
        <v>22.555390028210088</v>
      </c>
      <c r="N2" s="3">
        <f t="shared" ref="N2:N33" si="1">H2/$L2*100</f>
        <v>10.466258835462297</v>
      </c>
      <c r="O2" s="3">
        <f t="shared" ref="O2:O33" si="2">I2/$L2*100</f>
        <v>44.822339852293261</v>
      </c>
      <c r="P2" s="3">
        <f t="shared" ref="P2:P33" si="3">J2/$L2*100</f>
        <v>3.8923579194269231</v>
      </c>
      <c r="Q2" s="3">
        <f t="shared" ref="Q2:Q33" si="4">K2/$L2*100</f>
        <v>18.266823037180259</v>
      </c>
      <c r="R2">
        <v>16.5</v>
      </c>
      <c r="S2">
        <v>14.2</v>
      </c>
      <c r="T2">
        <v>42.9</v>
      </c>
      <c r="U2">
        <v>2.1</v>
      </c>
      <c r="V2">
        <v>23.4</v>
      </c>
      <c r="W2">
        <f t="shared" ref="W2:W33" si="5">IF(M2=MAX($M2:$Q2),1,0)</f>
        <v>0</v>
      </c>
      <c r="X2">
        <f t="shared" ref="X2:X33" si="6">IF(N2=MAX($M2:$Q2),1,0)</f>
        <v>0</v>
      </c>
      <c r="Y2">
        <f t="shared" ref="Y2:Y33" si="7">IF(O2=MAX($M2:$Q2),1,0)</f>
        <v>1</v>
      </c>
      <c r="Z2">
        <f t="shared" ref="Z2:Z33" si="8">IF(P2=MAX($M2:$Q2),1,0)</f>
        <v>0</v>
      </c>
      <c r="AA2">
        <f t="shared" ref="AA2:AA33" si="9">IF(Q2=MAX($M2:$Q2),1,0)</f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Y2" s="5">
        <f t="shared" ref="AY2:AY33" si="10">MIN(100,(1-BW2*AQ$11-(1-BW2)*AQ$13)*BH2+BW2*AQ$11*(AQ$6+AQ$6/AQ$10*(BH2-AQ$6))+(1-BW2)*AQ$13*(BH2+(AQ$6-AQ$12)/(100-AQ$12)*(AQ$6-BH2)))</f>
        <v>25.915975437931852</v>
      </c>
      <c r="AZ2" s="5">
        <f t="shared" ref="AZ2:AZ33" si="11">MIN(100,(1-BX2*AR$11-(1-BX2)*AR$13)*BI2+BX2*AR$11*(AR$6+AR$6/AR$10*(BI2-AR$6))+(1-BX2)*AR$13*(BI2+(AR$6-AR$12)/(100-AR$12)*(AR$6-BI2)))</f>
        <v>27.791653244155569</v>
      </c>
      <c r="BA2" s="5">
        <f t="shared" ref="BA2:BA33" si="12">MIN(100,(1-BY2*AS$11-(1-BY2)*AS$13)*BJ2+BY2*AS$11*(AS$6+AS$6/AS$10*(BJ2-AS$6))+(1-BY2)*AS$13*(BJ2+(AS$6-AS$12)/(100-AS$12)*(AS$6-BJ2)))</f>
        <v>27.043380866835253</v>
      </c>
      <c r="BB2" s="5">
        <f t="shared" ref="BB2:BB33" si="13">MIN(100,(1-BZ2*AT$11-(1-BZ2)*AT$13)*BK2+BZ2*AT$11*(AT$6+AT$6/AT$10*(BK2-AT$6))+(1-BZ2)*AT$13*(BK2+(AT$6-AT$12)/(100-AT$12)*(AT$6-BK2)))</f>
        <v>4.4006988133996359</v>
      </c>
      <c r="BC2" s="5">
        <f t="shared" ref="BC2:BC33" si="14">MIN(100,(1-CA2*AU$11-(1-CA2)*AU$13)*BL2+CA2*AU$11*(AU$6+AU$6/AU$10*(BL2-AU$6))+(1-CA2)*AU$13*(BL2+(AU$6-AU$12)/(100-AU$12)*(AU$6-BL2)))</f>
        <v>15.118820747132071</v>
      </c>
      <c r="BD2" s="5"/>
      <c r="BE2" s="5">
        <f>SUM(AY2:BC2)</f>
        <v>100.27052910945437</v>
      </c>
      <c r="BF2" s="2"/>
      <c r="BH2" s="2">
        <f t="array" ref="BH2">MIN(100,MAX(0,M2-AK2*5+AR$16*(W2*AQ$29+SUMPRODUCT($AB2:$AJ2,TRANSPOSE(AQ$30:AQ$38)))+AS$16*(W2*AQ$39+SUMPRODUCT($AB2:$AJ2,TRANSPOSE(AQ$40:AQ$48)))+AU$16*(W2*AQ$49+SUMPRODUCT($AB2:$AJ2,TRANSPOSE(AQ$50:AQ$58)))+AT$16*(W2*AQ$59+SUMPRODUCT($AB2:$AJ2,TRANSPOSE(AQ$60:AQ$68)))))</f>
        <v>25.915975437931852</v>
      </c>
      <c r="BI2" s="2">
        <f t="array" ref="BI2">MIN(100,MAX(0,N2-AL2*5+AQ$17*(X2*AR$29+SUMPRODUCT($AB2:$AJ2,TRANSPOSE(AR$30:AR$38)))+AS$17*(X2*AR$39+SUMPRODUCT($AB2:$AJ2,TRANSPOSE(AR$40:AR$48)))+AU$17*(X2*AR$49+SUMPRODUCT($AB2:$AJ2,TRANSPOSE(AR$50:AR$58)))+AT$17*(X2*AR$59+SUMPRODUCT($AB2:$AJ2,TRANSPOSE(AR$60:AR$68)))))</f>
        <v>27.791653244155569</v>
      </c>
      <c r="BJ2" s="2">
        <f t="array" ref="BJ2">MIN(100,MAX(0,O2-AM2*5+AQ$18*(Y2*AS$29+SUMPRODUCT($AB2:$AJ2,TRANSPOSE(AS$30:AS$38)))+AR$18*(Y2*AS$39+SUMPRODUCT($AB2:$AJ2,TRANSPOSE(AS$40:AS$48)))+AU$18*(Y2*AS$49+SUMPRODUCT($AB2:$AJ2,TRANSPOSE(AS$50:AS$58)))+AT$18*(Y2*AS$59+SUMPRODUCT($AB2:$AJ2,TRANSPOSE(AS$60:AS$68)))))</f>
        <v>27.043380866835253</v>
      </c>
      <c r="BK2" s="2">
        <f t="array" ref="BK2">MIN(100,MAX(0,P2+AQ$19*(Z2*AT$29+SUMPRODUCT($AB2:$AJ2,TRANSPOSE(AT$30:AT$38)))+AR$19*(Z2*AT$39+SUMPRODUCT($AB2:$AJ2,TRANSPOSE(AT$40:AT$48)))+AS$19*(Z2*AT$49+SUMPRODUCT($AB2:$AJ2,TRANSPOSE(AT$50:AT$58)))+AU$19*(Z2*AT$59+SUMPRODUCT($AB2:$AJ2,TRANSPOSE(AT$60:AT$68)))))</f>
        <v>4.4006988133996359</v>
      </c>
      <c r="BL2" s="2">
        <f t="array" ref="BL2">MIN(100,MAX(0,Q2-AN2*5+AQ$20*(AA2*AU$29+SUMPRODUCT($AB2:$AJ2,TRANSPOSE(AU$30:AU$38)))+AR$20*(AA2*AU$39+SUMPRODUCT($AB2:$AJ2,TRANSPOSE(AU$40:AU$48)))+AS$20*(AA2*AU$49+SUMPRODUCT($AB2:$AJ2,TRANSPOSE(AU$50:AU$58)))+AT$20*(AA2*AU$59+SUMPRODUCT($AB2:$AJ2,TRANSPOSE(AU$60:AU$68)))))</f>
        <v>15.118820747132071</v>
      </c>
      <c r="BM2" s="2"/>
      <c r="BN2" s="2"/>
      <c r="BP2">
        <f>IF(AY2=MAX($AY2:$BC2),1,0)</f>
        <v>0</v>
      </c>
      <c r="BQ2">
        <f t="shared" ref="BQ2:BQ33" si="15">IF(AZ2=MAX($AY2:$BC2),1,0)</f>
        <v>1</v>
      </c>
      <c r="BR2">
        <f t="shared" ref="BR2:BR33" si="16">IF(BA2=MAX($AY2:$BC2),1,0)</f>
        <v>0</v>
      </c>
      <c r="BS2">
        <f t="shared" ref="BS2:BS33" si="17">IF(BB2=MAX($AY2:$BC2),1,0)</f>
        <v>0</v>
      </c>
      <c r="BT2">
        <f t="shared" ref="BT2:BT33" si="18">IF(BC2=MAX($AY2:$BC2),1,0)</f>
        <v>0</v>
      </c>
      <c r="BV2" s="2"/>
      <c r="BW2" s="2">
        <f>IF(BH2&gt;AQ$6,1,0)</f>
        <v>1</v>
      </c>
      <c r="BX2" s="2">
        <f>IF(BI2&gt;AR$6,1,0)</f>
        <v>0</v>
      </c>
      <c r="BY2" s="2">
        <f>IF(BJ2&gt;AS$6,1,0)</f>
        <v>0</v>
      </c>
      <c r="BZ2" s="2">
        <f>IF(BK2&gt;AT$6,1,0)</f>
        <v>1</v>
      </c>
      <c r="CA2" s="2">
        <f>IF(BL2&gt;AU$6,1,0)</f>
        <v>0</v>
      </c>
      <c r="CD2">
        <f t="shared" ref="CD2:CD33" si="19">IF(BH2&gt;M2,1,0)</f>
        <v>1</v>
      </c>
      <c r="CE2">
        <f t="shared" ref="CE2:CE33" si="20">IF(BI2&gt;N2,1,0)</f>
        <v>1</v>
      </c>
      <c r="CF2">
        <f t="shared" ref="CF2:CF33" si="21">IF(BJ2&gt;O2,1,0)</f>
        <v>0</v>
      </c>
      <c r="CG2">
        <f t="shared" ref="CG2:CG33" si="22">IF(BK2&gt;P2,1,0)</f>
        <v>1</v>
      </c>
      <c r="CH2">
        <f t="shared" ref="CH2:CH33" si="23">IF(BL2&gt;Q2,1,0)</f>
        <v>0</v>
      </c>
      <c r="CK2">
        <f t="shared" ref="CK2:CK33" si="24">IF(BH2&lt;M2,1,0)</f>
        <v>0</v>
      </c>
      <c r="CL2">
        <f t="shared" ref="CL2:CL33" si="25">IF(BI2&lt;N2,1,0)</f>
        <v>0</v>
      </c>
      <c r="CM2">
        <f t="shared" ref="CM2:CM33" si="26">IF(BJ2&lt;O2,1,0)</f>
        <v>1</v>
      </c>
      <c r="CN2">
        <f t="shared" ref="CN2:CN33" si="27">IF(BK2&lt;P2,1,0)</f>
        <v>0</v>
      </c>
      <c r="CO2">
        <f t="shared" ref="CO2:CO33" si="28">IF(BL2&lt;Q2,1,0)</f>
        <v>1</v>
      </c>
      <c r="CS2" s="38">
        <f t="shared" ref="CS2:CS33" si="29">IF(AND((MAX($AY2:$BC2)-AY2)/$BE2&lt;=0.05,BP2=0),1,0)</f>
        <v>1</v>
      </c>
      <c r="CT2" s="38">
        <f t="shared" ref="CT2:CT33" si="30">IF(AND((MAX($AY2:$BC2)-AZ2)/$BE2&lt;=0.05,BQ2=0),1,0)</f>
        <v>0</v>
      </c>
      <c r="CU2" s="38">
        <f t="shared" ref="CU2:CU33" si="31">IF(AND((MAX($AY2:$BC2)-BA2)/$BE2&lt;=0.05,BR2=0),1,0)</f>
        <v>1</v>
      </c>
      <c r="CV2" s="38">
        <f t="shared" ref="CV2:CV33" si="32">IF(AND((MAX($AY2:$BC2)-BB2)/$BE2&lt;=0.05,BS2=0),1,0)</f>
        <v>0</v>
      </c>
      <c r="CW2" s="38">
        <f t="shared" ref="CW2:CW33" si="33">IF(AND((MAX($AY2:$BC2)-BC2)/$BE2&lt;=0.1,BT2=0),1,0)</f>
        <v>0</v>
      </c>
    </row>
    <row r="3" spans="1:101">
      <c r="A3" t="s">
        <v>465</v>
      </c>
      <c r="B3" t="s">
        <v>61</v>
      </c>
      <c r="C3" t="s">
        <v>467</v>
      </c>
      <c r="D3">
        <v>24002</v>
      </c>
      <c r="E3">
        <v>241</v>
      </c>
      <c r="F3">
        <v>24</v>
      </c>
      <c r="G3">
        <v>4750</v>
      </c>
      <c r="H3">
        <v>2839</v>
      </c>
      <c r="I3">
        <v>24583</v>
      </c>
      <c r="J3">
        <v>687</v>
      </c>
      <c r="K3">
        <v>15110</v>
      </c>
      <c r="L3">
        <v>47970</v>
      </c>
      <c r="M3" s="3">
        <f t="shared" si="0"/>
        <v>9.9020220971440498</v>
      </c>
      <c r="N3" s="3">
        <f t="shared" si="1"/>
        <v>5.9182822597456743</v>
      </c>
      <c r="O3" s="3">
        <f t="shared" si="2"/>
        <v>51.246612466124667</v>
      </c>
      <c r="P3" s="3">
        <f t="shared" si="3"/>
        <v>1.4321450906816759</v>
      </c>
      <c r="Q3" s="3">
        <f t="shared" si="4"/>
        <v>31.498853450072961</v>
      </c>
      <c r="R3">
        <v>16.5</v>
      </c>
      <c r="S3">
        <v>14.2</v>
      </c>
      <c r="T3">
        <v>42.9</v>
      </c>
      <c r="U3">
        <v>2.1</v>
      </c>
      <c r="V3">
        <v>23.4</v>
      </c>
      <c r="W3">
        <f t="shared" si="5"/>
        <v>0</v>
      </c>
      <c r="X3">
        <f t="shared" si="6"/>
        <v>0</v>
      </c>
      <c r="Y3">
        <f t="shared" si="7"/>
        <v>1</v>
      </c>
      <c r="Z3">
        <f t="shared" si="8"/>
        <v>0</v>
      </c>
      <c r="AA3">
        <f t="shared" si="9"/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Y3" s="5">
        <f t="shared" si="10"/>
        <v>12.813959496056153</v>
      </c>
      <c r="AZ3" s="5">
        <f t="shared" si="11"/>
        <v>22.783400634369841</v>
      </c>
      <c r="BA3" s="5">
        <f t="shared" si="12"/>
        <v>33.962728507970375</v>
      </c>
      <c r="BB3" s="5">
        <f t="shared" si="13"/>
        <v>1.9771231208905253</v>
      </c>
      <c r="BC3" s="5">
        <f t="shared" si="14"/>
        <v>28.504591046676882</v>
      </c>
      <c r="BD3" s="5"/>
      <c r="BE3" s="5">
        <f t="shared" ref="BE3:BE66" si="34">SUM(AY3:BC3)</f>
        <v>100.04180280596377</v>
      </c>
      <c r="BF3" s="2"/>
      <c r="BH3" s="2">
        <f t="array" ref="BH3">MIN(100,MAX(0,M3-AK3*5+AR$16*(W3*AQ$29+SUMPRODUCT($AB3:$AJ3,TRANSPOSE(AQ$30:AQ$38)))+AS$16*(W3*AQ$39+SUMPRODUCT($AB3:$AJ3,TRANSPOSE(AQ$40:AQ$48)))+AU$16*(W3*AQ$49+SUMPRODUCT($AB3:$AJ3,TRANSPOSE(AQ$50:AQ$58)))+AT$16*(W3*AQ$59+SUMPRODUCT($AB3:$AJ3,TRANSPOSE(AQ$60:AQ$68)))))</f>
        <v>12.813959496056153</v>
      </c>
      <c r="BI3" s="2">
        <f t="array" ref="BI3">MIN(100,MAX(0,N3-AL3*5+AQ$17*(X3*AR$29+SUMPRODUCT($AB3:$AJ3,TRANSPOSE(AR$30:AR$38)))+AS$17*(X3*AR$39+SUMPRODUCT($AB3:$AJ3,TRANSPOSE(AR$40:AR$48)))+AU$17*(X3*AR$49+SUMPRODUCT($AB3:$AJ3,TRANSPOSE(AR$50:AR$58)))+AT$17*(X3*AR$59+SUMPRODUCT($AB3:$AJ3,TRANSPOSE(AR$60:AR$68)))))</f>
        <v>22.783400634369841</v>
      </c>
      <c r="BJ3" s="2">
        <f t="array" ref="BJ3">MIN(100,MAX(0,O3-AM3*5+AQ$18*(Y3*AS$29+SUMPRODUCT($AB3:$AJ3,TRANSPOSE(AS$30:AS$38)))+AR$18*(Y3*AS$39+SUMPRODUCT($AB3:$AJ3,TRANSPOSE(AS$40:AS$48)))+AU$18*(Y3*AS$49+SUMPRODUCT($AB3:$AJ3,TRANSPOSE(AS$50:AS$58)))+AT$18*(Y3*AS$59+SUMPRODUCT($AB3:$AJ3,TRANSPOSE(AS$60:AS$68)))))</f>
        <v>33.962728507970375</v>
      </c>
      <c r="BK3" s="2">
        <f t="array" ref="BK3">MIN(100,MAX(0,P3+AQ$19*(Z3*AT$29+SUMPRODUCT($AB3:$AJ3,TRANSPOSE(AT$30:AT$38)))+AR$19*(Z3*AT$39+SUMPRODUCT($AB3:$AJ3,TRANSPOSE(AT$40:AT$48)))+AS$19*(Z3*AT$49+SUMPRODUCT($AB3:$AJ3,TRANSPOSE(AT$50:AT$58)))+AU$19*(Z3*AT$59+SUMPRODUCT($AB3:$AJ3,TRANSPOSE(AT$60:AT$68)))))</f>
        <v>1.9771231208905253</v>
      </c>
      <c r="BL3" s="2">
        <f t="array" ref="BL3">MIN(100,MAX(0,Q3-AN3*5+AQ$20*(AA3*AU$29+SUMPRODUCT($AB3:$AJ3,TRANSPOSE(AU$30:AU$38)))+AR$20*(AA3*AU$39+SUMPRODUCT($AB3:$AJ3,TRANSPOSE(AU$40:AU$48)))+AS$20*(AA3*AU$49+SUMPRODUCT($AB3:$AJ3,TRANSPOSE(AU$50:AU$58)))+AT$20*(AA3*AU$59+SUMPRODUCT($AB3:$AJ3,TRANSPOSE(AU$60:AU$68)))))</f>
        <v>28.717059426770017</v>
      </c>
      <c r="BM3" s="2"/>
      <c r="BN3" s="2"/>
      <c r="BP3">
        <f t="shared" ref="BP3:BP33" si="35">IF(AY3=MAX($AY3:$BC3),1,0)</f>
        <v>0</v>
      </c>
      <c r="BQ3">
        <f t="shared" si="15"/>
        <v>0</v>
      </c>
      <c r="BR3">
        <f t="shared" si="16"/>
        <v>1</v>
      </c>
      <c r="BS3">
        <f t="shared" si="17"/>
        <v>0</v>
      </c>
      <c r="BT3">
        <f t="shared" si="18"/>
        <v>0</v>
      </c>
      <c r="BV3" s="2"/>
      <c r="BW3" s="2">
        <f t="shared" ref="BW3:BW66" si="36">IF(BH3&gt;AQ$6,1,0)</f>
        <v>0</v>
      </c>
      <c r="BX3" s="2">
        <f t="shared" ref="BX3:BX66" si="37">IF(BI3&gt;AR$6,1,0)</f>
        <v>0</v>
      </c>
      <c r="BY3" s="2">
        <f t="shared" ref="BY3:BY66" si="38">IF(BJ3&gt;AS$6,1,0)</f>
        <v>1</v>
      </c>
      <c r="BZ3" s="2">
        <f t="shared" ref="BZ3:BZ66" si="39">IF(BK3&gt;AT$6,1,0)</f>
        <v>0</v>
      </c>
      <c r="CA3" s="2">
        <f t="shared" ref="CA3:CA66" si="40">IF(BL3&gt;AU$6,1,0)</f>
        <v>1</v>
      </c>
      <c r="CD3">
        <f t="shared" si="19"/>
        <v>1</v>
      </c>
      <c r="CE3">
        <f t="shared" si="20"/>
        <v>1</v>
      </c>
      <c r="CF3">
        <f t="shared" si="21"/>
        <v>0</v>
      </c>
      <c r="CG3">
        <f t="shared" si="22"/>
        <v>1</v>
      </c>
      <c r="CH3">
        <f t="shared" si="23"/>
        <v>0</v>
      </c>
      <c r="CK3">
        <f t="shared" si="24"/>
        <v>0</v>
      </c>
      <c r="CL3">
        <f t="shared" si="25"/>
        <v>0</v>
      </c>
      <c r="CM3">
        <f t="shared" si="26"/>
        <v>1</v>
      </c>
      <c r="CN3">
        <f t="shared" si="27"/>
        <v>0</v>
      </c>
      <c r="CO3">
        <f t="shared" si="28"/>
        <v>1</v>
      </c>
      <c r="CS3" s="38">
        <f t="shared" si="29"/>
        <v>0</v>
      </c>
      <c r="CT3" s="38">
        <f t="shared" si="30"/>
        <v>0</v>
      </c>
      <c r="CU3" s="38">
        <f t="shared" si="31"/>
        <v>0</v>
      </c>
      <c r="CV3" s="38">
        <f t="shared" si="32"/>
        <v>0</v>
      </c>
      <c r="CW3" s="38">
        <f t="shared" si="33"/>
        <v>1</v>
      </c>
    </row>
    <row r="4" spans="1:101">
      <c r="A4" t="s">
        <v>465</v>
      </c>
      <c r="B4" t="s">
        <v>62</v>
      </c>
      <c r="C4" t="s">
        <v>62</v>
      </c>
      <c r="D4">
        <v>24003</v>
      </c>
      <c r="E4">
        <v>243</v>
      </c>
      <c r="F4">
        <v>24</v>
      </c>
      <c r="G4">
        <v>4168</v>
      </c>
      <c r="H4">
        <v>15127</v>
      </c>
      <c r="I4">
        <v>14550</v>
      </c>
      <c r="J4">
        <v>708</v>
      </c>
      <c r="K4">
        <v>13765</v>
      </c>
      <c r="L4">
        <v>48599</v>
      </c>
      <c r="M4" s="3">
        <f t="shared" si="0"/>
        <v>8.5763081544887747</v>
      </c>
      <c r="N4" s="3">
        <f t="shared" si="1"/>
        <v>31.12615485915348</v>
      </c>
      <c r="O4" s="43">
        <f>I4/$L4*100+10</f>
        <v>39.938887631432749</v>
      </c>
      <c r="P4" s="3">
        <f t="shared" si="3"/>
        <v>1.4568200991789955</v>
      </c>
      <c r="Q4" s="43">
        <f>K4/$L4*100-10</f>
        <v>18.323628058190497</v>
      </c>
      <c r="R4">
        <v>16.5</v>
      </c>
      <c r="S4">
        <v>14.2</v>
      </c>
      <c r="T4">
        <v>42.9</v>
      </c>
      <c r="U4">
        <v>2.1</v>
      </c>
      <c r="V4">
        <v>23.4</v>
      </c>
      <c r="W4">
        <f t="shared" si="5"/>
        <v>0</v>
      </c>
      <c r="X4">
        <f t="shared" si="6"/>
        <v>0</v>
      </c>
      <c r="Y4" s="54">
        <f t="shared" si="7"/>
        <v>1</v>
      </c>
      <c r="Z4">
        <f t="shared" si="8"/>
        <v>0</v>
      </c>
      <c r="AA4">
        <f t="shared" si="9"/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Q4" t="s">
        <v>403</v>
      </c>
      <c r="AR4" t="s">
        <v>404</v>
      </c>
      <c r="AS4" t="s">
        <v>6</v>
      </c>
      <c r="AT4" t="s">
        <v>7</v>
      </c>
      <c r="AU4" t="s">
        <v>8</v>
      </c>
      <c r="AY4" s="5">
        <f t="shared" si="10"/>
        <v>10.72746217255045</v>
      </c>
      <c r="AZ4" s="5">
        <f t="shared" si="11"/>
        <v>44.057445150991896</v>
      </c>
      <c r="BA4" s="5">
        <f t="shared" si="12"/>
        <v>26.822724841895138</v>
      </c>
      <c r="BB4" s="5">
        <f t="shared" si="13"/>
        <v>1.9495770603398108</v>
      </c>
      <c r="BC4" s="5">
        <f t="shared" si="14"/>
        <v>16.061065656163059</v>
      </c>
      <c r="BD4" s="5"/>
      <c r="BE4" s="5">
        <f t="shared" si="34"/>
        <v>99.618274881940351</v>
      </c>
      <c r="BF4" s="2"/>
      <c r="BH4" s="2">
        <f t="array" ref="BH4">MIN(100,MAX(0,M4-AK4*5+AR$16*(W4*AQ$29+SUMPRODUCT($AB4:$AJ4,TRANSPOSE(AQ$30:AQ$38)))+AS$16*(W4*AQ$39+SUMPRODUCT($AB4:$AJ4,TRANSPOSE(AQ$40:AQ$48)))+AU$16*(W4*AQ$49+SUMPRODUCT($AB4:$AJ4,TRANSPOSE(AQ$50:AQ$58)))+AT$16*(W4*AQ$59+SUMPRODUCT($AB4:$AJ4,TRANSPOSE(AQ$60:AQ$68)))))</f>
        <v>10.72746217255045</v>
      </c>
      <c r="BI4" s="2">
        <f t="array" ref="BI4">MIN(100,MAX(0,N4-AL4*5+AQ$17*(X4*AR$29+SUMPRODUCT($AB4:$AJ4,TRANSPOSE(AR$30:AR$38)))+AS$17*(X4*AR$39+SUMPRODUCT($AB4:$AJ4,TRANSPOSE(AR$40:AR$48)))+AU$17*(X4*AR$49+SUMPRODUCT($AB4:$AJ4,TRANSPOSE(AR$50:AR$58)))+AT$17*(X4*AR$59+SUMPRODUCT($AB4:$AJ4,TRANSPOSE(AR$60:AR$68)))))</f>
        <v>44.057445150991896</v>
      </c>
      <c r="BJ4" s="2">
        <f t="array" ref="BJ4">MIN(100,MAX(0,O4-AM4*5+AQ$18*(Y4*AS$29+SUMPRODUCT($AB4:$AJ4,TRANSPOSE(AS$30:AS$38)))+AR$18*(Y4*AS$39+SUMPRODUCT($AB4:$AJ4,TRANSPOSE(AS$40:AS$48)))+AU$18*(Y4*AS$49+SUMPRODUCT($AB4:$AJ4,TRANSPOSE(AS$50:AS$58)))+AT$18*(Y4*AS$59+SUMPRODUCT($AB4:$AJ4,TRANSPOSE(AS$60:AS$68)))))</f>
        <v>26.822724841895138</v>
      </c>
      <c r="BK4" s="2">
        <f t="array" ref="BK4">MIN(100,MAX(0,P4+AQ$19*(Z4*AT$29+SUMPRODUCT($AB4:$AJ4,TRANSPOSE(AT$30:AT$38)))+AR$19*(Z4*AT$39+SUMPRODUCT($AB4:$AJ4,TRANSPOSE(AT$40:AT$48)))+AS$19*(Z4*AT$49+SUMPRODUCT($AB4:$AJ4,TRANSPOSE(AT$50:AT$58)))+AU$19*(Z4*AT$59+SUMPRODUCT($AB4:$AJ4,TRANSPOSE(AT$60:AT$68)))))</f>
        <v>1.9495770603398108</v>
      </c>
      <c r="BL4" s="2">
        <f t="array" ref="BL4">MIN(100,MAX(0,Q4-AN4*5+AQ$20*(AA4*AU$29+SUMPRODUCT($AB4:$AJ4,TRANSPOSE(AU$30:AU$38)))+AR$20*(AA4*AU$39+SUMPRODUCT($AB4:$AJ4,TRANSPOSE(AU$40:AU$48)))+AS$20*(AA4*AU$49+SUMPRODUCT($AB4:$AJ4,TRANSPOSE(AU$50:AU$58)))+AT$20*(AA4*AU$59+SUMPRODUCT($AB4:$AJ4,TRANSPOSE(AU$60:AU$68)))))</f>
        <v>16.061065656163059</v>
      </c>
      <c r="BM4" s="2"/>
      <c r="BN4" s="2"/>
      <c r="BP4">
        <f t="shared" si="35"/>
        <v>0</v>
      </c>
      <c r="BQ4">
        <f t="shared" si="15"/>
        <v>1</v>
      </c>
      <c r="BR4">
        <f t="shared" si="16"/>
        <v>0</v>
      </c>
      <c r="BS4">
        <f t="shared" si="17"/>
        <v>0</v>
      </c>
      <c r="BT4">
        <f t="shared" si="18"/>
        <v>0</v>
      </c>
      <c r="BV4" s="2"/>
      <c r="BW4" s="2">
        <f t="shared" si="36"/>
        <v>0</v>
      </c>
      <c r="BX4" s="2">
        <f t="shared" si="37"/>
        <v>1</v>
      </c>
      <c r="BY4" s="2">
        <f t="shared" si="38"/>
        <v>0</v>
      </c>
      <c r="BZ4" s="2">
        <f t="shared" si="39"/>
        <v>0</v>
      </c>
      <c r="CA4" s="2">
        <f t="shared" si="40"/>
        <v>0</v>
      </c>
      <c r="CD4">
        <f t="shared" si="19"/>
        <v>1</v>
      </c>
      <c r="CE4">
        <f t="shared" si="20"/>
        <v>1</v>
      </c>
      <c r="CF4">
        <f t="shared" si="21"/>
        <v>0</v>
      </c>
      <c r="CG4">
        <f t="shared" si="22"/>
        <v>1</v>
      </c>
      <c r="CH4">
        <f t="shared" si="23"/>
        <v>0</v>
      </c>
      <c r="CK4">
        <f t="shared" si="24"/>
        <v>0</v>
      </c>
      <c r="CL4">
        <f t="shared" si="25"/>
        <v>0</v>
      </c>
      <c r="CM4">
        <f t="shared" si="26"/>
        <v>1</v>
      </c>
      <c r="CN4">
        <f t="shared" si="27"/>
        <v>0</v>
      </c>
      <c r="CO4">
        <f t="shared" si="28"/>
        <v>1</v>
      </c>
      <c r="CS4" s="38">
        <f t="shared" si="29"/>
        <v>0</v>
      </c>
      <c r="CT4" s="38">
        <f t="shared" si="30"/>
        <v>0</v>
      </c>
      <c r="CU4" s="38">
        <f t="shared" si="31"/>
        <v>0</v>
      </c>
      <c r="CV4" s="38">
        <f t="shared" si="32"/>
        <v>0</v>
      </c>
      <c r="CW4" s="38">
        <f t="shared" si="33"/>
        <v>0</v>
      </c>
    </row>
    <row r="5" spans="1:101">
      <c r="A5" t="s">
        <v>465</v>
      </c>
      <c r="B5" t="s">
        <v>63</v>
      </c>
      <c r="C5" t="s">
        <v>63</v>
      </c>
      <c r="D5">
        <v>24004</v>
      </c>
      <c r="E5">
        <v>245</v>
      </c>
      <c r="F5">
        <v>24</v>
      </c>
      <c r="G5">
        <v>5398</v>
      </c>
      <c r="H5">
        <v>10751</v>
      </c>
      <c r="I5">
        <v>20329</v>
      </c>
      <c r="J5">
        <v>697</v>
      </c>
      <c r="K5">
        <v>10766</v>
      </c>
      <c r="L5">
        <v>48159</v>
      </c>
      <c r="M5" s="3">
        <f t="shared" si="0"/>
        <v>11.20870449967815</v>
      </c>
      <c r="N5" s="3">
        <f t="shared" si="1"/>
        <v>22.323968520941047</v>
      </c>
      <c r="O5" s="3">
        <f t="shared" si="2"/>
        <v>42.212255237857924</v>
      </c>
      <c r="P5" s="3">
        <f t="shared" si="3"/>
        <v>1.4472891878984198</v>
      </c>
      <c r="Q5" s="3">
        <f t="shared" si="4"/>
        <v>22.355115347079465</v>
      </c>
      <c r="R5">
        <v>16.5</v>
      </c>
      <c r="S5">
        <v>14.2</v>
      </c>
      <c r="T5">
        <v>42.9</v>
      </c>
      <c r="U5">
        <v>2.1</v>
      </c>
      <c r="V5">
        <v>23.4</v>
      </c>
      <c r="W5">
        <f t="shared" si="5"/>
        <v>0</v>
      </c>
      <c r="X5">
        <f t="shared" si="6"/>
        <v>0</v>
      </c>
      <c r="Y5">
        <f t="shared" si="7"/>
        <v>1</v>
      </c>
      <c r="Z5">
        <f t="shared" si="8"/>
        <v>0</v>
      </c>
      <c r="AA5">
        <f t="shared" si="9"/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2011</v>
      </c>
      <c r="AQ5">
        <v>16.5</v>
      </c>
      <c r="AR5">
        <v>14.2</v>
      </c>
      <c r="AS5">
        <v>42.9</v>
      </c>
      <c r="AT5">
        <v>2.1</v>
      </c>
      <c r="AU5">
        <v>23.4</v>
      </c>
      <c r="AV5" s="3">
        <f>SUM(AQ5:AU5)</f>
        <v>99.1</v>
      </c>
      <c r="AY5" s="5">
        <f t="shared" si="10"/>
        <v>14.07442143789164</v>
      </c>
      <c r="AZ5" s="5">
        <f t="shared" si="11"/>
        <v>37.77050888191313</v>
      </c>
      <c r="BA5" s="5">
        <f t="shared" si="12"/>
        <v>26.279211133380212</v>
      </c>
      <c r="BB5" s="5">
        <f t="shared" si="13"/>
        <v>2.0413152023360568</v>
      </c>
      <c r="BC5" s="5">
        <f t="shared" si="14"/>
        <v>19.620372729962003</v>
      </c>
      <c r="BD5" s="5"/>
      <c r="BE5" s="5">
        <f t="shared" si="34"/>
        <v>99.785829385483041</v>
      </c>
      <c r="BF5" s="2"/>
      <c r="BH5" s="2">
        <f t="array" ref="BH5">MIN(100,MAX(0,M5-AK5*5+AR$16*(W5*AQ$29+SUMPRODUCT($AB5:$AJ5,TRANSPOSE(AQ$30:AQ$38)))+AS$16*(W5*AQ$39+SUMPRODUCT($AB5:$AJ5,TRANSPOSE(AQ$40:AQ$48)))+AU$16*(W5*AQ$49+SUMPRODUCT($AB5:$AJ5,TRANSPOSE(AQ$50:AQ$58)))+AT$16*(W5*AQ$59+SUMPRODUCT($AB5:$AJ5,TRANSPOSE(AQ$60:AQ$68)))))</f>
        <v>14.07442143789164</v>
      </c>
      <c r="BI5" s="2">
        <f t="array" ref="BI5">MIN(100,MAX(0,N5-AL5*5+AQ$17*(X5*AR$29+SUMPRODUCT($AB5:$AJ5,TRANSPOSE(AR$30:AR$38)))+AS$17*(X5*AR$39+SUMPRODUCT($AB5:$AJ5,TRANSPOSE(AR$40:AR$48)))+AU$17*(X5*AR$49+SUMPRODUCT($AB5:$AJ5,TRANSPOSE(AR$50:AR$58)))+AT$17*(X5*AR$59+SUMPRODUCT($AB5:$AJ5,TRANSPOSE(AR$60:AR$68)))))</f>
        <v>37.77050888191313</v>
      </c>
      <c r="BJ5" s="2">
        <f t="array" ref="BJ5">MIN(100,MAX(0,O5-AM5*5+AQ$18*(Y5*AS$29+SUMPRODUCT($AB5:$AJ5,TRANSPOSE(AS$30:AS$38)))+AR$18*(Y5*AS$39+SUMPRODUCT($AB5:$AJ5,TRANSPOSE(AS$40:AS$48)))+AU$18*(Y5*AS$49+SUMPRODUCT($AB5:$AJ5,TRANSPOSE(AS$50:AS$58)))+AT$18*(Y5*AS$59+SUMPRODUCT($AB5:$AJ5,TRANSPOSE(AS$60:AS$68)))))</f>
        <v>26.279211133380212</v>
      </c>
      <c r="BK5" s="2">
        <f t="array" ref="BK5">MIN(100,MAX(0,P5+AQ$19*(Z5*AT$29+SUMPRODUCT($AB5:$AJ5,TRANSPOSE(AT$30:AT$38)))+AR$19*(Z5*AT$39+SUMPRODUCT($AB5:$AJ5,TRANSPOSE(AT$40:AT$48)))+AS$19*(Z5*AT$49+SUMPRODUCT($AB5:$AJ5,TRANSPOSE(AT$50:AT$58)))+AU$19*(Z5*AT$59+SUMPRODUCT($AB5:$AJ5,TRANSPOSE(AT$60:AT$68)))))</f>
        <v>2.0413152023360568</v>
      </c>
      <c r="BL5" s="2">
        <f t="array" ref="BL5">MIN(100,MAX(0,Q5-AN5*5+AQ$20*(AA5*AU$29+SUMPRODUCT($AB5:$AJ5,TRANSPOSE(AU$30:AU$38)))+AR$20*(AA5*AU$39+SUMPRODUCT($AB5:$AJ5,TRANSPOSE(AU$40:AU$48)))+AS$20*(AA5*AU$49+SUMPRODUCT($AB5:$AJ5,TRANSPOSE(AU$50:AU$58)))+AT$20*(AA5*AU$59+SUMPRODUCT($AB5:$AJ5,TRANSPOSE(AU$60:AU$68)))))</f>
        <v>19.620372729962003</v>
      </c>
      <c r="BM5" s="2"/>
      <c r="BN5" s="2"/>
      <c r="BP5">
        <f t="shared" si="35"/>
        <v>0</v>
      </c>
      <c r="BQ5">
        <f t="shared" si="15"/>
        <v>1</v>
      </c>
      <c r="BR5">
        <f t="shared" si="16"/>
        <v>0</v>
      </c>
      <c r="BS5">
        <f t="shared" si="17"/>
        <v>0</v>
      </c>
      <c r="BT5">
        <f t="shared" si="18"/>
        <v>0</v>
      </c>
      <c r="BV5" s="2"/>
      <c r="BW5" s="2">
        <f t="shared" si="36"/>
        <v>0</v>
      </c>
      <c r="BX5" s="2">
        <f t="shared" si="37"/>
        <v>1</v>
      </c>
      <c r="BY5" s="2">
        <f t="shared" si="38"/>
        <v>0</v>
      </c>
      <c r="BZ5" s="2">
        <f t="shared" si="39"/>
        <v>0</v>
      </c>
      <c r="CA5" s="2">
        <f t="shared" si="40"/>
        <v>0</v>
      </c>
      <c r="CD5">
        <f t="shared" si="19"/>
        <v>1</v>
      </c>
      <c r="CE5">
        <f t="shared" si="20"/>
        <v>1</v>
      </c>
      <c r="CF5">
        <f t="shared" si="21"/>
        <v>0</v>
      </c>
      <c r="CG5">
        <f t="shared" si="22"/>
        <v>1</v>
      </c>
      <c r="CH5">
        <f t="shared" si="23"/>
        <v>0</v>
      </c>
      <c r="CK5">
        <f t="shared" si="24"/>
        <v>0</v>
      </c>
      <c r="CL5">
        <f t="shared" si="25"/>
        <v>0</v>
      </c>
      <c r="CM5">
        <f t="shared" si="26"/>
        <v>1</v>
      </c>
      <c r="CN5">
        <f t="shared" si="27"/>
        <v>0</v>
      </c>
      <c r="CO5">
        <f t="shared" si="28"/>
        <v>1</v>
      </c>
      <c r="CS5" s="38">
        <f t="shared" si="29"/>
        <v>0</v>
      </c>
      <c r="CT5" s="38">
        <f t="shared" si="30"/>
        <v>0</v>
      </c>
      <c r="CU5" s="38">
        <f t="shared" si="31"/>
        <v>0</v>
      </c>
      <c r="CV5" s="38">
        <f t="shared" si="32"/>
        <v>0</v>
      </c>
      <c r="CW5" s="38">
        <f t="shared" si="33"/>
        <v>0</v>
      </c>
    </row>
    <row r="6" spans="1:101">
      <c r="A6" t="s">
        <v>465</v>
      </c>
      <c r="B6" t="s">
        <v>64</v>
      </c>
      <c r="C6" t="s">
        <v>468</v>
      </c>
      <c r="D6">
        <v>24005</v>
      </c>
      <c r="E6">
        <v>247</v>
      </c>
      <c r="F6">
        <v>24</v>
      </c>
      <c r="G6">
        <v>6462</v>
      </c>
      <c r="H6">
        <v>6034</v>
      </c>
      <c r="I6">
        <v>19764</v>
      </c>
      <c r="J6">
        <v>1156</v>
      </c>
      <c r="K6">
        <v>10216</v>
      </c>
      <c r="L6">
        <v>43916</v>
      </c>
      <c r="M6" s="3">
        <f t="shared" si="0"/>
        <v>14.714454868385099</v>
      </c>
      <c r="N6" s="3">
        <f t="shared" si="1"/>
        <v>13.739867018854177</v>
      </c>
      <c r="O6" s="3">
        <f t="shared" si="2"/>
        <v>45.004098733946627</v>
      </c>
      <c r="P6" s="3">
        <f t="shared" si="3"/>
        <v>2.6322980234994078</v>
      </c>
      <c r="Q6" s="3">
        <f t="shared" si="4"/>
        <v>23.262592221513799</v>
      </c>
      <c r="R6">
        <v>16.5</v>
      </c>
      <c r="S6">
        <v>14.2</v>
      </c>
      <c r="T6">
        <v>42.9</v>
      </c>
      <c r="U6">
        <v>2.1</v>
      </c>
      <c r="V6">
        <v>23.4</v>
      </c>
      <c r="W6">
        <f t="shared" si="5"/>
        <v>0</v>
      </c>
      <c r="X6">
        <f t="shared" si="6"/>
        <v>0</v>
      </c>
      <c r="Y6">
        <f t="shared" si="7"/>
        <v>1</v>
      </c>
      <c r="Z6">
        <f t="shared" si="8"/>
        <v>0</v>
      </c>
      <c r="AA6">
        <f t="shared" si="9"/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P6">
        <v>2015</v>
      </c>
      <c r="AQ6">
        <f>projections!C5</f>
        <v>19.389358999373254</v>
      </c>
      <c r="AR6">
        <f>projections!D5</f>
        <v>29.681185844019417</v>
      </c>
      <c r="AS6">
        <f>projections!E5</f>
        <v>27.119703827889612</v>
      </c>
      <c r="AT6">
        <f>projections!F5</f>
        <v>2.6337326681339426</v>
      </c>
      <c r="AU6">
        <f>projections!G5</f>
        <v>20.514489950073141</v>
      </c>
      <c r="AV6" s="3">
        <f>SUM(AQ6:AU6)</f>
        <v>99.338471289489362</v>
      </c>
      <c r="AY6" s="5">
        <f t="shared" si="10"/>
        <v>17.626392267297202</v>
      </c>
      <c r="AZ6" s="5">
        <f t="shared" si="11"/>
        <v>30.604985393478341</v>
      </c>
      <c r="BA6" s="5">
        <f t="shared" si="12"/>
        <v>27.720214775792336</v>
      </c>
      <c r="BB6" s="5">
        <f t="shared" si="13"/>
        <v>3.1772760537082574</v>
      </c>
      <c r="BC6" s="5">
        <f t="shared" si="14"/>
        <v>20.480798198210856</v>
      </c>
      <c r="BD6" s="5"/>
      <c r="BE6" s="5">
        <f t="shared" si="34"/>
        <v>99.609666688486982</v>
      </c>
      <c r="BF6" s="2"/>
      <c r="BH6" s="2">
        <f t="array" ref="BH6">MIN(100,MAX(0,M6-AK6*5+AR$16*(W6*AQ$29+SUMPRODUCT($AB6:$AJ6,TRANSPOSE(AQ$30:AQ$38)))+AS$16*(W6*AQ$39+SUMPRODUCT($AB6:$AJ6,TRANSPOSE(AQ$40:AQ$48)))+AU$16*(W6*AQ$49+SUMPRODUCT($AB6:$AJ6,TRANSPOSE(AQ$50:AQ$58)))+AT$16*(W6*AQ$59+SUMPRODUCT($AB6:$AJ6,TRANSPOSE(AQ$60:AQ$68)))))</f>
        <v>17.626392267297202</v>
      </c>
      <c r="BI6" s="2">
        <f t="array" ref="BI6">MIN(100,MAX(0,N6-AL6*5+AQ$17*(X6*AR$29+SUMPRODUCT($AB6:$AJ6,TRANSPOSE(AR$30:AR$38)))+AS$17*(X6*AR$39+SUMPRODUCT($AB6:$AJ6,TRANSPOSE(AR$40:AR$48)))+AU$17*(X6*AR$49+SUMPRODUCT($AB6:$AJ6,TRANSPOSE(AR$50:AR$58)))+AT$17*(X6*AR$59+SUMPRODUCT($AB6:$AJ6,TRANSPOSE(AR$60:AR$68)))))</f>
        <v>30.604985393478341</v>
      </c>
      <c r="BJ6" s="2">
        <f t="array" ref="BJ6">MIN(100,MAX(0,O6-AM6*5+AQ$18*(Y6*AS$29+SUMPRODUCT($AB6:$AJ6,TRANSPOSE(AS$30:AS$38)))+AR$18*(Y6*AS$39+SUMPRODUCT($AB6:$AJ6,TRANSPOSE(AS$40:AS$48)))+AU$18*(Y6*AS$49+SUMPRODUCT($AB6:$AJ6,TRANSPOSE(AS$50:AS$58)))+AT$18*(Y6*AS$59+SUMPRODUCT($AB6:$AJ6,TRANSPOSE(AS$60:AS$68)))))</f>
        <v>27.720214775792336</v>
      </c>
      <c r="BK6" s="2">
        <f t="array" ref="BK6">MIN(100,MAX(0,P6+AQ$19*(Z6*AT$29+SUMPRODUCT($AB6:$AJ6,TRANSPOSE(AT$30:AT$38)))+AR$19*(Z6*AT$39+SUMPRODUCT($AB6:$AJ6,TRANSPOSE(AT$40:AT$48)))+AS$19*(Z6*AT$49+SUMPRODUCT($AB6:$AJ6,TRANSPOSE(AT$50:AT$58)))+AU$19*(Z6*AT$59+SUMPRODUCT($AB6:$AJ6,TRANSPOSE(AT$60:AT$68)))))</f>
        <v>3.1772760537082574</v>
      </c>
      <c r="BL6" s="2">
        <f t="array" ref="BL6">MIN(100,MAX(0,Q6-AN6*5+AQ$20*(AA6*AU$29+SUMPRODUCT($AB6:$AJ6,TRANSPOSE(AU$30:AU$38)))+AR$20*(AA6*AU$39+SUMPRODUCT($AB6:$AJ6,TRANSPOSE(AU$40:AU$48)))+AS$20*(AA6*AU$49+SUMPRODUCT($AB6:$AJ6,TRANSPOSE(AU$50:AU$58)))+AT$20*(AA6*AU$59+SUMPRODUCT($AB6:$AJ6,TRANSPOSE(AU$60:AU$68)))))</f>
        <v>20.480798198210856</v>
      </c>
      <c r="BM6" s="2"/>
      <c r="BN6" s="2"/>
      <c r="BP6">
        <f t="shared" si="35"/>
        <v>0</v>
      </c>
      <c r="BQ6">
        <f t="shared" si="15"/>
        <v>1</v>
      </c>
      <c r="BR6">
        <f t="shared" si="16"/>
        <v>0</v>
      </c>
      <c r="BS6">
        <f t="shared" si="17"/>
        <v>0</v>
      </c>
      <c r="BT6">
        <f t="shared" si="18"/>
        <v>0</v>
      </c>
      <c r="BV6" s="2"/>
      <c r="BW6" s="2">
        <f t="shared" si="36"/>
        <v>0</v>
      </c>
      <c r="BX6" s="2">
        <f t="shared" si="37"/>
        <v>1</v>
      </c>
      <c r="BY6" s="2">
        <f t="shared" si="38"/>
        <v>1</v>
      </c>
      <c r="BZ6" s="2">
        <f t="shared" si="39"/>
        <v>1</v>
      </c>
      <c r="CA6" s="2">
        <f t="shared" si="40"/>
        <v>0</v>
      </c>
      <c r="CD6">
        <f t="shared" si="19"/>
        <v>1</v>
      </c>
      <c r="CE6">
        <f t="shared" si="20"/>
        <v>1</v>
      </c>
      <c r="CF6">
        <f t="shared" si="21"/>
        <v>0</v>
      </c>
      <c r="CG6">
        <f t="shared" si="22"/>
        <v>1</v>
      </c>
      <c r="CH6">
        <f t="shared" si="23"/>
        <v>0</v>
      </c>
      <c r="CK6">
        <f t="shared" si="24"/>
        <v>0</v>
      </c>
      <c r="CL6">
        <f t="shared" si="25"/>
        <v>0</v>
      </c>
      <c r="CM6">
        <f t="shared" si="26"/>
        <v>1</v>
      </c>
      <c r="CN6">
        <f t="shared" si="27"/>
        <v>0</v>
      </c>
      <c r="CO6">
        <f t="shared" si="28"/>
        <v>1</v>
      </c>
      <c r="CS6" s="38">
        <f t="shared" si="29"/>
        <v>0</v>
      </c>
      <c r="CT6" s="38">
        <f t="shared" si="30"/>
        <v>0</v>
      </c>
      <c r="CU6" s="38">
        <f t="shared" si="31"/>
        <v>1</v>
      </c>
      <c r="CV6" s="38">
        <f t="shared" si="32"/>
        <v>0</v>
      </c>
      <c r="CW6" s="38">
        <f t="shared" si="33"/>
        <v>0</v>
      </c>
    </row>
    <row r="7" spans="1:101">
      <c r="A7" t="s">
        <v>465</v>
      </c>
      <c r="B7" t="s">
        <v>65</v>
      </c>
      <c r="C7" t="s">
        <v>469</v>
      </c>
      <c r="D7">
        <v>24006</v>
      </c>
      <c r="E7">
        <v>244</v>
      </c>
      <c r="F7">
        <v>24</v>
      </c>
      <c r="G7">
        <v>4806</v>
      </c>
      <c r="H7">
        <v>8477</v>
      </c>
      <c r="I7">
        <v>9725</v>
      </c>
      <c r="J7">
        <v>918</v>
      </c>
      <c r="K7">
        <v>12599</v>
      </c>
      <c r="L7">
        <v>36525</v>
      </c>
      <c r="M7" s="3">
        <f t="shared" si="0"/>
        <v>13.158110882956878</v>
      </c>
      <c r="N7" s="3">
        <f t="shared" si="1"/>
        <v>23.208761122518823</v>
      </c>
      <c r="O7" s="3">
        <f t="shared" si="2"/>
        <v>26.625598904859686</v>
      </c>
      <c r="P7" s="3">
        <f t="shared" si="3"/>
        <v>2.5133470225872689</v>
      </c>
      <c r="Q7" s="3">
        <f t="shared" si="4"/>
        <v>34.494182067077347</v>
      </c>
      <c r="R7">
        <v>16.5</v>
      </c>
      <c r="S7">
        <v>14.2</v>
      </c>
      <c r="T7">
        <v>42.9</v>
      </c>
      <c r="U7">
        <v>2.1</v>
      </c>
      <c r="V7">
        <v>23.4</v>
      </c>
      <c r="W7">
        <f t="shared" si="5"/>
        <v>0</v>
      </c>
      <c r="X7">
        <f t="shared" si="6"/>
        <v>0</v>
      </c>
      <c r="Y7">
        <f t="shared" si="7"/>
        <v>0</v>
      </c>
      <c r="Z7">
        <f t="shared" si="8"/>
        <v>0</v>
      </c>
      <c r="AA7">
        <f t="shared" si="9"/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 t="s">
        <v>415</v>
      </c>
      <c r="AQ7">
        <f>AQ6-AQ5</f>
        <v>2.889358999373254</v>
      </c>
      <c r="AR7">
        <f>AR6-AR5</f>
        <v>15.481185844019418</v>
      </c>
      <c r="AS7">
        <f>AS6-AS5</f>
        <v>-15.780296172110386</v>
      </c>
      <c r="AT7">
        <f>AT6-AT5</f>
        <v>0.53373266813394249</v>
      </c>
      <c r="AU7">
        <f>AU6-AU5</f>
        <v>-2.8855100499268573</v>
      </c>
      <c r="AY7" s="5">
        <f t="shared" si="10"/>
        <v>16.129221337350558</v>
      </c>
      <c r="AZ7" s="5">
        <f t="shared" si="11"/>
        <v>38.240705808058536</v>
      </c>
      <c r="BA7" s="5">
        <f t="shared" si="12"/>
        <v>11.230012138821271</v>
      </c>
      <c r="BB7" s="5">
        <f t="shared" si="13"/>
        <v>2.9741664048991545</v>
      </c>
      <c r="BC7" s="5">
        <f t="shared" si="14"/>
        <v>15.658810060420025</v>
      </c>
      <c r="BD7" s="5">
        <f>BM7</f>
        <v>20</v>
      </c>
      <c r="BE7" s="5">
        <f>SUM(AY7:BD7)</f>
        <v>104.23291574954953</v>
      </c>
      <c r="BF7" s="2"/>
      <c r="BH7" s="2">
        <f t="array" ref="BH7">MIN(100,MAX(0,M7-AK7*5+AR$16*(W7*AQ$29+SUMPRODUCT($AB7:$AJ7,TRANSPOSE(AQ$30:AQ$38)))+AS$16*(W7*AQ$39+SUMPRODUCT($AB7:$AJ7,TRANSPOSE(AQ$40:AQ$48)))+AU$16*(W7*AQ$49+SUMPRODUCT($AB7:$AJ7,TRANSPOSE(AQ$50:AQ$58)))+AT$16*(W7*AQ$59+SUMPRODUCT($AB7:$AJ7,TRANSPOSE(AQ$60:AQ$68)))))</f>
        <v>16.129221337350558</v>
      </c>
      <c r="BI7" s="2">
        <f t="array" ref="BI7">MIN(100,MAX(0,N7-AL7*5+AQ$17*(X7*AR$29+SUMPRODUCT($AB7:$AJ7,TRANSPOSE(AR$30:AR$38)))+AS$17*(X7*AR$39+SUMPRODUCT($AB7:$AJ7,TRANSPOSE(AR$40:AR$48)))+AU$17*(X7*AR$49+SUMPRODUCT($AB7:$AJ7,TRANSPOSE(AR$50:AR$58)))+AT$17*(X7*AR$59+SUMPRODUCT($AB7:$AJ7,TRANSPOSE(AR$60:AR$68)))))</f>
        <v>38.240705808058536</v>
      </c>
      <c r="BJ7" s="2">
        <f t="array" ref="BJ7">MIN(100,MAX(0,O7-AM7*5+AQ$18*(Y7*AS$29+SUMPRODUCT($AB7:$AJ7,TRANSPOSE(AS$30:AS$38)))+AR$18*(Y7*AS$39+SUMPRODUCT($AB7:$AJ7,TRANSPOSE(AS$40:AS$48)))+AU$18*(Y7*AS$49+SUMPRODUCT($AB7:$AJ7,TRANSPOSE(AS$50:AS$58)))+AT$18*(Y7*AS$59+SUMPRODUCT($AB7:$AJ7,TRANSPOSE(AS$60:AS$68)))))</f>
        <v>11.230012138821271</v>
      </c>
      <c r="BK7" s="2">
        <f t="array" ref="BK7">MIN(100,MAX(0,P7+AQ$19*(Z7*AT$29+SUMPRODUCT($AB7:$AJ7,TRANSPOSE(AT$30:AT$38)))+AR$19*(Z7*AT$39+SUMPRODUCT($AB7:$AJ7,TRANSPOSE(AT$40:AT$48)))+AS$19*(Z7*AT$49+SUMPRODUCT($AB7:$AJ7,TRANSPOSE(AT$50:AT$58)))+AU$19*(Z7*AT$59+SUMPRODUCT($AB7:$AJ7,TRANSPOSE(AT$60:AT$68)))))</f>
        <v>2.9741664048991545</v>
      </c>
      <c r="BL7" s="58">
        <f t="array" ref="BL7">MIN(100,MAX(0,Q7-16-AN7*5+AQ$20*(AA7*AU$29+SUMPRODUCT($AB7:$AJ7,TRANSPOSE(AU$30:AU$38)))+AR$20*(AA7*AU$39+SUMPRODUCT($AB7:$AJ7,TRANSPOSE(AU$40:AU$48)))+AS$20*(AA7*AU$49+SUMPRODUCT($AB7:$AJ7,TRANSPOSE(AU$50:AU$58)))+AT$20*(AA7*AU$59+SUMPRODUCT($AB7:$AJ7,TRANSPOSE(AU$60:AU$68)))))</f>
        <v>15.658810060420025</v>
      </c>
      <c r="BM7" s="2">
        <v>20</v>
      </c>
      <c r="BN7" s="2"/>
      <c r="BP7">
        <f t="shared" si="35"/>
        <v>0</v>
      </c>
      <c r="BQ7">
        <f t="shared" si="15"/>
        <v>1</v>
      </c>
      <c r="BR7">
        <f t="shared" si="16"/>
        <v>0</v>
      </c>
      <c r="BS7">
        <f t="shared" si="17"/>
        <v>0</v>
      </c>
      <c r="BT7">
        <f t="shared" si="18"/>
        <v>0</v>
      </c>
      <c r="BV7" s="2"/>
      <c r="BW7" s="2">
        <f t="shared" si="36"/>
        <v>0</v>
      </c>
      <c r="BX7" s="2">
        <f t="shared" si="37"/>
        <v>1</v>
      </c>
      <c r="BY7" s="2">
        <f t="shared" si="38"/>
        <v>0</v>
      </c>
      <c r="BZ7" s="2">
        <f t="shared" si="39"/>
        <v>1</v>
      </c>
      <c r="CA7" s="2">
        <f t="shared" si="40"/>
        <v>0</v>
      </c>
      <c r="CD7">
        <f t="shared" si="19"/>
        <v>1</v>
      </c>
      <c r="CE7">
        <f t="shared" si="20"/>
        <v>1</v>
      </c>
      <c r="CF7">
        <f t="shared" si="21"/>
        <v>0</v>
      </c>
      <c r="CG7">
        <f t="shared" si="22"/>
        <v>1</v>
      </c>
      <c r="CH7">
        <f t="shared" si="23"/>
        <v>0</v>
      </c>
      <c r="CK7">
        <f t="shared" si="24"/>
        <v>0</v>
      </c>
      <c r="CL7">
        <f t="shared" si="25"/>
        <v>0</v>
      </c>
      <c r="CM7">
        <f t="shared" si="26"/>
        <v>1</v>
      </c>
      <c r="CN7">
        <f t="shared" si="27"/>
        <v>0</v>
      </c>
      <c r="CO7">
        <f t="shared" si="28"/>
        <v>1</v>
      </c>
      <c r="CS7" s="38">
        <f t="shared" si="29"/>
        <v>0</v>
      </c>
      <c r="CT7" s="38">
        <f t="shared" si="30"/>
        <v>0</v>
      </c>
      <c r="CU7" s="38">
        <f t="shared" si="31"/>
        <v>0</v>
      </c>
      <c r="CV7" s="38">
        <f t="shared" si="32"/>
        <v>0</v>
      </c>
      <c r="CW7" s="38">
        <f t="shared" si="33"/>
        <v>0</v>
      </c>
    </row>
    <row r="8" spans="1:101">
      <c r="A8" t="s">
        <v>465</v>
      </c>
      <c r="B8" t="s">
        <v>66</v>
      </c>
      <c r="C8" t="s">
        <v>66</v>
      </c>
      <c r="D8">
        <v>24007</v>
      </c>
      <c r="E8">
        <v>247</v>
      </c>
      <c r="F8">
        <v>24</v>
      </c>
      <c r="G8">
        <v>26400</v>
      </c>
      <c r="H8">
        <v>5722</v>
      </c>
      <c r="I8">
        <v>15613</v>
      </c>
      <c r="J8">
        <v>840</v>
      </c>
      <c r="K8">
        <v>3472</v>
      </c>
      <c r="L8">
        <v>52046</v>
      </c>
      <c r="M8" s="3">
        <f t="shared" si="0"/>
        <v>50.724359220689387</v>
      </c>
      <c r="N8" s="3">
        <f t="shared" si="1"/>
        <v>10.994120585635784</v>
      </c>
      <c r="O8" s="3">
        <f t="shared" si="2"/>
        <v>29.998462898205435</v>
      </c>
      <c r="P8" s="3">
        <f t="shared" si="3"/>
        <v>1.6139568842946626</v>
      </c>
      <c r="Q8" s="3">
        <f t="shared" si="4"/>
        <v>6.6710217884179386</v>
      </c>
      <c r="R8">
        <v>16.5</v>
      </c>
      <c r="S8">
        <v>14.2</v>
      </c>
      <c r="T8">
        <v>42.9</v>
      </c>
      <c r="U8">
        <v>2.1</v>
      </c>
      <c r="V8">
        <v>23.4</v>
      </c>
      <c r="W8">
        <f t="shared" si="5"/>
        <v>1</v>
      </c>
      <c r="X8">
        <f t="shared" si="6"/>
        <v>0</v>
      </c>
      <c r="Y8">
        <f t="shared" si="7"/>
        <v>0</v>
      </c>
      <c r="Z8">
        <f t="shared" si="8"/>
        <v>0</v>
      </c>
      <c r="AA8">
        <f t="shared" si="9"/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 t="s">
        <v>470</v>
      </c>
      <c r="AQ8">
        <f>IF(AQ7&gt;0,AQ7,0)</f>
        <v>2.889358999373254</v>
      </c>
      <c r="AR8">
        <f>IF(AR7&gt;0,AR7,0)</f>
        <v>15.481185844019418</v>
      </c>
      <c r="AS8">
        <f>IF(AS7&gt;0,AS7,0)</f>
        <v>0</v>
      </c>
      <c r="AT8">
        <f>IF(AT7&gt;0,AT7,0)</f>
        <v>0.53373266813394249</v>
      </c>
      <c r="AU8">
        <f>IF(AU7&gt;0,AU7,0)</f>
        <v>0</v>
      </c>
      <c r="AV8">
        <f>SUM(AQ8:AU8)</f>
        <v>18.904277511526615</v>
      </c>
      <c r="AY8" s="5">
        <f t="shared" si="10"/>
        <v>53.20851707394408</v>
      </c>
      <c r="AZ8" s="5">
        <f t="shared" si="11"/>
        <v>26.921692273564389</v>
      </c>
      <c r="BA8" s="5">
        <f t="shared" si="12"/>
        <v>13.383235996064599</v>
      </c>
      <c r="BB8" s="5">
        <f t="shared" si="13"/>
        <v>2.0229123742713364</v>
      </c>
      <c r="BC8" s="5">
        <f t="shared" si="14"/>
        <v>3.7541132063188969</v>
      </c>
      <c r="BD8" s="5"/>
      <c r="BE8" s="5">
        <f t="shared" si="34"/>
        <v>99.290470924163301</v>
      </c>
      <c r="BF8" s="2"/>
      <c r="BH8" s="2">
        <f t="array" ref="BH8">MIN(100,MAX(0,M8-AK8*5+AR$16*(W8*AQ$29+SUMPRODUCT($AB8:$AJ8,TRANSPOSE(AQ$30:AQ$38)))+AS$16*(W8*AQ$39+SUMPRODUCT($AB8:$AJ8,TRANSPOSE(AQ$40:AQ$48)))+AU$16*(W8*AQ$49+SUMPRODUCT($AB8:$AJ8,TRANSPOSE(AQ$50:AQ$58)))+AT$16*(W8*AQ$59+SUMPRODUCT($AB8:$AJ8,TRANSPOSE(AQ$60:AQ$68)))))</f>
        <v>53.20851707394408</v>
      </c>
      <c r="BI8" s="2">
        <f t="array" ref="BI8">MIN(100,MAX(0,N8-AL8*5+AQ$17*(X8*AR$29+SUMPRODUCT($AB8:$AJ8,TRANSPOSE(AR$30:AR$38)))+AS$17*(X8*AR$39+SUMPRODUCT($AB8:$AJ8,TRANSPOSE(AR$40:AR$48)))+AU$17*(X8*AR$49+SUMPRODUCT($AB8:$AJ8,TRANSPOSE(AR$50:AR$58)))+AT$17*(X8*AR$59+SUMPRODUCT($AB8:$AJ8,TRANSPOSE(AR$60:AR$68)))))</f>
        <v>26.921692273564389</v>
      </c>
      <c r="BJ8" s="2">
        <f t="array" ref="BJ8">MIN(100,MAX(0,O8-AM8*5+AQ$18*(Y8*AS$29+SUMPRODUCT($AB8:$AJ8,TRANSPOSE(AS$30:AS$38)))+AR$18*(Y8*AS$39+SUMPRODUCT($AB8:$AJ8,TRANSPOSE(AS$40:AS$48)))+AU$18*(Y8*AS$49+SUMPRODUCT($AB8:$AJ8,TRANSPOSE(AS$50:AS$58)))+AT$18*(Y8*AS$59+SUMPRODUCT($AB8:$AJ8,TRANSPOSE(AS$60:AS$68)))))</f>
        <v>13.383235996064599</v>
      </c>
      <c r="BK8" s="2">
        <f t="array" ref="BK8">MIN(100,MAX(0,P8+AQ$19*(Z8*AT$29+SUMPRODUCT($AB8:$AJ8,TRANSPOSE(AT$30:AT$38)))+AR$19*(Z8*AT$39+SUMPRODUCT($AB8:$AJ8,TRANSPOSE(AT$40:AT$48)))+AS$19*(Z8*AT$49+SUMPRODUCT($AB8:$AJ8,TRANSPOSE(AT$50:AT$58)))+AU$19*(Z8*AT$59+SUMPRODUCT($AB8:$AJ8,TRANSPOSE(AT$60:AT$68)))))</f>
        <v>2.0229123742713364</v>
      </c>
      <c r="BL8" s="2">
        <f t="array" ref="BL8">MIN(100,MAX(0,Q8-AN8*5+AQ$20*(AA8*AU$29+SUMPRODUCT($AB8:$AJ8,TRANSPOSE(AU$30:AU$38)))+AR$20*(AA8*AU$39+SUMPRODUCT($AB8:$AJ8,TRANSPOSE(AU$40:AU$48)))+AS$20*(AA8*AU$49+SUMPRODUCT($AB8:$AJ8,TRANSPOSE(AU$50:AU$58)))+AT$20*(AA8*AU$59+SUMPRODUCT($AB8:$AJ8,TRANSPOSE(AU$60:AU$68)))))</f>
        <v>3.7541132063188969</v>
      </c>
      <c r="BM8" s="2"/>
      <c r="BN8" s="2"/>
      <c r="BP8">
        <f t="shared" si="35"/>
        <v>1</v>
      </c>
      <c r="BQ8">
        <f t="shared" si="15"/>
        <v>0</v>
      </c>
      <c r="BR8">
        <f t="shared" si="16"/>
        <v>0</v>
      </c>
      <c r="BS8">
        <f t="shared" si="17"/>
        <v>0</v>
      </c>
      <c r="BT8">
        <f t="shared" si="18"/>
        <v>0</v>
      </c>
      <c r="BV8" s="2"/>
      <c r="BW8" s="2">
        <f t="shared" si="36"/>
        <v>1</v>
      </c>
      <c r="BX8" s="2">
        <f t="shared" si="37"/>
        <v>0</v>
      </c>
      <c r="BY8" s="2">
        <f t="shared" si="38"/>
        <v>0</v>
      </c>
      <c r="BZ8" s="2">
        <f t="shared" si="39"/>
        <v>0</v>
      </c>
      <c r="CA8" s="2">
        <f t="shared" si="40"/>
        <v>0</v>
      </c>
      <c r="CD8">
        <f t="shared" si="19"/>
        <v>1</v>
      </c>
      <c r="CE8">
        <f t="shared" si="20"/>
        <v>1</v>
      </c>
      <c r="CF8">
        <f t="shared" si="21"/>
        <v>0</v>
      </c>
      <c r="CG8">
        <f t="shared" si="22"/>
        <v>1</v>
      </c>
      <c r="CH8">
        <f t="shared" si="23"/>
        <v>0</v>
      </c>
      <c r="CK8">
        <f t="shared" si="24"/>
        <v>0</v>
      </c>
      <c r="CL8">
        <f t="shared" si="25"/>
        <v>0</v>
      </c>
      <c r="CM8">
        <f t="shared" si="26"/>
        <v>1</v>
      </c>
      <c r="CN8">
        <f t="shared" si="27"/>
        <v>0</v>
      </c>
      <c r="CO8">
        <f t="shared" si="28"/>
        <v>1</v>
      </c>
      <c r="CS8" s="38">
        <f t="shared" si="29"/>
        <v>0</v>
      </c>
      <c r="CT8" s="38">
        <f t="shared" si="30"/>
        <v>0</v>
      </c>
      <c r="CU8" s="38">
        <f t="shared" si="31"/>
        <v>0</v>
      </c>
      <c r="CV8" s="38">
        <f t="shared" si="32"/>
        <v>0</v>
      </c>
      <c r="CW8" s="38">
        <f t="shared" si="33"/>
        <v>0</v>
      </c>
    </row>
    <row r="9" spans="1:101">
      <c r="A9" t="s">
        <v>465</v>
      </c>
      <c r="B9" t="s">
        <v>67</v>
      </c>
      <c r="C9" t="s">
        <v>471</v>
      </c>
      <c r="D9">
        <v>24020</v>
      </c>
      <c r="E9">
        <v>245</v>
      </c>
      <c r="F9">
        <v>24</v>
      </c>
      <c r="G9">
        <v>10851</v>
      </c>
      <c r="H9">
        <v>2517</v>
      </c>
      <c r="I9">
        <v>18041</v>
      </c>
      <c r="J9">
        <v>805</v>
      </c>
      <c r="K9">
        <v>14931</v>
      </c>
      <c r="L9">
        <v>47171</v>
      </c>
      <c r="M9" s="3">
        <f t="shared" si="0"/>
        <v>23.003540310784167</v>
      </c>
      <c r="N9" s="3">
        <f t="shared" si="1"/>
        <v>5.3359055351805136</v>
      </c>
      <c r="O9" s="3">
        <f t="shared" si="2"/>
        <v>38.245956201903716</v>
      </c>
      <c r="P9" s="3">
        <f t="shared" si="3"/>
        <v>1.7065569947637318</v>
      </c>
      <c r="Q9" s="3">
        <f t="shared" si="4"/>
        <v>31.652922346356871</v>
      </c>
      <c r="R9">
        <v>16.5</v>
      </c>
      <c r="S9">
        <v>14.2</v>
      </c>
      <c r="T9">
        <v>42.9</v>
      </c>
      <c r="U9">
        <v>2.1</v>
      </c>
      <c r="V9">
        <v>23.4</v>
      </c>
      <c r="W9">
        <f t="shared" si="5"/>
        <v>0</v>
      </c>
      <c r="X9">
        <f t="shared" si="6"/>
        <v>0</v>
      </c>
      <c r="Y9">
        <f t="shared" si="7"/>
        <v>1</v>
      </c>
      <c r="Z9">
        <f t="shared" si="8"/>
        <v>0</v>
      </c>
      <c r="AA9">
        <f t="shared" si="9"/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P9" t="s">
        <v>472</v>
      </c>
      <c r="AQ9">
        <f>IF(AQ7&lt;0,AQ7,0)</f>
        <v>0</v>
      </c>
      <c r="AR9">
        <f>IF(AR7&lt;0,AR7,0)</f>
        <v>0</v>
      </c>
      <c r="AS9">
        <f>IF(AS7&lt;0,AS7,0)</f>
        <v>-15.780296172110386</v>
      </c>
      <c r="AT9">
        <f>IF(AT7&lt;0,AT7,0)</f>
        <v>0</v>
      </c>
      <c r="AU9">
        <f>IF(AU7&lt;0,AU7,0)</f>
        <v>-2.8855100499268573</v>
      </c>
      <c r="AV9">
        <f>SUM(AQ9:AU9)</f>
        <v>-18.665806222037244</v>
      </c>
      <c r="AY9" s="5">
        <f t="shared" si="10"/>
        <v>25.974650765177845</v>
      </c>
      <c r="AZ9" s="5">
        <f t="shared" si="11"/>
        <v>20.367850220720221</v>
      </c>
      <c r="BA9" s="5">
        <f t="shared" si="12"/>
        <v>22.850369435865304</v>
      </c>
      <c r="BB9" s="5">
        <f t="shared" si="13"/>
        <v>2.1673763770756174</v>
      </c>
      <c r="BC9" s="5">
        <f t="shared" si="14"/>
        <v>28.602478977511005</v>
      </c>
      <c r="BD9" s="5"/>
      <c r="BE9" s="5">
        <f t="shared" si="34"/>
        <v>99.962725776349998</v>
      </c>
      <c r="BF9" s="2"/>
      <c r="BH9" s="2">
        <f t="array" ref="BH9">MIN(100,MAX(0,M9-AK9*5+AR$16*(W9*AQ$29+SUMPRODUCT($AB9:$AJ9,TRANSPOSE(AQ$30:AQ$38)))+AS$16*(W9*AQ$39+SUMPRODUCT($AB9:$AJ9,TRANSPOSE(AQ$40:AQ$48)))+AU$16*(W9*AQ$49+SUMPRODUCT($AB9:$AJ9,TRANSPOSE(AQ$50:AQ$58)))+AT$16*(W9*AQ$59+SUMPRODUCT($AB9:$AJ9,TRANSPOSE(AQ$60:AQ$68)))))</f>
        <v>25.974650765177845</v>
      </c>
      <c r="BI9" s="2">
        <f t="array" ref="BI9">MIN(100,MAX(0,N9-AL9*5+AQ$17*(X9*AR$29+SUMPRODUCT($AB9:$AJ9,TRANSPOSE(AR$30:AR$38)))+AS$17*(X9*AR$39+SUMPRODUCT($AB9:$AJ9,TRANSPOSE(AR$40:AR$48)))+AU$17*(X9*AR$49+SUMPRODUCT($AB9:$AJ9,TRANSPOSE(AR$50:AR$58)))+AT$17*(X9*AR$59+SUMPRODUCT($AB9:$AJ9,TRANSPOSE(AR$60:AR$68)))))</f>
        <v>20.367850220720221</v>
      </c>
      <c r="BJ9" s="2">
        <f t="array" ref="BJ9">MIN(100,MAX(0,O9-AM9*5+AQ$18*(Y9*AS$29+SUMPRODUCT($AB9:$AJ9,TRANSPOSE(AS$30:AS$38)))+AR$18*(Y9*AS$39+SUMPRODUCT($AB9:$AJ9,TRANSPOSE(AS$40:AS$48)))+AU$18*(Y9*AS$49+SUMPRODUCT($AB9:$AJ9,TRANSPOSE(AS$50:AS$58)))+AT$18*(Y9*AS$59+SUMPRODUCT($AB9:$AJ9,TRANSPOSE(AS$60:AS$68)))))</f>
        <v>22.850369435865304</v>
      </c>
      <c r="BK9" s="2">
        <f t="array" ref="BK9">MIN(100,MAX(0,P9+AQ$19*(Z9*AT$29+SUMPRODUCT($AB9:$AJ9,TRANSPOSE(AT$30:AT$38)))+AR$19*(Z9*AT$39+SUMPRODUCT($AB9:$AJ9,TRANSPOSE(AT$40:AT$48)))+AS$19*(Z9*AT$49+SUMPRODUCT($AB9:$AJ9,TRANSPOSE(AT$50:AT$58)))+AU$19*(Z9*AT$59+SUMPRODUCT($AB9:$AJ9,TRANSPOSE(AT$60:AT$68)))))</f>
        <v>2.1673763770756174</v>
      </c>
      <c r="BL9" s="2">
        <f t="array" ref="BL9">MIN(100,MAX(0,Q9-AN9*5+AQ$20*(AA9*AU$29+SUMPRODUCT($AB9:$AJ9,TRANSPOSE(AU$30:AU$38)))+AR$20*(AA9*AU$39+SUMPRODUCT($AB9:$AJ9,TRANSPOSE(AU$40:AU$48)))+AS$20*(AA9*AU$49+SUMPRODUCT($AB9:$AJ9,TRANSPOSE(AU$50:AU$58)))+AT$20*(AA9*AU$59+SUMPRODUCT($AB9:$AJ9,TRANSPOSE(AU$60:AU$68)))))</f>
        <v>28.817550339699551</v>
      </c>
      <c r="BM9" s="2"/>
      <c r="BN9" s="2"/>
      <c r="BP9">
        <f t="shared" si="35"/>
        <v>0</v>
      </c>
      <c r="BQ9">
        <f t="shared" si="15"/>
        <v>0</v>
      </c>
      <c r="BR9">
        <f t="shared" si="16"/>
        <v>0</v>
      </c>
      <c r="BS9">
        <f t="shared" si="17"/>
        <v>0</v>
      </c>
      <c r="BT9">
        <f t="shared" si="18"/>
        <v>1</v>
      </c>
      <c r="BV9" s="2"/>
      <c r="BW9" s="2">
        <f t="shared" si="36"/>
        <v>1</v>
      </c>
      <c r="BX9" s="2">
        <f t="shared" si="37"/>
        <v>0</v>
      </c>
      <c r="BY9" s="2">
        <f t="shared" si="38"/>
        <v>0</v>
      </c>
      <c r="BZ9" s="2">
        <f t="shared" si="39"/>
        <v>0</v>
      </c>
      <c r="CA9" s="2">
        <f t="shared" si="40"/>
        <v>1</v>
      </c>
      <c r="CD9">
        <f t="shared" si="19"/>
        <v>1</v>
      </c>
      <c r="CE9">
        <f t="shared" si="20"/>
        <v>1</v>
      </c>
      <c r="CF9">
        <f t="shared" si="21"/>
        <v>0</v>
      </c>
      <c r="CG9">
        <f t="shared" si="22"/>
        <v>1</v>
      </c>
      <c r="CH9">
        <f t="shared" si="23"/>
        <v>0</v>
      </c>
      <c r="CK9">
        <f t="shared" si="24"/>
        <v>0</v>
      </c>
      <c r="CL9">
        <f t="shared" si="25"/>
        <v>0</v>
      </c>
      <c r="CM9">
        <f t="shared" si="26"/>
        <v>1</v>
      </c>
      <c r="CN9">
        <f t="shared" si="27"/>
        <v>0</v>
      </c>
      <c r="CO9">
        <f t="shared" si="28"/>
        <v>1</v>
      </c>
      <c r="CS9" s="38">
        <f t="shared" si="29"/>
        <v>1</v>
      </c>
      <c r="CT9" s="38">
        <f t="shared" si="30"/>
        <v>0</v>
      </c>
      <c r="CU9" s="38">
        <f t="shared" si="31"/>
        <v>0</v>
      </c>
      <c r="CV9" s="38">
        <f t="shared" si="32"/>
        <v>0</v>
      </c>
      <c r="CW9" s="38">
        <f t="shared" si="33"/>
        <v>0</v>
      </c>
    </row>
    <row r="10" spans="1:101">
      <c r="A10" t="s">
        <v>465</v>
      </c>
      <c r="B10" t="s">
        <v>68</v>
      </c>
      <c r="C10" t="s">
        <v>473</v>
      </c>
      <c r="D10">
        <v>24008</v>
      </c>
      <c r="E10">
        <v>246</v>
      </c>
      <c r="F10">
        <v>24</v>
      </c>
      <c r="G10">
        <v>12030</v>
      </c>
      <c r="H10">
        <v>3024</v>
      </c>
      <c r="I10">
        <v>21845</v>
      </c>
      <c r="J10">
        <v>885</v>
      </c>
      <c r="K10">
        <v>9585</v>
      </c>
      <c r="L10">
        <v>47589</v>
      </c>
      <c r="M10" s="3">
        <f t="shared" si="0"/>
        <v>25.278951018092418</v>
      </c>
      <c r="N10" s="3">
        <f t="shared" si="1"/>
        <v>6.3544096324780934</v>
      </c>
      <c r="O10" s="3">
        <f t="shared" si="2"/>
        <v>45.903465086469566</v>
      </c>
      <c r="P10" s="3">
        <f t="shared" si="3"/>
        <v>1.8596734539494422</v>
      </c>
      <c r="Q10" s="3">
        <f t="shared" si="4"/>
        <v>20.141209102943957</v>
      </c>
      <c r="R10">
        <v>16.5</v>
      </c>
      <c r="S10">
        <v>14.2</v>
      </c>
      <c r="T10">
        <v>42.9</v>
      </c>
      <c r="U10">
        <v>2.1</v>
      </c>
      <c r="V10">
        <v>23.4</v>
      </c>
      <c r="W10">
        <f t="shared" si="5"/>
        <v>0</v>
      </c>
      <c r="X10">
        <f t="shared" si="6"/>
        <v>0</v>
      </c>
      <c r="Y10">
        <f t="shared" si="7"/>
        <v>1</v>
      </c>
      <c r="Z10">
        <f t="shared" si="8"/>
        <v>0</v>
      </c>
      <c r="AA10">
        <f t="shared" si="9"/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P10" t="s">
        <v>417</v>
      </c>
      <c r="AQ10">
        <f>0.9*8.8</f>
        <v>7.9200000000000008</v>
      </c>
      <c r="AR10">
        <f>14.2*0.9</f>
        <v>12.78</v>
      </c>
      <c r="AS10">
        <f>0.9*4.6</f>
        <v>4.1399999999999997</v>
      </c>
      <c r="AT10">
        <f>0.9*2.1</f>
        <v>1.8900000000000001</v>
      </c>
      <c r="AU10">
        <f>0.9*23.4</f>
        <v>21.06</v>
      </c>
      <c r="AY10" s="5">
        <f t="shared" si="10"/>
        <v>28.724098694974462</v>
      </c>
      <c r="AZ10" s="5">
        <f t="shared" si="11"/>
        <v>22.2819813204067</v>
      </c>
      <c r="BA10" s="5">
        <f t="shared" si="12"/>
        <v>29.288238184328726</v>
      </c>
      <c r="BB10" s="5">
        <f t="shared" si="13"/>
        <v>2.268628943926116</v>
      </c>
      <c r="BC10" s="5">
        <f t="shared" si="14"/>
        <v>17.224300520844913</v>
      </c>
      <c r="BD10" s="5"/>
      <c r="BE10" s="5">
        <f t="shared" si="34"/>
        <v>99.78724766448093</v>
      </c>
      <c r="BF10" s="2"/>
      <c r="BH10" s="2">
        <f t="array" ref="BH10">MIN(100,MAX(0,M10-AK10*5+AR$16*(W10*AQ$29+SUMPRODUCT($AB10:$AJ10,TRANSPOSE(AQ$30:AQ$38)))+AS$16*(W10*AQ$39+SUMPRODUCT($AB10:$AJ10,TRANSPOSE(AQ$40:AQ$48)))+AU$16*(W10*AQ$49+SUMPRODUCT($AB10:$AJ10,TRANSPOSE(AQ$50:AQ$58)))+AT$16*(W10*AQ$59+SUMPRODUCT($AB10:$AJ10,TRANSPOSE(AQ$60:AQ$68)))))</f>
        <v>28.724098694974462</v>
      </c>
      <c r="BI10" s="2">
        <f t="array" ref="BI10">MIN(100,MAX(0,N10-AL10*5+AQ$17*(X10*AR$29+SUMPRODUCT($AB10:$AJ10,TRANSPOSE(AR$30:AR$38)))+AS$17*(X10*AR$39+SUMPRODUCT($AB10:$AJ10,TRANSPOSE(AR$40:AR$48)))+AU$17*(X10*AR$49+SUMPRODUCT($AB10:$AJ10,TRANSPOSE(AR$50:AR$58)))+AT$17*(X10*AR$59+SUMPRODUCT($AB10:$AJ10,TRANSPOSE(AR$60:AR$68)))))</f>
        <v>22.2819813204067</v>
      </c>
      <c r="BJ10" s="2">
        <f t="array" ref="BJ10">MIN(100,MAX(0,O10-AM10*5+AQ$18*(Y10*AS$29+SUMPRODUCT($AB10:$AJ10,TRANSPOSE(AS$30:AS$38)))+AR$18*(Y10*AS$39+SUMPRODUCT($AB10:$AJ10,TRANSPOSE(AS$40:AS$48)))+AU$18*(Y10*AS$49+SUMPRODUCT($AB10:$AJ10,TRANSPOSE(AS$50:AS$58)))+AT$18*(Y10*AS$59+SUMPRODUCT($AB10:$AJ10,TRANSPOSE(AS$60:AS$68)))))</f>
        <v>29.288238184328726</v>
      </c>
      <c r="BK10" s="2">
        <f t="array" ref="BK10">MIN(100,MAX(0,P10+AQ$19*(Z10*AT$29+SUMPRODUCT($AB10:$AJ10,TRANSPOSE(AT$30:AT$38)))+AR$19*(Z10*AT$39+SUMPRODUCT($AB10:$AJ10,TRANSPOSE(AT$40:AT$48)))+AS$19*(Z10*AT$49+SUMPRODUCT($AB10:$AJ10,TRANSPOSE(AT$50:AT$58)))+AU$19*(Z10*AT$59+SUMPRODUCT($AB10:$AJ10,TRANSPOSE(AT$60:AT$68)))))</f>
        <v>2.268628943926116</v>
      </c>
      <c r="BL10" s="2">
        <f t="array" ref="BL10">MIN(100,MAX(0,Q10-AN10*5+AQ$20*(AA10*AU$29+SUMPRODUCT($AB10:$AJ10,TRANSPOSE(AU$30:AU$38)))+AR$20*(AA10*AU$39+SUMPRODUCT($AB10:$AJ10,TRANSPOSE(AU$40:AU$48)))+AS$20*(AA10*AU$49+SUMPRODUCT($AB10:$AJ10,TRANSPOSE(AU$50:AU$58)))+AT$20*(AA10*AU$59+SUMPRODUCT($AB10:$AJ10,TRANSPOSE(AU$60:AU$68)))))</f>
        <v>17.224300520844913</v>
      </c>
      <c r="BM10" s="2"/>
      <c r="BN10" s="2"/>
      <c r="BP10">
        <f t="shared" si="35"/>
        <v>0</v>
      </c>
      <c r="BQ10">
        <f t="shared" si="15"/>
        <v>0</v>
      </c>
      <c r="BR10">
        <f t="shared" si="16"/>
        <v>1</v>
      </c>
      <c r="BS10">
        <f t="shared" si="17"/>
        <v>0</v>
      </c>
      <c r="BT10">
        <f t="shared" si="18"/>
        <v>0</v>
      </c>
      <c r="BV10" s="2"/>
      <c r="BW10" s="2">
        <f t="shared" si="36"/>
        <v>1</v>
      </c>
      <c r="BX10" s="2">
        <f t="shared" si="37"/>
        <v>0</v>
      </c>
      <c r="BY10" s="2">
        <f t="shared" si="38"/>
        <v>1</v>
      </c>
      <c r="BZ10" s="2">
        <f t="shared" si="39"/>
        <v>0</v>
      </c>
      <c r="CA10" s="2">
        <f t="shared" si="40"/>
        <v>0</v>
      </c>
      <c r="CD10">
        <f t="shared" si="19"/>
        <v>1</v>
      </c>
      <c r="CE10">
        <f t="shared" si="20"/>
        <v>1</v>
      </c>
      <c r="CF10">
        <f t="shared" si="21"/>
        <v>0</v>
      </c>
      <c r="CG10">
        <f t="shared" si="22"/>
        <v>1</v>
      </c>
      <c r="CH10">
        <f t="shared" si="23"/>
        <v>0</v>
      </c>
      <c r="CK10">
        <f t="shared" si="24"/>
        <v>0</v>
      </c>
      <c r="CL10">
        <f t="shared" si="25"/>
        <v>0</v>
      </c>
      <c r="CM10">
        <f t="shared" si="26"/>
        <v>1</v>
      </c>
      <c r="CN10">
        <f t="shared" si="27"/>
        <v>0</v>
      </c>
      <c r="CO10">
        <f t="shared" si="28"/>
        <v>1</v>
      </c>
      <c r="CS10" s="38">
        <f t="shared" si="29"/>
        <v>1</v>
      </c>
      <c r="CT10" s="38">
        <f t="shared" si="30"/>
        <v>0</v>
      </c>
      <c r="CU10" s="38">
        <f t="shared" si="31"/>
        <v>0</v>
      </c>
      <c r="CV10" s="38">
        <f t="shared" si="32"/>
        <v>0</v>
      </c>
      <c r="CW10" s="38">
        <f t="shared" si="33"/>
        <v>0</v>
      </c>
    </row>
    <row r="11" spans="1:101">
      <c r="A11" t="s">
        <v>465</v>
      </c>
      <c r="B11" t="s">
        <v>69</v>
      </c>
      <c r="C11" t="s">
        <v>474</v>
      </c>
      <c r="D11">
        <v>24009</v>
      </c>
      <c r="E11">
        <v>241</v>
      </c>
      <c r="F11">
        <v>24</v>
      </c>
      <c r="G11">
        <v>6478</v>
      </c>
      <c r="H11">
        <v>5024</v>
      </c>
      <c r="I11">
        <v>17705</v>
      </c>
      <c r="J11">
        <v>1479</v>
      </c>
      <c r="K11">
        <v>19046</v>
      </c>
      <c r="L11">
        <v>49732</v>
      </c>
      <c r="M11" s="3">
        <f t="shared" si="0"/>
        <v>13.025818386551919</v>
      </c>
      <c r="N11" s="3">
        <f t="shared" si="1"/>
        <v>10.102147510657122</v>
      </c>
      <c r="O11" s="3">
        <f t="shared" si="2"/>
        <v>35.600820397329684</v>
      </c>
      <c r="P11" s="3">
        <f t="shared" si="3"/>
        <v>2.9739403201158208</v>
      </c>
      <c r="Q11" s="3">
        <f t="shared" si="4"/>
        <v>38.297273385345456</v>
      </c>
      <c r="R11">
        <v>16.5</v>
      </c>
      <c r="S11">
        <v>14.2</v>
      </c>
      <c r="T11">
        <v>42.9</v>
      </c>
      <c r="U11">
        <v>2.1</v>
      </c>
      <c r="V11">
        <v>23.4</v>
      </c>
      <c r="W11">
        <f t="shared" si="5"/>
        <v>0</v>
      </c>
      <c r="X11">
        <f t="shared" si="6"/>
        <v>0</v>
      </c>
      <c r="Y11">
        <f t="shared" si="7"/>
        <v>0</v>
      </c>
      <c r="Z11">
        <f t="shared" si="8"/>
        <v>0</v>
      </c>
      <c r="AA11">
        <f t="shared" si="9"/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P11" t="s">
        <v>419</v>
      </c>
      <c r="AQ11">
        <f>IF(AQ6&lt;AQ10,1,0)</f>
        <v>0</v>
      </c>
      <c r="AR11">
        <f t="shared" ref="AR11:AU11" si="41">IF(AR6&lt;AR10,1,0)</f>
        <v>0</v>
      </c>
      <c r="AS11">
        <f t="shared" si="41"/>
        <v>0</v>
      </c>
      <c r="AT11">
        <f t="shared" si="41"/>
        <v>0</v>
      </c>
      <c r="AU11">
        <f t="shared" si="41"/>
        <v>1</v>
      </c>
      <c r="AY11" s="5">
        <f t="shared" si="10"/>
        <v>16.114095415537694</v>
      </c>
      <c r="AZ11" s="5">
        <f t="shared" si="11"/>
        <v>26.359127125325049</v>
      </c>
      <c r="BA11" s="5">
        <f t="shared" si="12"/>
        <v>18.750761653558619</v>
      </c>
      <c r="BB11" s="5">
        <f t="shared" si="13"/>
        <v>3.5445115040611106</v>
      </c>
      <c r="BC11" s="5">
        <f t="shared" si="14"/>
        <v>35.095018559068741</v>
      </c>
      <c r="BD11" s="5"/>
      <c r="BE11" s="5">
        <f t="shared" si="34"/>
        <v>99.863514257551202</v>
      </c>
      <c r="BF11" s="2"/>
      <c r="BH11" s="2">
        <f t="array" ref="BH11">MIN(100,MAX(0,M11-AK11*5+AR$16*(W11*AQ$29+SUMPRODUCT($AB11:$AJ11,TRANSPOSE(AQ$30:AQ$38)))+AS$16*(W11*AQ$39+SUMPRODUCT($AB11:$AJ11,TRANSPOSE(AQ$40:AQ$48)))+AU$16*(W11*AQ$49+SUMPRODUCT($AB11:$AJ11,TRANSPOSE(AQ$50:AQ$58)))+AT$16*(W11*AQ$59+SUMPRODUCT($AB11:$AJ11,TRANSPOSE(AQ$60:AQ$68)))))</f>
        <v>16.114095415537694</v>
      </c>
      <c r="BI11" s="2">
        <f t="array" ref="BI11">MIN(100,MAX(0,N11-AL11*5+AQ$17*(X11*AR$29+SUMPRODUCT($AB11:$AJ11,TRANSPOSE(AR$30:AR$38)))+AS$17*(X11*AR$39+SUMPRODUCT($AB11:$AJ11,TRANSPOSE(AR$40:AR$48)))+AU$17*(X11*AR$49+SUMPRODUCT($AB11:$AJ11,TRANSPOSE(AR$50:AR$58)))+AT$17*(X11*AR$59+SUMPRODUCT($AB11:$AJ11,TRANSPOSE(AR$60:AR$68)))))</f>
        <v>26.359127125325049</v>
      </c>
      <c r="BJ11" s="2">
        <f t="array" ref="BJ11">MIN(100,MAX(0,O11-AM11*5+AQ$18*(Y11*AS$29+SUMPRODUCT($AB11:$AJ11,TRANSPOSE(AS$30:AS$38)))+AR$18*(Y11*AS$39+SUMPRODUCT($AB11:$AJ11,TRANSPOSE(AS$40:AS$48)))+AU$18*(Y11*AS$49+SUMPRODUCT($AB11:$AJ11,TRANSPOSE(AS$50:AS$58)))+AT$18*(Y11*AS$59+SUMPRODUCT($AB11:$AJ11,TRANSPOSE(AS$60:AS$68)))))</f>
        <v>18.750761653558619</v>
      </c>
      <c r="BK11" s="2">
        <f t="array" ref="BK11">MIN(100,MAX(0,P11+AQ$19*(Z11*AT$29+SUMPRODUCT($AB11:$AJ11,TRANSPOSE(AT$30:AT$38)))+AR$19*(Z11*AT$39+SUMPRODUCT($AB11:$AJ11,TRANSPOSE(AT$40:AT$48)))+AS$19*(Z11*AT$49+SUMPRODUCT($AB11:$AJ11,TRANSPOSE(AT$50:AT$58)))+AU$19*(Z11*AT$59+SUMPRODUCT($AB11:$AJ11,TRANSPOSE(AT$60:AT$68)))))</f>
        <v>3.5445115040611106</v>
      </c>
      <c r="BL11" s="2">
        <f t="array" ref="BL11">MIN(100,MAX(0,Q11-AN11*5+AQ$20*(AA11*AU$29+SUMPRODUCT($AB11:$AJ11,TRANSPOSE(AU$30:AU$38)))+AR$20*(AA11*AU$39+SUMPRODUCT($AB11:$AJ11,TRANSPOSE(AU$40:AU$48)))+AS$20*(AA11*AU$49+SUMPRODUCT($AB11:$AJ11,TRANSPOSE(AU$50:AU$58)))+AT$20*(AA11*AU$59+SUMPRODUCT($AB11:$AJ11,TRANSPOSE(AU$60:AU$68)))))</f>
        <v>35.482735968022638</v>
      </c>
      <c r="BM11" s="2"/>
      <c r="BN11" s="2"/>
      <c r="BP11">
        <f t="shared" si="35"/>
        <v>0</v>
      </c>
      <c r="BQ11">
        <f t="shared" si="15"/>
        <v>0</v>
      </c>
      <c r="BR11">
        <f t="shared" si="16"/>
        <v>0</v>
      </c>
      <c r="BS11">
        <f t="shared" si="17"/>
        <v>0</v>
      </c>
      <c r="BT11">
        <f t="shared" si="18"/>
        <v>1</v>
      </c>
      <c r="BV11" s="2"/>
      <c r="BW11" s="2">
        <f t="shared" si="36"/>
        <v>0</v>
      </c>
      <c r="BX11" s="2">
        <f t="shared" si="37"/>
        <v>0</v>
      </c>
      <c r="BY11" s="2">
        <f t="shared" si="38"/>
        <v>0</v>
      </c>
      <c r="BZ11" s="2">
        <f t="shared" si="39"/>
        <v>1</v>
      </c>
      <c r="CA11" s="2">
        <f t="shared" si="40"/>
        <v>1</v>
      </c>
      <c r="CD11">
        <f t="shared" si="19"/>
        <v>1</v>
      </c>
      <c r="CE11">
        <f t="shared" si="20"/>
        <v>1</v>
      </c>
      <c r="CF11">
        <f t="shared" si="21"/>
        <v>0</v>
      </c>
      <c r="CG11">
        <f t="shared" si="22"/>
        <v>1</v>
      </c>
      <c r="CH11">
        <f t="shared" si="23"/>
        <v>0</v>
      </c>
      <c r="CK11">
        <f t="shared" si="24"/>
        <v>0</v>
      </c>
      <c r="CL11">
        <f t="shared" si="25"/>
        <v>0</v>
      </c>
      <c r="CM11">
        <f t="shared" si="26"/>
        <v>1</v>
      </c>
      <c r="CN11">
        <f t="shared" si="27"/>
        <v>0</v>
      </c>
      <c r="CO11">
        <f t="shared" si="28"/>
        <v>1</v>
      </c>
      <c r="CS11" s="38">
        <f t="shared" si="29"/>
        <v>0</v>
      </c>
      <c r="CT11" s="38">
        <f t="shared" si="30"/>
        <v>0</v>
      </c>
      <c r="CU11" s="38">
        <f t="shared" si="31"/>
        <v>0</v>
      </c>
      <c r="CV11" s="38">
        <f t="shared" si="32"/>
        <v>0</v>
      </c>
      <c r="CW11" s="38">
        <f t="shared" si="33"/>
        <v>0</v>
      </c>
    </row>
    <row r="12" spans="1:101">
      <c r="A12" t="s">
        <v>465</v>
      </c>
      <c r="B12" t="s">
        <v>70</v>
      </c>
      <c r="C12" t="s">
        <v>475</v>
      </c>
      <c r="D12">
        <v>24010</v>
      </c>
      <c r="E12">
        <v>246</v>
      </c>
      <c r="F12">
        <v>24</v>
      </c>
      <c r="G12">
        <v>25850</v>
      </c>
      <c r="H12">
        <v>3421</v>
      </c>
      <c r="I12">
        <v>19890</v>
      </c>
      <c r="J12">
        <v>903</v>
      </c>
      <c r="K12">
        <v>8757</v>
      </c>
      <c r="L12">
        <v>58821</v>
      </c>
      <c r="M12" s="3">
        <f t="shared" si="0"/>
        <v>43.9468897162578</v>
      </c>
      <c r="N12" s="3">
        <f t="shared" si="1"/>
        <v>5.8159500858536921</v>
      </c>
      <c r="O12" s="3">
        <f t="shared" si="2"/>
        <v>33.814454021522927</v>
      </c>
      <c r="P12" s="3">
        <f t="shared" si="3"/>
        <v>1.535166012138522</v>
      </c>
      <c r="Q12" s="3">
        <f t="shared" si="4"/>
        <v>14.887540164227062</v>
      </c>
      <c r="R12">
        <v>16.5</v>
      </c>
      <c r="S12">
        <v>14.2</v>
      </c>
      <c r="T12">
        <v>42.9</v>
      </c>
      <c r="U12">
        <v>2.1</v>
      </c>
      <c r="V12">
        <v>23.4</v>
      </c>
      <c r="W12">
        <f t="shared" si="5"/>
        <v>1</v>
      </c>
      <c r="X12">
        <f t="shared" si="6"/>
        <v>0</v>
      </c>
      <c r="Y12">
        <f t="shared" si="7"/>
        <v>0</v>
      </c>
      <c r="Z12">
        <f t="shared" si="8"/>
        <v>0</v>
      </c>
      <c r="AA12">
        <f t="shared" si="9"/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P12" t="s">
        <v>420</v>
      </c>
      <c r="AQ12">
        <f>24.6*1.1</f>
        <v>27.060000000000002</v>
      </c>
      <c r="AR12">
        <f>33.9*1.1</f>
        <v>37.29</v>
      </c>
      <c r="AS12">
        <f>1.1*42.9</f>
        <v>47.190000000000005</v>
      </c>
      <c r="AT12">
        <f>1.1*4</f>
        <v>4.4000000000000004</v>
      </c>
      <c r="AU12">
        <f>1.1*48.9</f>
        <v>53.790000000000006</v>
      </c>
      <c r="AY12" s="5">
        <f t="shared" si="10"/>
        <v>46.431047569512501</v>
      </c>
      <c r="AZ12" s="5">
        <f t="shared" si="11"/>
        <v>21.743521773782298</v>
      </c>
      <c r="BA12" s="5">
        <f t="shared" si="12"/>
        <v>17.199227119382087</v>
      </c>
      <c r="BB12" s="5">
        <f t="shared" si="13"/>
        <v>1.9441215021151959</v>
      </c>
      <c r="BC12" s="5">
        <f t="shared" si="14"/>
        <v>11.970631582128021</v>
      </c>
      <c r="BD12" s="5"/>
      <c r="BE12" s="5">
        <f t="shared" si="34"/>
        <v>99.288549546920095</v>
      </c>
      <c r="BF12" s="2"/>
      <c r="BH12" s="2">
        <f t="array" ref="BH12">MIN(100,MAX(0,M12-AK12*5+AR$16*(W12*AQ$29+SUMPRODUCT($AB12:$AJ12,TRANSPOSE(AQ$30:AQ$38)))+AS$16*(W12*AQ$39+SUMPRODUCT($AB12:$AJ12,TRANSPOSE(AQ$40:AQ$48)))+AU$16*(W12*AQ$49+SUMPRODUCT($AB12:$AJ12,TRANSPOSE(AQ$50:AQ$58)))+AT$16*(W12*AQ$59+SUMPRODUCT($AB12:$AJ12,TRANSPOSE(AQ$60:AQ$68)))))</f>
        <v>46.431047569512501</v>
      </c>
      <c r="BI12" s="2">
        <f t="array" ref="BI12">MIN(100,MAX(0,N12-AL12*5+AQ$17*(X12*AR$29+SUMPRODUCT($AB12:$AJ12,TRANSPOSE(AR$30:AR$38)))+AS$17*(X12*AR$39+SUMPRODUCT($AB12:$AJ12,TRANSPOSE(AR$40:AR$48)))+AU$17*(X12*AR$49+SUMPRODUCT($AB12:$AJ12,TRANSPOSE(AR$50:AR$58)))+AT$17*(X12*AR$59+SUMPRODUCT($AB12:$AJ12,TRANSPOSE(AR$60:AR$68)))))</f>
        <v>21.743521773782298</v>
      </c>
      <c r="BJ12" s="2">
        <f t="array" ref="BJ12">MIN(100,MAX(0,O12-AM12*5+AQ$18*(Y12*AS$29+SUMPRODUCT($AB12:$AJ12,TRANSPOSE(AS$30:AS$38)))+AR$18*(Y12*AS$39+SUMPRODUCT($AB12:$AJ12,TRANSPOSE(AS$40:AS$48)))+AU$18*(Y12*AS$49+SUMPRODUCT($AB12:$AJ12,TRANSPOSE(AS$50:AS$58)))+AT$18*(Y12*AS$59+SUMPRODUCT($AB12:$AJ12,TRANSPOSE(AS$60:AS$68)))))</f>
        <v>17.199227119382087</v>
      </c>
      <c r="BK12" s="2">
        <f t="array" ref="BK12">MIN(100,MAX(0,P12+AQ$19*(Z12*AT$29+SUMPRODUCT($AB12:$AJ12,TRANSPOSE(AT$30:AT$38)))+AR$19*(Z12*AT$39+SUMPRODUCT($AB12:$AJ12,TRANSPOSE(AT$40:AT$48)))+AS$19*(Z12*AT$49+SUMPRODUCT($AB12:$AJ12,TRANSPOSE(AT$50:AT$58)))+AU$19*(Z12*AT$59+SUMPRODUCT($AB12:$AJ12,TRANSPOSE(AT$60:AT$68)))))</f>
        <v>1.9441215021151959</v>
      </c>
      <c r="BL12" s="2">
        <f t="array" ref="BL12">MIN(100,MAX(0,Q12-AN12*5+AQ$20*(AA12*AU$29+SUMPRODUCT($AB12:$AJ12,TRANSPOSE(AU$30:AU$38)))+AR$20*(AA12*AU$39+SUMPRODUCT($AB12:$AJ12,TRANSPOSE(AU$40:AU$48)))+AS$20*(AA12*AU$49+SUMPRODUCT($AB12:$AJ12,TRANSPOSE(AU$50:AU$58)))+AT$20*(AA12*AU$59+SUMPRODUCT($AB12:$AJ12,TRANSPOSE(AU$60:AU$68)))))</f>
        <v>11.970631582128021</v>
      </c>
      <c r="BM12" s="2"/>
      <c r="BN12" s="2"/>
      <c r="BP12">
        <f t="shared" si="35"/>
        <v>1</v>
      </c>
      <c r="BQ12">
        <f t="shared" si="15"/>
        <v>0</v>
      </c>
      <c r="BR12">
        <f t="shared" si="16"/>
        <v>0</v>
      </c>
      <c r="BS12">
        <f t="shared" si="17"/>
        <v>0</v>
      </c>
      <c r="BT12">
        <f t="shared" si="18"/>
        <v>0</v>
      </c>
      <c r="BV12" s="2"/>
      <c r="BW12" s="2">
        <f t="shared" si="36"/>
        <v>1</v>
      </c>
      <c r="BX12" s="2">
        <f t="shared" si="37"/>
        <v>0</v>
      </c>
      <c r="BY12" s="2">
        <f t="shared" si="38"/>
        <v>0</v>
      </c>
      <c r="BZ12" s="2">
        <f t="shared" si="39"/>
        <v>0</v>
      </c>
      <c r="CA12" s="2">
        <f t="shared" si="40"/>
        <v>0</v>
      </c>
      <c r="CD12">
        <f t="shared" si="19"/>
        <v>1</v>
      </c>
      <c r="CE12">
        <f t="shared" si="20"/>
        <v>1</v>
      </c>
      <c r="CF12">
        <f t="shared" si="21"/>
        <v>0</v>
      </c>
      <c r="CG12">
        <f t="shared" si="22"/>
        <v>1</v>
      </c>
      <c r="CH12">
        <f t="shared" si="23"/>
        <v>0</v>
      </c>
      <c r="CK12">
        <f t="shared" si="24"/>
        <v>0</v>
      </c>
      <c r="CL12">
        <f t="shared" si="25"/>
        <v>0</v>
      </c>
      <c r="CM12">
        <f t="shared" si="26"/>
        <v>1</v>
      </c>
      <c r="CN12">
        <f t="shared" si="27"/>
        <v>0</v>
      </c>
      <c r="CO12">
        <f t="shared" si="28"/>
        <v>1</v>
      </c>
      <c r="CS12" s="38">
        <f t="shared" si="29"/>
        <v>0</v>
      </c>
      <c r="CT12" s="38">
        <f t="shared" si="30"/>
        <v>0</v>
      </c>
      <c r="CU12" s="38">
        <f t="shared" si="31"/>
        <v>0</v>
      </c>
      <c r="CV12" s="38">
        <f t="shared" si="32"/>
        <v>0</v>
      </c>
      <c r="CW12" s="38">
        <f t="shared" si="33"/>
        <v>0</v>
      </c>
    </row>
    <row r="13" spans="1:101">
      <c r="A13" t="s">
        <v>465</v>
      </c>
      <c r="B13" t="s">
        <v>71</v>
      </c>
      <c r="C13" t="s">
        <v>476</v>
      </c>
      <c r="D13">
        <v>24011</v>
      </c>
      <c r="E13">
        <v>244</v>
      </c>
      <c r="F13">
        <v>24</v>
      </c>
      <c r="G13">
        <v>4665</v>
      </c>
      <c r="H13">
        <v>5295</v>
      </c>
      <c r="I13">
        <v>25008</v>
      </c>
      <c r="J13">
        <v>914</v>
      </c>
      <c r="K13">
        <v>16091</v>
      </c>
      <c r="L13">
        <v>58707</v>
      </c>
      <c r="M13" s="3">
        <f t="shared" si="0"/>
        <v>7.9462415044202563</v>
      </c>
      <c r="N13" s="3">
        <f t="shared" si="1"/>
        <v>9.0193673667535386</v>
      </c>
      <c r="O13" s="3">
        <f t="shared" si="2"/>
        <v>42.597986611477332</v>
      </c>
      <c r="P13" s="3">
        <f t="shared" si="3"/>
        <v>1.5568841875755872</v>
      </c>
      <c r="Q13" s="3">
        <f t="shared" si="4"/>
        <v>27.408997223499753</v>
      </c>
      <c r="R13">
        <v>16.5</v>
      </c>
      <c r="S13">
        <v>14.2</v>
      </c>
      <c r="T13">
        <v>42.9</v>
      </c>
      <c r="U13">
        <v>2.1</v>
      </c>
      <c r="V13">
        <v>23.4</v>
      </c>
      <c r="W13">
        <f t="shared" si="5"/>
        <v>0</v>
      </c>
      <c r="X13">
        <f t="shared" si="6"/>
        <v>0</v>
      </c>
      <c r="Y13">
        <f t="shared" si="7"/>
        <v>1</v>
      </c>
      <c r="Z13">
        <f t="shared" si="8"/>
        <v>0</v>
      </c>
      <c r="AA13">
        <f t="shared" si="9"/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 t="s">
        <v>421</v>
      </c>
      <c r="AQ13">
        <f>IF(AQ6&gt;AQ12,1,0)</f>
        <v>0</v>
      </c>
      <c r="AR13">
        <f>IF(AR6&gt;AR12,1,0)</f>
        <v>0</v>
      </c>
      <c r="AS13">
        <f>IF(AS6&gt;AS12,1,0)</f>
        <v>0</v>
      </c>
      <c r="AT13">
        <f>IF(AT6&gt;AT12,1,0)</f>
        <v>0</v>
      </c>
      <c r="AU13">
        <f>IF(AU6&gt;AU12,1,0)</f>
        <v>0</v>
      </c>
      <c r="AY13" s="5">
        <f t="shared" si="10"/>
        <v>10.736120900201737</v>
      </c>
      <c r="AZ13" s="5">
        <f t="shared" si="11"/>
        <v>24.345395430776335</v>
      </c>
      <c r="BA13" s="5">
        <f t="shared" si="12"/>
        <v>26.877656964132417</v>
      </c>
      <c r="BB13" s="5">
        <f t="shared" si="13"/>
        <v>2.1186262950206349</v>
      </c>
      <c r="BC13" s="5">
        <f t="shared" si="14"/>
        <v>24.579203134932285</v>
      </c>
      <c r="BD13" s="5"/>
      <c r="BE13" s="5">
        <f t="shared" si="34"/>
        <v>88.657002725063407</v>
      </c>
      <c r="BF13" s="2"/>
      <c r="BH13" s="2">
        <f t="array" ref="BH13">MIN(100,MAX(0,M13-AK13*5+AR$16*(W13*AQ$29+SUMPRODUCT($AB13:$AJ13,TRANSPOSE(AQ$30:AQ$38)))+AS$16*(W13*AQ$39+SUMPRODUCT($AB13:$AJ13,TRANSPOSE(AQ$40:AQ$48)))+AU$16*(W13*AQ$49+SUMPRODUCT($AB13:$AJ13,TRANSPOSE(AQ$50:AQ$58)))+AT$16*(W13*AQ$59+SUMPRODUCT($AB13:$AJ13,TRANSPOSE(AQ$60:AQ$68)))))</f>
        <v>10.736120900201737</v>
      </c>
      <c r="BI13" s="2">
        <f t="array" ref="BI13">MIN(100,MAX(0,N13-AL13*5+AQ$17*(X13*AR$29+SUMPRODUCT($AB13:$AJ13,TRANSPOSE(AR$30:AR$38)))+AS$17*(X13*AR$39+SUMPRODUCT($AB13:$AJ13,TRANSPOSE(AR$40:AR$48)))+AU$17*(X13*AR$49+SUMPRODUCT($AB13:$AJ13,TRANSPOSE(AR$50:AR$58)))+AT$17*(X13*AR$59+SUMPRODUCT($AB13:$AJ13,TRANSPOSE(AR$60:AR$68)))))</f>
        <v>24.345395430776335</v>
      </c>
      <c r="BJ13" s="2">
        <f t="array" ref="BJ13">MIN(100,MAX(0,O13-AM13*5+AQ$18*(Y13*AS$29+SUMPRODUCT($AB13:$AJ13,TRANSPOSE(AS$30:AS$38)))+AR$18*(Y13*AS$39+SUMPRODUCT($AB13:$AJ13,TRANSPOSE(AS$40:AS$48)))+AU$18*(Y13*AS$49+SUMPRODUCT($AB13:$AJ13,TRANSPOSE(AS$50:AS$58)))+AT$18*(Y13*AS$59+SUMPRODUCT($AB13:$AJ13,TRANSPOSE(AS$60:AS$68)))))</f>
        <v>26.877656964132417</v>
      </c>
      <c r="BK13" s="2">
        <f t="array" ref="BK13">MIN(100,MAX(0,P13+AQ$19*(Z13*AT$29+SUMPRODUCT($AB13:$AJ13,TRANSPOSE(AT$30:AT$38)))+AR$19*(Z13*AT$39+SUMPRODUCT($AB13:$AJ13,TRANSPOSE(AT$40:AT$48)))+AS$19*(Z13*AT$49+SUMPRODUCT($AB13:$AJ13,TRANSPOSE(AT$50:AT$58)))+AU$19*(Z13*AT$59+SUMPRODUCT($AB13:$AJ13,TRANSPOSE(AT$60:AT$68)))))</f>
        <v>2.1186262950206349</v>
      </c>
      <c r="BL13" s="2">
        <f t="array" ref="BL13">MIN(100,MAX(0,Q13-AN13*5+AQ$20*(AA13*AU$29+SUMPRODUCT($AB13:$AJ13,TRANSPOSE(AU$30:AU$38)))+AR$20*(AA13*AU$39+SUMPRODUCT($AB13:$AJ13,TRANSPOSE(AU$40:AU$48)))+AS$20*(AA13*AU$49+SUMPRODUCT($AB13:$AJ13,TRANSPOSE(AU$50:AU$58)))+AT$20*(AA13*AU$59+SUMPRODUCT($AB13:$AJ13,TRANSPOSE(AU$60:AU$68)))))</f>
        <v>24.687289755550555</v>
      </c>
      <c r="BM13" s="2"/>
      <c r="BN13" s="2"/>
      <c r="BP13">
        <f t="shared" si="35"/>
        <v>0</v>
      </c>
      <c r="BQ13">
        <f t="shared" si="15"/>
        <v>0</v>
      </c>
      <c r="BR13">
        <f t="shared" si="16"/>
        <v>1</v>
      </c>
      <c r="BS13">
        <f t="shared" si="17"/>
        <v>0</v>
      </c>
      <c r="BT13">
        <f t="shared" si="18"/>
        <v>0</v>
      </c>
      <c r="BV13" s="2"/>
      <c r="BW13" s="2">
        <f t="shared" si="36"/>
        <v>0</v>
      </c>
      <c r="BX13" s="2">
        <f t="shared" si="37"/>
        <v>0</v>
      </c>
      <c r="BY13" s="2">
        <f t="shared" si="38"/>
        <v>0</v>
      </c>
      <c r="BZ13" s="2">
        <f t="shared" si="39"/>
        <v>0</v>
      </c>
      <c r="CA13" s="2">
        <f t="shared" si="40"/>
        <v>1</v>
      </c>
      <c r="CD13">
        <f t="shared" si="19"/>
        <v>1</v>
      </c>
      <c r="CE13">
        <f t="shared" si="20"/>
        <v>1</v>
      </c>
      <c r="CF13">
        <f t="shared" si="21"/>
        <v>0</v>
      </c>
      <c r="CG13">
        <f t="shared" si="22"/>
        <v>1</v>
      </c>
      <c r="CH13">
        <f t="shared" si="23"/>
        <v>0</v>
      </c>
      <c r="CK13">
        <f t="shared" si="24"/>
        <v>0</v>
      </c>
      <c r="CL13">
        <f t="shared" si="25"/>
        <v>0</v>
      </c>
      <c r="CM13">
        <f t="shared" si="26"/>
        <v>1</v>
      </c>
      <c r="CN13">
        <f t="shared" si="27"/>
        <v>0</v>
      </c>
      <c r="CO13">
        <f t="shared" si="28"/>
        <v>1</v>
      </c>
      <c r="CS13" s="38">
        <f t="shared" si="29"/>
        <v>0</v>
      </c>
      <c r="CT13" s="38">
        <f t="shared" si="30"/>
        <v>1</v>
      </c>
      <c r="CU13" s="38">
        <f t="shared" si="31"/>
        <v>0</v>
      </c>
      <c r="CV13" s="38">
        <f t="shared" si="32"/>
        <v>0</v>
      </c>
      <c r="CW13" s="38">
        <f t="shared" si="33"/>
        <v>1</v>
      </c>
    </row>
    <row r="14" spans="1:101">
      <c r="A14" t="s">
        <v>465</v>
      </c>
      <c r="B14" t="s">
        <v>72</v>
      </c>
      <c r="C14" t="s">
        <v>477</v>
      </c>
      <c r="D14">
        <v>24012</v>
      </c>
      <c r="E14">
        <v>244</v>
      </c>
      <c r="F14">
        <v>24</v>
      </c>
      <c r="G14">
        <v>6228</v>
      </c>
      <c r="H14">
        <v>5912</v>
      </c>
      <c r="I14">
        <v>20193</v>
      </c>
      <c r="J14">
        <v>1145</v>
      </c>
      <c r="K14">
        <v>15183</v>
      </c>
      <c r="L14">
        <v>48964</v>
      </c>
      <c r="M14" s="3">
        <f t="shared" si="0"/>
        <v>12.719549056449637</v>
      </c>
      <c r="N14" s="3">
        <f t="shared" si="1"/>
        <v>12.074176946327915</v>
      </c>
      <c r="O14" s="3">
        <f t="shared" si="2"/>
        <v>41.240503226860554</v>
      </c>
      <c r="P14" s="3">
        <f t="shared" si="3"/>
        <v>2.3384527407891511</v>
      </c>
      <c r="Q14" s="3">
        <f t="shared" si="4"/>
        <v>31.008496037905399</v>
      </c>
      <c r="R14">
        <v>16.5</v>
      </c>
      <c r="S14">
        <v>14.2</v>
      </c>
      <c r="T14">
        <v>42.9</v>
      </c>
      <c r="U14">
        <v>2.1</v>
      </c>
      <c r="V14">
        <v>23.4</v>
      </c>
      <c r="W14">
        <f t="shared" si="5"/>
        <v>0</v>
      </c>
      <c r="X14">
        <f t="shared" si="6"/>
        <v>0</v>
      </c>
      <c r="Y14">
        <f t="shared" si="7"/>
        <v>1</v>
      </c>
      <c r="Z14">
        <f t="shared" si="8"/>
        <v>0</v>
      </c>
      <c r="AA14">
        <f t="shared" si="9"/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Y14" s="5">
        <f t="shared" si="10"/>
        <v>15.807826085435414</v>
      </c>
      <c r="AZ14" s="5">
        <f t="shared" si="11"/>
        <v>28.331156560995844</v>
      </c>
      <c r="BA14" s="5">
        <f t="shared" si="12"/>
        <v>24.390444483089489</v>
      </c>
      <c r="BB14" s="5">
        <f t="shared" si="13"/>
        <v>2.9090239247344409</v>
      </c>
      <c r="BC14" s="5">
        <f t="shared" si="14"/>
        <v>27.995039943571118</v>
      </c>
      <c r="BD14" s="5"/>
      <c r="BE14" s="5">
        <f t="shared" si="34"/>
        <v>99.433490997826297</v>
      </c>
      <c r="BF14" s="2"/>
      <c r="BH14" s="2">
        <f t="array" ref="BH14">MIN(100,MAX(0,M14-AK14*5+AR$16*(W14*AQ$29+SUMPRODUCT($AB14:$AJ14,TRANSPOSE(AQ$30:AQ$38)))+AS$16*(W14*AQ$39+SUMPRODUCT($AB14:$AJ14,TRANSPOSE(AQ$40:AQ$48)))+AU$16*(W14*AQ$49+SUMPRODUCT($AB14:$AJ14,TRANSPOSE(AQ$50:AQ$58)))+AT$16*(W14*AQ$59+SUMPRODUCT($AB14:$AJ14,TRANSPOSE(AQ$60:AQ$68)))))</f>
        <v>15.807826085435414</v>
      </c>
      <c r="BI14" s="2">
        <f t="array" ref="BI14">MIN(100,MAX(0,N14-AL14*5+AQ$17*(X14*AR$29+SUMPRODUCT($AB14:$AJ14,TRANSPOSE(AR$30:AR$38)))+AS$17*(X14*AR$39+SUMPRODUCT($AB14:$AJ14,TRANSPOSE(AR$40:AR$48)))+AU$17*(X14*AR$49+SUMPRODUCT($AB14:$AJ14,TRANSPOSE(AR$50:AR$58)))+AT$17*(X14*AR$59+SUMPRODUCT($AB14:$AJ14,TRANSPOSE(AR$60:AR$68)))))</f>
        <v>28.331156560995844</v>
      </c>
      <c r="BJ14" s="2">
        <f t="array" ref="BJ14">MIN(100,MAX(0,O14-AM14*5+AQ$18*(Y14*AS$29+SUMPRODUCT($AB14:$AJ14,TRANSPOSE(AS$30:AS$38)))+AR$18*(Y14*AS$39+SUMPRODUCT($AB14:$AJ14,TRANSPOSE(AS$40:AS$48)))+AU$18*(Y14*AS$49+SUMPRODUCT($AB14:$AJ14,TRANSPOSE(AS$50:AS$58)))+AT$18*(Y14*AS$59+SUMPRODUCT($AB14:$AJ14,TRANSPOSE(AS$60:AS$68)))))</f>
        <v>24.390444483089489</v>
      </c>
      <c r="BK14" s="2">
        <f t="array" ref="BK14">MIN(100,MAX(0,P14+AQ$19*(Z14*AT$29+SUMPRODUCT($AB14:$AJ14,TRANSPOSE(AT$30:AT$38)))+AR$19*(Z14*AT$39+SUMPRODUCT($AB14:$AJ14,TRANSPOSE(AT$40:AT$48)))+AS$19*(Z14*AT$49+SUMPRODUCT($AB14:$AJ14,TRANSPOSE(AT$50:AT$58)))+AU$19*(Z14*AT$59+SUMPRODUCT($AB14:$AJ14,TRANSPOSE(AT$60:AT$68)))))</f>
        <v>2.9090239247344409</v>
      </c>
      <c r="BL14" s="2">
        <f t="array" ref="BL14">MIN(100,MAX(0,Q14-AN14*5+AQ$20*(AA14*AU$29+SUMPRODUCT($AB14:$AJ14,TRANSPOSE(AU$30:AU$38)))+AR$20*(AA14*AU$39+SUMPRODUCT($AB14:$AJ14,TRANSPOSE(AU$40:AU$48)))+AS$20*(AA14*AU$49+SUMPRODUCT($AB14:$AJ14,TRANSPOSE(AU$50:AU$58)))+AT$20*(AA14*AU$59+SUMPRODUCT($AB14:$AJ14,TRANSPOSE(AU$60:AU$68)))))</f>
        <v>28.193958620582578</v>
      </c>
      <c r="BM14" s="2"/>
      <c r="BN14" s="2"/>
      <c r="BP14">
        <f t="shared" si="35"/>
        <v>0</v>
      </c>
      <c r="BQ14">
        <f t="shared" si="15"/>
        <v>1</v>
      </c>
      <c r="BR14">
        <f t="shared" si="16"/>
        <v>0</v>
      </c>
      <c r="BS14">
        <f t="shared" si="17"/>
        <v>0</v>
      </c>
      <c r="BT14">
        <f t="shared" si="18"/>
        <v>0</v>
      </c>
      <c r="BV14" s="2"/>
      <c r="BW14" s="2">
        <f t="shared" si="36"/>
        <v>0</v>
      </c>
      <c r="BX14" s="2">
        <f t="shared" si="37"/>
        <v>0</v>
      </c>
      <c r="BY14" s="2">
        <f t="shared" si="38"/>
        <v>0</v>
      </c>
      <c r="BZ14" s="2">
        <f t="shared" si="39"/>
        <v>1</v>
      </c>
      <c r="CA14" s="2">
        <f t="shared" si="40"/>
        <v>1</v>
      </c>
      <c r="CD14">
        <f t="shared" si="19"/>
        <v>1</v>
      </c>
      <c r="CE14">
        <f t="shared" si="20"/>
        <v>1</v>
      </c>
      <c r="CF14">
        <f t="shared" si="21"/>
        <v>0</v>
      </c>
      <c r="CG14">
        <f t="shared" si="22"/>
        <v>1</v>
      </c>
      <c r="CH14">
        <f t="shared" si="23"/>
        <v>0</v>
      </c>
      <c r="CK14">
        <f t="shared" si="24"/>
        <v>0</v>
      </c>
      <c r="CL14">
        <f t="shared" si="25"/>
        <v>0</v>
      </c>
      <c r="CM14">
        <f t="shared" si="26"/>
        <v>1</v>
      </c>
      <c r="CN14">
        <f t="shared" si="27"/>
        <v>0</v>
      </c>
      <c r="CO14">
        <f t="shared" si="28"/>
        <v>1</v>
      </c>
      <c r="CS14" s="38">
        <f t="shared" si="29"/>
        <v>0</v>
      </c>
      <c r="CT14" s="38">
        <f t="shared" si="30"/>
        <v>0</v>
      </c>
      <c r="CU14" s="38">
        <f t="shared" si="31"/>
        <v>1</v>
      </c>
      <c r="CV14" s="38">
        <f t="shared" si="32"/>
        <v>0</v>
      </c>
      <c r="CW14" s="38">
        <f t="shared" si="33"/>
        <v>1</v>
      </c>
    </row>
    <row r="15" spans="1:101">
      <c r="A15" t="s">
        <v>465</v>
      </c>
      <c r="B15" t="s">
        <v>73</v>
      </c>
      <c r="C15" t="s">
        <v>73</v>
      </c>
      <c r="D15">
        <v>24015</v>
      </c>
      <c r="E15">
        <v>244</v>
      </c>
      <c r="F15">
        <v>24</v>
      </c>
      <c r="G15">
        <v>3114</v>
      </c>
      <c r="H15">
        <v>14585</v>
      </c>
      <c r="I15">
        <v>12269</v>
      </c>
      <c r="J15">
        <v>590</v>
      </c>
      <c r="K15">
        <v>7212</v>
      </c>
      <c r="L15">
        <v>37913</v>
      </c>
      <c r="M15" s="43">
        <f>M89</f>
        <v>8.9750000000000014</v>
      </c>
      <c r="N15" s="43">
        <f t="shared" ref="N15:Q15" si="42">N89</f>
        <v>34.11</v>
      </c>
      <c r="O15" s="43">
        <f t="shared" si="42"/>
        <v>39.82</v>
      </c>
      <c r="P15" s="43">
        <f t="shared" si="42"/>
        <v>0.35499999999999998</v>
      </c>
      <c r="Q15" s="43">
        <f t="shared" si="42"/>
        <v>15.26</v>
      </c>
      <c r="R15">
        <v>16.5</v>
      </c>
      <c r="S15">
        <v>14.2</v>
      </c>
      <c r="T15">
        <v>42.9</v>
      </c>
      <c r="U15">
        <v>2.1</v>
      </c>
      <c r="V15">
        <v>23.4</v>
      </c>
      <c r="W15">
        <f t="shared" si="5"/>
        <v>0</v>
      </c>
      <c r="X15" s="54">
        <v>1</v>
      </c>
      <c r="Y15" s="54">
        <v>0</v>
      </c>
      <c r="Z15">
        <f t="shared" si="8"/>
        <v>0</v>
      </c>
      <c r="AA15">
        <f t="shared" si="9"/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Q15" t="s">
        <v>478</v>
      </c>
      <c r="AR15" t="s">
        <v>479</v>
      </c>
      <c r="AS15" t="s">
        <v>480</v>
      </c>
      <c r="AT15" t="s">
        <v>481</v>
      </c>
      <c r="AU15" t="s">
        <v>482</v>
      </c>
      <c r="AY15" s="5">
        <f t="shared" si="10"/>
        <v>11.126154018061676</v>
      </c>
      <c r="AZ15" s="5">
        <f t="shared" si="11"/>
        <v>46.24802813671652</v>
      </c>
      <c r="BA15" s="5">
        <f t="shared" si="12"/>
        <v>26.703837210462389</v>
      </c>
      <c r="BB15" s="5">
        <f t="shared" si="13"/>
        <v>0.84775696116081534</v>
      </c>
      <c r="BC15" s="5">
        <f t="shared" si="14"/>
        <v>12.997437597972562</v>
      </c>
      <c r="BD15" s="5"/>
      <c r="BE15" s="5">
        <f t="shared" si="34"/>
        <v>97.923213924373954</v>
      </c>
      <c r="BF15" s="2"/>
      <c r="BH15" s="2">
        <f t="array" ref="BH15">MIN(100,MAX(0,M15-AK15*5+AR$16*(W15*AQ$29+SUMPRODUCT($AB15:$AJ15,TRANSPOSE(AQ$30:AQ$38)))+AS$16*(W15*AQ$39+SUMPRODUCT($AB15:$AJ15,TRANSPOSE(AQ$40:AQ$48)))+AU$16*(W15*AQ$49+SUMPRODUCT($AB15:$AJ15,TRANSPOSE(AQ$50:AQ$58)))+AT$16*(W15*AQ$59+SUMPRODUCT($AB15:$AJ15,TRANSPOSE(AQ$60:AQ$68)))))</f>
        <v>11.126154018061676</v>
      </c>
      <c r="BI15" s="2">
        <f t="array" ref="BI15">MIN(100,MAX(0,N15-AL15*5+AQ$17*(X15*AR$29+SUMPRODUCT($AB15:$AJ15,TRANSPOSE(AR$30:AR$38)))+AS$17*(X15*AR$39+SUMPRODUCT($AB15:$AJ15,TRANSPOSE(AR$40:AR$48)))+AU$17*(X15*AR$49+SUMPRODUCT($AB15:$AJ15,TRANSPOSE(AR$50:AR$58)))+AT$17*(X15*AR$59+SUMPRODUCT($AB15:$AJ15,TRANSPOSE(AR$60:AR$68)))))</f>
        <v>46.24802813671652</v>
      </c>
      <c r="BJ15" s="2">
        <f t="array" ref="BJ15">MIN(100,MAX(0,O15-AM15*5+AQ$18*(Y15*AS$29+SUMPRODUCT($AB15:$AJ15,TRANSPOSE(AS$30:AS$38)))+AR$18*(Y15*AS$39+SUMPRODUCT($AB15:$AJ15,TRANSPOSE(AS$40:AS$48)))+AU$18*(Y15*AS$49+SUMPRODUCT($AB15:$AJ15,TRANSPOSE(AS$50:AS$58)))+AT$18*(Y15*AS$59+SUMPRODUCT($AB15:$AJ15,TRANSPOSE(AS$60:AS$68)))))</f>
        <v>26.703837210462389</v>
      </c>
      <c r="BK15" s="2">
        <f t="array" ref="BK15">MIN(100,MAX(0,P15+AQ$19*(Z15*AT$29+SUMPRODUCT($AB15:$AJ15,TRANSPOSE(AT$30:AT$38)))+AR$19*(Z15*AT$39+SUMPRODUCT($AB15:$AJ15,TRANSPOSE(AT$40:AT$48)))+AS$19*(Z15*AT$49+SUMPRODUCT($AB15:$AJ15,TRANSPOSE(AT$50:AT$58)))+AU$19*(Z15*AT$59+SUMPRODUCT($AB15:$AJ15,TRANSPOSE(AT$60:AT$68)))))</f>
        <v>0.84775696116081534</v>
      </c>
      <c r="BL15" s="2">
        <f t="array" ref="BL15">MIN(100,MAX(0,Q15-AN15*5+AQ$20*(AA15*AU$29+SUMPRODUCT($AB15:$AJ15,TRANSPOSE(AU$30:AU$38)))+AR$20*(AA15*AU$39+SUMPRODUCT($AB15:$AJ15,TRANSPOSE(AU$40:AU$48)))+AS$20*(AA15*AU$49+SUMPRODUCT($AB15:$AJ15,TRANSPOSE(AU$50:AU$58)))+AT$20*(AA15*AU$59+SUMPRODUCT($AB15:$AJ15,TRANSPOSE(AU$60:AU$68)))))</f>
        <v>12.997437597972562</v>
      </c>
      <c r="BM15" s="2"/>
      <c r="BN15" s="2"/>
      <c r="BP15">
        <f t="shared" si="35"/>
        <v>0</v>
      </c>
      <c r="BQ15">
        <f t="shared" si="15"/>
        <v>1</v>
      </c>
      <c r="BR15">
        <f t="shared" si="16"/>
        <v>0</v>
      </c>
      <c r="BS15">
        <f t="shared" si="17"/>
        <v>0</v>
      </c>
      <c r="BT15">
        <f t="shared" si="18"/>
        <v>0</v>
      </c>
      <c r="BV15" s="2"/>
      <c r="BW15" s="2">
        <f t="shared" si="36"/>
        <v>0</v>
      </c>
      <c r="BX15" s="2">
        <f t="shared" si="37"/>
        <v>1</v>
      </c>
      <c r="BY15" s="2">
        <f t="shared" si="38"/>
        <v>0</v>
      </c>
      <c r="BZ15" s="2">
        <f t="shared" si="39"/>
        <v>0</v>
      </c>
      <c r="CA15" s="2">
        <f t="shared" si="40"/>
        <v>0</v>
      </c>
      <c r="CD15">
        <f t="shared" si="19"/>
        <v>1</v>
      </c>
      <c r="CE15">
        <f t="shared" si="20"/>
        <v>1</v>
      </c>
      <c r="CF15">
        <f t="shared" si="21"/>
        <v>0</v>
      </c>
      <c r="CG15">
        <f t="shared" si="22"/>
        <v>1</v>
      </c>
      <c r="CH15">
        <f t="shared" si="23"/>
        <v>0</v>
      </c>
      <c r="CK15">
        <f t="shared" si="24"/>
        <v>0</v>
      </c>
      <c r="CL15">
        <f t="shared" si="25"/>
        <v>0</v>
      </c>
      <c r="CM15">
        <f t="shared" si="26"/>
        <v>1</v>
      </c>
      <c r="CN15">
        <f t="shared" si="27"/>
        <v>0</v>
      </c>
      <c r="CO15">
        <f t="shared" si="28"/>
        <v>1</v>
      </c>
      <c r="CS15" s="38">
        <f t="shared" si="29"/>
        <v>0</v>
      </c>
      <c r="CT15" s="38">
        <f t="shared" si="30"/>
        <v>0</v>
      </c>
      <c r="CU15" s="38">
        <f t="shared" si="31"/>
        <v>0</v>
      </c>
      <c r="CV15" s="38">
        <f t="shared" si="32"/>
        <v>0</v>
      </c>
      <c r="CW15" s="38">
        <f t="shared" si="33"/>
        <v>0</v>
      </c>
    </row>
    <row r="16" spans="1:101">
      <c r="A16" t="s">
        <v>465</v>
      </c>
      <c r="B16" t="s">
        <v>74</v>
      </c>
      <c r="C16" t="s">
        <v>483</v>
      </c>
      <c r="D16">
        <v>24016</v>
      </c>
      <c r="E16">
        <v>249</v>
      </c>
      <c r="F16">
        <v>24</v>
      </c>
      <c r="G16">
        <v>6256</v>
      </c>
      <c r="H16">
        <v>11588</v>
      </c>
      <c r="I16">
        <v>22404</v>
      </c>
      <c r="J16">
        <v>1120</v>
      </c>
      <c r="K16">
        <v>11171</v>
      </c>
      <c r="L16">
        <v>52538</v>
      </c>
      <c r="M16" s="3">
        <f t="shared" si="0"/>
        <v>11.907571662415775</v>
      </c>
      <c r="N16" s="3">
        <f t="shared" si="1"/>
        <v>22.056416308195974</v>
      </c>
      <c r="O16" s="3">
        <f t="shared" si="2"/>
        <v>42.643420000761353</v>
      </c>
      <c r="P16" s="3">
        <f t="shared" si="3"/>
        <v>2.13179032319464</v>
      </c>
      <c r="Q16" s="3">
        <f t="shared" si="4"/>
        <v>21.262705089649398</v>
      </c>
      <c r="R16">
        <v>16.5</v>
      </c>
      <c r="S16">
        <v>14.2</v>
      </c>
      <c r="T16">
        <v>42.9</v>
      </c>
      <c r="U16">
        <v>2.1</v>
      </c>
      <c r="V16">
        <v>23.4</v>
      </c>
      <c r="W16">
        <f t="shared" si="5"/>
        <v>0</v>
      </c>
      <c r="X16">
        <f t="shared" si="6"/>
        <v>0</v>
      </c>
      <c r="Y16" s="54">
        <v>0</v>
      </c>
      <c r="Z16">
        <f t="shared" si="8"/>
        <v>0</v>
      </c>
      <c r="AA16">
        <f t="shared" si="9"/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P16" t="s">
        <v>478</v>
      </c>
      <c r="AQ16" s="6">
        <f>IF(OR($AV$8=0,$AV$9=0),$AQ7/5,AQ$9/$AV$9*$AQ$8+AQ$8/$AV$8*$AQ$9)</f>
        <v>0</v>
      </c>
      <c r="AR16" s="6">
        <f>IF(OR($AV$8=0,$AV$9=0),$AQ7/5,AR$9/$AV$9*$AQ$8+AR$8/$AV$8*$AQ$9)</f>
        <v>0</v>
      </c>
      <c r="AS16" s="6">
        <f>IF(OR($AV$8=0,$AV$9=0),$AQ7/5,AS$9/$AV$9*$AQ$8+AS$8/$AV$8*$AQ$9)</f>
        <v>2.4426987088204157</v>
      </c>
      <c r="AT16" s="6">
        <f>IF(OR($AV$8=0,$AV$9=0),$AQ7/5,AT$9/$AV$9*$AQ$8+AT$8/$AV$8*$AQ$9)</f>
        <v>0</v>
      </c>
      <c r="AU16" s="6">
        <f>IF(OR($AV$8=0,$AV$9=0),$AQ7/5,AU$9/$AV$9*$AQ$8+AU$8/$AV$8*$AQ$9)</f>
        <v>0.44666029055283835</v>
      </c>
      <c r="AV16" s="2">
        <f>SUM(AQ16:AU16)</f>
        <v>2.889358999373254</v>
      </c>
      <c r="AY16" s="5">
        <f t="shared" si="10"/>
        <v>14.995848691401552</v>
      </c>
      <c r="AZ16" s="5">
        <f t="shared" si="11"/>
        <v>38.313395922863904</v>
      </c>
      <c r="BA16" s="5">
        <f t="shared" si="12"/>
        <v>25.793361256990288</v>
      </c>
      <c r="BB16" s="5">
        <f t="shared" si="13"/>
        <v>2.7023615071399298</v>
      </c>
      <c r="BC16" s="5">
        <f t="shared" si="14"/>
        <v>18.448167672326576</v>
      </c>
      <c r="BD16" s="5"/>
      <c r="BE16" s="5">
        <f t="shared" si="34"/>
        <v>100.25313505072225</v>
      </c>
      <c r="BF16" s="2"/>
      <c r="BH16" s="2">
        <f t="array" ref="BH16">MIN(100,MAX(0,M16-AK16*5+AR$16*(W16*AQ$29+SUMPRODUCT($AB16:$AJ16,TRANSPOSE(AQ$30:AQ$38)))+AS$16*(W16*AQ$39+SUMPRODUCT($AB16:$AJ16,TRANSPOSE(AQ$40:AQ$48)))+AU$16*(W16*AQ$49+SUMPRODUCT($AB16:$AJ16,TRANSPOSE(AQ$50:AQ$58)))+AT$16*(W16*AQ$59+SUMPRODUCT($AB16:$AJ16,TRANSPOSE(AQ$60:AQ$68)))))</f>
        <v>14.995848691401552</v>
      </c>
      <c r="BI16" s="2">
        <f t="array" ref="BI16">MIN(100,MAX(0,N16-AL16*5+AQ$17*(X16*AR$29+SUMPRODUCT($AB16:$AJ16,TRANSPOSE(AR$30:AR$38)))+AS$17*(X16*AR$39+SUMPRODUCT($AB16:$AJ16,TRANSPOSE(AR$40:AR$48)))+AU$17*(X16*AR$49+SUMPRODUCT($AB16:$AJ16,TRANSPOSE(AR$50:AR$58)))+AT$17*(X16*AR$59+SUMPRODUCT($AB16:$AJ16,TRANSPOSE(AR$60:AR$68)))))</f>
        <v>38.313395922863904</v>
      </c>
      <c r="BJ16" s="2">
        <f t="array" ref="BJ16">MIN(100,MAX(0,O16-AM16*5+AQ$18*(Y16*AS$29+SUMPRODUCT($AB16:$AJ16,TRANSPOSE(AS$30:AS$38)))+AR$18*(Y16*AS$39+SUMPRODUCT($AB16:$AJ16,TRANSPOSE(AS$40:AS$48)))+AU$18*(Y16*AS$49+SUMPRODUCT($AB16:$AJ16,TRANSPOSE(AS$50:AS$58)))+AT$18*(Y16*AS$59+SUMPRODUCT($AB16:$AJ16,TRANSPOSE(AS$60:AS$68)))))</f>
        <v>25.793361256990288</v>
      </c>
      <c r="BK16" s="2">
        <f t="array" ref="BK16">MIN(100,MAX(0,P16+AQ$19*(Z16*AT$29+SUMPRODUCT($AB16:$AJ16,TRANSPOSE(AT$30:AT$38)))+AR$19*(Z16*AT$39+SUMPRODUCT($AB16:$AJ16,TRANSPOSE(AT$40:AT$48)))+AS$19*(Z16*AT$49+SUMPRODUCT($AB16:$AJ16,TRANSPOSE(AT$50:AT$58)))+AU$19*(Z16*AT$59+SUMPRODUCT($AB16:$AJ16,TRANSPOSE(AT$60:AT$68)))))</f>
        <v>2.7023615071399298</v>
      </c>
      <c r="BL16" s="2">
        <f t="array" ref="BL16">MIN(100,MAX(0,Q16-AN16*5+AQ$20*(AA16*AU$29+SUMPRODUCT($AB16:$AJ16,TRANSPOSE(AU$30:AU$38)))+AR$20*(AA16*AU$39+SUMPRODUCT($AB16:$AJ16,TRANSPOSE(AU$40:AU$48)))+AS$20*(AA16*AU$49+SUMPRODUCT($AB16:$AJ16,TRANSPOSE(AU$50:AU$58)))+AT$20*(AA16*AU$59+SUMPRODUCT($AB16:$AJ16,TRANSPOSE(AU$60:AU$68)))))</f>
        <v>18.448167672326576</v>
      </c>
      <c r="BM16" s="2"/>
      <c r="BN16" s="2"/>
      <c r="BP16">
        <f t="shared" si="35"/>
        <v>0</v>
      </c>
      <c r="BQ16">
        <f t="shared" si="15"/>
        <v>1</v>
      </c>
      <c r="BR16">
        <f t="shared" si="16"/>
        <v>0</v>
      </c>
      <c r="BS16">
        <f t="shared" si="17"/>
        <v>0</v>
      </c>
      <c r="BT16">
        <f t="shared" si="18"/>
        <v>0</v>
      </c>
      <c r="BV16" s="2"/>
      <c r="BW16" s="2">
        <f t="shared" si="36"/>
        <v>0</v>
      </c>
      <c r="BX16" s="2">
        <f t="shared" si="37"/>
        <v>1</v>
      </c>
      <c r="BY16" s="2">
        <f t="shared" si="38"/>
        <v>0</v>
      </c>
      <c r="BZ16" s="2">
        <f t="shared" si="39"/>
        <v>1</v>
      </c>
      <c r="CA16" s="2">
        <f t="shared" si="40"/>
        <v>0</v>
      </c>
      <c r="CD16">
        <f t="shared" si="19"/>
        <v>1</v>
      </c>
      <c r="CE16">
        <f t="shared" si="20"/>
        <v>1</v>
      </c>
      <c r="CF16">
        <f t="shared" si="21"/>
        <v>0</v>
      </c>
      <c r="CG16">
        <f t="shared" si="22"/>
        <v>1</v>
      </c>
      <c r="CH16">
        <f t="shared" si="23"/>
        <v>0</v>
      </c>
      <c r="CK16">
        <f t="shared" si="24"/>
        <v>0</v>
      </c>
      <c r="CL16">
        <f t="shared" si="25"/>
        <v>0</v>
      </c>
      <c r="CM16">
        <f t="shared" si="26"/>
        <v>1</v>
      </c>
      <c r="CN16">
        <f t="shared" si="27"/>
        <v>0</v>
      </c>
      <c r="CO16">
        <f t="shared" si="28"/>
        <v>1</v>
      </c>
      <c r="CS16" s="38">
        <f t="shared" si="29"/>
        <v>0</v>
      </c>
      <c r="CT16" s="38">
        <f t="shared" si="30"/>
        <v>0</v>
      </c>
      <c r="CU16" s="38">
        <f t="shared" si="31"/>
        <v>0</v>
      </c>
      <c r="CV16" s="38">
        <f t="shared" si="32"/>
        <v>0</v>
      </c>
      <c r="CW16" s="38">
        <f t="shared" si="33"/>
        <v>0</v>
      </c>
    </row>
    <row r="17" spans="1:101">
      <c r="A17" t="s">
        <v>465</v>
      </c>
      <c r="B17" t="s">
        <v>75</v>
      </c>
      <c r="C17" t="s">
        <v>484</v>
      </c>
      <c r="D17">
        <v>24017</v>
      </c>
      <c r="E17">
        <v>246</v>
      </c>
      <c r="F17">
        <v>24</v>
      </c>
      <c r="G17">
        <v>6282</v>
      </c>
      <c r="H17">
        <v>16045</v>
      </c>
      <c r="I17">
        <v>18031</v>
      </c>
      <c r="J17">
        <v>740</v>
      </c>
      <c r="K17">
        <v>7812</v>
      </c>
      <c r="L17">
        <v>48986</v>
      </c>
      <c r="M17" s="3">
        <f t="shared" si="0"/>
        <v>12.824072183889273</v>
      </c>
      <c r="N17" s="3">
        <f t="shared" si="1"/>
        <v>32.754256318131716</v>
      </c>
      <c r="O17" s="3">
        <f t="shared" si="2"/>
        <v>36.80847589107092</v>
      </c>
      <c r="P17" s="3">
        <f t="shared" si="3"/>
        <v>1.5106356918303188</v>
      </c>
      <c r="Q17" s="3">
        <f t="shared" si="4"/>
        <v>15.947413546727637</v>
      </c>
      <c r="R17">
        <v>16.5</v>
      </c>
      <c r="S17">
        <v>14.2</v>
      </c>
      <c r="T17">
        <v>42.9</v>
      </c>
      <c r="U17">
        <v>2.1</v>
      </c>
      <c r="V17">
        <v>23.4</v>
      </c>
      <c r="W17">
        <f t="shared" si="5"/>
        <v>0</v>
      </c>
      <c r="X17">
        <f t="shared" si="6"/>
        <v>0</v>
      </c>
      <c r="Y17">
        <f t="shared" si="7"/>
        <v>1</v>
      </c>
      <c r="Z17">
        <f t="shared" si="8"/>
        <v>0</v>
      </c>
      <c r="AA17">
        <f t="shared" si="9"/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 t="s">
        <v>479</v>
      </c>
      <c r="AQ17" s="6">
        <f>IF(OR($AV8=0,$AV9=0),$AR7/5,AQ$9/$AV$9*$AR$8+AQ$8/$AV$8*$AR$9)</f>
        <v>0</v>
      </c>
      <c r="AR17" s="6">
        <f>IF(OR($AV8=0,$AV9=0),$AR7/5,AR$9/$AV$9*$AR$8+AR$8/$AV$8*$AR$9)</f>
        <v>0</v>
      </c>
      <c r="AS17" s="6">
        <f>IF(OR($AV8=0,$AV9=0),$AR7/5,AS$9/$AV$9*$AR$8+AS$8/$AV$8*$AR$9)</f>
        <v>13.087979956937843</v>
      </c>
      <c r="AT17" s="6">
        <f>IF(OR($AV8=0,$AV9=0),$AR7/5,AT$9/$AV$9*$AR$8+AT$8/$AV$8*$AR$9)</f>
        <v>0</v>
      </c>
      <c r="AU17" s="6">
        <f>IF(OR($AV8=0,$AV9=0),$AR7/5,AU$9/$AV$9*$AR$8+AU$8/$AV$8*$AR$9)</f>
        <v>2.3932058870815753</v>
      </c>
      <c r="AV17" s="2">
        <f>SUM(AQ17:AU17)</f>
        <v>15.481185844019418</v>
      </c>
      <c r="AY17" s="5">
        <f t="shared" si="10"/>
        <v>15.613951579670754</v>
      </c>
      <c r="AZ17" s="5">
        <f t="shared" si="11"/>
        <v>48.080284382154517</v>
      </c>
      <c r="BA17" s="5">
        <f t="shared" si="12"/>
        <v>21.088146243726005</v>
      </c>
      <c r="BB17" s="5">
        <f t="shared" si="13"/>
        <v>2.0723777992753667</v>
      </c>
      <c r="BC17" s="5">
        <f t="shared" si="14"/>
        <v>13.225706078778437</v>
      </c>
      <c r="BD17" s="5"/>
      <c r="BE17" s="5">
        <f t="shared" si="34"/>
        <v>100.08046608360507</v>
      </c>
      <c r="BF17" s="2"/>
      <c r="BH17" s="2">
        <f t="array" ref="BH17">MIN(100,MAX(0,M17-AK17*5+AR$16*(W17*AQ$29+SUMPRODUCT($AB17:$AJ17,TRANSPOSE(AQ$30:AQ$38)))+AS$16*(W17*AQ$39+SUMPRODUCT($AB17:$AJ17,TRANSPOSE(AQ$40:AQ$48)))+AU$16*(W17*AQ$49+SUMPRODUCT($AB17:$AJ17,TRANSPOSE(AQ$50:AQ$58)))+AT$16*(W17*AQ$59+SUMPRODUCT($AB17:$AJ17,TRANSPOSE(AQ$60:AQ$68)))))</f>
        <v>15.613951579670754</v>
      </c>
      <c r="BI17" s="2">
        <f t="array" ref="BI17">MIN(100,MAX(0,N17-AL17*5+AQ$17*(X17*AR$29+SUMPRODUCT($AB17:$AJ17,TRANSPOSE(AR$30:AR$38)))+AS$17*(X17*AR$39+SUMPRODUCT($AB17:$AJ17,TRANSPOSE(AR$40:AR$48)))+AU$17*(X17*AR$49+SUMPRODUCT($AB17:$AJ17,TRANSPOSE(AR$50:AR$58)))+AT$17*(X17*AR$59+SUMPRODUCT($AB17:$AJ17,TRANSPOSE(AR$60:AR$68)))))</f>
        <v>48.080284382154517</v>
      </c>
      <c r="BJ17" s="2">
        <f t="array" ref="BJ17">MIN(100,MAX(0,O17-AM17*5+AQ$18*(Y17*AS$29+SUMPRODUCT($AB17:$AJ17,TRANSPOSE(AS$30:AS$38)))+AR$18*(Y17*AS$39+SUMPRODUCT($AB17:$AJ17,TRANSPOSE(AS$40:AS$48)))+AU$18*(Y17*AS$49+SUMPRODUCT($AB17:$AJ17,TRANSPOSE(AS$50:AS$58)))+AT$18*(Y17*AS$59+SUMPRODUCT($AB17:$AJ17,TRANSPOSE(AS$60:AS$68)))))</f>
        <v>21.088146243726005</v>
      </c>
      <c r="BK17" s="2">
        <f t="array" ref="BK17">MIN(100,MAX(0,P17+AQ$19*(Z17*AT$29+SUMPRODUCT($AB17:$AJ17,TRANSPOSE(AT$30:AT$38)))+AR$19*(Z17*AT$39+SUMPRODUCT($AB17:$AJ17,TRANSPOSE(AT$40:AT$48)))+AS$19*(Z17*AT$49+SUMPRODUCT($AB17:$AJ17,TRANSPOSE(AT$50:AT$58)))+AU$19*(Z17*AT$59+SUMPRODUCT($AB17:$AJ17,TRANSPOSE(AT$60:AT$68)))))</f>
        <v>2.0723777992753667</v>
      </c>
      <c r="BL17" s="2">
        <f t="array" ref="BL17">MIN(100,MAX(0,Q17-AN17*5+AQ$20*(AA17*AU$29+SUMPRODUCT($AB17:$AJ17,TRANSPOSE(AU$30:AU$38)))+AR$20*(AA17*AU$39+SUMPRODUCT($AB17:$AJ17,TRANSPOSE(AU$40:AU$48)))+AS$20*(AA17*AU$49+SUMPRODUCT($AB17:$AJ17,TRANSPOSE(AU$50:AU$58)))+AT$20*(AA17*AU$59+SUMPRODUCT($AB17:$AJ17,TRANSPOSE(AU$60:AU$68)))))</f>
        <v>13.225706078778437</v>
      </c>
      <c r="BM17" s="2"/>
      <c r="BN17" s="2"/>
      <c r="BP17">
        <f t="shared" si="35"/>
        <v>0</v>
      </c>
      <c r="BQ17">
        <f t="shared" si="15"/>
        <v>1</v>
      </c>
      <c r="BR17">
        <f t="shared" si="16"/>
        <v>0</v>
      </c>
      <c r="BS17">
        <f t="shared" si="17"/>
        <v>0</v>
      </c>
      <c r="BT17">
        <f t="shared" si="18"/>
        <v>0</v>
      </c>
      <c r="BV17" s="2"/>
      <c r="BW17" s="2">
        <f t="shared" si="36"/>
        <v>0</v>
      </c>
      <c r="BX17" s="2">
        <f t="shared" si="37"/>
        <v>1</v>
      </c>
      <c r="BY17" s="2">
        <f t="shared" si="38"/>
        <v>0</v>
      </c>
      <c r="BZ17" s="2">
        <f t="shared" si="39"/>
        <v>0</v>
      </c>
      <c r="CA17" s="2">
        <f t="shared" si="40"/>
        <v>0</v>
      </c>
      <c r="CD17">
        <f t="shared" si="19"/>
        <v>1</v>
      </c>
      <c r="CE17">
        <f t="shared" si="20"/>
        <v>1</v>
      </c>
      <c r="CF17">
        <f t="shared" si="21"/>
        <v>0</v>
      </c>
      <c r="CG17">
        <f t="shared" si="22"/>
        <v>1</v>
      </c>
      <c r="CH17">
        <f t="shared" si="23"/>
        <v>0</v>
      </c>
      <c r="CK17">
        <f t="shared" si="24"/>
        <v>0</v>
      </c>
      <c r="CL17">
        <f t="shared" si="25"/>
        <v>0</v>
      </c>
      <c r="CM17">
        <f t="shared" si="26"/>
        <v>1</v>
      </c>
      <c r="CN17">
        <f t="shared" si="27"/>
        <v>0</v>
      </c>
      <c r="CO17">
        <f t="shared" si="28"/>
        <v>1</v>
      </c>
      <c r="CS17" s="38">
        <f t="shared" si="29"/>
        <v>0</v>
      </c>
      <c r="CT17" s="38">
        <f t="shared" si="30"/>
        <v>0</v>
      </c>
      <c r="CU17" s="38">
        <f t="shared" si="31"/>
        <v>0</v>
      </c>
      <c r="CV17" s="38">
        <f t="shared" si="32"/>
        <v>0</v>
      </c>
      <c r="CW17" s="38">
        <f t="shared" si="33"/>
        <v>0</v>
      </c>
    </row>
    <row r="18" spans="1:101">
      <c r="A18" t="s">
        <v>465</v>
      </c>
      <c r="B18" t="s">
        <v>76</v>
      </c>
      <c r="C18" t="s">
        <v>485</v>
      </c>
      <c r="D18">
        <v>24019</v>
      </c>
      <c r="E18">
        <v>248</v>
      </c>
      <c r="F18">
        <v>24</v>
      </c>
      <c r="G18">
        <v>16288</v>
      </c>
      <c r="H18">
        <v>3512</v>
      </c>
      <c r="I18">
        <v>24197</v>
      </c>
      <c r="J18">
        <v>837</v>
      </c>
      <c r="K18">
        <v>8756</v>
      </c>
      <c r="L18">
        <v>53779</v>
      </c>
      <c r="M18" s="3">
        <f t="shared" si="0"/>
        <v>30.286914966808602</v>
      </c>
      <c r="N18" s="3">
        <f t="shared" si="1"/>
        <v>6.5304300935309323</v>
      </c>
      <c r="O18" s="3">
        <f t="shared" si="2"/>
        <v>44.993398910355339</v>
      </c>
      <c r="P18" s="3">
        <f t="shared" si="3"/>
        <v>1.5563695866416258</v>
      </c>
      <c r="Q18" s="3">
        <f t="shared" si="4"/>
        <v>16.281448148905707</v>
      </c>
      <c r="R18">
        <v>16.5</v>
      </c>
      <c r="S18">
        <v>14.2</v>
      </c>
      <c r="T18">
        <v>42.9</v>
      </c>
      <c r="U18">
        <v>2.1</v>
      </c>
      <c r="V18">
        <v>23.4</v>
      </c>
      <c r="W18">
        <f t="shared" si="5"/>
        <v>0</v>
      </c>
      <c r="X18">
        <f t="shared" si="6"/>
        <v>0</v>
      </c>
      <c r="Y18">
        <f t="shared" si="7"/>
        <v>1</v>
      </c>
      <c r="Z18">
        <f t="shared" si="8"/>
        <v>0</v>
      </c>
      <c r="AA18">
        <f t="shared" si="9"/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 t="s">
        <v>480</v>
      </c>
      <c r="AQ18" s="6">
        <f>IF(OR($AV8=0,$AV9=0),$AS7/5,AQ$9/$AV$9*$AS$8+AQ$8/$AV$8*$AS$9)</f>
        <v>-2.4118848620298547</v>
      </c>
      <c r="AR18" s="6">
        <f>IF(OR($AV8=0,$AV9=0),$AS7/5,AR$9/$AV$9*$AS$8+AR$8/$AV$8*$AS$9)</f>
        <v>-12.922879362363997</v>
      </c>
      <c r="AS18" s="6">
        <f>IF(OR($AV8=0,$AV9=0),$AS7/5,AS$9/$AV$9*$AS$8+AS$8/$AV$8*$AS$9)</f>
        <v>0</v>
      </c>
      <c r="AT18" s="6">
        <f>IF(OR($AV8=0,$AV9=0),$AS7/5,AT$9/$AV$9*$AS$8+AT$8/$AV$8*$AS$9)</f>
        <v>-0.44553194771653354</v>
      </c>
      <c r="AU18" s="6">
        <f>IF(OR($AV8=0,$AV9=0),$AS7/5,AU$9/$AV$9*$AS$8+AU$8/$AV$8*$AS$9)</f>
        <v>0</v>
      </c>
      <c r="AV18" s="2">
        <f>SUM(AQ18:AU18)</f>
        <v>-15.780296172110384</v>
      </c>
      <c r="AY18" s="5">
        <f t="shared" si="10"/>
        <v>33.732062643690654</v>
      </c>
      <c r="AZ18" s="5">
        <f t="shared" si="11"/>
        <v>22.458001781459544</v>
      </c>
      <c r="BA18" s="5">
        <f t="shared" si="12"/>
        <v>28.378172008214499</v>
      </c>
      <c r="BB18" s="5">
        <f t="shared" si="13"/>
        <v>1.9653250766182997</v>
      </c>
      <c r="BC18" s="5">
        <f t="shared" si="14"/>
        <v>13.364539566806666</v>
      </c>
      <c r="BD18" s="5"/>
      <c r="BE18" s="5">
        <f t="shared" si="34"/>
        <v>99.898101076789658</v>
      </c>
      <c r="BF18" s="2"/>
      <c r="BH18" s="2">
        <f t="array" ref="BH18">MIN(100,MAX(0,M18-AK18*5+AR$16*(W18*AQ$29+SUMPRODUCT($AB18:$AJ18,TRANSPOSE(AQ$30:AQ$38)))+AS$16*(W18*AQ$39+SUMPRODUCT($AB18:$AJ18,TRANSPOSE(AQ$40:AQ$48)))+AU$16*(W18*AQ$49+SUMPRODUCT($AB18:$AJ18,TRANSPOSE(AQ$50:AQ$58)))+AT$16*(W18*AQ$59+SUMPRODUCT($AB18:$AJ18,TRANSPOSE(AQ$60:AQ$68)))))</f>
        <v>33.732062643690654</v>
      </c>
      <c r="BI18" s="2">
        <f t="array" ref="BI18">MIN(100,MAX(0,N18-AL18*5+AQ$17*(X18*AR$29+SUMPRODUCT($AB18:$AJ18,TRANSPOSE(AR$30:AR$38)))+AS$17*(X18*AR$39+SUMPRODUCT($AB18:$AJ18,TRANSPOSE(AR$40:AR$48)))+AU$17*(X18*AR$49+SUMPRODUCT($AB18:$AJ18,TRANSPOSE(AR$50:AR$58)))+AT$17*(X18*AR$59+SUMPRODUCT($AB18:$AJ18,TRANSPOSE(AR$60:AR$68)))))</f>
        <v>22.458001781459544</v>
      </c>
      <c r="BJ18" s="2">
        <f t="array" ref="BJ18">MIN(100,MAX(0,O18-AM18*5+AQ$18*(Y18*AS$29+SUMPRODUCT($AB18:$AJ18,TRANSPOSE(AS$30:AS$38)))+AR$18*(Y18*AS$39+SUMPRODUCT($AB18:$AJ18,TRANSPOSE(AS$40:AS$48)))+AU$18*(Y18*AS$49+SUMPRODUCT($AB18:$AJ18,TRANSPOSE(AS$50:AS$58)))+AT$18*(Y18*AS$59+SUMPRODUCT($AB18:$AJ18,TRANSPOSE(AS$60:AS$68)))))</f>
        <v>28.378172008214499</v>
      </c>
      <c r="BK18" s="2">
        <f t="array" ref="BK18">MIN(100,MAX(0,P18+AQ$19*(Z18*AT$29+SUMPRODUCT($AB18:$AJ18,TRANSPOSE(AT$30:AT$38)))+AR$19*(Z18*AT$39+SUMPRODUCT($AB18:$AJ18,TRANSPOSE(AT$40:AT$48)))+AS$19*(Z18*AT$49+SUMPRODUCT($AB18:$AJ18,TRANSPOSE(AT$50:AT$58)))+AU$19*(Z18*AT$59+SUMPRODUCT($AB18:$AJ18,TRANSPOSE(AT$60:AT$68)))))</f>
        <v>1.9653250766182997</v>
      </c>
      <c r="BL18" s="2">
        <f t="array" ref="BL18">MIN(100,MAX(0,Q18-AN18*5+AQ$20*(AA18*AU$29+SUMPRODUCT($AB18:$AJ18,TRANSPOSE(AU$30:AU$38)))+AR$20*(AA18*AU$39+SUMPRODUCT($AB18:$AJ18,TRANSPOSE(AU$40:AU$48)))+AS$20*(AA18*AU$49+SUMPRODUCT($AB18:$AJ18,TRANSPOSE(AU$50:AU$58)))+AT$20*(AA18*AU$59+SUMPRODUCT($AB18:$AJ18,TRANSPOSE(AU$60:AU$68)))))</f>
        <v>13.364539566806666</v>
      </c>
      <c r="BM18" s="2"/>
      <c r="BN18" s="2"/>
      <c r="BP18">
        <f t="shared" si="35"/>
        <v>1</v>
      </c>
      <c r="BQ18">
        <f t="shared" si="15"/>
        <v>0</v>
      </c>
      <c r="BR18">
        <f t="shared" si="16"/>
        <v>0</v>
      </c>
      <c r="BS18">
        <f t="shared" si="17"/>
        <v>0</v>
      </c>
      <c r="BT18">
        <f t="shared" si="18"/>
        <v>0</v>
      </c>
      <c r="BV18" s="2"/>
      <c r="BW18" s="2">
        <f t="shared" si="36"/>
        <v>1</v>
      </c>
      <c r="BX18" s="2">
        <f t="shared" si="37"/>
        <v>0</v>
      </c>
      <c r="BY18" s="2">
        <f t="shared" si="38"/>
        <v>1</v>
      </c>
      <c r="BZ18" s="2">
        <f t="shared" si="39"/>
        <v>0</v>
      </c>
      <c r="CA18" s="2">
        <f t="shared" si="40"/>
        <v>0</v>
      </c>
      <c r="CD18">
        <f t="shared" si="19"/>
        <v>1</v>
      </c>
      <c r="CE18">
        <f t="shared" si="20"/>
        <v>1</v>
      </c>
      <c r="CF18">
        <f t="shared" si="21"/>
        <v>0</v>
      </c>
      <c r="CG18">
        <f t="shared" si="22"/>
        <v>1</v>
      </c>
      <c r="CH18">
        <f t="shared" si="23"/>
        <v>0</v>
      </c>
      <c r="CK18">
        <f t="shared" si="24"/>
        <v>0</v>
      </c>
      <c r="CL18">
        <f t="shared" si="25"/>
        <v>0</v>
      </c>
      <c r="CM18">
        <f t="shared" si="26"/>
        <v>1</v>
      </c>
      <c r="CN18">
        <f t="shared" si="27"/>
        <v>0</v>
      </c>
      <c r="CO18">
        <f t="shared" si="28"/>
        <v>1</v>
      </c>
      <c r="CS18" s="38">
        <f t="shared" si="29"/>
        <v>0</v>
      </c>
      <c r="CT18" s="38">
        <f t="shared" si="30"/>
        <v>0</v>
      </c>
      <c r="CU18" s="38">
        <f t="shared" si="31"/>
        <v>0</v>
      </c>
      <c r="CV18" s="38">
        <f t="shared" si="32"/>
        <v>0</v>
      </c>
      <c r="CW18" s="38">
        <f t="shared" si="33"/>
        <v>0</v>
      </c>
    </row>
    <row r="19" spans="1:101">
      <c r="A19" t="s">
        <v>465</v>
      </c>
      <c r="B19" t="s">
        <v>77</v>
      </c>
      <c r="C19" t="s">
        <v>486</v>
      </c>
      <c r="D19">
        <v>24021</v>
      </c>
      <c r="E19">
        <v>241</v>
      </c>
      <c r="F19">
        <v>24</v>
      </c>
      <c r="G19">
        <v>5462</v>
      </c>
      <c r="H19">
        <v>4630</v>
      </c>
      <c r="I19">
        <v>22116</v>
      </c>
      <c r="J19">
        <v>865</v>
      </c>
      <c r="K19">
        <v>12216</v>
      </c>
      <c r="L19">
        <v>45394</v>
      </c>
      <c r="M19" s="3">
        <f t="shared" si="0"/>
        <v>12.032427193021105</v>
      </c>
      <c r="N19" s="3">
        <f t="shared" si="1"/>
        <v>10.199585848350003</v>
      </c>
      <c r="O19" s="3">
        <f t="shared" si="2"/>
        <v>48.720095166762128</v>
      </c>
      <c r="P19" s="3">
        <f t="shared" si="3"/>
        <v>1.9055381768515665</v>
      </c>
      <c r="Q19" s="3">
        <f t="shared" si="4"/>
        <v>26.91104551262281</v>
      </c>
      <c r="R19">
        <v>16.5</v>
      </c>
      <c r="S19">
        <v>14.2</v>
      </c>
      <c r="T19">
        <v>42.9</v>
      </c>
      <c r="U19">
        <v>2.1</v>
      </c>
      <c r="V19">
        <v>23.4</v>
      </c>
      <c r="W19">
        <f t="shared" si="5"/>
        <v>0</v>
      </c>
      <c r="X19">
        <f t="shared" si="6"/>
        <v>0</v>
      </c>
      <c r="Y19">
        <f t="shared" si="7"/>
        <v>1</v>
      </c>
      <c r="Z19">
        <f t="shared" si="8"/>
        <v>0</v>
      </c>
      <c r="AA19">
        <f t="shared" si="9"/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 t="s">
        <v>481</v>
      </c>
      <c r="AQ19" s="6">
        <f>IF(OR($AV8=0,$AV9=0),$AT7/5,AQ$8/$AV$8*$AT9+AQ$9/$AV$9*$AT8)</f>
        <v>0</v>
      </c>
      <c r="AR19" s="6">
        <f>IF(OR($AV8=0,$AV9=0),$AT7/5,AR$8/$AV$8*$AT9+AR$9/$AV$9*$AT8)</f>
        <v>0</v>
      </c>
      <c r="AS19" s="6">
        <f>IF(OR($AV8=0,$AV9=0),$AT7/5,AS$8/$AV$8*$AT9+AS$9/$AV$9*$AT8)</f>
        <v>0.45122399106129063</v>
      </c>
      <c r="AT19" s="6">
        <f>IF(OR($AV8=0,$AV9=0),$AT7/5,AT$8/$AV$8*$AT9+AT$9/$AV$9*$AT8)</f>
        <v>0</v>
      </c>
      <c r="AU19" s="6">
        <f>IF(OR($AV8=0,$AV9=0),$AT7/5,AU$8/$AV$8*$AT9+AU$9/$AV$9*$AT8)</f>
        <v>8.2508677072651887E-2</v>
      </c>
      <c r="AV19" s="2">
        <f>SUM(AQ19:AU19)</f>
        <v>0.53373266813394249</v>
      </c>
      <c r="AY19" s="5">
        <f t="shared" si="10"/>
        <v>14.822306588802586</v>
      </c>
      <c r="AZ19" s="5">
        <f t="shared" si="11"/>
        <v>25.525613912372801</v>
      </c>
      <c r="BA19" s="5">
        <f t="shared" si="12"/>
        <v>32.999765519417217</v>
      </c>
      <c r="BB19" s="5">
        <f t="shared" si="13"/>
        <v>2.4672802842966139</v>
      </c>
      <c r="BC19" s="5">
        <f t="shared" si="14"/>
        <v>24.094149698635668</v>
      </c>
      <c r="BD19" s="5"/>
      <c r="BE19" s="5">
        <f t="shared" si="34"/>
        <v>99.9091160035249</v>
      </c>
      <c r="BF19" s="2"/>
      <c r="BH19" s="2">
        <f t="array" ref="BH19">MIN(100,MAX(0,M19-AK19*5+AR$16*(W19*AQ$29+SUMPRODUCT($AB19:$AJ19,TRANSPOSE(AQ$30:AQ$38)))+AS$16*(W19*AQ$39+SUMPRODUCT($AB19:$AJ19,TRANSPOSE(AQ$40:AQ$48)))+AU$16*(W19*AQ$49+SUMPRODUCT($AB19:$AJ19,TRANSPOSE(AQ$50:AQ$58)))+AT$16*(W19*AQ$59+SUMPRODUCT($AB19:$AJ19,TRANSPOSE(AQ$60:AQ$68)))))</f>
        <v>14.822306588802586</v>
      </c>
      <c r="BI19" s="2">
        <f t="array" ref="BI19">MIN(100,MAX(0,N19-AL19*5+AQ$17*(X19*AR$29+SUMPRODUCT($AB19:$AJ19,TRANSPOSE(AR$30:AR$38)))+AS$17*(X19*AR$39+SUMPRODUCT($AB19:$AJ19,TRANSPOSE(AR$40:AR$48)))+AU$17*(X19*AR$49+SUMPRODUCT($AB19:$AJ19,TRANSPOSE(AR$50:AR$58)))+AT$17*(X19*AR$59+SUMPRODUCT($AB19:$AJ19,TRANSPOSE(AR$60:AR$68)))))</f>
        <v>25.525613912372801</v>
      </c>
      <c r="BJ19" s="2">
        <f t="array" ref="BJ19">MIN(100,MAX(0,O19-AM19*5+AQ$18*(Y19*AS$29+SUMPRODUCT($AB19:$AJ19,TRANSPOSE(AS$30:AS$38)))+AR$18*(Y19*AS$39+SUMPRODUCT($AB19:$AJ19,TRANSPOSE(AS$40:AS$48)))+AU$18*(Y19*AS$49+SUMPRODUCT($AB19:$AJ19,TRANSPOSE(AS$50:AS$58)))+AT$18*(Y19*AS$59+SUMPRODUCT($AB19:$AJ19,TRANSPOSE(AS$60:AS$68)))))</f>
        <v>32.999765519417217</v>
      </c>
      <c r="BK19" s="2">
        <f t="array" ref="BK19">MIN(100,MAX(0,P19+AQ$19*(Z19*AT$29+SUMPRODUCT($AB19:$AJ19,TRANSPOSE(AT$30:AT$38)))+AR$19*(Z19*AT$39+SUMPRODUCT($AB19:$AJ19,TRANSPOSE(AT$40:AT$48)))+AS$19*(Z19*AT$49+SUMPRODUCT($AB19:$AJ19,TRANSPOSE(AT$50:AT$58)))+AU$19*(Z19*AT$59+SUMPRODUCT($AB19:$AJ19,TRANSPOSE(AT$60:AT$68)))))</f>
        <v>2.4672802842966139</v>
      </c>
      <c r="BL19" s="2">
        <f t="array" ref="BL19">MIN(100,MAX(0,Q19-AN19*5+AQ$20*(AA19*AU$29+SUMPRODUCT($AB19:$AJ19,TRANSPOSE(AU$30:AU$38)))+AR$20*(AA19*AU$39+SUMPRODUCT($AB19:$AJ19,TRANSPOSE(AU$40:AU$48)))+AS$20*(AA19*AU$49+SUMPRODUCT($AB19:$AJ19,TRANSPOSE(AU$50:AU$58)))+AT$20*(AA19*AU$59+SUMPRODUCT($AB19:$AJ19,TRANSPOSE(AU$60:AU$68)))))</f>
        <v>24.189338044673612</v>
      </c>
      <c r="BM19" s="2"/>
      <c r="BN19" s="2"/>
      <c r="BP19">
        <f t="shared" si="35"/>
        <v>0</v>
      </c>
      <c r="BQ19">
        <f t="shared" si="15"/>
        <v>0</v>
      </c>
      <c r="BR19">
        <f t="shared" si="16"/>
        <v>1</v>
      </c>
      <c r="BS19">
        <f t="shared" si="17"/>
        <v>0</v>
      </c>
      <c r="BT19">
        <f t="shared" si="18"/>
        <v>0</v>
      </c>
      <c r="BV19" s="2"/>
      <c r="BW19" s="2">
        <f t="shared" si="36"/>
        <v>0</v>
      </c>
      <c r="BX19" s="2">
        <f t="shared" si="37"/>
        <v>0</v>
      </c>
      <c r="BY19" s="2">
        <f t="shared" si="38"/>
        <v>1</v>
      </c>
      <c r="BZ19" s="2">
        <f t="shared" si="39"/>
        <v>0</v>
      </c>
      <c r="CA19" s="2">
        <f t="shared" si="40"/>
        <v>1</v>
      </c>
      <c r="CD19">
        <f t="shared" si="19"/>
        <v>1</v>
      </c>
      <c r="CE19">
        <f t="shared" si="20"/>
        <v>1</v>
      </c>
      <c r="CF19">
        <f t="shared" si="21"/>
        <v>0</v>
      </c>
      <c r="CG19">
        <f t="shared" si="22"/>
        <v>1</v>
      </c>
      <c r="CH19">
        <f t="shared" si="23"/>
        <v>0</v>
      </c>
      <c r="CK19">
        <f t="shared" si="24"/>
        <v>0</v>
      </c>
      <c r="CL19">
        <f t="shared" si="25"/>
        <v>0</v>
      </c>
      <c r="CM19">
        <f t="shared" si="26"/>
        <v>1</v>
      </c>
      <c r="CN19">
        <f t="shared" si="27"/>
        <v>0</v>
      </c>
      <c r="CO19">
        <f t="shared" si="28"/>
        <v>1</v>
      </c>
      <c r="CS19" s="38">
        <f t="shared" si="29"/>
        <v>0</v>
      </c>
      <c r="CT19" s="38">
        <f t="shared" si="30"/>
        <v>0</v>
      </c>
      <c r="CU19" s="38">
        <f t="shared" si="31"/>
        <v>0</v>
      </c>
      <c r="CV19" s="38">
        <f t="shared" si="32"/>
        <v>0</v>
      </c>
      <c r="CW19" s="38">
        <f t="shared" si="33"/>
        <v>1</v>
      </c>
    </row>
    <row r="20" spans="1:101">
      <c r="A20" t="s">
        <v>465</v>
      </c>
      <c r="B20" t="s">
        <v>78</v>
      </c>
      <c r="C20" t="s">
        <v>487</v>
      </c>
      <c r="D20">
        <v>24022</v>
      </c>
      <c r="E20">
        <v>241</v>
      </c>
      <c r="F20">
        <v>24</v>
      </c>
      <c r="G20">
        <v>11017</v>
      </c>
      <c r="H20">
        <v>2479</v>
      </c>
      <c r="I20">
        <v>16238</v>
      </c>
      <c r="J20">
        <v>655</v>
      </c>
      <c r="K20">
        <v>12418</v>
      </c>
      <c r="L20">
        <v>43096</v>
      </c>
      <c r="M20" s="3">
        <f t="shared" si="0"/>
        <v>25.563857434564692</v>
      </c>
      <c r="N20" s="3">
        <f t="shared" si="1"/>
        <v>5.7522739929459812</v>
      </c>
      <c r="O20" s="3">
        <f t="shared" si="2"/>
        <v>37.678670874327089</v>
      </c>
      <c r="P20" s="3">
        <f t="shared" si="3"/>
        <v>1.519862632262855</v>
      </c>
      <c r="Q20" s="3">
        <f t="shared" si="4"/>
        <v>28.814739186931504</v>
      </c>
      <c r="R20">
        <v>16.5</v>
      </c>
      <c r="S20">
        <v>14.2</v>
      </c>
      <c r="T20">
        <v>42.9</v>
      </c>
      <c r="U20">
        <v>2.1</v>
      </c>
      <c r="V20">
        <v>23.4</v>
      </c>
      <c r="W20">
        <f t="shared" si="5"/>
        <v>0</v>
      </c>
      <c r="X20">
        <f t="shared" si="6"/>
        <v>0</v>
      </c>
      <c r="Y20">
        <f t="shared" si="7"/>
        <v>1</v>
      </c>
      <c r="Z20">
        <f t="shared" si="8"/>
        <v>0</v>
      </c>
      <c r="AA20">
        <f t="shared" si="9"/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P20" t="s">
        <v>482</v>
      </c>
      <c r="AQ20" s="6">
        <f>IF(OR($AV8=0,$AV9=0),$AU7/5,AQ$8/$AV$8*$AU9+AQ$9/$AV$9*$AU8)</f>
        <v>-0.44102581680017117</v>
      </c>
      <c r="AR20" s="6">
        <f>IF(OR($AV8=0,$AV9=0),$AU7/5,AR$8/$AV$8*$AU9+AR$9/$AV$9*$AU8)</f>
        <v>-2.3630163760802732</v>
      </c>
      <c r="AS20" s="6">
        <f>IF(OR($AV8=0,$AV9=0),$AU7/5,AS$8/$AV$8*$AU9+AS$9/$AV$9*$AU8)</f>
        <v>0</v>
      </c>
      <c r="AT20" s="6">
        <f>IF(OR($AV8=0,$AV9=0),$AU7/5,AT$8/$AV$8*$AU9+AT$9/$AV$9*$AU8)</f>
        <v>-8.1467857046412837E-2</v>
      </c>
      <c r="AU20" s="6">
        <f>IF(OR($AV8=0,$AV9=0),$AU7/5,AU$8/$AV$8*$AU9+AU$9/$AV$9*$AU8)</f>
        <v>0</v>
      </c>
      <c r="AV20" s="2">
        <f>SUM(AQ20:AU20)</f>
        <v>-2.8855100499268573</v>
      </c>
      <c r="AY20" s="5">
        <f t="shared" si="10"/>
        <v>24.424442844286457</v>
      </c>
      <c r="AZ20" s="5">
        <f t="shared" si="11"/>
        <v>23.077668401639254</v>
      </c>
      <c r="BA20" s="5">
        <f t="shared" si="12"/>
        <v>22.899711888869081</v>
      </c>
      <c r="BB20" s="5">
        <f t="shared" si="13"/>
        <v>2.028203526235568</v>
      </c>
      <c r="BC20" s="5">
        <f t="shared" si="14"/>
        <v>25.533279988564708</v>
      </c>
      <c r="BD20" s="5"/>
      <c r="BE20" s="5">
        <f t="shared" si="34"/>
        <v>97.963306649595069</v>
      </c>
      <c r="BF20" s="2"/>
      <c r="BH20" s="58">
        <f t="array" ref="BH20">MIN(100,MAX(0,M20-4.5-AK20*5+AR$16*(W20*AQ$29+SUMPRODUCT($AB20:$AJ20,TRANSPOSE(AQ$30:AQ$38)))+AS$16*(W20*AQ$39+SUMPRODUCT($AB20:$AJ20,TRANSPOSE(AQ$40:AQ$48)))+AU$16*(W20*AQ$49+SUMPRODUCT($AB20:$AJ20,TRANSPOSE(AQ$50:AQ$58)))+AT$16*(W20*AQ$59+SUMPRODUCT($AB20:$AJ20,TRANSPOSE(AQ$60:AQ$68)))))</f>
        <v>24.424442844286457</v>
      </c>
      <c r="BI20" s="2">
        <f t="array" ref="BI20">MIN(100,MAX(0,N20-AL20*5+AQ$17*(X20*AR$29+SUMPRODUCT($AB20:$AJ20,TRANSPOSE(AR$30:AR$38)))+AS$17*(X20*AR$39+SUMPRODUCT($AB20:$AJ20,TRANSPOSE(AR$40:AR$48)))+AU$17*(X20*AR$49+SUMPRODUCT($AB20:$AJ20,TRANSPOSE(AR$50:AR$58)))+AT$17*(X20*AR$59+SUMPRODUCT($AB20:$AJ20,TRANSPOSE(AR$60:AR$68)))))</f>
        <v>23.077668401639254</v>
      </c>
      <c r="BJ20" s="58">
        <f t="array" ref="BJ20">MIN(100,MAX(0,O20+3-AM20*5+AQ$18*(Y20*AS$29+SUMPRODUCT($AB20:$AJ20,TRANSPOSE(AS$30:AS$38)))+AR$18*(Y20*AS$39+SUMPRODUCT($AB20:$AJ20,TRANSPOSE(AS$40:AS$48)))+AU$18*(Y20*AS$49+SUMPRODUCT($AB20:$AJ20,TRANSPOSE(AS$50:AS$58)))+AT$18*(Y20*AS$59+SUMPRODUCT($AB20:$AJ20,TRANSPOSE(AS$60:AS$68)))))</f>
        <v>22.899711888869081</v>
      </c>
      <c r="BK20" s="2">
        <f t="array" ref="BK20">MIN(100,MAX(0,P20+AQ$19*(Z20*AT$29+SUMPRODUCT($AB20:$AJ20,TRANSPOSE(AT$30:AT$38)))+AR$19*(Z20*AT$39+SUMPRODUCT($AB20:$AJ20,TRANSPOSE(AT$40:AT$48)))+AS$19*(Z20*AT$49+SUMPRODUCT($AB20:$AJ20,TRANSPOSE(AT$50:AT$58)))+AU$19*(Z20*AT$59+SUMPRODUCT($AB20:$AJ20,TRANSPOSE(AT$60:AT$68)))))</f>
        <v>2.028203526235568</v>
      </c>
      <c r="BL20" s="2">
        <f t="array" ref="BL20">MIN(100,MAX(0,Q20-AN20*5+AQ$20*(AA20*AU$29+SUMPRODUCT($AB20:$AJ20,TRANSPOSE(AU$30:AU$38)))+AR$20*(AA20*AU$39+SUMPRODUCT($AB20:$AJ20,TRANSPOSE(AU$40:AU$48)))+AS$20*(AA20*AU$49+SUMPRODUCT($AB20:$AJ20,TRANSPOSE(AU$50:AU$58)))+AT$20*(AA20*AU$59+SUMPRODUCT($AB20:$AJ20,TRANSPOSE(AU$60:AU$68)))))</f>
        <v>25.666736896883318</v>
      </c>
      <c r="BM20" s="2"/>
      <c r="BN20" s="2"/>
      <c r="BP20">
        <f t="shared" si="35"/>
        <v>0</v>
      </c>
      <c r="BQ20">
        <f t="shared" si="15"/>
        <v>0</v>
      </c>
      <c r="BR20">
        <f t="shared" si="16"/>
        <v>0</v>
      </c>
      <c r="BS20">
        <f t="shared" si="17"/>
        <v>0</v>
      </c>
      <c r="BT20">
        <f t="shared" si="18"/>
        <v>1</v>
      </c>
      <c r="BV20" s="2"/>
      <c r="BW20" s="2">
        <f t="shared" si="36"/>
        <v>1</v>
      </c>
      <c r="BX20" s="2">
        <f t="shared" si="37"/>
        <v>0</v>
      </c>
      <c r="BY20" s="2">
        <f t="shared" si="38"/>
        <v>0</v>
      </c>
      <c r="BZ20" s="2">
        <f t="shared" si="39"/>
        <v>0</v>
      </c>
      <c r="CA20" s="2">
        <f t="shared" si="40"/>
        <v>1</v>
      </c>
      <c r="CD20">
        <f t="shared" si="19"/>
        <v>0</v>
      </c>
      <c r="CE20">
        <f t="shared" si="20"/>
        <v>1</v>
      </c>
      <c r="CF20">
        <f t="shared" si="21"/>
        <v>0</v>
      </c>
      <c r="CG20">
        <f t="shared" si="22"/>
        <v>1</v>
      </c>
      <c r="CH20">
        <f t="shared" si="23"/>
        <v>0</v>
      </c>
      <c r="CK20">
        <f t="shared" si="24"/>
        <v>1</v>
      </c>
      <c r="CL20">
        <f t="shared" si="25"/>
        <v>0</v>
      </c>
      <c r="CM20">
        <f t="shared" si="26"/>
        <v>1</v>
      </c>
      <c r="CN20">
        <f t="shared" si="27"/>
        <v>0</v>
      </c>
      <c r="CO20">
        <f t="shared" si="28"/>
        <v>1</v>
      </c>
      <c r="CS20" s="38">
        <f t="shared" si="29"/>
        <v>1</v>
      </c>
      <c r="CT20" s="38">
        <f t="shared" si="30"/>
        <v>1</v>
      </c>
      <c r="CU20" s="38">
        <f t="shared" si="31"/>
        <v>1</v>
      </c>
      <c r="CV20" s="38">
        <f t="shared" si="32"/>
        <v>0</v>
      </c>
      <c r="CW20" s="38">
        <f t="shared" si="33"/>
        <v>0</v>
      </c>
    </row>
    <row r="21" spans="1:101">
      <c r="A21" t="s">
        <v>465</v>
      </c>
      <c r="B21" t="s">
        <v>79</v>
      </c>
      <c r="C21" t="s">
        <v>488</v>
      </c>
      <c r="D21">
        <v>24023</v>
      </c>
      <c r="E21">
        <v>245</v>
      </c>
      <c r="F21">
        <v>24</v>
      </c>
      <c r="G21">
        <v>5901</v>
      </c>
      <c r="H21">
        <v>5970</v>
      </c>
      <c r="I21">
        <v>23529</v>
      </c>
      <c r="J21">
        <v>1211</v>
      </c>
      <c r="K21">
        <v>13155</v>
      </c>
      <c r="L21">
        <v>49771</v>
      </c>
      <c r="M21" s="3">
        <f t="shared" si="0"/>
        <v>11.85630186253039</v>
      </c>
      <c r="N21" s="3">
        <f t="shared" si="1"/>
        <v>11.994936810592513</v>
      </c>
      <c r="O21" s="3">
        <f t="shared" si="2"/>
        <v>47.274517289184466</v>
      </c>
      <c r="P21" s="3">
        <f t="shared" si="3"/>
        <v>2.4331437985975772</v>
      </c>
      <c r="Q21" s="3">
        <f t="shared" si="4"/>
        <v>26.431054228365912</v>
      </c>
      <c r="R21">
        <v>16.5</v>
      </c>
      <c r="S21">
        <v>14.2</v>
      </c>
      <c r="T21">
        <v>42.9</v>
      </c>
      <c r="U21">
        <v>2.1</v>
      </c>
      <c r="V21">
        <v>23.4</v>
      </c>
      <c r="W21">
        <f t="shared" si="5"/>
        <v>0</v>
      </c>
      <c r="X21">
        <f t="shared" si="6"/>
        <v>0</v>
      </c>
      <c r="Y21">
        <f t="shared" si="7"/>
        <v>1</v>
      </c>
      <c r="Z21">
        <f t="shared" si="8"/>
        <v>0</v>
      </c>
      <c r="AA21">
        <f t="shared" si="9"/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T21" s="4"/>
      <c r="AY21" s="5">
        <f t="shared" si="10"/>
        <v>14.944578891516167</v>
      </c>
      <c r="AZ21" s="5">
        <f t="shared" si="11"/>
        <v>28.251916425260443</v>
      </c>
      <c r="BA21" s="5">
        <f t="shared" si="12"/>
        <v>30.424458545413401</v>
      </c>
      <c r="BB21" s="5">
        <f t="shared" si="13"/>
        <v>3.0037149825428671</v>
      </c>
      <c r="BC21" s="5">
        <f t="shared" si="14"/>
        <v>23.536166059485534</v>
      </c>
      <c r="BD21" s="5"/>
      <c r="BE21" s="5">
        <f t="shared" si="34"/>
        <v>100.16083490421843</v>
      </c>
      <c r="BF21" s="2"/>
      <c r="BH21" s="2">
        <f t="array" ref="BH21">MIN(100,MAX(0,M21-AK21*5+AR$16*(W21*AQ$29+SUMPRODUCT($AB21:$AJ21,TRANSPOSE(AQ$30:AQ$38)))+AS$16*(W21*AQ$39+SUMPRODUCT($AB21:$AJ21,TRANSPOSE(AQ$40:AQ$48)))+AU$16*(W21*AQ$49+SUMPRODUCT($AB21:$AJ21,TRANSPOSE(AQ$50:AQ$58)))+AT$16*(W21*AQ$59+SUMPRODUCT($AB21:$AJ21,TRANSPOSE(AQ$60:AQ$68)))))</f>
        <v>14.944578891516167</v>
      </c>
      <c r="BI21" s="2">
        <f t="array" ref="BI21">MIN(100,MAX(0,N21-AL21*5+AQ$17*(X21*AR$29+SUMPRODUCT($AB21:$AJ21,TRANSPOSE(AR$30:AR$38)))+AS$17*(X21*AR$39+SUMPRODUCT($AB21:$AJ21,TRANSPOSE(AR$40:AR$48)))+AU$17*(X21*AR$49+SUMPRODUCT($AB21:$AJ21,TRANSPOSE(AR$50:AR$58)))+AT$17*(X21*AR$59+SUMPRODUCT($AB21:$AJ21,TRANSPOSE(AR$60:AR$68)))))</f>
        <v>28.251916425260443</v>
      </c>
      <c r="BJ21" s="2">
        <f t="array" ref="BJ21">MIN(100,MAX(0,O21-AM21*5+AQ$18*(Y21*AS$29+SUMPRODUCT($AB21:$AJ21,TRANSPOSE(AS$30:AS$38)))+AR$18*(Y21*AS$39+SUMPRODUCT($AB21:$AJ21,TRANSPOSE(AS$40:AS$48)))+AU$18*(Y21*AS$49+SUMPRODUCT($AB21:$AJ21,TRANSPOSE(AS$50:AS$58)))+AT$18*(Y21*AS$59+SUMPRODUCT($AB21:$AJ21,TRANSPOSE(AS$60:AS$68)))))</f>
        <v>30.424458545413401</v>
      </c>
      <c r="BK21" s="2">
        <f t="array" ref="BK21">MIN(100,MAX(0,P21+AQ$19*(Z21*AT$29+SUMPRODUCT($AB21:$AJ21,TRANSPOSE(AT$30:AT$38)))+AR$19*(Z21*AT$39+SUMPRODUCT($AB21:$AJ21,TRANSPOSE(AT$40:AT$48)))+AS$19*(Z21*AT$49+SUMPRODUCT($AB21:$AJ21,TRANSPOSE(AT$50:AT$58)))+AU$19*(Z21*AT$59+SUMPRODUCT($AB21:$AJ21,TRANSPOSE(AT$60:AT$68)))))</f>
        <v>3.0037149825428671</v>
      </c>
      <c r="BL21" s="2">
        <f t="array" ref="BL21">MIN(100,MAX(0,Q21-AN21*5+AQ$20*(AA21*AU$29+SUMPRODUCT($AB21:$AJ21,TRANSPOSE(AU$30:AU$38)))+AR$20*(AA21*AU$39+SUMPRODUCT($AB21:$AJ21,TRANSPOSE(AU$40:AU$48)))+AS$20*(AA21*AU$49+SUMPRODUCT($AB21:$AJ21,TRANSPOSE(AU$50:AU$58)))+AT$20*(AA21*AU$59+SUMPRODUCT($AB21:$AJ21,TRANSPOSE(AU$60:AU$68)))))</f>
        <v>23.616516811043091</v>
      </c>
      <c r="BM21" s="2"/>
      <c r="BN21" s="2"/>
      <c r="BP21">
        <f t="shared" si="35"/>
        <v>0</v>
      </c>
      <c r="BQ21">
        <f t="shared" si="15"/>
        <v>0</v>
      </c>
      <c r="BR21">
        <f t="shared" si="16"/>
        <v>1</v>
      </c>
      <c r="BS21">
        <f t="shared" si="17"/>
        <v>0</v>
      </c>
      <c r="BT21">
        <f t="shared" si="18"/>
        <v>0</v>
      </c>
      <c r="BV21" s="2"/>
      <c r="BW21" s="2">
        <f t="shared" si="36"/>
        <v>0</v>
      </c>
      <c r="BX21" s="2">
        <f t="shared" si="37"/>
        <v>0</v>
      </c>
      <c r="BY21" s="2">
        <f t="shared" si="38"/>
        <v>1</v>
      </c>
      <c r="BZ21" s="2">
        <f t="shared" si="39"/>
        <v>1</v>
      </c>
      <c r="CA21" s="2">
        <f t="shared" si="40"/>
        <v>1</v>
      </c>
      <c r="CD21">
        <f t="shared" si="19"/>
        <v>1</v>
      </c>
      <c r="CE21">
        <f t="shared" si="20"/>
        <v>1</v>
      </c>
      <c r="CF21">
        <f t="shared" si="21"/>
        <v>0</v>
      </c>
      <c r="CG21">
        <f t="shared" si="22"/>
        <v>1</v>
      </c>
      <c r="CH21">
        <f t="shared" si="23"/>
        <v>0</v>
      </c>
      <c r="CK21">
        <f t="shared" si="24"/>
        <v>0</v>
      </c>
      <c r="CL21">
        <f t="shared" si="25"/>
        <v>0</v>
      </c>
      <c r="CM21">
        <f t="shared" si="26"/>
        <v>1</v>
      </c>
      <c r="CN21">
        <f t="shared" si="27"/>
        <v>0</v>
      </c>
      <c r="CO21">
        <f t="shared" si="28"/>
        <v>1</v>
      </c>
      <c r="CS21" s="38">
        <f t="shared" si="29"/>
        <v>0</v>
      </c>
      <c r="CT21" s="38">
        <f t="shared" si="30"/>
        <v>1</v>
      </c>
      <c r="CU21" s="38">
        <f t="shared" si="31"/>
        <v>0</v>
      </c>
      <c r="CV21" s="38">
        <f t="shared" si="32"/>
        <v>0</v>
      </c>
      <c r="CW21" s="38">
        <f t="shared" si="33"/>
        <v>1</v>
      </c>
    </row>
    <row r="22" spans="1:101">
      <c r="A22" t="s">
        <v>465</v>
      </c>
      <c r="B22" t="s">
        <v>80</v>
      </c>
      <c r="C22" t="s">
        <v>489</v>
      </c>
      <c r="D22">
        <v>24024</v>
      </c>
      <c r="E22">
        <v>242</v>
      </c>
      <c r="F22">
        <v>24</v>
      </c>
      <c r="G22">
        <v>6442</v>
      </c>
      <c r="H22">
        <v>13381</v>
      </c>
      <c r="I22">
        <v>18713</v>
      </c>
      <c r="J22">
        <v>1364</v>
      </c>
      <c r="K22">
        <v>5250</v>
      </c>
      <c r="L22">
        <v>45512</v>
      </c>
      <c r="M22" s="3">
        <f t="shared" si="0"/>
        <v>14.154508701001934</v>
      </c>
      <c r="N22" s="3">
        <f t="shared" si="1"/>
        <v>29.401037089119352</v>
      </c>
      <c r="O22" s="3">
        <f t="shared" si="2"/>
        <v>41.116628581473016</v>
      </c>
      <c r="P22" s="3">
        <f t="shared" si="3"/>
        <v>2.9970117771137286</v>
      </c>
      <c r="Q22" s="3">
        <f t="shared" si="4"/>
        <v>11.535419230093162</v>
      </c>
      <c r="R22">
        <v>16.5</v>
      </c>
      <c r="S22">
        <v>14.2</v>
      </c>
      <c r="T22">
        <v>42.9</v>
      </c>
      <c r="U22">
        <v>2.1</v>
      </c>
      <c r="V22">
        <v>23.4</v>
      </c>
      <c r="W22">
        <f t="shared" si="5"/>
        <v>0</v>
      </c>
      <c r="X22">
        <f t="shared" si="6"/>
        <v>0</v>
      </c>
      <c r="Y22">
        <f t="shared" si="7"/>
        <v>1</v>
      </c>
      <c r="Z22">
        <f t="shared" si="8"/>
        <v>0</v>
      </c>
      <c r="AA22">
        <f t="shared" si="9"/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P22" t="s">
        <v>3</v>
      </c>
      <c r="AQ22" s="3">
        <f>AY81</f>
        <v>19.502744818017398</v>
      </c>
      <c r="AR22" s="3">
        <f>AZ81</f>
        <v>29.793168293162037</v>
      </c>
      <c r="AS22" s="3">
        <f>BA81</f>
        <v>27.202102659708601</v>
      </c>
      <c r="AT22" s="3">
        <f>BB81</f>
        <v>2.6423708388716389</v>
      </c>
      <c r="AU22" s="3">
        <f>BC81</f>
        <v>20.016879893828008</v>
      </c>
      <c r="AV22" s="2"/>
      <c r="AY22" s="5">
        <f t="shared" si="10"/>
        <v>16.300024673383831</v>
      </c>
      <c r="AZ22" s="5">
        <f t="shared" si="11"/>
        <v>43.162988773391909</v>
      </c>
      <c r="BA22" s="5">
        <f t="shared" si="12"/>
        <v>27.182519229957474</v>
      </c>
      <c r="BB22" s="5">
        <f t="shared" si="13"/>
        <v>3.5419482246257701</v>
      </c>
      <c r="BC22" s="5">
        <f t="shared" si="14"/>
        <v>9.2246661843140281</v>
      </c>
      <c r="BD22" s="5"/>
      <c r="BE22" s="5">
        <f t="shared" si="34"/>
        <v>99.412147085673013</v>
      </c>
      <c r="BF22" s="2"/>
      <c r="BH22" s="2">
        <f t="array" ref="BH22">MIN(100,MAX(0,M22-AK22*5+AR$16*(W22*AQ$29+SUMPRODUCT($AB22:$AJ22,TRANSPOSE(AQ$30:AQ$38)))+AS$16*(W22*AQ$39+SUMPRODUCT($AB22:$AJ22,TRANSPOSE(AQ$40:AQ$48)))+AU$16*(W22*AQ$49+SUMPRODUCT($AB22:$AJ22,TRANSPOSE(AQ$50:AQ$58)))+AT$16*(W22*AQ$59+SUMPRODUCT($AB22:$AJ22,TRANSPOSE(AQ$60:AQ$68)))))</f>
        <v>16.300024673383831</v>
      </c>
      <c r="BI22" s="2">
        <f t="array" ref="BI22">MIN(100,MAX(0,N22-AL22*5+AQ$17*(X22*AR$29+SUMPRODUCT($AB22:$AJ22,TRANSPOSE(AR$30:AR$38)))+AS$17*(X22*AR$39+SUMPRODUCT($AB22:$AJ22,TRANSPOSE(AR$40:AR$48)))+AU$17*(X22*AR$49+SUMPRODUCT($AB22:$AJ22,TRANSPOSE(AR$50:AR$58)))+AT$17*(X22*AR$59+SUMPRODUCT($AB22:$AJ22,TRANSPOSE(AR$60:AR$68)))))</f>
        <v>43.162988773391909</v>
      </c>
      <c r="BJ22" s="2">
        <f t="array" ref="BJ22">MIN(100,MAX(0,O22-AM22*5+AQ$18*(Y22*AS$29+SUMPRODUCT($AB22:$AJ22,TRANSPOSE(AS$30:AS$38)))+AR$18*(Y22*AS$39+SUMPRODUCT($AB22:$AJ22,TRANSPOSE(AS$40:AS$48)))+AU$18*(Y22*AS$49+SUMPRODUCT($AB22:$AJ22,TRANSPOSE(AS$50:AS$58)))+AT$18*(Y22*AS$59+SUMPRODUCT($AB22:$AJ22,TRANSPOSE(AS$60:AS$68)))))</f>
        <v>27.182519229957474</v>
      </c>
      <c r="BK22" s="2">
        <f t="array" ref="BK22">MIN(100,MAX(0,P22+AQ$19*(Z22*AT$29+SUMPRODUCT($AB22:$AJ22,TRANSPOSE(AT$30:AT$38)))+AR$19*(Z22*AT$39+SUMPRODUCT($AB22:$AJ22,TRANSPOSE(AT$40:AT$48)))+AS$19*(Z22*AT$49+SUMPRODUCT($AB22:$AJ22,TRANSPOSE(AT$50:AT$58)))+AU$19*(Z22*AT$59+SUMPRODUCT($AB22:$AJ22,TRANSPOSE(AT$60:AT$68)))))</f>
        <v>3.5419482246257701</v>
      </c>
      <c r="BL22" s="2">
        <f t="array" ref="BL22">MIN(100,MAX(0,Q22-AN22*5+AQ$20*(AA22*AU$29+SUMPRODUCT($AB22:$AJ22,TRANSPOSE(AU$30:AU$38)))+AR$20*(AA22*AU$39+SUMPRODUCT($AB22:$AJ22,TRANSPOSE(AU$40:AU$48)))+AS$20*(AA22*AU$49+SUMPRODUCT($AB22:$AJ22,TRANSPOSE(AU$50:AU$58)))+AT$20*(AA22*AU$59+SUMPRODUCT($AB22:$AJ22,TRANSPOSE(AU$60:AU$68)))))</f>
        <v>9.2246661843140281</v>
      </c>
      <c r="BM22" s="2"/>
      <c r="BN22" s="2"/>
      <c r="BP22">
        <f t="shared" si="35"/>
        <v>0</v>
      </c>
      <c r="BQ22">
        <f t="shared" si="15"/>
        <v>1</v>
      </c>
      <c r="BR22">
        <f t="shared" si="16"/>
        <v>0</v>
      </c>
      <c r="BS22">
        <f t="shared" si="17"/>
        <v>0</v>
      </c>
      <c r="BT22">
        <f t="shared" si="18"/>
        <v>0</v>
      </c>
      <c r="BV22" s="2"/>
      <c r="BW22" s="2">
        <f t="shared" si="36"/>
        <v>0</v>
      </c>
      <c r="BX22" s="2">
        <f t="shared" si="37"/>
        <v>1</v>
      </c>
      <c r="BY22" s="2">
        <f t="shared" si="38"/>
        <v>1</v>
      </c>
      <c r="BZ22" s="2">
        <f t="shared" si="39"/>
        <v>1</v>
      </c>
      <c r="CA22" s="2">
        <f t="shared" si="40"/>
        <v>0</v>
      </c>
      <c r="CD22">
        <f t="shared" si="19"/>
        <v>1</v>
      </c>
      <c r="CE22">
        <f t="shared" si="20"/>
        <v>1</v>
      </c>
      <c r="CF22">
        <f t="shared" si="21"/>
        <v>0</v>
      </c>
      <c r="CG22">
        <f t="shared" si="22"/>
        <v>1</v>
      </c>
      <c r="CH22">
        <f t="shared" si="23"/>
        <v>0</v>
      </c>
      <c r="CK22">
        <f t="shared" si="24"/>
        <v>0</v>
      </c>
      <c r="CL22">
        <f t="shared" si="25"/>
        <v>0</v>
      </c>
      <c r="CM22">
        <f t="shared" si="26"/>
        <v>1</v>
      </c>
      <c r="CN22">
        <f t="shared" si="27"/>
        <v>0</v>
      </c>
      <c r="CO22">
        <f t="shared" si="28"/>
        <v>1</v>
      </c>
      <c r="CS22" s="38">
        <f t="shared" si="29"/>
        <v>0</v>
      </c>
      <c r="CT22" s="38">
        <f t="shared" si="30"/>
        <v>0</v>
      </c>
      <c r="CU22" s="38">
        <f t="shared" si="31"/>
        <v>0</v>
      </c>
      <c r="CV22" s="38">
        <f t="shared" si="32"/>
        <v>0</v>
      </c>
      <c r="CW22" s="38">
        <f t="shared" si="33"/>
        <v>0</v>
      </c>
    </row>
    <row r="23" spans="1:101">
      <c r="A23" t="s">
        <v>465</v>
      </c>
      <c r="B23" t="s">
        <v>81</v>
      </c>
      <c r="C23" t="s">
        <v>81</v>
      </c>
      <c r="D23">
        <v>24025</v>
      </c>
      <c r="E23">
        <v>245</v>
      </c>
      <c r="F23">
        <v>24</v>
      </c>
      <c r="G23">
        <v>7555</v>
      </c>
      <c r="H23">
        <v>3979</v>
      </c>
      <c r="I23">
        <v>24489</v>
      </c>
      <c r="J23">
        <v>987</v>
      </c>
      <c r="K23">
        <v>10410</v>
      </c>
      <c r="L23">
        <v>47420</v>
      </c>
      <c r="M23" s="3">
        <f t="shared" si="0"/>
        <v>15.932096161956979</v>
      </c>
      <c r="N23" s="3">
        <f t="shared" si="1"/>
        <v>8.3909742724588785</v>
      </c>
      <c r="O23" s="3">
        <f t="shared" si="2"/>
        <v>51.642766765078029</v>
      </c>
      <c r="P23" s="3">
        <f t="shared" si="3"/>
        <v>2.0814002530577818</v>
      </c>
      <c r="Q23" s="3">
        <f t="shared" si="4"/>
        <v>21.952762547448334</v>
      </c>
      <c r="R23">
        <v>16.5</v>
      </c>
      <c r="S23">
        <v>14.2</v>
      </c>
      <c r="T23">
        <v>42.9</v>
      </c>
      <c r="U23">
        <v>2.1</v>
      </c>
      <c r="V23">
        <v>23.4</v>
      </c>
      <c r="W23">
        <f t="shared" si="5"/>
        <v>0</v>
      </c>
      <c r="X23">
        <f t="shared" si="6"/>
        <v>0</v>
      </c>
      <c r="Y23">
        <f t="shared" si="7"/>
        <v>1</v>
      </c>
      <c r="Z23">
        <f t="shared" si="8"/>
        <v>0</v>
      </c>
      <c r="AA23">
        <f t="shared" si="9"/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P23" t="s">
        <v>425</v>
      </c>
      <c r="AQ23">
        <f>BP81</f>
        <v>11</v>
      </c>
      <c r="AR23">
        <f>BQ81</f>
        <v>26</v>
      </c>
      <c r="AS23">
        <f>BR81</f>
        <v>33</v>
      </c>
      <c r="AT23">
        <f>BS81</f>
        <v>0</v>
      </c>
      <c r="AU23">
        <f>BT81</f>
        <v>8</v>
      </c>
      <c r="AY23" s="5">
        <f t="shared" si="10"/>
        <v>19.020373190942756</v>
      </c>
      <c r="AZ23" s="5">
        <f t="shared" si="11"/>
        <v>24.647953887126807</v>
      </c>
      <c r="BA23" s="5">
        <f t="shared" si="12"/>
        <v>34.792708021306964</v>
      </c>
      <c r="BB23" s="5">
        <f t="shared" si="13"/>
        <v>2.6519714370030716</v>
      </c>
      <c r="BC23" s="5">
        <f t="shared" si="14"/>
        <v>19.138225130125512</v>
      </c>
      <c r="BD23" s="5"/>
      <c r="BE23" s="5">
        <f t="shared" si="34"/>
        <v>100.25123166650511</v>
      </c>
      <c r="BF23" s="2"/>
      <c r="BH23" s="2">
        <f t="array" ref="BH23">MIN(100,MAX(0,M23-AK23*5+AR$16*(W23*AQ$29+SUMPRODUCT($AB23:$AJ23,TRANSPOSE(AQ$30:AQ$38)))+AS$16*(W23*AQ$39+SUMPRODUCT($AB23:$AJ23,TRANSPOSE(AQ$40:AQ$48)))+AU$16*(W23*AQ$49+SUMPRODUCT($AB23:$AJ23,TRANSPOSE(AQ$50:AQ$58)))+AT$16*(W23*AQ$59+SUMPRODUCT($AB23:$AJ23,TRANSPOSE(AQ$60:AQ$68)))))</f>
        <v>19.020373190942756</v>
      </c>
      <c r="BI23" s="2">
        <f t="array" ref="BI23">MIN(100,MAX(0,N23-AL23*5+AQ$17*(X23*AR$29+SUMPRODUCT($AB23:$AJ23,TRANSPOSE(AR$30:AR$38)))+AS$17*(X23*AR$39+SUMPRODUCT($AB23:$AJ23,TRANSPOSE(AR$40:AR$48)))+AU$17*(X23*AR$49+SUMPRODUCT($AB23:$AJ23,TRANSPOSE(AR$50:AR$58)))+AT$17*(X23*AR$59+SUMPRODUCT($AB23:$AJ23,TRANSPOSE(AR$60:AR$68)))))</f>
        <v>24.647953887126807</v>
      </c>
      <c r="BJ23" s="2">
        <f t="array" ref="BJ23">MIN(100,MAX(0,O23-AM23*5+AQ$18*(Y23*AS$29+SUMPRODUCT($AB23:$AJ23,TRANSPOSE(AS$30:AS$38)))+AR$18*(Y23*AS$39+SUMPRODUCT($AB23:$AJ23,TRANSPOSE(AS$40:AS$48)))+AU$18*(Y23*AS$49+SUMPRODUCT($AB23:$AJ23,TRANSPOSE(AS$50:AS$58)))+AT$18*(Y23*AS$59+SUMPRODUCT($AB23:$AJ23,TRANSPOSE(AS$60:AS$68)))))</f>
        <v>34.792708021306964</v>
      </c>
      <c r="BK23" s="2">
        <f t="array" ref="BK23">MIN(100,MAX(0,P23+AQ$19*(Z23*AT$29+SUMPRODUCT($AB23:$AJ23,TRANSPOSE(AT$30:AT$38)))+AR$19*(Z23*AT$39+SUMPRODUCT($AB23:$AJ23,TRANSPOSE(AT$40:AT$48)))+AS$19*(Z23*AT$49+SUMPRODUCT($AB23:$AJ23,TRANSPOSE(AT$50:AT$58)))+AU$19*(Z23*AT$59+SUMPRODUCT($AB23:$AJ23,TRANSPOSE(AT$60:AT$68)))))</f>
        <v>2.6519714370030716</v>
      </c>
      <c r="BL23" s="2">
        <f t="array" ref="BL23">MIN(100,MAX(0,Q23-AN23*5+AQ$20*(AA23*AU$29+SUMPRODUCT($AB23:$AJ23,TRANSPOSE(AU$30:AU$38)))+AR$20*(AA23*AU$39+SUMPRODUCT($AB23:$AJ23,TRANSPOSE(AU$40:AU$48)))+AS$20*(AA23*AU$49+SUMPRODUCT($AB23:$AJ23,TRANSPOSE(AU$50:AU$58)))+AT$20*(AA23*AU$59+SUMPRODUCT($AB23:$AJ23,TRANSPOSE(AU$60:AU$68)))))</f>
        <v>19.138225130125512</v>
      </c>
      <c r="BM23" s="2"/>
      <c r="BN23" s="2"/>
      <c r="BP23">
        <f t="shared" si="35"/>
        <v>0</v>
      </c>
      <c r="BQ23">
        <f t="shared" si="15"/>
        <v>0</v>
      </c>
      <c r="BR23">
        <f t="shared" si="16"/>
        <v>1</v>
      </c>
      <c r="BS23">
        <f t="shared" si="17"/>
        <v>0</v>
      </c>
      <c r="BT23">
        <f t="shared" si="18"/>
        <v>0</v>
      </c>
      <c r="BV23" s="2"/>
      <c r="BW23" s="2">
        <f t="shared" si="36"/>
        <v>0</v>
      </c>
      <c r="BX23" s="2">
        <f t="shared" si="37"/>
        <v>0</v>
      </c>
      <c r="BY23" s="2">
        <f t="shared" si="38"/>
        <v>1</v>
      </c>
      <c r="BZ23" s="2">
        <f t="shared" si="39"/>
        <v>1</v>
      </c>
      <c r="CA23" s="2">
        <f t="shared" si="40"/>
        <v>0</v>
      </c>
      <c r="CD23">
        <f t="shared" si="19"/>
        <v>1</v>
      </c>
      <c r="CE23">
        <f t="shared" si="20"/>
        <v>1</v>
      </c>
      <c r="CF23">
        <f t="shared" si="21"/>
        <v>0</v>
      </c>
      <c r="CG23">
        <f t="shared" si="22"/>
        <v>1</v>
      </c>
      <c r="CH23">
        <f t="shared" si="23"/>
        <v>0</v>
      </c>
      <c r="CK23">
        <f t="shared" si="24"/>
        <v>0</v>
      </c>
      <c r="CL23">
        <f t="shared" si="25"/>
        <v>0</v>
      </c>
      <c r="CM23">
        <f t="shared" si="26"/>
        <v>1</v>
      </c>
      <c r="CN23">
        <f t="shared" si="27"/>
        <v>0</v>
      </c>
      <c r="CO23">
        <f t="shared" si="28"/>
        <v>1</v>
      </c>
      <c r="CS23" s="38">
        <f t="shared" si="29"/>
        <v>0</v>
      </c>
      <c r="CT23" s="38">
        <f t="shared" si="30"/>
        <v>0</v>
      </c>
      <c r="CU23" s="38">
        <f t="shared" si="31"/>
        <v>0</v>
      </c>
      <c r="CV23" s="38">
        <f t="shared" si="32"/>
        <v>0</v>
      </c>
      <c r="CW23" s="38">
        <f t="shared" si="33"/>
        <v>0</v>
      </c>
    </row>
    <row r="24" spans="1:101">
      <c r="A24" t="s">
        <v>465</v>
      </c>
      <c r="B24" t="s">
        <v>82</v>
      </c>
      <c r="C24" t="s">
        <v>490</v>
      </c>
      <c r="D24">
        <v>24026</v>
      </c>
      <c r="E24">
        <v>249</v>
      </c>
      <c r="F24">
        <v>24</v>
      </c>
      <c r="G24">
        <v>6739</v>
      </c>
      <c r="H24">
        <v>6020</v>
      </c>
      <c r="I24">
        <v>10186</v>
      </c>
      <c r="J24">
        <v>702</v>
      </c>
      <c r="K24">
        <v>11684</v>
      </c>
      <c r="L24">
        <v>35331</v>
      </c>
      <c r="M24" s="3">
        <f t="shared" si="0"/>
        <v>19.073901106676853</v>
      </c>
      <c r="N24" s="3">
        <f t="shared" si="1"/>
        <v>17.038861056862245</v>
      </c>
      <c r="O24" s="3">
        <f t="shared" si="2"/>
        <v>28.830205768305454</v>
      </c>
      <c r="P24" s="3">
        <f t="shared" si="3"/>
        <v>1.986923664770315</v>
      </c>
      <c r="Q24" s="3">
        <f t="shared" si="4"/>
        <v>33.070108403385127</v>
      </c>
      <c r="R24">
        <v>16.5</v>
      </c>
      <c r="S24">
        <v>14.2</v>
      </c>
      <c r="T24">
        <v>42.9</v>
      </c>
      <c r="U24">
        <v>2.1</v>
      </c>
      <c r="V24">
        <v>23.4</v>
      </c>
      <c r="W24">
        <f t="shared" si="5"/>
        <v>0</v>
      </c>
      <c r="X24">
        <f t="shared" si="6"/>
        <v>0</v>
      </c>
      <c r="Y24">
        <f t="shared" si="7"/>
        <v>0</v>
      </c>
      <c r="Z24">
        <f t="shared" si="8"/>
        <v>0</v>
      </c>
      <c r="AA24">
        <f t="shared" si="9"/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Y24" s="5">
        <f t="shared" si="10"/>
        <v>22.045011561070531</v>
      </c>
      <c r="AZ24" s="5">
        <f t="shared" si="11"/>
        <v>32.070805742401959</v>
      </c>
      <c r="BA24" s="5">
        <f t="shared" si="12"/>
        <v>13.43461900226704</v>
      </c>
      <c r="BB24" s="5">
        <f t="shared" si="13"/>
        <v>2.4477430470822004</v>
      </c>
      <c r="BC24" s="5">
        <f t="shared" si="14"/>
        <v>29.982956143906542</v>
      </c>
      <c r="BD24" s="5"/>
      <c r="BE24" s="5">
        <f t="shared" si="34"/>
        <v>99.981135496728257</v>
      </c>
      <c r="BF24" s="2"/>
      <c r="BH24" s="2">
        <f t="array" ref="BH24">MIN(100,MAX(0,M24-AK24*5+AR$16*(W24*AQ$29+SUMPRODUCT($AB24:$AJ24,TRANSPOSE(AQ$30:AQ$38)))+AS$16*(W24*AQ$39+SUMPRODUCT($AB24:$AJ24,TRANSPOSE(AQ$40:AQ$48)))+AU$16*(W24*AQ$49+SUMPRODUCT($AB24:$AJ24,TRANSPOSE(AQ$50:AQ$58)))+AT$16*(W24*AQ$59+SUMPRODUCT($AB24:$AJ24,TRANSPOSE(AQ$60:AQ$68)))))</f>
        <v>22.045011561070531</v>
      </c>
      <c r="BI24" s="2">
        <f t="array" ref="BI24">MIN(100,MAX(0,N24-AL24*5+AQ$17*(X24*AR$29+SUMPRODUCT($AB24:$AJ24,TRANSPOSE(AR$30:AR$38)))+AS$17*(X24*AR$39+SUMPRODUCT($AB24:$AJ24,TRANSPOSE(AR$40:AR$48)))+AU$17*(X24*AR$49+SUMPRODUCT($AB24:$AJ24,TRANSPOSE(AR$50:AR$58)))+AT$17*(X24*AR$59+SUMPRODUCT($AB24:$AJ24,TRANSPOSE(AR$60:AR$68)))))</f>
        <v>32.070805742401959</v>
      </c>
      <c r="BJ24" s="2">
        <f t="array" ref="BJ24">MIN(100,MAX(0,O24-AM24*5+AQ$18*(Y24*AS$29+SUMPRODUCT($AB24:$AJ24,TRANSPOSE(AS$30:AS$38)))+AR$18*(Y24*AS$39+SUMPRODUCT($AB24:$AJ24,TRANSPOSE(AS$40:AS$48)))+AU$18*(Y24*AS$49+SUMPRODUCT($AB24:$AJ24,TRANSPOSE(AS$50:AS$58)))+AT$18*(Y24*AS$59+SUMPRODUCT($AB24:$AJ24,TRANSPOSE(AS$60:AS$68)))))</f>
        <v>13.43461900226704</v>
      </c>
      <c r="BK24" s="2">
        <f t="array" ref="BK24">MIN(100,MAX(0,P24+AQ$19*(Z24*AT$29+SUMPRODUCT($AB24:$AJ24,TRANSPOSE(AT$30:AT$38)))+AR$19*(Z24*AT$39+SUMPRODUCT($AB24:$AJ24,TRANSPOSE(AT$40:AT$48)))+AS$19*(Z24*AT$49+SUMPRODUCT($AB24:$AJ24,TRANSPOSE(AT$50:AT$58)))+AU$19*(Z24*AT$59+SUMPRODUCT($AB24:$AJ24,TRANSPOSE(AT$60:AT$68)))))</f>
        <v>2.4477430470822004</v>
      </c>
      <c r="BL24" s="2">
        <f t="array" ref="BL24">MIN(100,MAX(0,Q24-AN24*5+AQ$20*(AA24*AU$29+SUMPRODUCT($AB24:$AJ24,TRANSPOSE(AU$30:AU$38)))+AR$20*(AA24*AU$39+SUMPRODUCT($AB24:$AJ24,TRANSPOSE(AU$40:AU$48)))+AS$20*(AA24*AU$49+SUMPRODUCT($AB24:$AJ24,TRANSPOSE(AU$50:AU$58)))+AT$20*(AA24*AU$59+SUMPRODUCT($AB24:$AJ24,TRANSPOSE(AU$60:AU$68)))))</f>
        <v>30.234736396727811</v>
      </c>
      <c r="BM24" s="2"/>
      <c r="BN24" s="2"/>
      <c r="BP24">
        <f t="shared" si="35"/>
        <v>0</v>
      </c>
      <c r="BQ24">
        <f t="shared" si="15"/>
        <v>1</v>
      </c>
      <c r="BR24">
        <f t="shared" si="16"/>
        <v>0</v>
      </c>
      <c r="BS24">
        <f t="shared" si="17"/>
        <v>0</v>
      </c>
      <c r="BT24">
        <f t="shared" si="18"/>
        <v>0</v>
      </c>
      <c r="BV24" s="2"/>
      <c r="BW24" s="2">
        <f t="shared" si="36"/>
        <v>1</v>
      </c>
      <c r="BX24" s="2">
        <f t="shared" si="37"/>
        <v>1</v>
      </c>
      <c r="BY24" s="2">
        <f t="shared" si="38"/>
        <v>0</v>
      </c>
      <c r="BZ24" s="2">
        <f t="shared" si="39"/>
        <v>0</v>
      </c>
      <c r="CA24" s="2">
        <f t="shared" si="40"/>
        <v>1</v>
      </c>
      <c r="CD24">
        <f t="shared" si="19"/>
        <v>1</v>
      </c>
      <c r="CE24">
        <f t="shared" si="20"/>
        <v>1</v>
      </c>
      <c r="CF24">
        <f t="shared" si="21"/>
        <v>0</v>
      </c>
      <c r="CG24">
        <f t="shared" si="22"/>
        <v>1</v>
      </c>
      <c r="CH24">
        <f t="shared" si="23"/>
        <v>0</v>
      </c>
      <c r="CK24">
        <f t="shared" si="24"/>
        <v>0</v>
      </c>
      <c r="CL24">
        <f t="shared" si="25"/>
        <v>0</v>
      </c>
      <c r="CM24">
        <f t="shared" si="26"/>
        <v>1</v>
      </c>
      <c r="CN24">
        <f t="shared" si="27"/>
        <v>0</v>
      </c>
      <c r="CO24">
        <f t="shared" si="28"/>
        <v>1</v>
      </c>
      <c r="CS24" s="38">
        <f t="shared" si="29"/>
        <v>0</v>
      </c>
      <c r="CT24" s="38">
        <f t="shared" si="30"/>
        <v>0</v>
      </c>
      <c r="CU24" s="38">
        <f t="shared" si="31"/>
        <v>0</v>
      </c>
      <c r="CV24" s="38">
        <f t="shared" si="32"/>
        <v>0</v>
      </c>
      <c r="CW24" s="38">
        <f t="shared" si="33"/>
        <v>1</v>
      </c>
    </row>
    <row r="25" spans="1:101">
      <c r="A25" t="s">
        <v>465</v>
      </c>
      <c r="B25" t="s">
        <v>83</v>
      </c>
      <c r="C25" t="s">
        <v>83</v>
      </c>
      <c r="D25">
        <v>24027</v>
      </c>
      <c r="E25">
        <v>242</v>
      </c>
      <c r="F25">
        <v>24</v>
      </c>
      <c r="G25">
        <v>4111</v>
      </c>
      <c r="H25">
        <v>7082</v>
      </c>
      <c r="I25">
        <v>31894</v>
      </c>
      <c r="J25">
        <v>587</v>
      </c>
      <c r="K25">
        <v>7663</v>
      </c>
      <c r="L25">
        <v>51336</v>
      </c>
      <c r="M25" s="3">
        <f t="shared" si="0"/>
        <v>8.0080255571139158</v>
      </c>
      <c r="N25" s="3">
        <f t="shared" si="1"/>
        <v>13.795387252610253</v>
      </c>
      <c r="O25" s="3">
        <f t="shared" si="2"/>
        <v>62.127941405641266</v>
      </c>
      <c r="P25" s="3">
        <f t="shared" si="3"/>
        <v>1.1434470936574723</v>
      </c>
      <c r="Q25" s="3">
        <f t="shared" si="4"/>
        <v>14.927146641732897</v>
      </c>
      <c r="R25">
        <v>16.5</v>
      </c>
      <c r="S25">
        <v>14.2</v>
      </c>
      <c r="T25">
        <v>42.9</v>
      </c>
      <c r="U25">
        <v>2.1</v>
      </c>
      <c r="V25">
        <v>23.4</v>
      </c>
      <c r="W25">
        <f t="shared" si="5"/>
        <v>0</v>
      </c>
      <c r="X25">
        <f t="shared" si="6"/>
        <v>0</v>
      </c>
      <c r="Y25">
        <f t="shared" si="7"/>
        <v>1</v>
      </c>
      <c r="Z25">
        <f t="shared" si="8"/>
        <v>0</v>
      </c>
      <c r="AA25">
        <f t="shared" si="9"/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Y25" s="5">
        <f t="shared" si="10"/>
        <v>10.919962956026019</v>
      </c>
      <c r="AZ25" s="5">
        <f t="shared" si="11"/>
        <v>30.660505627234418</v>
      </c>
      <c r="BA25" s="5">
        <f t="shared" si="12"/>
        <v>44.844057447486975</v>
      </c>
      <c r="BB25" s="5">
        <f t="shared" si="13"/>
        <v>1.6884251238663217</v>
      </c>
      <c r="BC25" s="5">
        <f t="shared" si="14"/>
        <v>12.145352618429955</v>
      </c>
      <c r="BD25" s="5"/>
      <c r="BE25" s="5">
        <f t="shared" si="34"/>
        <v>100.25830377304369</v>
      </c>
      <c r="BF25" s="2"/>
      <c r="BH25" s="2">
        <f t="array" ref="BH25">MIN(100,MAX(0,M25-AK25*5+AR$16*(W25*AQ$29+SUMPRODUCT($AB25:$AJ25,TRANSPOSE(AQ$30:AQ$38)))+AS$16*(W25*AQ$39+SUMPRODUCT($AB25:$AJ25,TRANSPOSE(AQ$40:AQ$48)))+AU$16*(W25*AQ$49+SUMPRODUCT($AB25:$AJ25,TRANSPOSE(AQ$50:AQ$58)))+AT$16*(W25*AQ$59+SUMPRODUCT($AB25:$AJ25,TRANSPOSE(AQ$60:AQ$68)))))</f>
        <v>10.919962956026019</v>
      </c>
      <c r="BI25" s="2">
        <f t="array" ref="BI25">MIN(100,MAX(0,N25-AL25*5+AQ$17*(X25*AR$29+SUMPRODUCT($AB25:$AJ25,TRANSPOSE(AR$30:AR$38)))+AS$17*(X25*AR$39+SUMPRODUCT($AB25:$AJ25,TRANSPOSE(AR$40:AR$48)))+AU$17*(X25*AR$49+SUMPRODUCT($AB25:$AJ25,TRANSPOSE(AR$50:AR$58)))+AT$17*(X25*AR$59+SUMPRODUCT($AB25:$AJ25,TRANSPOSE(AR$60:AR$68)))))</f>
        <v>30.660505627234418</v>
      </c>
      <c r="BJ25" s="2">
        <f t="array" ref="BJ25">MIN(100,MAX(0,O25-AM25*5+AQ$18*(Y25*AS$29+SUMPRODUCT($AB25:$AJ25,TRANSPOSE(AS$30:AS$38)))+AR$18*(Y25*AS$39+SUMPRODUCT($AB25:$AJ25,TRANSPOSE(AS$40:AS$48)))+AU$18*(Y25*AS$49+SUMPRODUCT($AB25:$AJ25,TRANSPOSE(AS$50:AS$58)))+AT$18*(Y25*AS$59+SUMPRODUCT($AB25:$AJ25,TRANSPOSE(AS$60:AS$68)))))</f>
        <v>44.844057447486975</v>
      </c>
      <c r="BK25" s="2">
        <f t="array" ref="BK25">MIN(100,MAX(0,P25+AQ$19*(Z25*AT$29+SUMPRODUCT($AB25:$AJ25,TRANSPOSE(AT$30:AT$38)))+AR$19*(Z25*AT$39+SUMPRODUCT($AB25:$AJ25,TRANSPOSE(AT$40:AT$48)))+AS$19*(Z25*AT$49+SUMPRODUCT($AB25:$AJ25,TRANSPOSE(AT$50:AT$58)))+AU$19*(Z25*AT$59+SUMPRODUCT($AB25:$AJ25,TRANSPOSE(AT$60:AT$68)))))</f>
        <v>1.6884251238663217</v>
      </c>
      <c r="BL25" s="2">
        <f t="array" ref="BL25">MIN(100,MAX(0,Q25-AN25*5+AQ$20*(AA25*AU$29+SUMPRODUCT($AB25:$AJ25,TRANSPOSE(AU$30:AU$38)))+AR$20*(AA25*AU$39+SUMPRODUCT($AB25:$AJ25,TRANSPOSE(AU$40:AU$48)))+AS$20*(AA25*AU$49+SUMPRODUCT($AB25:$AJ25,TRANSPOSE(AU$50:AU$58)))+AT$20*(AA25*AU$59+SUMPRODUCT($AB25:$AJ25,TRANSPOSE(AU$60:AU$68)))))</f>
        <v>12.145352618429955</v>
      </c>
      <c r="BM25" s="2"/>
      <c r="BN25" s="2"/>
      <c r="BP25">
        <f t="shared" si="35"/>
        <v>0</v>
      </c>
      <c r="BQ25">
        <f t="shared" si="15"/>
        <v>0</v>
      </c>
      <c r="BR25">
        <f t="shared" si="16"/>
        <v>1</v>
      </c>
      <c r="BS25">
        <f t="shared" si="17"/>
        <v>0</v>
      </c>
      <c r="BT25">
        <f t="shared" si="18"/>
        <v>0</v>
      </c>
      <c r="BV25" s="2"/>
      <c r="BW25" s="2">
        <f t="shared" si="36"/>
        <v>0</v>
      </c>
      <c r="BX25" s="2">
        <f t="shared" si="37"/>
        <v>1</v>
      </c>
      <c r="BY25" s="2">
        <f t="shared" si="38"/>
        <v>1</v>
      </c>
      <c r="BZ25" s="2">
        <f t="shared" si="39"/>
        <v>0</v>
      </c>
      <c r="CA25" s="2">
        <f t="shared" si="40"/>
        <v>0</v>
      </c>
      <c r="CD25">
        <f t="shared" si="19"/>
        <v>1</v>
      </c>
      <c r="CE25">
        <f t="shared" si="20"/>
        <v>1</v>
      </c>
      <c r="CF25">
        <f t="shared" si="21"/>
        <v>0</v>
      </c>
      <c r="CG25">
        <f t="shared" si="22"/>
        <v>1</v>
      </c>
      <c r="CH25">
        <f t="shared" si="23"/>
        <v>0</v>
      </c>
      <c r="CK25">
        <f t="shared" si="24"/>
        <v>0</v>
      </c>
      <c r="CL25">
        <f t="shared" si="25"/>
        <v>0</v>
      </c>
      <c r="CM25">
        <f t="shared" si="26"/>
        <v>1</v>
      </c>
      <c r="CN25">
        <f t="shared" si="27"/>
        <v>0</v>
      </c>
      <c r="CO25">
        <f t="shared" si="28"/>
        <v>1</v>
      </c>
      <c r="CS25" s="38">
        <f t="shared" si="29"/>
        <v>0</v>
      </c>
      <c r="CT25" s="38">
        <f t="shared" si="30"/>
        <v>0</v>
      </c>
      <c r="CU25" s="38">
        <f t="shared" si="31"/>
        <v>0</v>
      </c>
      <c r="CV25" s="38">
        <f t="shared" si="32"/>
        <v>0</v>
      </c>
      <c r="CW25" s="38">
        <f t="shared" si="33"/>
        <v>0</v>
      </c>
    </row>
    <row r="26" spans="1:101" s="4" customFormat="1">
      <c r="A26" s="4" t="s">
        <v>465</v>
      </c>
      <c r="B26" s="4" t="s">
        <v>84</v>
      </c>
      <c r="C26" s="4" t="s">
        <v>84</v>
      </c>
      <c r="D26" s="4">
        <v>24028</v>
      </c>
      <c r="E26" s="4">
        <v>241</v>
      </c>
      <c r="F26" s="4">
        <v>24</v>
      </c>
      <c r="G26" s="4">
        <v>3402</v>
      </c>
      <c r="H26" s="4">
        <v>5542</v>
      </c>
      <c r="I26" s="4">
        <v>22425</v>
      </c>
      <c r="J26" s="4">
        <v>788</v>
      </c>
      <c r="K26" s="4">
        <v>14528</v>
      </c>
      <c r="L26" s="4">
        <v>47231</v>
      </c>
      <c r="M26" s="49">
        <f t="shared" si="0"/>
        <v>7.2028964027863056</v>
      </c>
      <c r="N26" s="49">
        <f t="shared" si="1"/>
        <v>11.733818890135716</v>
      </c>
      <c r="O26" s="49">
        <f t="shared" si="2"/>
        <v>47.479409709724543</v>
      </c>
      <c r="P26" s="49">
        <f t="shared" si="3"/>
        <v>1.6683957570239887</v>
      </c>
      <c r="Q26" s="49">
        <f t="shared" si="4"/>
        <v>30.759458830005716</v>
      </c>
      <c r="R26" s="4">
        <v>16.5</v>
      </c>
      <c r="S26" s="4">
        <v>14.2</v>
      </c>
      <c r="T26" s="4">
        <v>42.9</v>
      </c>
      <c r="U26" s="4">
        <v>2.1</v>
      </c>
      <c r="V26" s="4">
        <v>23.4</v>
      </c>
      <c r="W26" s="4">
        <f t="shared" si="5"/>
        <v>0</v>
      </c>
      <c r="X26" s="4">
        <f t="shared" si="6"/>
        <v>0</v>
      </c>
      <c r="Y26" s="4">
        <f t="shared" si="7"/>
        <v>1</v>
      </c>
      <c r="Z26" s="4">
        <f t="shared" si="8"/>
        <v>0</v>
      </c>
      <c r="AA26" s="4">
        <f t="shared" si="9"/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>
        <v>0</v>
      </c>
      <c r="AL26">
        <v>0</v>
      </c>
      <c r="AM26">
        <v>0</v>
      </c>
      <c r="AN26">
        <v>0</v>
      </c>
      <c r="AP26" s="4" t="s">
        <v>491</v>
      </c>
      <c r="AY26" s="50">
        <f t="shared" si="10"/>
        <v>9.3540504208479813</v>
      </c>
      <c r="AZ26" s="50">
        <f t="shared" si="11"/>
        <v>24.665109181974131</v>
      </c>
      <c r="BA26" s="50">
        <f t="shared" si="12"/>
        <v>34.363246920186924</v>
      </c>
      <c r="BB26" s="50">
        <f t="shared" si="13"/>
        <v>2.161152718184804</v>
      </c>
      <c r="BC26" s="50">
        <f t="shared" si="14"/>
        <v>28.290130855504465</v>
      </c>
      <c r="BD26" s="50"/>
      <c r="BE26" s="50">
        <f t="shared" si="34"/>
        <v>98.833690096698319</v>
      </c>
      <c r="BF26" s="6"/>
      <c r="BH26" s="2">
        <f t="array" ref="BH26">MIN(100,MAX(0,M26-AK26*5+AR$16*(W26*AQ$29+SUMPRODUCT($AB26:$AJ26,TRANSPOSE(AQ$30:AQ$38)))+AS$16*(W26*AQ$39+SUMPRODUCT($AB26:$AJ26,TRANSPOSE(AQ$40:AQ$48)))+AU$16*(W26*AQ$49+SUMPRODUCT($AB26:$AJ26,TRANSPOSE(AQ$50:AQ$58)))+AT$16*(W26*AQ$59+SUMPRODUCT($AB26:$AJ26,TRANSPOSE(AQ$60:AQ$68)))))</f>
        <v>9.3540504208479813</v>
      </c>
      <c r="BI26" s="2">
        <f t="array" ref="BI26">MIN(100,MAX(0,N26-AL26*5+AQ$17*(X26*AR$29+SUMPRODUCT($AB26:$AJ26,TRANSPOSE(AR$30:AR$38)))+AS$17*(X26*AR$39+SUMPRODUCT($AB26:$AJ26,TRANSPOSE(AR$40:AR$48)))+AU$17*(X26*AR$49+SUMPRODUCT($AB26:$AJ26,TRANSPOSE(AR$50:AR$58)))+AT$17*(X26*AR$59+SUMPRODUCT($AB26:$AJ26,TRANSPOSE(AR$60:AR$68)))))</f>
        <v>24.665109181974131</v>
      </c>
      <c r="BJ26" s="2">
        <f t="array" ref="BJ26">MIN(100,MAX(0,O26-AM26*5+AQ$18*(Y26*AS$29+SUMPRODUCT($AB26:$AJ26,TRANSPOSE(AS$30:AS$38)))+AR$18*(Y26*AS$39+SUMPRODUCT($AB26:$AJ26,TRANSPOSE(AS$40:AS$48)))+AU$18*(Y26*AS$49+SUMPRODUCT($AB26:$AJ26,TRANSPOSE(AS$50:AS$58)))+AT$18*(Y26*AS$59+SUMPRODUCT($AB26:$AJ26,TRANSPOSE(AS$60:AS$68)))))</f>
        <v>34.363246920186924</v>
      </c>
      <c r="BK26" s="2">
        <f t="array" ref="BK26">MIN(100,MAX(0,P26+AQ$19*(Z26*AT$29+SUMPRODUCT($AB26:$AJ26,TRANSPOSE(AT$30:AT$38)))+AR$19*(Z26*AT$39+SUMPRODUCT($AB26:$AJ26,TRANSPOSE(AT$40:AT$48)))+AS$19*(Z26*AT$49+SUMPRODUCT($AB26:$AJ26,TRANSPOSE(AT$50:AT$58)))+AU$19*(Z26*AT$59+SUMPRODUCT($AB26:$AJ26,TRANSPOSE(AT$60:AT$68)))))</f>
        <v>2.161152718184804</v>
      </c>
      <c r="BL26" s="2">
        <f t="array" ref="BL26">MIN(100,MAX(0,Q26-AN26*5+AQ$20*(AA26*AU$29+SUMPRODUCT($AB26:$AJ26,TRANSPOSE(AU$30:AU$38)))+AR$20*(AA26*AU$39+SUMPRODUCT($AB26:$AJ26,TRANSPOSE(AU$40:AU$48)))+AS$20*(AA26*AU$49+SUMPRODUCT($AB26:$AJ26,TRANSPOSE(AU$50:AU$58)))+AT$20*(AA26*AU$59+SUMPRODUCT($AB26:$AJ26,TRANSPOSE(AU$60:AU$68)))))</f>
        <v>28.496896427978278</v>
      </c>
      <c r="BM26" s="6"/>
      <c r="BN26" s="6"/>
      <c r="BP26" s="4">
        <f t="shared" si="35"/>
        <v>0</v>
      </c>
      <c r="BQ26" s="4">
        <f t="shared" si="15"/>
        <v>0</v>
      </c>
      <c r="BR26" s="4">
        <f t="shared" si="16"/>
        <v>1</v>
      </c>
      <c r="BS26" s="4">
        <f t="shared" si="17"/>
        <v>0</v>
      </c>
      <c r="BT26" s="4">
        <f t="shared" si="18"/>
        <v>0</v>
      </c>
      <c r="BV26" s="6"/>
      <c r="BW26" s="2">
        <f t="shared" si="36"/>
        <v>0</v>
      </c>
      <c r="BX26" s="2">
        <f t="shared" si="37"/>
        <v>0</v>
      </c>
      <c r="BY26" s="2">
        <f t="shared" si="38"/>
        <v>1</v>
      </c>
      <c r="BZ26" s="2">
        <f t="shared" si="39"/>
        <v>0</v>
      </c>
      <c r="CA26" s="2">
        <f t="shared" si="40"/>
        <v>1</v>
      </c>
      <c r="CD26" s="4">
        <f t="shared" si="19"/>
        <v>1</v>
      </c>
      <c r="CE26" s="4">
        <f t="shared" si="20"/>
        <v>1</v>
      </c>
      <c r="CF26" s="4">
        <f t="shared" si="21"/>
        <v>0</v>
      </c>
      <c r="CG26" s="4">
        <f t="shared" si="22"/>
        <v>1</v>
      </c>
      <c r="CH26" s="4">
        <f t="shared" si="23"/>
        <v>0</v>
      </c>
      <c r="CK26" s="4">
        <f t="shared" si="24"/>
        <v>0</v>
      </c>
      <c r="CL26" s="4">
        <f t="shared" si="25"/>
        <v>0</v>
      </c>
      <c r="CM26" s="4">
        <f t="shared" si="26"/>
        <v>1</v>
      </c>
      <c r="CN26" s="4">
        <f t="shared" si="27"/>
        <v>0</v>
      </c>
      <c r="CO26" s="4">
        <f t="shared" si="28"/>
        <v>1</v>
      </c>
      <c r="CS26" s="51">
        <f t="shared" si="29"/>
        <v>0</v>
      </c>
      <c r="CT26" s="51">
        <f t="shared" si="30"/>
        <v>0</v>
      </c>
      <c r="CU26" s="51">
        <f t="shared" si="31"/>
        <v>0</v>
      </c>
      <c r="CV26" s="51">
        <f t="shared" si="32"/>
        <v>0</v>
      </c>
      <c r="CW26" s="51">
        <f t="shared" si="33"/>
        <v>1</v>
      </c>
    </row>
    <row r="27" spans="1:101">
      <c r="A27" t="s">
        <v>465</v>
      </c>
      <c r="B27" t="s">
        <v>85</v>
      </c>
      <c r="C27" t="s">
        <v>85</v>
      </c>
      <c r="D27">
        <v>24029</v>
      </c>
      <c r="E27">
        <v>242</v>
      </c>
      <c r="F27">
        <v>24</v>
      </c>
      <c r="G27">
        <v>5856</v>
      </c>
      <c r="H27">
        <v>15081</v>
      </c>
      <c r="I27">
        <v>15854</v>
      </c>
      <c r="J27">
        <v>725</v>
      </c>
      <c r="K27">
        <v>7204</v>
      </c>
      <c r="L27">
        <v>45019</v>
      </c>
      <c r="M27" s="3">
        <f t="shared" si="0"/>
        <v>13.007841133743531</v>
      </c>
      <c r="N27" s="3">
        <f t="shared" si="1"/>
        <v>33.499189231213492</v>
      </c>
      <c r="O27" s="3">
        <f t="shared" si="2"/>
        <v>35.216242031142407</v>
      </c>
      <c r="P27" s="3">
        <f t="shared" si="3"/>
        <v>1.6104311512916767</v>
      </c>
      <c r="Q27" s="3">
        <f t="shared" si="4"/>
        <v>16.002132432972747</v>
      </c>
      <c r="R27">
        <v>16.5</v>
      </c>
      <c r="S27">
        <v>14.2</v>
      </c>
      <c r="T27">
        <v>42.9</v>
      </c>
      <c r="U27">
        <v>2.1</v>
      </c>
      <c r="V27">
        <v>23.4</v>
      </c>
      <c r="W27">
        <f t="shared" si="5"/>
        <v>0</v>
      </c>
      <c r="X27">
        <f t="shared" si="6"/>
        <v>0</v>
      </c>
      <c r="Y27">
        <f t="shared" si="7"/>
        <v>1</v>
      </c>
      <c r="Z27">
        <f t="shared" si="8"/>
        <v>0</v>
      </c>
      <c r="AA27">
        <f t="shared" si="9"/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Y27" s="5">
        <f t="shared" si="10"/>
        <v>15.158995151805208</v>
      </c>
      <c r="AZ27" s="5">
        <f t="shared" si="11"/>
        <v>46.430479523051915</v>
      </c>
      <c r="BA27" s="5">
        <f t="shared" si="12"/>
        <v>22.100079241604796</v>
      </c>
      <c r="BB27" s="5">
        <f t="shared" si="13"/>
        <v>2.103188112452492</v>
      </c>
      <c r="BC27" s="5">
        <f t="shared" si="14"/>
        <v>13.739570030945309</v>
      </c>
      <c r="BD27" s="5"/>
      <c r="BE27" s="5">
        <f t="shared" si="34"/>
        <v>99.53231205985972</v>
      </c>
      <c r="BF27" s="2"/>
      <c r="BH27" s="2">
        <f t="array" ref="BH27">MIN(100,MAX(0,M27-AK27*5+AR$16*(W27*AQ$29+SUMPRODUCT($AB27:$AJ27,TRANSPOSE(AQ$30:AQ$38)))+AS$16*(W27*AQ$39+SUMPRODUCT($AB27:$AJ27,TRANSPOSE(AQ$40:AQ$48)))+AU$16*(W27*AQ$49+SUMPRODUCT($AB27:$AJ27,TRANSPOSE(AQ$50:AQ$58)))+AT$16*(W27*AQ$59+SUMPRODUCT($AB27:$AJ27,TRANSPOSE(AQ$60:AQ$68)))))</f>
        <v>15.158995151805208</v>
      </c>
      <c r="BI27" s="2">
        <f t="array" ref="BI27">MIN(100,MAX(0,N27-AL27*5+AQ$17*(X27*AR$29+SUMPRODUCT($AB27:$AJ27,TRANSPOSE(AR$30:AR$38)))+AS$17*(X27*AR$39+SUMPRODUCT($AB27:$AJ27,TRANSPOSE(AR$40:AR$48)))+AU$17*(X27*AR$49+SUMPRODUCT($AB27:$AJ27,TRANSPOSE(AR$50:AR$58)))+AT$17*(X27*AR$59+SUMPRODUCT($AB27:$AJ27,TRANSPOSE(AR$60:AR$68)))))</f>
        <v>46.430479523051915</v>
      </c>
      <c r="BJ27" s="2">
        <f t="array" ref="BJ27">MIN(100,MAX(0,O27-AM27*5+AQ$18*(Y27*AS$29+SUMPRODUCT($AB27:$AJ27,TRANSPOSE(AS$30:AS$38)))+AR$18*(Y27*AS$39+SUMPRODUCT($AB27:$AJ27,TRANSPOSE(AS$40:AS$48)))+AU$18*(Y27*AS$49+SUMPRODUCT($AB27:$AJ27,TRANSPOSE(AS$50:AS$58)))+AT$18*(Y27*AS$59+SUMPRODUCT($AB27:$AJ27,TRANSPOSE(AS$60:AS$68)))))</f>
        <v>22.100079241604796</v>
      </c>
      <c r="BK27" s="2">
        <f t="array" ref="BK27">MIN(100,MAX(0,P27+AQ$19*(Z27*AT$29+SUMPRODUCT($AB27:$AJ27,TRANSPOSE(AT$30:AT$38)))+AR$19*(Z27*AT$39+SUMPRODUCT($AB27:$AJ27,TRANSPOSE(AT$40:AT$48)))+AS$19*(Z27*AT$49+SUMPRODUCT($AB27:$AJ27,TRANSPOSE(AT$50:AT$58)))+AU$19*(Z27*AT$59+SUMPRODUCT($AB27:$AJ27,TRANSPOSE(AT$60:AT$68)))))</f>
        <v>2.103188112452492</v>
      </c>
      <c r="BL27" s="2">
        <f t="array" ref="BL27">MIN(100,MAX(0,Q27-AN27*5+AQ$20*(AA27*AU$29+SUMPRODUCT($AB27:$AJ27,TRANSPOSE(AU$30:AU$38)))+AR$20*(AA27*AU$39+SUMPRODUCT($AB27:$AJ27,TRANSPOSE(AU$40:AU$48)))+AS$20*(AA27*AU$49+SUMPRODUCT($AB27:$AJ27,TRANSPOSE(AU$50:AU$58)))+AT$20*(AA27*AU$59+SUMPRODUCT($AB27:$AJ27,TRANSPOSE(AU$60:AU$68)))))</f>
        <v>13.739570030945309</v>
      </c>
      <c r="BM27" s="2"/>
      <c r="BN27" s="2"/>
      <c r="BP27">
        <f t="shared" si="35"/>
        <v>0</v>
      </c>
      <c r="BQ27">
        <f t="shared" si="15"/>
        <v>1</v>
      </c>
      <c r="BR27">
        <f t="shared" si="16"/>
        <v>0</v>
      </c>
      <c r="BS27">
        <f t="shared" si="17"/>
        <v>0</v>
      </c>
      <c r="BT27">
        <f t="shared" si="18"/>
        <v>0</v>
      </c>
      <c r="BV27" s="2"/>
      <c r="BW27" s="2">
        <f t="shared" si="36"/>
        <v>0</v>
      </c>
      <c r="BX27" s="2">
        <f t="shared" si="37"/>
        <v>1</v>
      </c>
      <c r="BY27" s="2">
        <f t="shared" si="38"/>
        <v>0</v>
      </c>
      <c r="BZ27" s="2">
        <f t="shared" si="39"/>
        <v>0</v>
      </c>
      <c r="CA27" s="2">
        <f t="shared" si="40"/>
        <v>0</v>
      </c>
      <c r="CD27">
        <f t="shared" si="19"/>
        <v>1</v>
      </c>
      <c r="CE27">
        <f t="shared" si="20"/>
        <v>1</v>
      </c>
      <c r="CF27">
        <f t="shared" si="21"/>
        <v>0</v>
      </c>
      <c r="CG27">
        <f t="shared" si="22"/>
        <v>1</v>
      </c>
      <c r="CH27">
        <f t="shared" si="23"/>
        <v>0</v>
      </c>
      <c r="CK27">
        <f t="shared" si="24"/>
        <v>0</v>
      </c>
      <c r="CL27">
        <f t="shared" si="25"/>
        <v>0</v>
      </c>
      <c r="CM27">
        <f t="shared" si="26"/>
        <v>1</v>
      </c>
      <c r="CN27">
        <f t="shared" si="27"/>
        <v>0</v>
      </c>
      <c r="CO27">
        <f t="shared" si="28"/>
        <v>1</v>
      </c>
      <c r="CS27" s="38">
        <f t="shared" si="29"/>
        <v>0</v>
      </c>
      <c r="CT27" s="38">
        <f t="shared" si="30"/>
        <v>0</v>
      </c>
      <c r="CU27" s="38">
        <f t="shared" si="31"/>
        <v>0</v>
      </c>
      <c r="CV27" s="38">
        <f t="shared" si="32"/>
        <v>0</v>
      </c>
      <c r="CW27" s="38">
        <f t="shared" si="33"/>
        <v>0</v>
      </c>
    </row>
    <row r="28" spans="1:101">
      <c r="A28" t="s">
        <v>465</v>
      </c>
      <c r="B28" t="s">
        <v>86</v>
      </c>
      <c r="C28" t="s">
        <v>492</v>
      </c>
      <c r="D28">
        <v>24030</v>
      </c>
      <c r="E28">
        <v>243</v>
      </c>
      <c r="F28">
        <v>24</v>
      </c>
      <c r="G28">
        <v>5051</v>
      </c>
      <c r="H28">
        <v>10302</v>
      </c>
      <c r="I28">
        <v>29553</v>
      </c>
      <c r="J28">
        <v>1012</v>
      </c>
      <c r="K28">
        <v>4362</v>
      </c>
      <c r="L28">
        <v>50280</v>
      </c>
      <c r="M28" s="3">
        <f t="shared" si="0"/>
        <v>10.04574383452665</v>
      </c>
      <c r="N28" s="3">
        <f t="shared" si="1"/>
        <v>20.489260143198091</v>
      </c>
      <c r="O28" s="3">
        <f t="shared" si="2"/>
        <v>58.77684964200477</v>
      </c>
      <c r="P28" s="3">
        <f t="shared" si="3"/>
        <v>2.0127287191726335</v>
      </c>
      <c r="Q28" s="3">
        <f t="shared" si="4"/>
        <v>8.6754176610978515</v>
      </c>
      <c r="R28">
        <v>16.5</v>
      </c>
      <c r="S28">
        <v>14.2</v>
      </c>
      <c r="T28">
        <v>42.9</v>
      </c>
      <c r="U28">
        <v>2.1</v>
      </c>
      <c r="V28">
        <v>23.4</v>
      </c>
      <c r="W28">
        <f t="shared" si="5"/>
        <v>0</v>
      </c>
      <c r="X28">
        <f t="shared" si="6"/>
        <v>0</v>
      </c>
      <c r="Y28">
        <f t="shared" si="7"/>
        <v>1</v>
      </c>
      <c r="Z28">
        <f t="shared" si="8"/>
        <v>0</v>
      </c>
      <c r="AA28">
        <f t="shared" si="9"/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Q28" t="s">
        <v>403</v>
      </c>
      <c r="AR28" t="s">
        <v>404</v>
      </c>
      <c r="AS28" t="s">
        <v>6</v>
      </c>
      <c r="AT28" t="s">
        <v>7</v>
      </c>
      <c r="AU28" t="s">
        <v>8</v>
      </c>
      <c r="AY28" s="5">
        <f t="shared" si="10"/>
        <v>12.957681233438754</v>
      </c>
      <c r="AZ28" s="5">
        <f t="shared" si="11"/>
        <v>37.354378517822255</v>
      </c>
      <c r="BA28" s="5">
        <f t="shared" si="12"/>
        <v>41.492965683850478</v>
      </c>
      <c r="BB28" s="5">
        <f t="shared" si="13"/>
        <v>2.5577067493814827</v>
      </c>
      <c r="BC28" s="5">
        <f t="shared" si="14"/>
        <v>5.8936236377949092</v>
      </c>
      <c r="BD28" s="5"/>
      <c r="BE28" s="5">
        <f t="shared" si="34"/>
        <v>100.25635582228787</v>
      </c>
      <c r="BF28" s="2"/>
      <c r="BH28" s="2">
        <f t="array" ref="BH28">MIN(100,MAX(0,M28-AK28*5+AR$16*(W28*AQ$29+SUMPRODUCT($AB28:$AJ28,TRANSPOSE(AQ$30:AQ$38)))+AS$16*(W28*AQ$39+SUMPRODUCT($AB28:$AJ28,TRANSPOSE(AQ$40:AQ$48)))+AU$16*(W28*AQ$49+SUMPRODUCT($AB28:$AJ28,TRANSPOSE(AQ$50:AQ$58)))+AT$16*(W28*AQ$59+SUMPRODUCT($AB28:$AJ28,TRANSPOSE(AQ$60:AQ$68)))))</f>
        <v>12.957681233438754</v>
      </c>
      <c r="BI28" s="2">
        <f t="array" ref="BI28">MIN(100,MAX(0,N28-AL28*5+AQ$17*(X28*AR$29+SUMPRODUCT($AB28:$AJ28,TRANSPOSE(AR$30:AR$38)))+AS$17*(X28*AR$39+SUMPRODUCT($AB28:$AJ28,TRANSPOSE(AR$40:AR$48)))+AU$17*(X28*AR$49+SUMPRODUCT($AB28:$AJ28,TRANSPOSE(AR$50:AR$58)))+AT$17*(X28*AR$59+SUMPRODUCT($AB28:$AJ28,TRANSPOSE(AR$60:AR$68)))))</f>
        <v>37.354378517822255</v>
      </c>
      <c r="BJ28" s="2">
        <f t="array" ref="BJ28">MIN(100,MAX(0,O28-AM28*5+AQ$18*(Y28*AS$29+SUMPRODUCT($AB28:$AJ28,TRANSPOSE(AS$30:AS$38)))+AR$18*(Y28*AS$39+SUMPRODUCT($AB28:$AJ28,TRANSPOSE(AS$40:AS$48)))+AU$18*(Y28*AS$49+SUMPRODUCT($AB28:$AJ28,TRANSPOSE(AS$50:AS$58)))+AT$18*(Y28*AS$59+SUMPRODUCT($AB28:$AJ28,TRANSPOSE(AS$60:AS$68)))))</f>
        <v>41.492965683850478</v>
      </c>
      <c r="BK28" s="2">
        <f t="array" ref="BK28">MIN(100,MAX(0,P28+AQ$19*(Z28*AT$29+SUMPRODUCT($AB28:$AJ28,TRANSPOSE(AT$30:AT$38)))+AR$19*(Z28*AT$39+SUMPRODUCT($AB28:$AJ28,TRANSPOSE(AT$40:AT$48)))+AS$19*(Z28*AT$49+SUMPRODUCT($AB28:$AJ28,TRANSPOSE(AT$50:AT$58)))+AU$19*(Z28*AT$59+SUMPRODUCT($AB28:$AJ28,TRANSPOSE(AT$60:AT$68)))))</f>
        <v>2.5577067493814827</v>
      </c>
      <c r="BL28" s="2">
        <f t="array" ref="BL28">MIN(100,MAX(0,Q28-AN28*5+AQ$20*(AA28*AU$29+SUMPRODUCT($AB28:$AJ28,TRANSPOSE(AU$30:AU$38)))+AR$20*(AA28*AU$39+SUMPRODUCT($AB28:$AJ28,TRANSPOSE(AU$40:AU$48)))+AS$20*(AA28*AU$49+SUMPRODUCT($AB28:$AJ28,TRANSPOSE(AU$50:AU$58)))+AT$20*(AA28*AU$59+SUMPRODUCT($AB28:$AJ28,TRANSPOSE(AU$60:AU$68)))))</f>
        <v>5.8936236377949092</v>
      </c>
      <c r="BM28" s="2"/>
      <c r="BN28" s="2"/>
      <c r="BP28">
        <f t="shared" si="35"/>
        <v>0</v>
      </c>
      <c r="BQ28">
        <f t="shared" si="15"/>
        <v>0</v>
      </c>
      <c r="BR28">
        <f t="shared" si="16"/>
        <v>1</v>
      </c>
      <c r="BS28">
        <f t="shared" si="17"/>
        <v>0</v>
      </c>
      <c r="BT28">
        <f t="shared" si="18"/>
        <v>0</v>
      </c>
      <c r="BV28" s="2"/>
      <c r="BW28" s="2">
        <f t="shared" si="36"/>
        <v>0</v>
      </c>
      <c r="BX28" s="2">
        <f t="shared" si="37"/>
        <v>1</v>
      </c>
      <c r="BY28" s="2">
        <f t="shared" si="38"/>
        <v>1</v>
      </c>
      <c r="BZ28" s="2">
        <f t="shared" si="39"/>
        <v>0</v>
      </c>
      <c r="CA28" s="2">
        <f t="shared" si="40"/>
        <v>0</v>
      </c>
      <c r="CD28">
        <f t="shared" si="19"/>
        <v>1</v>
      </c>
      <c r="CE28">
        <f t="shared" si="20"/>
        <v>1</v>
      </c>
      <c r="CF28">
        <f t="shared" si="21"/>
        <v>0</v>
      </c>
      <c r="CG28">
        <f t="shared" si="22"/>
        <v>1</v>
      </c>
      <c r="CH28">
        <f t="shared" si="23"/>
        <v>0</v>
      </c>
      <c r="CK28">
        <f t="shared" si="24"/>
        <v>0</v>
      </c>
      <c r="CL28">
        <f t="shared" si="25"/>
        <v>0</v>
      </c>
      <c r="CM28">
        <f t="shared" si="26"/>
        <v>1</v>
      </c>
      <c r="CN28">
        <f t="shared" si="27"/>
        <v>0</v>
      </c>
      <c r="CO28">
        <f t="shared" si="28"/>
        <v>1</v>
      </c>
      <c r="CS28" s="38">
        <f t="shared" si="29"/>
        <v>0</v>
      </c>
      <c r="CT28" s="38">
        <f t="shared" si="30"/>
        <v>1</v>
      </c>
      <c r="CU28" s="38">
        <f t="shared" si="31"/>
        <v>0</v>
      </c>
      <c r="CV28" s="38">
        <f t="shared" si="32"/>
        <v>0</v>
      </c>
      <c r="CW28" s="38">
        <f t="shared" si="33"/>
        <v>0</v>
      </c>
    </row>
    <row r="29" spans="1:101" s="4" customFormat="1">
      <c r="A29" s="4" t="s">
        <v>465</v>
      </c>
      <c r="B29" s="4" t="s">
        <v>87</v>
      </c>
      <c r="C29" s="4" t="s">
        <v>87</v>
      </c>
      <c r="D29" s="4">
        <v>24031</v>
      </c>
      <c r="E29" s="4">
        <v>241</v>
      </c>
      <c r="F29" s="4">
        <v>24</v>
      </c>
      <c r="G29" s="4">
        <v>4919</v>
      </c>
      <c r="H29" s="4">
        <v>3243</v>
      </c>
      <c r="I29" s="4">
        <v>23813</v>
      </c>
      <c r="J29" s="4">
        <v>2024</v>
      </c>
      <c r="K29" s="4">
        <v>16751</v>
      </c>
      <c r="L29" s="4">
        <v>50750</v>
      </c>
      <c r="M29" s="49">
        <f t="shared" si="0"/>
        <v>9.6926108374384246</v>
      </c>
      <c r="N29" s="49">
        <f t="shared" si="1"/>
        <v>6.3901477832512317</v>
      </c>
      <c r="O29" s="49">
        <f t="shared" si="2"/>
        <v>46.922167487684732</v>
      </c>
      <c r="P29" s="49">
        <f t="shared" si="3"/>
        <v>3.9881773399014775</v>
      </c>
      <c r="Q29" s="49">
        <f t="shared" si="4"/>
        <v>33.006896551724132</v>
      </c>
      <c r="R29" s="4">
        <v>16.5</v>
      </c>
      <c r="S29" s="4">
        <v>14.2</v>
      </c>
      <c r="T29" s="4">
        <v>42.9</v>
      </c>
      <c r="U29" s="4">
        <v>2.1</v>
      </c>
      <c r="V29" s="4">
        <v>23.4</v>
      </c>
      <c r="W29" s="4">
        <f t="shared" si="5"/>
        <v>0</v>
      </c>
      <c r="X29" s="4">
        <f t="shared" si="6"/>
        <v>0</v>
      </c>
      <c r="Y29" s="54">
        <v>0</v>
      </c>
      <c r="Z29" s="4">
        <f t="shared" si="8"/>
        <v>0</v>
      </c>
      <c r="AA29" s="4">
        <f t="shared" si="9"/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>
        <v>0</v>
      </c>
      <c r="AL29">
        <v>0</v>
      </c>
      <c r="AM29">
        <v>0</v>
      </c>
      <c r="AN29">
        <v>0</v>
      </c>
      <c r="AP29" s="4" t="s">
        <v>429</v>
      </c>
      <c r="AQ29" s="6">
        <f>AQ105</f>
        <v>-0.33259620000000001</v>
      </c>
      <c r="AR29" s="6">
        <f>AR105</f>
        <v>-5.1240399999999998E-2</v>
      </c>
      <c r="AS29" s="6">
        <f>AS105</f>
        <v>0</v>
      </c>
      <c r="AT29" s="6">
        <f>AT105</f>
        <v>0</v>
      </c>
      <c r="AU29" s="6">
        <v>0</v>
      </c>
      <c r="AY29" s="50">
        <f t="shared" si="10"/>
        <v>12.558327775651914</v>
      </c>
      <c r="AZ29" s="50">
        <f t="shared" si="11"/>
        <v>21.836688144223313</v>
      </c>
      <c r="BA29" s="50">
        <f t="shared" si="12"/>
        <v>30.989123383207019</v>
      </c>
      <c r="BB29" s="50">
        <f t="shared" si="13"/>
        <v>4.5822033543391143</v>
      </c>
      <c r="BC29" s="50">
        <f t="shared" si="14"/>
        <v>30.0194044679698</v>
      </c>
      <c r="BD29" s="50"/>
      <c r="BE29" s="50">
        <f t="shared" si="34"/>
        <v>99.985747125391157</v>
      </c>
      <c r="BF29" s="6"/>
      <c r="BH29" s="2">
        <f t="array" ref="BH29">MIN(100,MAX(0,M29-AK29*5+AR$16*(W29*AQ$29+SUMPRODUCT($AB29:$AJ29,TRANSPOSE(AQ$30:AQ$38)))+AS$16*(W29*AQ$39+SUMPRODUCT($AB29:$AJ29,TRANSPOSE(AQ$40:AQ$48)))+AU$16*(W29*AQ$49+SUMPRODUCT($AB29:$AJ29,TRANSPOSE(AQ$50:AQ$58)))+AT$16*(W29*AQ$59+SUMPRODUCT($AB29:$AJ29,TRANSPOSE(AQ$60:AQ$68)))))</f>
        <v>12.558327775651914</v>
      </c>
      <c r="BI29" s="2">
        <f t="array" ref="BI29">MIN(100,MAX(0,N29-AL29*5+AQ$17*(X29*AR$29+SUMPRODUCT($AB29:$AJ29,TRANSPOSE(AR$30:AR$38)))+AS$17*(X29*AR$39+SUMPRODUCT($AB29:$AJ29,TRANSPOSE(AR$40:AR$48)))+AU$17*(X29*AR$49+SUMPRODUCT($AB29:$AJ29,TRANSPOSE(AR$50:AR$58)))+AT$17*(X29*AR$59+SUMPRODUCT($AB29:$AJ29,TRANSPOSE(AR$60:AR$68)))))</f>
        <v>21.836688144223313</v>
      </c>
      <c r="BJ29" s="2">
        <f t="array" ref="BJ29">MIN(100,MAX(0,O29-AM29*5+AQ$18*(Y29*AS$29+SUMPRODUCT($AB29:$AJ29,TRANSPOSE(AS$30:AS$38)))+AR$18*(Y29*AS$39+SUMPRODUCT($AB29:$AJ29,TRANSPOSE(AS$40:AS$48)))+AU$18*(Y29*AS$49+SUMPRODUCT($AB29:$AJ29,TRANSPOSE(AS$50:AS$58)))+AT$18*(Y29*AS$59+SUMPRODUCT($AB29:$AJ29,TRANSPOSE(AS$60:AS$68)))))</f>
        <v>30.989123383207019</v>
      </c>
      <c r="BK29" s="2">
        <f t="array" ref="BK29">MIN(100,MAX(0,P29+AQ$19*(Z29*AT$29+SUMPRODUCT($AB29:$AJ29,TRANSPOSE(AT$30:AT$38)))+AR$19*(Z29*AT$39+SUMPRODUCT($AB29:$AJ29,TRANSPOSE(AT$40:AT$48)))+AS$19*(Z29*AT$49+SUMPRODUCT($AB29:$AJ29,TRANSPOSE(AT$50:AT$58)))+AU$19*(Z29*AT$59+SUMPRODUCT($AB29:$AJ29,TRANSPOSE(AT$60:AT$68)))))</f>
        <v>4.5822033543391143</v>
      </c>
      <c r="BL29" s="2">
        <f t="array" ref="BL29">MIN(100,MAX(0,Q29-AN29*5+AQ$20*(AA29*AU$29+SUMPRODUCT($AB29:$AJ29,TRANSPOSE(AU$30:AU$38)))+AR$20*(AA29*AU$39+SUMPRODUCT($AB29:$AJ29,TRANSPOSE(AU$40:AU$48)))+AS$20*(AA29*AU$49+SUMPRODUCT($AB29:$AJ29,TRANSPOSE(AU$50:AU$58)))+AT$20*(AA29*AU$59+SUMPRODUCT($AB29:$AJ29,TRANSPOSE(AU$60:AU$68)))))</f>
        <v>30.272153934606667</v>
      </c>
      <c r="BM29" s="6"/>
      <c r="BN29" s="6"/>
      <c r="BP29" s="4">
        <f t="shared" si="35"/>
        <v>0</v>
      </c>
      <c r="BQ29" s="4">
        <f t="shared" si="15"/>
        <v>0</v>
      </c>
      <c r="BR29" s="4">
        <f t="shared" si="16"/>
        <v>1</v>
      </c>
      <c r="BS29" s="4">
        <f t="shared" si="17"/>
        <v>0</v>
      </c>
      <c r="BT29" s="4">
        <f t="shared" si="18"/>
        <v>0</v>
      </c>
      <c r="BV29" s="6"/>
      <c r="BW29" s="2">
        <f t="shared" si="36"/>
        <v>0</v>
      </c>
      <c r="BX29" s="2">
        <f t="shared" si="37"/>
        <v>0</v>
      </c>
      <c r="BY29" s="2">
        <f t="shared" si="38"/>
        <v>1</v>
      </c>
      <c r="BZ29" s="2">
        <f t="shared" si="39"/>
        <v>1</v>
      </c>
      <c r="CA29" s="2">
        <f t="shared" si="40"/>
        <v>1</v>
      </c>
      <c r="CD29" s="4">
        <f t="shared" si="19"/>
        <v>1</v>
      </c>
      <c r="CE29" s="4">
        <f t="shared" si="20"/>
        <v>1</v>
      </c>
      <c r="CF29" s="4">
        <f t="shared" si="21"/>
        <v>0</v>
      </c>
      <c r="CG29" s="4">
        <f t="shared" si="22"/>
        <v>1</v>
      </c>
      <c r="CH29" s="4">
        <f t="shared" si="23"/>
        <v>0</v>
      </c>
      <c r="CK29" s="4">
        <f t="shared" si="24"/>
        <v>0</v>
      </c>
      <c r="CL29" s="4">
        <f t="shared" si="25"/>
        <v>0</v>
      </c>
      <c r="CM29" s="4">
        <f t="shared" si="26"/>
        <v>1</v>
      </c>
      <c r="CN29" s="4">
        <f t="shared" si="27"/>
        <v>0</v>
      </c>
      <c r="CO29" s="4">
        <f t="shared" si="28"/>
        <v>1</v>
      </c>
      <c r="CS29" s="51">
        <f t="shared" si="29"/>
        <v>0</v>
      </c>
      <c r="CT29" s="51">
        <f t="shared" si="30"/>
        <v>0</v>
      </c>
      <c r="CU29" s="51">
        <f t="shared" si="31"/>
        <v>0</v>
      </c>
      <c r="CV29" s="51">
        <f t="shared" si="32"/>
        <v>0</v>
      </c>
      <c r="CW29" s="51">
        <f t="shared" si="33"/>
        <v>1</v>
      </c>
    </row>
    <row r="30" spans="1:101">
      <c r="A30" t="s">
        <v>465</v>
      </c>
      <c r="B30" t="s">
        <v>88</v>
      </c>
      <c r="C30" t="s">
        <v>88</v>
      </c>
      <c r="D30">
        <v>24032</v>
      </c>
      <c r="E30">
        <v>243</v>
      </c>
      <c r="F30">
        <v>24</v>
      </c>
      <c r="G30">
        <v>15926</v>
      </c>
      <c r="H30">
        <v>1265</v>
      </c>
      <c r="I30">
        <v>19829</v>
      </c>
      <c r="J30">
        <v>600</v>
      </c>
      <c r="K30">
        <v>8985</v>
      </c>
      <c r="L30">
        <v>46656</v>
      </c>
      <c r="M30" s="3">
        <f t="shared" si="0"/>
        <v>34.134945130315501</v>
      </c>
      <c r="N30" s="3">
        <f t="shared" si="1"/>
        <v>2.7113340192043895</v>
      </c>
      <c r="O30" s="3">
        <f t="shared" si="2"/>
        <v>42.500428669410148</v>
      </c>
      <c r="P30" s="3">
        <f t="shared" si="3"/>
        <v>1.286008230452675</v>
      </c>
      <c r="Q30" s="3">
        <f t="shared" si="4"/>
        <v>19.257973251028808</v>
      </c>
      <c r="R30">
        <v>16.5</v>
      </c>
      <c r="S30">
        <v>14.2</v>
      </c>
      <c r="T30">
        <v>42.9</v>
      </c>
      <c r="U30">
        <v>2.1</v>
      </c>
      <c r="V30">
        <v>23.4</v>
      </c>
      <c r="W30">
        <f t="shared" si="5"/>
        <v>0</v>
      </c>
      <c r="X30">
        <f t="shared" si="6"/>
        <v>0</v>
      </c>
      <c r="Y30" s="54">
        <v>0</v>
      </c>
      <c r="Z30">
        <f t="shared" si="8"/>
        <v>0</v>
      </c>
      <c r="AA30">
        <f t="shared" si="9"/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P30" t="s">
        <v>449</v>
      </c>
      <c r="AQ30" s="25">
        <f t="shared" ref="AQ30:AQ38" si="43">AVERAGE(AQ106,AR106)</f>
        <v>0.8588897499999999</v>
      </c>
      <c r="AR30" s="28">
        <f>AQ30</f>
        <v>0.8588897499999999</v>
      </c>
      <c r="AS30" s="28">
        <f>AQ40</f>
        <v>1.0013911</v>
      </c>
      <c r="AT30" s="28">
        <f>AQ60</f>
        <v>0.97409309999999993</v>
      </c>
      <c r="AU30" s="28">
        <f>AQ50</f>
        <v>0.93946160000000001</v>
      </c>
      <c r="AY30" s="5">
        <f t="shared" si="10"/>
        <v>31.495530540037265</v>
      </c>
      <c r="AZ30" s="5">
        <f t="shared" si="11"/>
        <v>20.036728427897661</v>
      </c>
      <c r="BA30" s="5">
        <f t="shared" si="12"/>
        <v>24.72146968395214</v>
      </c>
      <c r="BB30" s="5">
        <f t="shared" si="13"/>
        <v>1.794349124425388</v>
      </c>
      <c r="BC30" s="5">
        <f t="shared" si="14"/>
        <v>21.094546417961123</v>
      </c>
      <c r="BD30" s="5"/>
      <c r="BE30" s="5">
        <f t="shared" si="34"/>
        <v>99.14262419427358</v>
      </c>
      <c r="BF30" s="2"/>
      <c r="BH30" s="58">
        <f t="array" ref="BH30">MIN(100,MAX(0,M30-6-AK30*5+AR$16*(W30*AQ$29+SUMPRODUCT($AB30:$AJ30,TRANSPOSE(AQ$30:AQ$38)))+AS$16*(W30*AQ$39+SUMPRODUCT($AB30:$AJ30,TRANSPOSE(AQ$40:AQ$48)))+AU$16*(W30*AQ$49+SUMPRODUCT($AB30:$AJ30,TRANSPOSE(AQ$50:AQ$58)))+AT$16*(W30*AQ$59+SUMPRODUCT($AB30:$AJ30,TRANSPOSE(AQ$60:AQ$68)))))</f>
        <v>31.495530540037265</v>
      </c>
      <c r="BI30" s="2">
        <f t="array" ref="BI30">MIN(100,MAX(0,N30-AL30*5+AQ$17*(X30*AR$29+SUMPRODUCT($AB30:$AJ30,TRANSPOSE(AR$30:AR$38)))+AS$17*(X30*AR$39+SUMPRODUCT($AB30:$AJ30,TRANSPOSE(AR$40:AR$48)))+AU$17*(X30*AR$49+SUMPRODUCT($AB30:$AJ30,TRANSPOSE(AR$50:AR$58)))+AT$17*(X30*AR$59+SUMPRODUCT($AB30:$AJ30,TRANSPOSE(AR$60:AR$68)))))</f>
        <v>20.036728427897661</v>
      </c>
      <c r="BJ30" s="2">
        <f t="array" ref="BJ30">MIN(100,MAX(0,O30-AM30*5+AQ$18*(Y30*AS$29+SUMPRODUCT($AB30:$AJ30,TRANSPOSE(AS$30:AS$38)))+AR$18*(Y30*AS$39+SUMPRODUCT($AB30:$AJ30,TRANSPOSE(AS$40:AS$48)))+AU$18*(Y30*AS$49+SUMPRODUCT($AB30:$AJ30,TRANSPOSE(AS$50:AS$58)))+AT$18*(Y30*AS$59+SUMPRODUCT($AB30:$AJ30,TRANSPOSE(AS$60:AS$68)))))</f>
        <v>24.72146968395214</v>
      </c>
      <c r="BK30" s="2">
        <f t="array" ref="BK30">MIN(100,MAX(0,P30+AQ$19*(Z30*AT$29+SUMPRODUCT($AB30:$AJ30,TRANSPOSE(AT$30:AT$38)))+AR$19*(Z30*AT$39+SUMPRODUCT($AB30:$AJ30,TRANSPOSE(AT$40:AT$48)))+AS$19*(Z30*AT$49+SUMPRODUCT($AB30:$AJ30,TRANSPOSE(AT$50:AT$58)))+AU$19*(Z30*AT$59+SUMPRODUCT($AB30:$AJ30,TRANSPOSE(AT$60:AT$68)))))</f>
        <v>1.794349124425388</v>
      </c>
      <c r="BL30" s="58">
        <f t="array" ref="BL30">MIN(100,MAX(0,Q30+5-AN30*5+AQ$20*(AA30*AU$29+SUMPRODUCT($AB30:$AJ30,TRANSPOSE(AU$30:AU$38)))+AR$20*(AA30*AU$39+SUMPRODUCT($AB30:$AJ30,TRANSPOSE(AU$40:AU$48)))+AS$20*(AA30*AU$49+SUMPRODUCT($AB30:$AJ30,TRANSPOSE(AU$50:AU$58)))+AT$20*(AA30*AU$59+SUMPRODUCT($AB30:$AJ30,TRANSPOSE(AU$60:AU$68)))))</f>
        <v>21.109970960980622</v>
      </c>
      <c r="BM30" s="2"/>
      <c r="BN30" s="2"/>
      <c r="BP30">
        <f t="shared" si="35"/>
        <v>1</v>
      </c>
      <c r="BQ30">
        <f t="shared" si="15"/>
        <v>0</v>
      </c>
      <c r="BR30">
        <f t="shared" si="16"/>
        <v>0</v>
      </c>
      <c r="BS30">
        <f t="shared" si="17"/>
        <v>0</v>
      </c>
      <c r="BT30">
        <f t="shared" si="18"/>
        <v>0</v>
      </c>
      <c r="BV30" s="2"/>
      <c r="BW30" s="2">
        <f t="shared" si="36"/>
        <v>1</v>
      </c>
      <c r="BX30" s="2">
        <f t="shared" si="37"/>
        <v>0</v>
      </c>
      <c r="BY30" s="2">
        <f t="shared" si="38"/>
        <v>0</v>
      </c>
      <c r="BZ30" s="2">
        <f t="shared" si="39"/>
        <v>0</v>
      </c>
      <c r="CA30" s="2">
        <f t="shared" si="40"/>
        <v>1</v>
      </c>
      <c r="CD30">
        <f t="shared" si="19"/>
        <v>0</v>
      </c>
      <c r="CE30">
        <f t="shared" si="20"/>
        <v>1</v>
      </c>
      <c r="CF30">
        <f t="shared" si="21"/>
        <v>0</v>
      </c>
      <c r="CG30">
        <f t="shared" si="22"/>
        <v>1</v>
      </c>
      <c r="CH30">
        <f t="shared" si="23"/>
        <v>1</v>
      </c>
      <c r="CK30">
        <f t="shared" si="24"/>
        <v>1</v>
      </c>
      <c r="CL30">
        <f t="shared" si="25"/>
        <v>0</v>
      </c>
      <c r="CM30">
        <f t="shared" si="26"/>
        <v>1</v>
      </c>
      <c r="CN30">
        <f t="shared" si="27"/>
        <v>0</v>
      </c>
      <c r="CO30">
        <f t="shared" si="28"/>
        <v>0</v>
      </c>
      <c r="CS30" s="38">
        <f t="shared" si="29"/>
        <v>0</v>
      </c>
      <c r="CT30" s="38">
        <f t="shared" si="30"/>
        <v>0</v>
      </c>
      <c r="CU30" s="38">
        <f t="shared" si="31"/>
        <v>0</v>
      </c>
      <c r="CV30" s="38">
        <f t="shared" si="32"/>
        <v>0</v>
      </c>
      <c r="CW30" s="38">
        <f t="shared" si="33"/>
        <v>0</v>
      </c>
    </row>
    <row r="31" spans="1:101">
      <c r="A31" t="s">
        <v>465</v>
      </c>
      <c r="B31" t="s">
        <v>89</v>
      </c>
      <c r="C31" t="s">
        <v>89</v>
      </c>
      <c r="D31">
        <v>24033</v>
      </c>
      <c r="E31">
        <v>243</v>
      </c>
      <c r="F31">
        <v>24</v>
      </c>
      <c r="G31">
        <v>3801</v>
      </c>
      <c r="H31">
        <v>5018</v>
      </c>
      <c r="I31">
        <v>23613</v>
      </c>
      <c r="J31">
        <v>936</v>
      </c>
      <c r="K31">
        <v>16081</v>
      </c>
      <c r="L31">
        <v>49685</v>
      </c>
      <c r="M31" s="3">
        <f t="shared" si="0"/>
        <v>7.6501962362886182</v>
      </c>
      <c r="N31" s="3">
        <f t="shared" si="1"/>
        <v>10.099627654221596</v>
      </c>
      <c r="O31" s="3">
        <f t="shared" si="2"/>
        <v>47.525410083526218</v>
      </c>
      <c r="P31" s="3">
        <f t="shared" si="3"/>
        <v>1.8838683707356345</v>
      </c>
      <c r="Q31" s="3">
        <f t="shared" si="4"/>
        <v>32.365905202777498</v>
      </c>
      <c r="R31">
        <v>16.5</v>
      </c>
      <c r="S31">
        <v>14.2</v>
      </c>
      <c r="T31">
        <v>42.9</v>
      </c>
      <c r="U31">
        <v>2.1</v>
      </c>
      <c r="V31">
        <v>23.4</v>
      </c>
      <c r="W31">
        <f t="shared" si="5"/>
        <v>0</v>
      </c>
      <c r="X31">
        <f t="shared" si="6"/>
        <v>0</v>
      </c>
      <c r="Y31">
        <f t="shared" si="7"/>
        <v>1</v>
      </c>
      <c r="Z31">
        <f t="shared" si="8"/>
        <v>0</v>
      </c>
      <c r="AA31">
        <f t="shared" si="9"/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P31" t="s">
        <v>450</v>
      </c>
      <c r="AQ31" s="25">
        <f t="shared" si="43"/>
        <v>0.91562319999999997</v>
      </c>
      <c r="AR31" s="28">
        <f t="shared" ref="AR31:AR38" si="44">AQ31</f>
        <v>0.91562319999999997</v>
      </c>
      <c r="AS31" s="28">
        <f t="shared" ref="AS31:AS38" si="45">AQ41</f>
        <v>0.97375844999999994</v>
      </c>
      <c r="AT31" s="28">
        <f t="shared" ref="AT31:AT38" si="46">AQ61</f>
        <v>0.97812394999999996</v>
      </c>
      <c r="AU31" s="28">
        <f t="shared" ref="AU31:AU38" si="47">AQ51</f>
        <v>0.92079124999999995</v>
      </c>
      <c r="AY31" s="5">
        <f t="shared" si="10"/>
        <v>9.8013502543502931</v>
      </c>
      <c r="AZ31" s="5">
        <f t="shared" si="11"/>
        <v>23.030917946060011</v>
      </c>
      <c r="BA31" s="5">
        <f t="shared" si="12"/>
        <v>34.409247293988599</v>
      </c>
      <c r="BB31" s="5">
        <f t="shared" si="13"/>
        <v>2.3766253318964501</v>
      </c>
      <c r="BC31" s="5">
        <f t="shared" si="14"/>
        <v>29.854965991760785</v>
      </c>
      <c r="BD31" s="5"/>
      <c r="BE31" s="5">
        <f t="shared" si="34"/>
        <v>99.473106818056124</v>
      </c>
      <c r="BF31" s="2"/>
      <c r="BH31" s="2">
        <f t="array" ref="BH31">MIN(100,MAX(0,M31-AK31*5+AR$16*(W31*AQ$29+SUMPRODUCT($AB31:$AJ31,TRANSPOSE(AQ$30:AQ$38)))+AS$16*(W31*AQ$39+SUMPRODUCT($AB31:$AJ31,TRANSPOSE(AQ$40:AQ$48)))+AU$16*(W31*AQ$49+SUMPRODUCT($AB31:$AJ31,TRANSPOSE(AQ$50:AQ$58)))+AT$16*(W31*AQ$59+SUMPRODUCT($AB31:$AJ31,TRANSPOSE(AQ$60:AQ$68)))))</f>
        <v>9.8013502543502931</v>
      </c>
      <c r="BI31" s="2">
        <f t="array" ref="BI31">MIN(100,MAX(0,N31-AL31*5+AQ$17*(X31*AR$29+SUMPRODUCT($AB31:$AJ31,TRANSPOSE(AR$30:AR$38)))+AS$17*(X31*AR$39+SUMPRODUCT($AB31:$AJ31,TRANSPOSE(AR$40:AR$48)))+AU$17*(X31*AR$49+SUMPRODUCT($AB31:$AJ31,TRANSPOSE(AR$50:AR$58)))+AT$17*(X31*AR$59+SUMPRODUCT($AB31:$AJ31,TRANSPOSE(AR$60:AR$68)))))</f>
        <v>23.030917946060011</v>
      </c>
      <c r="BJ31" s="2">
        <f t="array" ref="BJ31">MIN(100,MAX(0,O31-AM31*5+AQ$18*(Y31*AS$29+SUMPRODUCT($AB31:$AJ31,TRANSPOSE(AS$30:AS$38)))+AR$18*(Y31*AS$39+SUMPRODUCT($AB31:$AJ31,TRANSPOSE(AS$40:AS$48)))+AU$18*(Y31*AS$49+SUMPRODUCT($AB31:$AJ31,TRANSPOSE(AS$50:AS$58)))+AT$18*(Y31*AS$59+SUMPRODUCT($AB31:$AJ31,TRANSPOSE(AS$60:AS$68)))))</f>
        <v>34.409247293988599</v>
      </c>
      <c r="BK31" s="2">
        <f t="array" ref="BK31">MIN(100,MAX(0,P31+AQ$19*(Z31*AT$29+SUMPRODUCT($AB31:$AJ31,TRANSPOSE(AT$30:AT$38)))+AR$19*(Z31*AT$39+SUMPRODUCT($AB31:$AJ31,TRANSPOSE(AT$40:AT$48)))+AS$19*(Z31*AT$49+SUMPRODUCT($AB31:$AJ31,TRANSPOSE(AT$50:AT$58)))+AU$19*(Z31*AT$59+SUMPRODUCT($AB31:$AJ31,TRANSPOSE(AT$60:AT$68)))))</f>
        <v>2.3766253318964501</v>
      </c>
      <c r="BL31" s="2">
        <f t="array" ref="BL31">MIN(100,MAX(0,Q31-AN31*5+AQ$20*(AA31*AU$29+SUMPRODUCT($AB31:$AJ31,TRANSPOSE(AU$30:AU$38)))+AR$20*(AA31*AU$39+SUMPRODUCT($AB31:$AJ31,TRANSPOSE(AU$40:AU$48)))+AS$20*(AA31*AU$49+SUMPRODUCT($AB31:$AJ31,TRANSPOSE(AU$50:AU$58)))+AT$20*(AA31*AU$59+SUMPRODUCT($AB31:$AJ31,TRANSPOSE(AU$60:AU$68)))))</f>
        <v>30.10334280075006</v>
      </c>
      <c r="BM31" s="2"/>
      <c r="BN31" s="2"/>
      <c r="BP31">
        <f t="shared" si="35"/>
        <v>0</v>
      </c>
      <c r="BQ31">
        <f t="shared" si="15"/>
        <v>0</v>
      </c>
      <c r="BR31">
        <f t="shared" si="16"/>
        <v>1</v>
      </c>
      <c r="BS31">
        <f t="shared" si="17"/>
        <v>0</v>
      </c>
      <c r="BT31">
        <f t="shared" si="18"/>
        <v>0</v>
      </c>
      <c r="BV31" s="2"/>
      <c r="BW31" s="2">
        <f t="shared" si="36"/>
        <v>0</v>
      </c>
      <c r="BX31" s="2">
        <f t="shared" si="37"/>
        <v>0</v>
      </c>
      <c r="BY31" s="2">
        <f t="shared" si="38"/>
        <v>1</v>
      </c>
      <c r="BZ31" s="2">
        <f t="shared" si="39"/>
        <v>0</v>
      </c>
      <c r="CA31" s="2">
        <f t="shared" si="40"/>
        <v>1</v>
      </c>
      <c r="CD31">
        <f t="shared" si="19"/>
        <v>1</v>
      </c>
      <c r="CE31">
        <f t="shared" si="20"/>
        <v>1</v>
      </c>
      <c r="CF31">
        <f t="shared" si="21"/>
        <v>0</v>
      </c>
      <c r="CG31">
        <f t="shared" si="22"/>
        <v>1</v>
      </c>
      <c r="CH31">
        <f t="shared" si="23"/>
        <v>0</v>
      </c>
      <c r="CK31">
        <f t="shared" si="24"/>
        <v>0</v>
      </c>
      <c r="CL31">
        <f t="shared" si="25"/>
        <v>0</v>
      </c>
      <c r="CM31">
        <f t="shared" si="26"/>
        <v>1</v>
      </c>
      <c r="CN31">
        <f t="shared" si="27"/>
        <v>0</v>
      </c>
      <c r="CO31">
        <f t="shared" si="28"/>
        <v>1</v>
      </c>
      <c r="CS31" s="38">
        <f t="shared" si="29"/>
        <v>0</v>
      </c>
      <c r="CT31" s="38">
        <f t="shared" si="30"/>
        <v>0</v>
      </c>
      <c r="CU31" s="38">
        <f t="shared" si="31"/>
        <v>0</v>
      </c>
      <c r="CV31" s="38">
        <f t="shared" si="32"/>
        <v>0</v>
      </c>
      <c r="CW31" s="38">
        <f t="shared" si="33"/>
        <v>1</v>
      </c>
    </row>
    <row r="32" spans="1:101">
      <c r="A32" t="s">
        <v>465</v>
      </c>
      <c r="B32" t="s">
        <v>90</v>
      </c>
      <c r="C32" t="s">
        <v>90</v>
      </c>
      <c r="D32">
        <v>24034</v>
      </c>
      <c r="E32">
        <v>247</v>
      </c>
      <c r="F32">
        <v>24</v>
      </c>
      <c r="G32">
        <v>4787</v>
      </c>
      <c r="H32">
        <v>6697</v>
      </c>
      <c r="I32">
        <v>25308</v>
      </c>
      <c r="J32">
        <v>736</v>
      </c>
      <c r="K32">
        <v>13035</v>
      </c>
      <c r="L32">
        <v>50654</v>
      </c>
      <c r="M32" s="3">
        <f t="shared" si="0"/>
        <v>9.4503889130177274</v>
      </c>
      <c r="N32" s="3">
        <f t="shared" si="1"/>
        <v>13.221068425000986</v>
      </c>
      <c r="O32" s="3">
        <f t="shared" si="2"/>
        <v>49.962490622655665</v>
      </c>
      <c r="P32" s="3">
        <f t="shared" si="3"/>
        <v>1.4529948276542821</v>
      </c>
      <c r="Q32" s="3">
        <f t="shared" si="4"/>
        <v>25.73340703596952</v>
      </c>
      <c r="R32">
        <v>16.5</v>
      </c>
      <c r="S32">
        <v>14.2</v>
      </c>
      <c r="T32">
        <v>42.9</v>
      </c>
      <c r="U32">
        <v>2.1</v>
      </c>
      <c r="V32">
        <v>23.4</v>
      </c>
      <c r="W32">
        <f t="shared" si="5"/>
        <v>0</v>
      </c>
      <c r="X32">
        <f t="shared" si="6"/>
        <v>0</v>
      </c>
      <c r="Y32">
        <f t="shared" si="7"/>
        <v>1</v>
      </c>
      <c r="Z32">
        <f t="shared" si="8"/>
        <v>0</v>
      </c>
      <c r="AA32">
        <f t="shared" si="9"/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P32" t="s">
        <v>451</v>
      </c>
      <c r="AQ32" s="25">
        <f t="shared" si="43"/>
        <v>1.3519670000000001</v>
      </c>
      <c r="AR32" s="28">
        <f t="shared" si="44"/>
        <v>1.3519670000000001</v>
      </c>
      <c r="AS32" s="28">
        <f t="shared" si="45"/>
        <v>1.1988541500000001</v>
      </c>
      <c r="AT32" s="28">
        <f t="shared" si="46"/>
        <v>1.0893507499999999</v>
      </c>
      <c r="AU32" s="28">
        <f t="shared" si="47"/>
        <v>1.1568259000000001</v>
      </c>
      <c r="AY32" s="5">
        <f t="shared" si="10"/>
        <v>12.240268308799209</v>
      </c>
      <c r="AZ32" s="5">
        <f t="shared" si="11"/>
        <v>28.547096489023787</v>
      </c>
      <c r="BA32" s="5">
        <f t="shared" si="12"/>
        <v>34.242160975310746</v>
      </c>
      <c r="BB32" s="5">
        <f t="shared" si="13"/>
        <v>2.0147369350993301</v>
      </c>
      <c r="BC32" s="5">
        <f t="shared" si="14"/>
        <v>22.947015192741869</v>
      </c>
      <c r="BD32" s="5"/>
      <c r="BE32" s="5">
        <f t="shared" si="34"/>
        <v>99.99127790097495</v>
      </c>
      <c r="BF32" s="2"/>
      <c r="BH32" s="2">
        <f t="array" ref="BH32">MIN(100,MAX(0,M32-AK32*5+AR$16*(W32*AQ$29+SUMPRODUCT($AB32:$AJ32,TRANSPOSE(AQ$30:AQ$38)))+AS$16*(W32*AQ$39+SUMPRODUCT($AB32:$AJ32,TRANSPOSE(AQ$40:AQ$48)))+AU$16*(W32*AQ$49+SUMPRODUCT($AB32:$AJ32,TRANSPOSE(AQ$50:AQ$58)))+AT$16*(W32*AQ$59+SUMPRODUCT($AB32:$AJ32,TRANSPOSE(AQ$60:AQ$68)))))</f>
        <v>12.240268308799209</v>
      </c>
      <c r="BI32" s="2">
        <f t="array" ref="BI32">MIN(100,MAX(0,N32-AL32*5+AQ$17*(X32*AR$29+SUMPRODUCT($AB32:$AJ32,TRANSPOSE(AR$30:AR$38)))+AS$17*(X32*AR$39+SUMPRODUCT($AB32:$AJ32,TRANSPOSE(AR$40:AR$48)))+AU$17*(X32*AR$49+SUMPRODUCT($AB32:$AJ32,TRANSPOSE(AR$50:AR$58)))+AT$17*(X32*AR$59+SUMPRODUCT($AB32:$AJ32,TRANSPOSE(AR$60:AR$68)))))</f>
        <v>28.547096489023787</v>
      </c>
      <c r="BJ32" s="2">
        <f t="array" ref="BJ32">MIN(100,MAX(0,O32-AM32*5+AQ$18*(Y32*AS$29+SUMPRODUCT($AB32:$AJ32,TRANSPOSE(AS$30:AS$38)))+AR$18*(Y32*AS$39+SUMPRODUCT($AB32:$AJ32,TRANSPOSE(AS$40:AS$48)))+AU$18*(Y32*AS$49+SUMPRODUCT($AB32:$AJ32,TRANSPOSE(AS$50:AS$58)))+AT$18*(Y32*AS$59+SUMPRODUCT($AB32:$AJ32,TRANSPOSE(AS$60:AS$68)))))</f>
        <v>34.242160975310746</v>
      </c>
      <c r="BK32" s="2">
        <f t="array" ref="BK32">MIN(100,MAX(0,P32+AQ$19*(Z32*AT$29+SUMPRODUCT($AB32:$AJ32,TRANSPOSE(AT$30:AT$38)))+AR$19*(Z32*AT$39+SUMPRODUCT($AB32:$AJ32,TRANSPOSE(AT$40:AT$48)))+AS$19*(Z32*AT$49+SUMPRODUCT($AB32:$AJ32,TRANSPOSE(AT$50:AT$58)))+AU$19*(Z32*AT$59+SUMPRODUCT($AB32:$AJ32,TRANSPOSE(AT$60:AT$68)))))</f>
        <v>2.0147369350993301</v>
      </c>
      <c r="BL32" s="2">
        <f t="array" ref="BL32">MIN(100,MAX(0,Q32-AN32*5+AQ$20*(AA32*AU$29+SUMPRODUCT($AB32:$AJ32,TRANSPOSE(AU$30:AU$38)))+AR$20*(AA32*AU$39+SUMPRODUCT($AB32:$AJ32,TRANSPOSE(AU$40:AU$48)))+AS$20*(AA32*AU$49+SUMPRODUCT($AB32:$AJ32,TRANSPOSE(AU$50:AU$58)))+AT$20*(AA32*AU$59+SUMPRODUCT($AB32:$AJ32,TRANSPOSE(AU$60:AU$68)))))</f>
        <v>23.011699568020322</v>
      </c>
      <c r="BM32" s="2"/>
      <c r="BN32" s="2"/>
      <c r="BP32">
        <f t="shared" si="35"/>
        <v>0</v>
      </c>
      <c r="BQ32">
        <f t="shared" si="15"/>
        <v>0</v>
      </c>
      <c r="BR32">
        <f t="shared" si="16"/>
        <v>1</v>
      </c>
      <c r="BS32">
        <f t="shared" si="17"/>
        <v>0</v>
      </c>
      <c r="BT32">
        <f t="shared" si="18"/>
        <v>0</v>
      </c>
      <c r="BV32" s="2"/>
      <c r="BW32" s="2">
        <f t="shared" si="36"/>
        <v>0</v>
      </c>
      <c r="BX32" s="2">
        <f t="shared" si="37"/>
        <v>0</v>
      </c>
      <c r="BY32" s="2">
        <f t="shared" si="38"/>
        <v>1</v>
      </c>
      <c r="BZ32" s="2">
        <f t="shared" si="39"/>
        <v>0</v>
      </c>
      <c r="CA32" s="2">
        <f t="shared" si="40"/>
        <v>1</v>
      </c>
      <c r="CD32">
        <f t="shared" si="19"/>
        <v>1</v>
      </c>
      <c r="CE32">
        <f t="shared" si="20"/>
        <v>1</v>
      </c>
      <c r="CF32">
        <f t="shared" si="21"/>
        <v>0</v>
      </c>
      <c r="CG32">
        <f t="shared" si="22"/>
        <v>1</v>
      </c>
      <c r="CH32">
        <f t="shared" si="23"/>
        <v>0</v>
      </c>
      <c r="CK32">
        <f t="shared" si="24"/>
        <v>0</v>
      </c>
      <c r="CL32">
        <f t="shared" si="25"/>
        <v>0</v>
      </c>
      <c r="CM32">
        <f t="shared" si="26"/>
        <v>1</v>
      </c>
      <c r="CN32">
        <f t="shared" si="27"/>
        <v>0</v>
      </c>
      <c r="CO32">
        <f t="shared" si="28"/>
        <v>1</v>
      </c>
      <c r="CS32" s="38">
        <f t="shared" si="29"/>
        <v>0</v>
      </c>
      <c r="CT32" s="38">
        <f t="shared" si="30"/>
        <v>0</v>
      </c>
      <c r="CU32" s="38">
        <f t="shared" si="31"/>
        <v>0</v>
      </c>
      <c r="CV32" s="38">
        <f t="shared" si="32"/>
        <v>0</v>
      </c>
      <c r="CW32" s="38">
        <f t="shared" si="33"/>
        <v>0</v>
      </c>
    </row>
    <row r="33" spans="1:101">
      <c r="A33" t="s">
        <v>465</v>
      </c>
      <c r="B33" t="s">
        <v>91</v>
      </c>
      <c r="C33" t="s">
        <v>91</v>
      </c>
      <c r="D33">
        <v>24035</v>
      </c>
      <c r="E33">
        <v>244</v>
      </c>
      <c r="F33">
        <v>24</v>
      </c>
      <c r="G33">
        <v>22945</v>
      </c>
      <c r="H33">
        <v>1766</v>
      </c>
      <c r="I33">
        <v>17446</v>
      </c>
      <c r="J33">
        <v>729</v>
      </c>
      <c r="K33">
        <v>11403</v>
      </c>
      <c r="L33">
        <v>54289</v>
      </c>
      <c r="M33" s="3">
        <f t="shared" si="0"/>
        <v>42.264547145830647</v>
      </c>
      <c r="N33" s="3">
        <f t="shared" si="1"/>
        <v>3.252961004991803</v>
      </c>
      <c r="O33" s="3">
        <f t="shared" si="2"/>
        <v>32.135423382268968</v>
      </c>
      <c r="P33" s="3">
        <f t="shared" si="3"/>
        <v>1.3428134612905007</v>
      </c>
      <c r="Q33" s="3">
        <f t="shared" si="4"/>
        <v>21.004255005618081</v>
      </c>
      <c r="R33">
        <v>16.5</v>
      </c>
      <c r="S33">
        <v>14.2</v>
      </c>
      <c r="T33">
        <v>42.9</v>
      </c>
      <c r="U33">
        <v>2.1</v>
      </c>
      <c r="V33">
        <v>23.4</v>
      </c>
      <c r="W33">
        <f t="shared" si="5"/>
        <v>1</v>
      </c>
      <c r="X33">
        <f t="shared" si="6"/>
        <v>0</v>
      </c>
      <c r="Y33">
        <f t="shared" si="7"/>
        <v>0</v>
      </c>
      <c r="Z33">
        <f t="shared" si="8"/>
        <v>0</v>
      </c>
      <c r="AA33">
        <f t="shared" si="9"/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P33" t="s">
        <v>452</v>
      </c>
      <c r="AQ33" s="25">
        <f t="shared" si="43"/>
        <v>1.1868335000000001</v>
      </c>
      <c r="AR33" s="28">
        <f t="shared" si="44"/>
        <v>1.1868335000000001</v>
      </c>
      <c r="AS33" s="28">
        <f t="shared" si="45"/>
        <v>1.1686070000000002</v>
      </c>
      <c r="AT33" s="28">
        <f t="shared" si="46"/>
        <v>1.0201337500000001</v>
      </c>
      <c r="AU33" s="28">
        <f t="shared" si="47"/>
        <v>1.1329205</v>
      </c>
      <c r="AY33" s="5">
        <f t="shared" si="10"/>
        <v>44.664142731925068</v>
      </c>
      <c r="AZ33" s="5">
        <f t="shared" si="11"/>
        <v>20.578355413685074</v>
      </c>
      <c r="BA33" s="5">
        <f t="shared" si="12"/>
        <v>14.356464396810962</v>
      </c>
      <c r="BB33" s="5">
        <f t="shared" si="13"/>
        <v>1.8511543552632137</v>
      </c>
      <c r="BC33" s="5">
        <f t="shared" si="14"/>
        <v>17.856252715569894</v>
      </c>
      <c r="BD33" s="5"/>
      <c r="BE33" s="5">
        <f t="shared" si="34"/>
        <v>99.306369613254219</v>
      </c>
      <c r="BF33" s="2"/>
      <c r="BH33" s="2">
        <f t="array" ref="BH33">MIN(100,MAX(0,M33-AK33*5+AR$16*(W33*AQ$29+SUMPRODUCT($AB33:$AJ33,TRANSPOSE(AQ$30:AQ$38)))+AS$16*(W33*AQ$39+SUMPRODUCT($AB33:$AJ33,TRANSPOSE(AQ$40:AQ$48)))+AU$16*(W33*AQ$49+SUMPRODUCT($AB33:$AJ33,TRANSPOSE(AQ$50:AQ$58)))+AT$16*(W33*AQ$59+SUMPRODUCT($AB33:$AJ33,TRANSPOSE(AQ$60:AQ$68)))))</f>
        <v>44.664142731925068</v>
      </c>
      <c r="BI33" s="2">
        <f t="array" ref="BI33">MIN(100,MAX(0,N33-AL33*5+AQ$17*(X33*AR$29+SUMPRODUCT($AB33:$AJ33,TRANSPOSE(AR$30:AR$38)))+AS$17*(X33*AR$39+SUMPRODUCT($AB33:$AJ33,TRANSPOSE(AR$40:AR$48)))+AU$17*(X33*AR$49+SUMPRODUCT($AB33:$AJ33,TRANSPOSE(AR$50:AR$58)))+AT$17*(X33*AR$59+SUMPRODUCT($AB33:$AJ33,TRANSPOSE(AR$60:AR$68)))))</f>
        <v>20.578355413685074</v>
      </c>
      <c r="BJ33" s="2">
        <f t="array" ref="BJ33">MIN(100,MAX(0,O33-AM33*5+AQ$18*(Y33*AS$29+SUMPRODUCT($AB33:$AJ33,TRANSPOSE(AS$30:AS$38)))+AR$18*(Y33*AS$39+SUMPRODUCT($AB33:$AJ33,TRANSPOSE(AS$40:AS$48)))+AU$18*(Y33*AS$49+SUMPRODUCT($AB33:$AJ33,TRANSPOSE(AS$50:AS$58)))+AT$18*(Y33*AS$59+SUMPRODUCT($AB33:$AJ33,TRANSPOSE(AS$60:AS$68)))))</f>
        <v>14.356464396810962</v>
      </c>
      <c r="BK33" s="2">
        <f t="array" ref="BK33">MIN(100,MAX(0,P33+AQ$19*(Z33*AT$29+SUMPRODUCT($AB33:$AJ33,TRANSPOSE(AT$30:AT$38)))+AR$19*(Z33*AT$39+SUMPRODUCT($AB33:$AJ33,TRANSPOSE(AT$40:AT$48)))+AS$19*(Z33*AT$49+SUMPRODUCT($AB33:$AJ33,TRANSPOSE(AT$50:AT$58)))+AU$19*(Z33*AT$59+SUMPRODUCT($AB33:$AJ33,TRANSPOSE(AT$60:AT$68)))))</f>
        <v>1.8511543552632137</v>
      </c>
      <c r="BL33" s="2">
        <f t="array" ref="BL33">MIN(100,MAX(0,Q33-AN33*5+AQ$20*(AA33*AU$29+SUMPRODUCT($AB33:$AJ33,TRANSPOSE(AU$30:AU$38)))+AR$20*(AA33*AU$39+SUMPRODUCT($AB33:$AJ33,TRANSPOSE(AU$40:AU$48)))+AS$20*(AA33*AU$49+SUMPRODUCT($AB33:$AJ33,TRANSPOSE(AU$50:AU$58)))+AT$20*(AA33*AU$59+SUMPRODUCT($AB33:$AJ33,TRANSPOSE(AU$60:AU$68)))))</f>
        <v>17.856252715569894</v>
      </c>
      <c r="BM33" s="2"/>
      <c r="BN33" s="2"/>
      <c r="BP33">
        <f t="shared" si="35"/>
        <v>1</v>
      </c>
      <c r="BQ33">
        <f t="shared" si="15"/>
        <v>0</v>
      </c>
      <c r="BR33">
        <f t="shared" si="16"/>
        <v>0</v>
      </c>
      <c r="BS33">
        <f t="shared" si="17"/>
        <v>0</v>
      </c>
      <c r="BT33">
        <f t="shared" si="18"/>
        <v>0</v>
      </c>
      <c r="BV33" s="2"/>
      <c r="BW33" s="2">
        <f t="shared" si="36"/>
        <v>1</v>
      </c>
      <c r="BX33" s="2">
        <f t="shared" si="37"/>
        <v>0</v>
      </c>
      <c r="BY33" s="2">
        <f t="shared" si="38"/>
        <v>0</v>
      </c>
      <c r="BZ33" s="2">
        <f t="shared" si="39"/>
        <v>0</v>
      </c>
      <c r="CA33" s="2">
        <f t="shared" si="40"/>
        <v>0</v>
      </c>
      <c r="CD33">
        <f t="shared" si="19"/>
        <v>1</v>
      </c>
      <c r="CE33">
        <f t="shared" si="20"/>
        <v>1</v>
      </c>
      <c r="CF33">
        <f t="shared" si="21"/>
        <v>0</v>
      </c>
      <c r="CG33">
        <f t="shared" si="22"/>
        <v>1</v>
      </c>
      <c r="CH33">
        <f t="shared" si="23"/>
        <v>0</v>
      </c>
      <c r="CK33">
        <f t="shared" si="24"/>
        <v>0</v>
      </c>
      <c r="CL33">
        <f t="shared" si="25"/>
        <v>0</v>
      </c>
      <c r="CM33">
        <f t="shared" si="26"/>
        <v>1</v>
      </c>
      <c r="CN33">
        <f t="shared" si="27"/>
        <v>0</v>
      </c>
      <c r="CO33">
        <f t="shared" si="28"/>
        <v>1</v>
      </c>
      <c r="CS33" s="38">
        <f t="shared" si="29"/>
        <v>0</v>
      </c>
      <c r="CT33" s="38">
        <f t="shared" si="30"/>
        <v>0</v>
      </c>
      <c r="CU33" s="38">
        <f t="shared" si="31"/>
        <v>0</v>
      </c>
      <c r="CV33" s="38">
        <f t="shared" si="32"/>
        <v>0</v>
      </c>
      <c r="CW33" s="38">
        <f t="shared" si="33"/>
        <v>0</v>
      </c>
    </row>
    <row r="34" spans="1:101">
      <c r="A34" t="s">
        <v>465</v>
      </c>
      <c r="B34" t="s">
        <v>92</v>
      </c>
      <c r="C34" t="s">
        <v>92</v>
      </c>
      <c r="D34">
        <v>24036</v>
      </c>
      <c r="E34">
        <v>247</v>
      </c>
      <c r="F34">
        <v>24</v>
      </c>
      <c r="G34">
        <v>15434</v>
      </c>
      <c r="H34">
        <v>18502</v>
      </c>
      <c r="I34">
        <v>16312</v>
      </c>
      <c r="J34">
        <v>2319</v>
      </c>
      <c r="K34">
        <v>1693</v>
      </c>
      <c r="L34">
        <v>54261</v>
      </c>
      <c r="M34" s="3">
        <f t="shared" ref="M34:M65" si="48">G34/$L34*100</f>
        <v>28.444002137815371</v>
      </c>
      <c r="N34" s="3">
        <f t="shared" ref="N34:N65" si="49">H34/$L34*100</f>
        <v>34.098155212767914</v>
      </c>
      <c r="O34" s="3">
        <f t="shared" ref="O34:O65" si="50">I34/$L34*100</f>
        <v>30.062107222498664</v>
      </c>
      <c r="P34" s="3">
        <f t="shared" ref="P34:P65" si="51">J34/$L34*100</f>
        <v>4.2737878033947032</v>
      </c>
      <c r="Q34" s="3">
        <f t="shared" ref="Q34:Q65" si="52">K34/$L34*100</f>
        <v>3.1201046792355465</v>
      </c>
      <c r="R34">
        <v>16.5</v>
      </c>
      <c r="S34">
        <v>14.2</v>
      </c>
      <c r="T34">
        <v>42.9</v>
      </c>
      <c r="U34">
        <v>2.1</v>
      </c>
      <c r="V34">
        <v>23.4</v>
      </c>
      <c r="W34">
        <f t="shared" ref="W34:W65" si="53">IF(M34=MAX($M34:$Q34),1,0)</f>
        <v>0</v>
      </c>
      <c r="X34">
        <f t="shared" ref="X34:X65" si="54">IF(N34=MAX($M34:$Q34),1,0)</f>
        <v>1</v>
      </c>
      <c r="Y34">
        <f t="shared" ref="Y34:Y65" si="55">IF(O34=MAX($M34:$Q34),1,0)</f>
        <v>0</v>
      </c>
      <c r="Z34">
        <f t="shared" ref="Z34:Z65" si="56">IF(P34=MAX($M34:$Q34),1,0)</f>
        <v>0</v>
      </c>
      <c r="AA34">
        <f t="shared" ref="AA34:AA65" si="57">IF(Q34=MAX($M34:$Q34),1,0)</f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P34" t="s">
        <v>453</v>
      </c>
      <c r="AQ34" s="25">
        <f t="shared" si="43"/>
        <v>1.1161724999999998</v>
      </c>
      <c r="AR34" s="28">
        <f t="shared" si="44"/>
        <v>1.1161724999999998</v>
      </c>
      <c r="AS34" s="28">
        <f t="shared" si="45"/>
        <v>1.02721135</v>
      </c>
      <c r="AT34" s="28">
        <f t="shared" si="46"/>
        <v>1.0085808999999999</v>
      </c>
      <c r="AU34" s="28">
        <f t="shared" si="47"/>
        <v>1.03421465</v>
      </c>
      <c r="AY34" s="5">
        <f t="shared" ref="AY34:AY65" si="58">MIN(100,(1-BW34*AQ$11-(1-BW34)*AQ$13)*BH34+BW34*AQ$11*(AQ$6+AQ$6/AQ$10*(BH34-AQ$6))+(1-BW34)*AQ$13*(BH34+(AQ$6-AQ$12)/(100-AQ$12)*(AQ$6-BH34)))</f>
        <v>30.589518110197268</v>
      </c>
      <c r="AZ34" s="5">
        <f t="shared" ref="AZ34:AZ65" si="59">MIN(100,(1-BX34*AR$11-(1-BX34)*AR$13)*BI34+BX34*AR$11*(AR$6+AR$6/AR$10*(BI34-AR$6))+(1-BX34)*AR$13*(BI34+(AR$6-AR$12)/(100-AR$12)*(AR$6-BI34)))</f>
        <v>47.06684474191858</v>
      </c>
      <c r="BA34" s="5">
        <f t="shared" ref="BA34:BA65" si="60">MIN(100,(1-BY34*AS$11-(1-BY34)*AS$13)*BJ34+BY34*AS$11*(AS$6+AS$6/AS$10*(BJ34-AS$6))+(1-BY34)*AS$13*(BJ34+(AS$6-AS$12)/(100-AS$12)*(AS$6-BJ34)))</f>
        <v>16.127997870983123</v>
      </c>
      <c r="BB34" s="5">
        <f t="shared" ref="BB34:BB65" si="61">MIN(100,(1-BZ34*AT$11-(1-BZ34)*AT$13)*BK34+BZ34*AT$11*(AT$6+AT$6/AT$10*(BK34-AT$6))+(1-BZ34)*AT$13*(BK34+(AT$6-AT$12)/(100-AT$12)*(AT$6-BK34)))</f>
        <v>4.8187242509067447</v>
      </c>
      <c r="BC34" s="5">
        <f t="shared" ref="BC34:BC65" si="62">MIN(100,(1-CA34*AU$11-(1-CA34)*AU$13)*BL34+CA34*AU$11*(AU$6+AU$6/AU$10*(BL34-AU$6))+(1-CA34)*AU$13*(BL34+(AU$6-AU$12)/(100-AU$12)*(AU$6-BL34)))</f>
        <v>0.80935163345641326</v>
      </c>
      <c r="BD34" s="5"/>
      <c r="BE34" s="5">
        <f t="shared" si="34"/>
        <v>99.412436607462126</v>
      </c>
      <c r="BF34" s="2"/>
      <c r="BH34" s="2">
        <f t="array" ref="BH34">MIN(100,MAX(0,M34-AK34*5+AR$16*(W34*AQ$29+SUMPRODUCT($AB34:$AJ34,TRANSPOSE(AQ$30:AQ$38)))+AS$16*(W34*AQ$39+SUMPRODUCT($AB34:$AJ34,TRANSPOSE(AQ$40:AQ$48)))+AU$16*(W34*AQ$49+SUMPRODUCT($AB34:$AJ34,TRANSPOSE(AQ$50:AQ$58)))+AT$16*(W34*AQ$59+SUMPRODUCT($AB34:$AJ34,TRANSPOSE(AQ$60:AQ$68)))))</f>
        <v>30.589518110197268</v>
      </c>
      <c r="BI34" s="2">
        <f t="array" ref="BI34">MIN(100,MAX(0,N34-AL34*5+AQ$17*(X34*AR$29+SUMPRODUCT($AB34:$AJ34,TRANSPOSE(AR$30:AR$38)))+AS$17*(X34*AR$39+SUMPRODUCT($AB34:$AJ34,TRANSPOSE(AR$40:AR$48)))+AU$17*(X34*AR$49+SUMPRODUCT($AB34:$AJ34,TRANSPOSE(AR$50:AR$58)))+AT$17*(X34*AR$59+SUMPRODUCT($AB34:$AJ34,TRANSPOSE(AR$60:AR$68)))))</f>
        <v>47.06684474191858</v>
      </c>
      <c r="BJ34" s="2">
        <f t="array" ref="BJ34">MIN(100,MAX(0,O34-AM34*5+AQ$18*(Y34*AS$29+SUMPRODUCT($AB34:$AJ34,TRANSPOSE(AS$30:AS$38)))+AR$18*(Y34*AS$39+SUMPRODUCT($AB34:$AJ34,TRANSPOSE(AS$40:AS$48)))+AU$18*(Y34*AS$49+SUMPRODUCT($AB34:$AJ34,TRANSPOSE(AS$50:AS$58)))+AT$18*(Y34*AS$59+SUMPRODUCT($AB34:$AJ34,TRANSPOSE(AS$60:AS$68)))))</f>
        <v>16.127997870983123</v>
      </c>
      <c r="BK34" s="2">
        <f t="array" ref="BK34">MIN(100,MAX(0,P34+AQ$19*(Z34*AT$29+SUMPRODUCT($AB34:$AJ34,TRANSPOSE(AT$30:AT$38)))+AR$19*(Z34*AT$39+SUMPRODUCT($AB34:$AJ34,TRANSPOSE(AT$40:AT$48)))+AS$19*(Z34*AT$49+SUMPRODUCT($AB34:$AJ34,TRANSPOSE(AT$50:AT$58)))+AU$19*(Z34*AT$59+SUMPRODUCT($AB34:$AJ34,TRANSPOSE(AT$60:AT$68)))))</f>
        <v>4.8187242509067447</v>
      </c>
      <c r="BL34" s="2">
        <f t="array" ref="BL34">MIN(100,MAX(0,Q34-AN34*5+AQ$20*(AA34*AU$29+SUMPRODUCT($AB34:$AJ34,TRANSPOSE(AU$30:AU$38)))+AR$20*(AA34*AU$39+SUMPRODUCT($AB34:$AJ34,TRANSPOSE(AU$40:AU$48)))+AS$20*(AA34*AU$49+SUMPRODUCT($AB34:$AJ34,TRANSPOSE(AU$50:AU$58)))+AT$20*(AA34*AU$59+SUMPRODUCT($AB34:$AJ34,TRANSPOSE(AU$60:AU$68)))))</f>
        <v>0.80935163345641326</v>
      </c>
      <c r="BM34" s="2"/>
      <c r="BN34" s="2"/>
      <c r="BP34">
        <f t="shared" ref="BP34:BP65" si="63">IF(AY34=MAX($AY34:$BC34),1,0)</f>
        <v>0</v>
      </c>
      <c r="BQ34">
        <f t="shared" ref="BQ34:BQ65" si="64">IF(AZ34=MAX($AY34:$BC34),1,0)</f>
        <v>1</v>
      </c>
      <c r="BR34">
        <f t="shared" ref="BR34:BR65" si="65">IF(BA34=MAX($AY34:$BC34),1,0)</f>
        <v>0</v>
      </c>
      <c r="BS34">
        <f t="shared" ref="BS34:BS65" si="66">IF(BB34=MAX($AY34:$BC34),1,0)</f>
        <v>0</v>
      </c>
      <c r="BT34">
        <f t="shared" ref="BT34:BT65" si="67">IF(BC34=MAX($AY34:$BC34),1,0)</f>
        <v>0</v>
      </c>
      <c r="BV34" s="2"/>
      <c r="BW34" s="2">
        <f t="shared" si="36"/>
        <v>1</v>
      </c>
      <c r="BX34" s="2">
        <f t="shared" si="37"/>
        <v>1</v>
      </c>
      <c r="BY34" s="2">
        <f t="shared" si="38"/>
        <v>0</v>
      </c>
      <c r="BZ34" s="2">
        <f t="shared" si="39"/>
        <v>1</v>
      </c>
      <c r="CA34" s="2">
        <f t="shared" si="40"/>
        <v>0</v>
      </c>
      <c r="CD34">
        <f t="shared" ref="CD34:CD65" si="68">IF(BH34&gt;M34,1,0)</f>
        <v>1</v>
      </c>
      <c r="CE34">
        <f t="shared" ref="CE34:CE65" si="69">IF(BI34&gt;N34,1,0)</f>
        <v>1</v>
      </c>
      <c r="CF34">
        <f t="shared" ref="CF34:CF65" si="70">IF(BJ34&gt;O34,1,0)</f>
        <v>0</v>
      </c>
      <c r="CG34">
        <f t="shared" ref="CG34:CG65" si="71">IF(BK34&gt;P34,1,0)</f>
        <v>1</v>
      </c>
      <c r="CH34">
        <f t="shared" ref="CH34:CH65" si="72">IF(BL34&gt;Q34,1,0)</f>
        <v>0</v>
      </c>
      <c r="CK34">
        <f t="shared" ref="CK34:CK65" si="73">IF(BH34&lt;M34,1,0)</f>
        <v>0</v>
      </c>
      <c r="CL34">
        <f t="shared" ref="CL34:CL65" si="74">IF(BI34&lt;N34,1,0)</f>
        <v>0</v>
      </c>
      <c r="CM34">
        <f t="shared" ref="CM34:CM65" si="75">IF(BJ34&lt;O34,1,0)</f>
        <v>1</v>
      </c>
      <c r="CN34">
        <f t="shared" ref="CN34:CN65" si="76">IF(BK34&lt;P34,1,0)</f>
        <v>0</v>
      </c>
      <c r="CO34">
        <f t="shared" ref="CO34:CO65" si="77">IF(BL34&lt;Q34,1,0)</f>
        <v>1</v>
      </c>
      <c r="CS34" s="38">
        <f t="shared" ref="CS34:CS65" si="78">IF(AND((MAX($AY34:$BC34)-AY34)/$BE34&lt;=0.05,BP34=0),1,0)</f>
        <v>0</v>
      </c>
      <c r="CT34" s="38">
        <f t="shared" ref="CT34:CT65" si="79">IF(AND((MAX($AY34:$BC34)-AZ34)/$BE34&lt;=0.05,BQ34=0),1,0)</f>
        <v>0</v>
      </c>
      <c r="CU34" s="38">
        <f t="shared" ref="CU34:CU65" si="80">IF(AND((MAX($AY34:$BC34)-BA34)/$BE34&lt;=0.05,BR34=0),1,0)</f>
        <v>0</v>
      </c>
      <c r="CV34" s="38">
        <f t="shared" ref="CV34:CV65" si="81">IF(AND((MAX($AY34:$BC34)-BB34)/$BE34&lt;=0.05,BS34=0),1,0)</f>
        <v>0</v>
      </c>
      <c r="CW34" s="38">
        <f t="shared" ref="CW34:CW65" si="82">IF(AND((MAX($AY34:$BC34)-BC34)/$BE34&lt;=0.1,BT34=0),1,0)</f>
        <v>0</v>
      </c>
    </row>
    <row r="35" spans="1:101">
      <c r="A35" t="s">
        <v>465</v>
      </c>
      <c r="B35" t="s">
        <v>93</v>
      </c>
      <c r="C35" t="s">
        <v>493</v>
      </c>
      <c r="D35">
        <v>24037</v>
      </c>
      <c r="E35">
        <v>247</v>
      </c>
      <c r="F35">
        <v>24</v>
      </c>
      <c r="G35">
        <v>4760</v>
      </c>
      <c r="H35">
        <v>8940</v>
      </c>
      <c r="I35">
        <v>22071</v>
      </c>
      <c r="J35">
        <v>1249</v>
      </c>
      <c r="K35">
        <v>11453</v>
      </c>
      <c r="L35">
        <v>48864</v>
      </c>
      <c r="M35" s="3">
        <f t="shared" si="48"/>
        <v>9.7413228552717754</v>
      </c>
      <c r="N35" s="3">
        <f t="shared" si="49"/>
        <v>18.295677799607073</v>
      </c>
      <c r="O35" s="3">
        <f t="shared" si="50"/>
        <v>45.168222003929273</v>
      </c>
      <c r="P35" s="3">
        <f t="shared" si="51"/>
        <v>2.5560740013097578</v>
      </c>
      <c r="Q35" s="3">
        <f t="shared" si="52"/>
        <v>23.438523248199083</v>
      </c>
      <c r="R35">
        <v>16.5</v>
      </c>
      <c r="S35">
        <v>14.2</v>
      </c>
      <c r="T35">
        <v>42.9</v>
      </c>
      <c r="U35">
        <v>2.1</v>
      </c>
      <c r="V35">
        <v>23.4</v>
      </c>
      <c r="W35">
        <f t="shared" si="53"/>
        <v>0</v>
      </c>
      <c r="X35">
        <f t="shared" si="54"/>
        <v>0</v>
      </c>
      <c r="Y35">
        <f t="shared" si="55"/>
        <v>1</v>
      </c>
      <c r="Z35">
        <f t="shared" si="56"/>
        <v>0</v>
      </c>
      <c r="AA35">
        <f t="shared" si="57"/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P35" t="s">
        <v>454</v>
      </c>
      <c r="AQ35" s="25">
        <f t="shared" si="43"/>
        <v>1.0889530000000001</v>
      </c>
      <c r="AR35" s="28">
        <f t="shared" si="44"/>
        <v>1.0889530000000001</v>
      </c>
      <c r="AS35" s="28">
        <f t="shared" si="45"/>
        <v>1.083127</v>
      </c>
      <c r="AT35" s="28">
        <f t="shared" si="46"/>
        <v>1.1078614999999998</v>
      </c>
      <c r="AU35" s="28">
        <f t="shared" si="47"/>
        <v>0.99073974999999992</v>
      </c>
      <c r="AY35" s="5">
        <f t="shared" si="58"/>
        <v>11.886838827653673</v>
      </c>
      <c r="AZ35" s="5">
        <f t="shared" si="59"/>
        <v>32.05762948387963</v>
      </c>
      <c r="BA35" s="5">
        <f t="shared" si="60"/>
        <v>31.234112652413732</v>
      </c>
      <c r="BB35" s="5">
        <f t="shared" si="61"/>
        <v>3.1010104488217993</v>
      </c>
      <c r="BC35" s="5">
        <f t="shared" si="62"/>
        <v>21.11188461167556</v>
      </c>
      <c r="BD35" s="5"/>
      <c r="BE35" s="5">
        <f t="shared" si="34"/>
        <v>99.391476024444387</v>
      </c>
      <c r="BF35" s="2"/>
      <c r="BH35" s="2">
        <f t="array" ref="BH35">MIN(100,MAX(0,M35-AK35*5+AR$16*(W35*AQ$29+SUMPRODUCT($AB35:$AJ35,TRANSPOSE(AQ$30:AQ$38)))+AS$16*(W35*AQ$39+SUMPRODUCT($AB35:$AJ35,TRANSPOSE(AQ$40:AQ$48)))+AU$16*(W35*AQ$49+SUMPRODUCT($AB35:$AJ35,TRANSPOSE(AQ$50:AQ$58)))+AT$16*(W35*AQ$59+SUMPRODUCT($AB35:$AJ35,TRANSPOSE(AQ$60:AQ$68)))))</f>
        <v>11.886838827653673</v>
      </c>
      <c r="BI35" s="2">
        <f t="array" ref="BI35">MIN(100,MAX(0,N35-AL35*5+AQ$17*(X35*AR$29+SUMPRODUCT($AB35:$AJ35,TRANSPOSE(AR$30:AR$38)))+AS$17*(X35*AR$39+SUMPRODUCT($AB35:$AJ35,TRANSPOSE(AR$40:AR$48)))+AU$17*(X35*AR$49+SUMPRODUCT($AB35:$AJ35,TRANSPOSE(AR$50:AR$58)))+AT$17*(X35*AR$59+SUMPRODUCT($AB35:$AJ35,TRANSPOSE(AR$60:AR$68)))))</f>
        <v>32.05762948387963</v>
      </c>
      <c r="BJ35" s="2">
        <f t="array" ref="BJ35">MIN(100,MAX(0,O35-AM35*5+AQ$18*(Y35*AS$29+SUMPRODUCT($AB35:$AJ35,TRANSPOSE(AS$30:AS$38)))+AR$18*(Y35*AS$39+SUMPRODUCT($AB35:$AJ35,TRANSPOSE(AS$40:AS$48)))+AU$18*(Y35*AS$49+SUMPRODUCT($AB35:$AJ35,TRANSPOSE(AS$50:AS$58)))+AT$18*(Y35*AS$59+SUMPRODUCT($AB35:$AJ35,TRANSPOSE(AS$60:AS$68)))))</f>
        <v>31.234112652413732</v>
      </c>
      <c r="BK35" s="2">
        <f t="array" ref="BK35">MIN(100,MAX(0,P35+AQ$19*(Z35*AT$29+SUMPRODUCT($AB35:$AJ35,TRANSPOSE(AT$30:AT$38)))+AR$19*(Z35*AT$39+SUMPRODUCT($AB35:$AJ35,TRANSPOSE(AT$40:AT$48)))+AS$19*(Z35*AT$49+SUMPRODUCT($AB35:$AJ35,TRANSPOSE(AT$50:AT$58)))+AU$19*(Z35*AT$59+SUMPRODUCT($AB35:$AJ35,TRANSPOSE(AT$60:AT$68)))))</f>
        <v>3.1010104488217993</v>
      </c>
      <c r="BL35" s="2">
        <f t="array" ref="BL35">MIN(100,MAX(0,Q35-AN35*5+AQ$20*(AA35*AU$29+SUMPRODUCT($AB35:$AJ35,TRANSPOSE(AU$30:AU$38)))+AR$20*(AA35*AU$39+SUMPRODUCT($AB35:$AJ35,TRANSPOSE(AU$40:AU$48)))+AS$20*(AA35*AU$49+SUMPRODUCT($AB35:$AJ35,TRANSPOSE(AU$50:AU$58)))+AT$20*(AA35*AU$59+SUMPRODUCT($AB35:$AJ35,TRANSPOSE(AU$60:AU$68)))))</f>
        <v>21.127770202419949</v>
      </c>
      <c r="BM35" s="2"/>
      <c r="BN35" s="2"/>
      <c r="BP35">
        <f t="shared" si="63"/>
        <v>0</v>
      </c>
      <c r="BQ35">
        <f t="shared" si="64"/>
        <v>1</v>
      </c>
      <c r="BR35">
        <f t="shared" si="65"/>
        <v>0</v>
      </c>
      <c r="BS35">
        <f t="shared" si="66"/>
        <v>0</v>
      </c>
      <c r="BT35">
        <f t="shared" si="67"/>
        <v>0</v>
      </c>
      <c r="BV35" s="2"/>
      <c r="BW35" s="2">
        <f t="shared" si="36"/>
        <v>0</v>
      </c>
      <c r="BX35" s="2">
        <f t="shared" si="37"/>
        <v>1</v>
      </c>
      <c r="BY35" s="2">
        <f t="shared" si="38"/>
        <v>1</v>
      </c>
      <c r="BZ35" s="2">
        <f t="shared" si="39"/>
        <v>1</v>
      </c>
      <c r="CA35" s="2">
        <f t="shared" si="40"/>
        <v>1</v>
      </c>
      <c r="CD35">
        <f t="shared" si="68"/>
        <v>1</v>
      </c>
      <c r="CE35">
        <f t="shared" si="69"/>
        <v>1</v>
      </c>
      <c r="CF35">
        <f t="shared" si="70"/>
        <v>0</v>
      </c>
      <c r="CG35">
        <f t="shared" si="71"/>
        <v>1</v>
      </c>
      <c r="CH35">
        <f t="shared" si="72"/>
        <v>0</v>
      </c>
      <c r="CK35">
        <f t="shared" si="73"/>
        <v>0</v>
      </c>
      <c r="CL35">
        <f t="shared" si="74"/>
        <v>0</v>
      </c>
      <c r="CM35">
        <f t="shared" si="75"/>
        <v>1</v>
      </c>
      <c r="CN35">
        <f t="shared" si="76"/>
        <v>0</v>
      </c>
      <c r="CO35">
        <f t="shared" si="77"/>
        <v>1</v>
      </c>
      <c r="CS35" s="38">
        <f t="shared" si="78"/>
        <v>0</v>
      </c>
      <c r="CT35" s="38">
        <f t="shared" si="79"/>
        <v>0</v>
      </c>
      <c r="CU35" s="38">
        <f t="shared" si="80"/>
        <v>1</v>
      </c>
      <c r="CV35" s="38">
        <f t="shared" si="81"/>
        <v>0</v>
      </c>
      <c r="CW35" s="38">
        <f t="shared" si="82"/>
        <v>0</v>
      </c>
    </row>
    <row r="36" spans="1:101">
      <c r="A36" t="s">
        <v>465</v>
      </c>
      <c r="B36" t="s">
        <v>94</v>
      </c>
      <c r="C36" t="s">
        <v>494</v>
      </c>
      <c r="D36">
        <v>24038</v>
      </c>
      <c r="E36">
        <v>247</v>
      </c>
      <c r="F36">
        <v>24</v>
      </c>
      <c r="G36">
        <v>5246</v>
      </c>
      <c r="H36">
        <v>7169</v>
      </c>
      <c r="I36">
        <v>24800</v>
      </c>
      <c r="J36">
        <v>1423</v>
      </c>
      <c r="K36">
        <v>17799</v>
      </c>
      <c r="L36">
        <v>56586</v>
      </c>
      <c r="M36" s="3">
        <f t="shared" si="48"/>
        <v>9.2708443784681727</v>
      </c>
      <c r="N36" s="3">
        <f t="shared" si="49"/>
        <v>12.669211465733573</v>
      </c>
      <c r="O36" s="3">
        <f t="shared" si="50"/>
        <v>43.827095041176264</v>
      </c>
      <c r="P36" s="3">
        <f t="shared" si="51"/>
        <v>2.5147563001449122</v>
      </c>
      <c r="Q36" s="3">
        <f t="shared" si="52"/>
        <v>31.454776799915173</v>
      </c>
      <c r="R36">
        <v>16.5</v>
      </c>
      <c r="S36">
        <v>14.2</v>
      </c>
      <c r="T36">
        <v>42.9</v>
      </c>
      <c r="U36">
        <v>2.1</v>
      </c>
      <c r="V36">
        <v>23.4</v>
      </c>
      <c r="W36">
        <f t="shared" si="53"/>
        <v>0</v>
      </c>
      <c r="X36">
        <f t="shared" si="54"/>
        <v>0</v>
      </c>
      <c r="Y36" s="54">
        <v>0</v>
      </c>
      <c r="Z36">
        <f t="shared" si="56"/>
        <v>0</v>
      </c>
      <c r="AA36">
        <f t="shared" si="57"/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P36" t="s">
        <v>455</v>
      </c>
      <c r="AQ36" s="25">
        <f t="shared" si="43"/>
        <v>0.88057589999999997</v>
      </c>
      <c r="AR36" s="28">
        <f t="shared" si="44"/>
        <v>0.88057589999999997</v>
      </c>
      <c r="AS36" s="28">
        <f t="shared" si="45"/>
        <v>0.75526399999999994</v>
      </c>
      <c r="AT36" s="28">
        <f t="shared" si="46"/>
        <v>1.0126203999999999</v>
      </c>
      <c r="AU36" s="28">
        <f t="shared" si="47"/>
        <v>0.67306985000000008</v>
      </c>
      <c r="AY36" s="5">
        <f t="shared" si="58"/>
        <v>12.136561316681663</v>
      </c>
      <c r="AZ36" s="5">
        <f t="shared" si="59"/>
        <v>28.115751826705655</v>
      </c>
      <c r="BA36" s="5">
        <f t="shared" si="60"/>
        <v>27.894050936698552</v>
      </c>
      <c r="BB36" s="5">
        <f t="shared" si="61"/>
        <v>3.1087823145825491</v>
      </c>
      <c r="BC36" s="5">
        <f t="shared" si="62"/>
        <v>28.50748874860632</v>
      </c>
      <c r="BD36" s="5"/>
      <c r="BE36" s="5">
        <f t="shared" si="34"/>
        <v>99.76263514327475</v>
      </c>
      <c r="BF36" s="2"/>
      <c r="BH36" s="2">
        <f t="array" ref="BH36">MIN(100,MAX(0,M36-AK36*5+AR$16*(W36*AQ$29+SUMPRODUCT($AB36:$AJ36,TRANSPOSE(AQ$30:AQ$38)))+AS$16*(W36*AQ$39+SUMPRODUCT($AB36:$AJ36,TRANSPOSE(AQ$40:AQ$48)))+AU$16*(W36*AQ$49+SUMPRODUCT($AB36:$AJ36,TRANSPOSE(AQ$50:AQ$58)))+AT$16*(W36*AQ$59+SUMPRODUCT($AB36:$AJ36,TRANSPOSE(AQ$60:AQ$68)))))</f>
        <v>12.136561316681663</v>
      </c>
      <c r="BI36" s="2">
        <f t="array" ref="BI36">MIN(100,MAX(0,N36-AL36*5+AQ$17*(X36*AR$29+SUMPRODUCT($AB36:$AJ36,TRANSPOSE(AR$30:AR$38)))+AS$17*(X36*AR$39+SUMPRODUCT($AB36:$AJ36,TRANSPOSE(AR$40:AR$48)))+AU$17*(X36*AR$49+SUMPRODUCT($AB36:$AJ36,TRANSPOSE(AR$50:AR$58)))+AT$17*(X36*AR$59+SUMPRODUCT($AB36:$AJ36,TRANSPOSE(AR$60:AR$68)))))</f>
        <v>28.115751826705655</v>
      </c>
      <c r="BJ36" s="2">
        <f t="array" ref="BJ36">MIN(100,MAX(0,O36-AM36*5+AQ$18*(Y36*AS$29+SUMPRODUCT($AB36:$AJ36,TRANSPOSE(AS$30:AS$38)))+AR$18*(Y36*AS$39+SUMPRODUCT($AB36:$AJ36,TRANSPOSE(AS$40:AS$48)))+AU$18*(Y36*AS$49+SUMPRODUCT($AB36:$AJ36,TRANSPOSE(AS$50:AS$58)))+AT$18*(Y36*AS$59+SUMPRODUCT($AB36:$AJ36,TRANSPOSE(AS$60:AS$68)))))</f>
        <v>27.894050936698552</v>
      </c>
      <c r="BK36" s="2">
        <f t="array" ref="BK36">MIN(100,MAX(0,P36+AQ$19*(Z36*AT$29+SUMPRODUCT($AB36:$AJ36,TRANSPOSE(AT$30:AT$38)))+AR$19*(Z36*AT$39+SUMPRODUCT($AB36:$AJ36,TRANSPOSE(AT$40:AT$48)))+AS$19*(Z36*AT$49+SUMPRODUCT($AB36:$AJ36,TRANSPOSE(AT$50:AT$58)))+AU$19*(Z36*AT$59+SUMPRODUCT($AB36:$AJ36,TRANSPOSE(AT$60:AT$68)))))</f>
        <v>3.1087823145825491</v>
      </c>
      <c r="BL36" s="2">
        <f t="array" ref="BL36">MIN(100,MAX(0,Q36-AN36*5+AQ$20*(AA36*AU$29+SUMPRODUCT($AB36:$AJ36,TRANSPOSE(AU$30:AU$38)))+AR$20*(AA36*AU$39+SUMPRODUCT($AB36:$AJ36,TRANSPOSE(AU$40:AU$48)))+AS$20*(AA36*AU$49+SUMPRODUCT($AB36:$AJ36,TRANSPOSE(AU$50:AU$58)))+AT$20*(AA36*AU$59+SUMPRODUCT($AB36:$AJ36,TRANSPOSE(AU$60:AU$68)))))</f>
        <v>28.720034182797708</v>
      </c>
      <c r="BM36" s="2"/>
      <c r="BN36" s="2"/>
      <c r="BP36">
        <f t="shared" si="63"/>
        <v>0</v>
      </c>
      <c r="BQ36">
        <f t="shared" si="64"/>
        <v>0</v>
      </c>
      <c r="BR36">
        <f t="shared" si="65"/>
        <v>0</v>
      </c>
      <c r="BS36">
        <f t="shared" si="66"/>
        <v>0</v>
      </c>
      <c r="BT36">
        <f t="shared" si="67"/>
        <v>1</v>
      </c>
      <c r="BV36" s="2"/>
      <c r="BW36" s="2">
        <f t="shared" si="36"/>
        <v>0</v>
      </c>
      <c r="BX36" s="2">
        <f t="shared" si="37"/>
        <v>0</v>
      </c>
      <c r="BY36" s="2">
        <f t="shared" si="38"/>
        <v>1</v>
      </c>
      <c r="BZ36" s="2">
        <f t="shared" si="39"/>
        <v>1</v>
      </c>
      <c r="CA36" s="2">
        <f t="shared" si="40"/>
        <v>1</v>
      </c>
      <c r="CD36">
        <f t="shared" si="68"/>
        <v>1</v>
      </c>
      <c r="CE36">
        <f t="shared" si="69"/>
        <v>1</v>
      </c>
      <c r="CF36">
        <f t="shared" si="70"/>
        <v>0</v>
      </c>
      <c r="CG36">
        <f t="shared" si="71"/>
        <v>1</v>
      </c>
      <c r="CH36">
        <f t="shared" si="72"/>
        <v>0</v>
      </c>
      <c r="CK36">
        <f t="shared" si="73"/>
        <v>0</v>
      </c>
      <c r="CL36">
        <f t="shared" si="74"/>
        <v>0</v>
      </c>
      <c r="CM36">
        <f t="shared" si="75"/>
        <v>1</v>
      </c>
      <c r="CN36">
        <f t="shared" si="76"/>
        <v>0</v>
      </c>
      <c r="CO36">
        <f t="shared" si="77"/>
        <v>1</v>
      </c>
      <c r="CS36" s="38">
        <f t="shared" si="78"/>
        <v>0</v>
      </c>
      <c r="CT36" s="38">
        <f t="shared" si="79"/>
        <v>1</v>
      </c>
      <c r="CU36" s="38">
        <f t="shared" si="80"/>
        <v>1</v>
      </c>
      <c r="CV36" s="38">
        <f t="shared" si="81"/>
        <v>0</v>
      </c>
      <c r="CW36" s="38">
        <f t="shared" si="82"/>
        <v>0</v>
      </c>
    </row>
    <row r="37" spans="1:101">
      <c r="A37" t="s">
        <v>465</v>
      </c>
      <c r="B37" s="4" t="s">
        <v>95</v>
      </c>
      <c r="C37" t="s">
        <v>495</v>
      </c>
      <c r="D37">
        <v>24039</v>
      </c>
      <c r="E37">
        <v>249</v>
      </c>
      <c r="F37">
        <v>24</v>
      </c>
      <c r="G37">
        <v>2019</v>
      </c>
      <c r="H37">
        <v>5451</v>
      </c>
      <c r="I37">
        <v>23749</v>
      </c>
      <c r="J37">
        <v>1348</v>
      </c>
      <c r="K37">
        <v>17853</v>
      </c>
      <c r="L37">
        <v>51098</v>
      </c>
      <c r="M37" s="3">
        <f t="shared" ref="M37" si="83">G37/$L37*100</f>
        <v>3.9512309679439506</v>
      </c>
      <c r="N37" s="3">
        <f t="shared" ref="N37" si="84">H37/$L37*100</f>
        <v>10.667736506321186</v>
      </c>
      <c r="O37" s="3">
        <f t="shared" ref="O37" si="85">I37/$L37*100</f>
        <v>46.477357235116834</v>
      </c>
      <c r="P37" s="3">
        <f t="shared" ref="P37" si="86">J37/$L37*100</f>
        <v>2.6380680261458371</v>
      </c>
      <c r="Q37" s="3">
        <f t="shared" ref="Q37" si="87">K37/$L37*100</f>
        <v>34.938745156366195</v>
      </c>
      <c r="R37">
        <v>16.5</v>
      </c>
      <c r="S37">
        <v>14.2</v>
      </c>
      <c r="T37">
        <v>42.9</v>
      </c>
      <c r="U37">
        <v>2.1</v>
      </c>
      <c r="V37">
        <v>23.4</v>
      </c>
      <c r="W37">
        <f t="shared" si="53"/>
        <v>0</v>
      </c>
      <c r="X37">
        <f t="shared" si="54"/>
        <v>0</v>
      </c>
      <c r="Y37">
        <f t="shared" si="55"/>
        <v>1</v>
      </c>
      <c r="Z37">
        <f t="shared" si="56"/>
        <v>0</v>
      </c>
      <c r="AA37">
        <f t="shared" si="57"/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P37" t="s">
        <v>456</v>
      </c>
      <c r="AQ37" s="25">
        <f t="shared" si="43"/>
        <v>0.98180584999999998</v>
      </c>
      <c r="AR37" s="28">
        <f t="shared" si="44"/>
        <v>0.98180584999999998</v>
      </c>
      <c r="AS37" s="28">
        <f t="shared" si="45"/>
        <v>1.0281003499999999</v>
      </c>
      <c r="AT37" s="28">
        <f t="shared" si="46"/>
        <v>0.91348065000000001</v>
      </c>
      <c r="AU37" s="28">
        <f t="shared" si="47"/>
        <v>0.89687399999999995</v>
      </c>
      <c r="AY37" s="5">
        <f t="shared" si="58"/>
        <v>6.1023849860056272</v>
      </c>
      <c r="AZ37" s="5">
        <f t="shared" si="59"/>
        <v>23.599026798159603</v>
      </c>
      <c r="BA37" s="5">
        <f t="shared" si="60"/>
        <v>33.361194445579216</v>
      </c>
      <c r="BB37" s="5">
        <f t="shared" si="61"/>
        <v>3.1308249873066525</v>
      </c>
      <c r="BC37" s="5">
        <f t="shared" si="62"/>
        <v>32.361162543092313</v>
      </c>
      <c r="BD37" s="5"/>
      <c r="BE37" s="5">
        <f t="shared" si="34"/>
        <v>98.554593760143405</v>
      </c>
      <c r="BF37" s="2"/>
      <c r="BH37" s="2">
        <f t="array" ref="BH37">MIN(100,MAX(0,M37-AK37*5+AR$16*(W37*AQ$29+SUMPRODUCT($AB37:$AJ37,TRANSPOSE(AQ$30:AQ$38)))+AS$16*(W37*AQ$39+SUMPRODUCT($AB37:$AJ37,TRANSPOSE(AQ$40:AQ$48)))+AU$16*(W37*AQ$49+SUMPRODUCT($AB37:$AJ37,TRANSPOSE(AQ$50:AQ$58)))+AT$16*(W37*AQ$59+SUMPRODUCT($AB37:$AJ37,TRANSPOSE(AQ$60:AQ$68)))))</f>
        <v>6.1023849860056272</v>
      </c>
      <c r="BI37" s="2">
        <f t="array" ref="BI37">MIN(100,MAX(0,N37-AL37*5+AQ$17*(X37*AR$29+SUMPRODUCT($AB37:$AJ37,TRANSPOSE(AR$30:AR$38)))+AS$17*(X37*AR$39+SUMPRODUCT($AB37:$AJ37,TRANSPOSE(AR$40:AR$48)))+AU$17*(X37*AR$49+SUMPRODUCT($AB37:$AJ37,TRANSPOSE(AR$50:AR$58)))+AT$17*(X37*AR$59+SUMPRODUCT($AB37:$AJ37,TRANSPOSE(AR$60:AR$68)))))</f>
        <v>23.599026798159603</v>
      </c>
      <c r="BJ37" s="2">
        <f t="array" ref="BJ37">MIN(100,MAX(0,O37-AM37*5+AQ$18*(Y37*AS$29+SUMPRODUCT($AB37:$AJ37,TRANSPOSE(AS$30:AS$38)))+AR$18*(Y37*AS$39+SUMPRODUCT($AB37:$AJ37,TRANSPOSE(AS$40:AS$48)))+AU$18*(Y37*AS$49+SUMPRODUCT($AB37:$AJ37,TRANSPOSE(AS$50:AS$58)))+AT$18*(Y37*AS$59+SUMPRODUCT($AB37:$AJ37,TRANSPOSE(AS$60:AS$68)))))</f>
        <v>33.361194445579216</v>
      </c>
      <c r="BK37" s="2">
        <f t="array" ref="BK37">MIN(100,MAX(0,P37+AQ$19*(Z37*AT$29+SUMPRODUCT($AB37:$AJ37,TRANSPOSE(AT$30:AT$38)))+AR$19*(Z37*AT$39+SUMPRODUCT($AB37:$AJ37,TRANSPOSE(AT$40:AT$48)))+AS$19*(Z37*AT$49+SUMPRODUCT($AB37:$AJ37,TRANSPOSE(AT$50:AT$58)))+AU$19*(Z37*AT$59+SUMPRODUCT($AB37:$AJ37,TRANSPOSE(AT$60:AT$68)))))</f>
        <v>3.1308249873066525</v>
      </c>
      <c r="BL37" s="2">
        <f t="array" ref="BL37">MIN(100,MAX(0,Q37-AN37*5+AQ$20*(AA37*AU$29+SUMPRODUCT($AB37:$AJ37,TRANSPOSE(AU$30:AU$38)))+AR$20*(AA37*AU$39+SUMPRODUCT($AB37:$AJ37,TRANSPOSE(AU$40:AU$48)))+AS$20*(AA37*AU$49+SUMPRODUCT($AB37:$AJ37,TRANSPOSE(AU$50:AU$58)))+AT$20*(AA37*AU$59+SUMPRODUCT($AB37:$AJ37,TRANSPOSE(AU$60:AU$68)))))</f>
        <v>32.676182754338754</v>
      </c>
      <c r="BM37" s="2"/>
      <c r="BN37" s="2"/>
      <c r="BP37">
        <f t="shared" si="63"/>
        <v>0</v>
      </c>
      <c r="BQ37">
        <f t="shared" si="64"/>
        <v>0</v>
      </c>
      <c r="BR37">
        <f t="shared" si="65"/>
        <v>1</v>
      </c>
      <c r="BS37">
        <f t="shared" si="66"/>
        <v>0</v>
      </c>
      <c r="BT37">
        <f t="shared" si="67"/>
        <v>0</v>
      </c>
      <c r="BV37" s="2"/>
      <c r="BW37" s="2">
        <f t="shared" si="36"/>
        <v>0</v>
      </c>
      <c r="BX37" s="2">
        <f t="shared" si="37"/>
        <v>0</v>
      </c>
      <c r="BY37" s="2">
        <f t="shared" si="38"/>
        <v>1</v>
      </c>
      <c r="BZ37" s="2">
        <f t="shared" si="39"/>
        <v>1</v>
      </c>
      <c r="CA37" s="2">
        <f t="shared" si="40"/>
        <v>1</v>
      </c>
      <c r="CD37">
        <f t="shared" si="68"/>
        <v>1</v>
      </c>
      <c r="CE37">
        <f t="shared" si="69"/>
        <v>1</v>
      </c>
      <c r="CF37">
        <f t="shared" si="70"/>
        <v>0</v>
      </c>
      <c r="CG37">
        <f t="shared" si="71"/>
        <v>1</v>
      </c>
      <c r="CH37">
        <f t="shared" si="72"/>
        <v>0</v>
      </c>
      <c r="CK37">
        <f t="shared" si="73"/>
        <v>0</v>
      </c>
      <c r="CL37">
        <f t="shared" si="74"/>
        <v>0</v>
      </c>
      <c r="CM37">
        <f t="shared" si="75"/>
        <v>1</v>
      </c>
      <c r="CN37">
        <f t="shared" si="76"/>
        <v>0</v>
      </c>
      <c r="CO37">
        <f t="shared" si="77"/>
        <v>1</v>
      </c>
      <c r="CS37" s="38">
        <f t="shared" si="78"/>
        <v>0</v>
      </c>
      <c r="CT37" s="38">
        <f t="shared" si="79"/>
        <v>0</v>
      </c>
      <c r="CU37" s="38">
        <f t="shared" si="80"/>
        <v>0</v>
      </c>
      <c r="CV37" s="38">
        <f t="shared" si="81"/>
        <v>0</v>
      </c>
      <c r="CW37" s="38">
        <f t="shared" si="82"/>
        <v>1</v>
      </c>
    </row>
    <row r="38" spans="1:101">
      <c r="A38" t="s">
        <v>465</v>
      </c>
      <c r="B38" t="s">
        <v>96</v>
      </c>
      <c r="C38" t="s">
        <v>496</v>
      </c>
      <c r="D38">
        <v>24040</v>
      </c>
      <c r="E38">
        <v>243</v>
      </c>
      <c r="F38">
        <v>24</v>
      </c>
      <c r="G38">
        <v>7333</v>
      </c>
      <c r="H38">
        <v>9208</v>
      </c>
      <c r="I38">
        <v>21069</v>
      </c>
      <c r="J38">
        <v>794</v>
      </c>
      <c r="K38">
        <v>5755</v>
      </c>
      <c r="L38">
        <v>44642</v>
      </c>
      <c r="M38" s="3">
        <f t="shared" si="48"/>
        <v>16.426235383719366</v>
      </c>
      <c r="N38" s="3">
        <f t="shared" si="49"/>
        <v>20.626316025267684</v>
      </c>
      <c r="O38" s="3">
        <f t="shared" si="50"/>
        <v>47.195466152950139</v>
      </c>
      <c r="P38" s="3">
        <f t="shared" si="51"/>
        <v>1.7785941490076611</v>
      </c>
      <c r="Q38" s="3">
        <f t="shared" si="52"/>
        <v>12.891447515792304</v>
      </c>
      <c r="R38">
        <v>16.5</v>
      </c>
      <c r="S38">
        <v>14.2</v>
      </c>
      <c r="T38">
        <v>42.9</v>
      </c>
      <c r="U38">
        <v>2.1</v>
      </c>
      <c r="V38">
        <v>23.4</v>
      </c>
      <c r="W38">
        <f t="shared" si="53"/>
        <v>0</v>
      </c>
      <c r="X38">
        <f t="shared" si="54"/>
        <v>0</v>
      </c>
      <c r="Y38">
        <f t="shared" si="55"/>
        <v>1</v>
      </c>
      <c r="Z38">
        <f t="shared" si="56"/>
        <v>0</v>
      </c>
      <c r="AA38">
        <f t="shared" si="57"/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P38" t="s">
        <v>457</v>
      </c>
      <c r="AQ38" s="25">
        <f t="shared" si="43"/>
        <v>0.71164879999999997</v>
      </c>
      <c r="AR38" s="28">
        <f t="shared" si="44"/>
        <v>0.71164879999999997</v>
      </c>
      <c r="AS38" s="28">
        <f t="shared" si="45"/>
        <v>0.75178425000000004</v>
      </c>
      <c r="AT38" s="28">
        <f t="shared" si="46"/>
        <v>0.79958615</v>
      </c>
      <c r="AU38" s="28">
        <f t="shared" si="47"/>
        <v>0.70472259999999998</v>
      </c>
      <c r="AY38" s="5">
        <f t="shared" si="58"/>
        <v>19.291952321932857</v>
      </c>
      <c r="AZ38" s="5">
        <f t="shared" si="59"/>
        <v>36.072856386239764</v>
      </c>
      <c r="BA38" s="5">
        <f t="shared" si="60"/>
        <v>31.262422048472427</v>
      </c>
      <c r="BB38" s="5">
        <f t="shared" si="61"/>
        <v>2.3726201634452981</v>
      </c>
      <c r="BC38" s="5">
        <f t="shared" si="62"/>
        <v>10.156704898674839</v>
      </c>
      <c r="BD38" s="5"/>
      <c r="BE38" s="5">
        <f t="shared" si="34"/>
        <v>99.156555818765185</v>
      </c>
      <c r="BF38" s="2"/>
      <c r="BH38" s="2">
        <f t="array" ref="BH38">MIN(100,MAX(0,M38-AK38*5+AR$16*(W38*AQ$29+SUMPRODUCT($AB38:$AJ38,TRANSPOSE(AQ$30:AQ$38)))+AS$16*(W38*AQ$39+SUMPRODUCT($AB38:$AJ38,TRANSPOSE(AQ$40:AQ$48)))+AU$16*(W38*AQ$49+SUMPRODUCT($AB38:$AJ38,TRANSPOSE(AQ$50:AQ$58)))+AT$16*(W38*AQ$59+SUMPRODUCT($AB38:$AJ38,TRANSPOSE(AQ$60:AQ$68)))))</f>
        <v>19.291952321932857</v>
      </c>
      <c r="BI38" s="2">
        <f t="array" ref="BI38">MIN(100,MAX(0,N38-AL38*5+AQ$17*(X38*AR$29+SUMPRODUCT($AB38:$AJ38,TRANSPOSE(AR$30:AR$38)))+AS$17*(X38*AR$39+SUMPRODUCT($AB38:$AJ38,TRANSPOSE(AR$40:AR$48)))+AU$17*(X38*AR$49+SUMPRODUCT($AB38:$AJ38,TRANSPOSE(AR$50:AR$58)))+AT$17*(X38*AR$59+SUMPRODUCT($AB38:$AJ38,TRANSPOSE(AR$60:AR$68)))))</f>
        <v>36.072856386239764</v>
      </c>
      <c r="BJ38" s="2">
        <f t="array" ref="BJ38">MIN(100,MAX(0,O38-AM38*5+AQ$18*(Y38*AS$29+SUMPRODUCT($AB38:$AJ38,TRANSPOSE(AS$30:AS$38)))+AR$18*(Y38*AS$39+SUMPRODUCT($AB38:$AJ38,TRANSPOSE(AS$40:AS$48)))+AU$18*(Y38*AS$49+SUMPRODUCT($AB38:$AJ38,TRANSPOSE(AS$50:AS$58)))+AT$18*(Y38*AS$59+SUMPRODUCT($AB38:$AJ38,TRANSPOSE(AS$60:AS$68)))))</f>
        <v>31.262422048472427</v>
      </c>
      <c r="BK38" s="2">
        <f t="array" ref="BK38">MIN(100,MAX(0,P38+AQ$19*(Z38*AT$29+SUMPRODUCT($AB38:$AJ38,TRANSPOSE(AT$30:AT$38)))+AR$19*(Z38*AT$39+SUMPRODUCT($AB38:$AJ38,TRANSPOSE(AT$40:AT$48)))+AS$19*(Z38*AT$49+SUMPRODUCT($AB38:$AJ38,TRANSPOSE(AT$50:AT$58)))+AU$19*(Z38*AT$59+SUMPRODUCT($AB38:$AJ38,TRANSPOSE(AT$60:AT$68)))))</f>
        <v>2.3726201634452981</v>
      </c>
      <c r="BL38" s="2">
        <f t="array" ref="BL38">MIN(100,MAX(0,Q38-AN38*5+AQ$20*(AA38*AU$29+SUMPRODUCT($AB38:$AJ38,TRANSPOSE(AU$30:AU$38)))+AR$20*(AA38*AU$39+SUMPRODUCT($AB38:$AJ38,TRANSPOSE(AU$40:AU$48)))+AS$20*(AA38*AU$49+SUMPRODUCT($AB38:$AJ38,TRANSPOSE(AU$50:AU$58)))+AT$20*(AA38*AU$59+SUMPRODUCT($AB38:$AJ38,TRANSPOSE(AU$60:AU$68)))))</f>
        <v>10.156704898674839</v>
      </c>
      <c r="BM38" s="2"/>
      <c r="BN38" s="2"/>
      <c r="BP38">
        <f t="shared" si="63"/>
        <v>0</v>
      </c>
      <c r="BQ38">
        <f t="shared" si="64"/>
        <v>1</v>
      </c>
      <c r="BR38">
        <f t="shared" si="65"/>
        <v>0</v>
      </c>
      <c r="BS38">
        <f t="shared" si="66"/>
        <v>0</v>
      </c>
      <c r="BT38">
        <f t="shared" si="67"/>
        <v>0</v>
      </c>
      <c r="BV38" s="2"/>
      <c r="BW38" s="2">
        <f t="shared" si="36"/>
        <v>0</v>
      </c>
      <c r="BX38" s="2">
        <f t="shared" si="37"/>
        <v>1</v>
      </c>
      <c r="BY38" s="2">
        <f t="shared" si="38"/>
        <v>1</v>
      </c>
      <c r="BZ38" s="2">
        <f t="shared" si="39"/>
        <v>0</v>
      </c>
      <c r="CA38" s="2">
        <f t="shared" si="40"/>
        <v>0</v>
      </c>
      <c r="CD38">
        <f t="shared" si="68"/>
        <v>1</v>
      </c>
      <c r="CE38">
        <f t="shared" si="69"/>
        <v>1</v>
      </c>
      <c r="CF38">
        <f t="shared" si="70"/>
        <v>0</v>
      </c>
      <c r="CG38">
        <f t="shared" si="71"/>
        <v>1</v>
      </c>
      <c r="CH38">
        <f t="shared" si="72"/>
        <v>0</v>
      </c>
      <c r="CK38">
        <f t="shared" si="73"/>
        <v>0</v>
      </c>
      <c r="CL38">
        <f t="shared" si="74"/>
        <v>0</v>
      </c>
      <c r="CM38">
        <f t="shared" si="75"/>
        <v>1</v>
      </c>
      <c r="CN38">
        <f t="shared" si="76"/>
        <v>0</v>
      </c>
      <c r="CO38">
        <f t="shared" si="77"/>
        <v>1</v>
      </c>
      <c r="CS38" s="38">
        <f t="shared" si="78"/>
        <v>0</v>
      </c>
      <c r="CT38" s="38">
        <f t="shared" si="79"/>
        <v>0</v>
      </c>
      <c r="CU38" s="38">
        <f t="shared" si="80"/>
        <v>1</v>
      </c>
      <c r="CV38" s="38">
        <f t="shared" si="81"/>
        <v>0</v>
      </c>
      <c r="CW38" s="38">
        <f t="shared" si="82"/>
        <v>0</v>
      </c>
    </row>
    <row r="39" spans="1:101">
      <c r="A39" t="s">
        <v>465</v>
      </c>
      <c r="B39" t="s">
        <v>97</v>
      </c>
      <c r="C39" t="s">
        <v>497</v>
      </c>
      <c r="D39">
        <v>24042</v>
      </c>
      <c r="E39">
        <v>247</v>
      </c>
      <c r="F39">
        <v>24</v>
      </c>
      <c r="G39">
        <v>22469</v>
      </c>
      <c r="H39">
        <v>2867</v>
      </c>
      <c r="I39">
        <v>21688</v>
      </c>
      <c r="J39">
        <v>936</v>
      </c>
      <c r="K39">
        <v>8383</v>
      </c>
      <c r="L39">
        <v>56344</v>
      </c>
      <c r="M39" s="3">
        <f t="shared" si="48"/>
        <v>39.878247905721992</v>
      </c>
      <c r="N39" s="3">
        <f t="shared" si="49"/>
        <v>5.088385631123101</v>
      </c>
      <c r="O39" s="3">
        <f t="shared" si="50"/>
        <v>38.492119835297459</v>
      </c>
      <c r="P39" s="3">
        <f t="shared" si="51"/>
        <v>1.6612239102655117</v>
      </c>
      <c r="Q39" s="3">
        <f t="shared" si="52"/>
        <v>14.878247905721995</v>
      </c>
      <c r="R39">
        <v>16.5</v>
      </c>
      <c r="S39">
        <v>14.2</v>
      </c>
      <c r="T39">
        <v>42.9</v>
      </c>
      <c r="U39">
        <v>2.1</v>
      </c>
      <c r="V39">
        <v>23.4</v>
      </c>
      <c r="W39">
        <f t="shared" si="53"/>
        <v>1</v>
      </c>
      <c r="X39">
        <f t="shared" si="54"/>
        <v>0</v>
      </c>
      <c r="Y39">
        <f t="shared" si="55"/>
        <v>0</v>
      </c>
      <c r="Z39">
        <f t="shared" si="56"/>
        <v>0</v>
      </c>
      <c r="AA39">
        <f t="shared" si="57"/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P39" t="s">
        <v>429</v>
      </c>
      <c r="AQ39" s="7">
        <f>AQ105</f>
        <v>-0.33259620000000001</v>
      </c>
      <c r="AR39" s="7">
        <f>AR105</f>
        <v>-5.1240399999999998E-2</v>
      </c>
      <c r="AS39" s="25">
        <f>AS105</f>
        <v>0</v>
      </c>
      <c r="AT39" s="25">
        <f>AT105</f>
        <v>0</v>
      </c>
      <c r="AU39" s="25">
        <v>0</v>
      </c>
      <c r="AY39" s="5">
        <f t="shared" si="58"/>
        <v>42.362405758976692</v>
      </c>
      <c r="AZ39" s="5">
        <f t="shared" si="59"/>
        <v>21.015957319051708</v>
      </c>
      <c r="BA39" s="5">
        <f t="shared" si="60"/>
        <v>21.876892933156618</v>
      </c>
      <c r="BB39" s="5">
        <f t="shared" si="61"/>
        <v>2.0701794002421856</v>
      </c>
      <c r="BC39" s="5">
        <f t="shared" si="62"/>
        <v>11.961339323622955</v>
      </c>
      <c r="BD39" s="5"/>
      <c r="BE39" s="5">
        <f t="shared" si="34"/>
        <v>99.286774735050159</v>
      </c>
      <c r="BF39" s="2"/>
      <c r="BH39" s="2">
        <f t="array" ref="BH39">MIN(100,MAX(0,M39-AK39*5+AR$16*(W39*AQ$29+SUMPRODUCT($AB39:$AJ39,TRANSPOSE(AQ$30:AQ$38)))+AS$16*(W39*AQ$39+SUMPRODUCT($AB39:$AJ39,TRANSPOSE(AQ$40:AQ$48)))+AU$16*(W39*AQ$49+SUMPRODUCT($AB39:$AJ39,TRANSPOSE(AQ$50:AQ$58)))+AT$16*(W39*AQ$59+SUMPRODUCT($AB39:$AJ39,TRANSPOSE(AQ$60:AQ$68)))))</f>
        <v>42.362405758976692</v>
      </c>
      <c r="BI39" s="2">
        <f t="array" ref="BI39">MIN(100,MAX(0,N39-AL39*5+AQ$17*(X39*AR$29+SUMPRODUCT($AB39:$AJ39,TRANSPOSE(AR$30:AR$38)))+AS$17*(X39*AR$39+SUMPRODUCT($AB39:$AJ39,TRANSPOSE(AR$40:AR$48)))+AU$17*(X39*AR$49+SUMPRODUCT($AB39:$AJ39,TRANSPOSE(AR$50:AR$58)))+AT$17*(X39*AR$59+SUMPRODUCT($AB39:$AJ39,TRANSPOSE(AR$60:AR$68)))))</f>
        <v>21.015957319051708</v>
      </c>
      <c r="BJ39" s="2">
        <f t="array" ref="BJ39">MIN(100,MAX(0,O39-AM39*5+AQ$18*(Y39*AS$29+SUMPRODUCT($AB39:$AJ39,TRANSPOSE(AS$30:AS$38)))+AR$18*(Y39*AS$39+SUMPRODUCT($AB39:$AJ39,TRANSPOSE(AS$40:AS$48)))+AU$18*(Y39*AS$49+SUMPRODUCT($AB39:$AJ39,TRANSPOSE(AS$50:AS$58)))+AT$18*(Y39*AS$59+SUMPRODUCT($AB39:$AJ39,TRANSPOSE(AS$60:AS$68)))))</f>
        <v>21.876892933156618</v>
      </c>
      <c r="BK39" s="2">
        <f t="array" ref="BK39">MIN(100,MAX(0,P39+AQ$19*(Z39*AT$29+SUMPRODUCT($AB39:$AJ39,TRANSPOSE(AT$30:AT$38)))+AR$19*(Z39*AT$39+SUMPRODUCT($AB39:$AJ39,TRANSPOSE(AT$40:AT$48)))+AS$19*(Z39*AT$49+SUMPRODUCT($AB39:$AJ39,TRANSPOSE(AT$50:AT$58)))+AU$19*(Z39*AT$59+SUMPRODUCT($AB39:$AJ39,TRANSPOSE(AT$60:AT$68)))))</f>
        <v>2.0701794002421856</v>
      </c>
      <c r="BL39" s="2">
        <f t="array" ref="BL39">MIN(100,MAX(0,Q39-AN39*5+AQ$20*(AA39*AU$29+SUMPRODUCT($AB39:$AJ39,TRANSPOSE(AU$30:AU$38)))+AR$20*(AA39*AU$39+SUMPRODUCT($AB39:$AJ39,TRANSPOSE(AU$40:AU$48)))+AS$20*(AA39*AU$49+SUMPRODUCT($AB39:$AJ39,TRANSPOSE(AU$50:AU$58)))+AT$20*(AA39*AU$59+SUMPRODUCT($AB39:$AJ39,TRANSPOSE(AU$60:AU$68)))))</f>
        <v>11.961339323622955</v>
      </c>
      <c r="BM39" s="2"/>
      <c r="BN39" s="2"/>
      <c r="BP39">
        <f t="shared" si="63"/>
        <v>1</v>
      </c>
      <c r="BQ39">
        <f t="shared" si="64"/>
        <v>0</v>
      </c>
      <c r="BR39">
        <f t="shared" si="65"/>
        <v>0</v>
      </c>
      <c r="BS39">
        <f t="shared" si="66"/>
        <v>0</v>
      </c>
      <c r="BT39">
        <f t="shared" si="67"/>
        <v>0</v>
      </c>
      <c r="BV39" s="2"/>
      <c r="BW39" s="2">
        <f t="shared" si="36"/>
        <v>1</v>
      </c>
      <c r="BX39" s="2">
        <f t="shared" si="37"/>
        <v>0</v>
      </c>
      <c r="BY39" s="2">
        <f t="shared" si="38"/>
        <v>0</v>
      </c>
      <c r="BZ39" s="2">
        <f t="shared" si="39"/>
        <v>0</v>
      </c>
      <c r="CA39" s="2">
        <f t="shared" si="40"/>
        <v>0</v>
      </c>
      <c r="CD39">
        <f t="shared" si="68"/>
        <v>1</v>
      </c>
      <c r="CE39">
        <f t="shared" si="69"/>
        <v>1</v>
      </c>
      <c r="CF39">
        <f t="shared" si="70"/>
        <v>0</v>
      </c>
      <c r="CG39">
        <f t="shared" si="71"/>
        <v>1</v>
      </c>
      <c r="CH39">
        <f t="shared" si="72"/>
        <v>0</v>
      </c>
      <c r="CK39">
        <f t="shared" si="73"/>
        <v>0</v>
      </c>
      <c r="CL39">
        <f t="shared" si="74"/>
        <v>0</v>
      </c>
      <c r="CM39">
        <f t="shared" si="75"/>
        <v>1</v>
      </c>
      <c r="CN39">
        <f t="shared" si="76"/>
        <v>0</v>
      </c>
      <c r="CO39">
        <f t="shared" si="77"/>
        <v>1</v>
      </c>
      <c r="CS39" s="38">
        <f t="shared" si="78"/>
        <v>0</v>
      </c>
      <c r="CT39" s="38">
        <f t="shared" si="79"/>
        <v>0</v>
      </c>
      <c r="CU39" s="38">
        <f t="shared" si="80"/>
        <v>0</v>
      </c>
      <c r="CV39" s="38">
        <f t="shared" si="81"/>
        <v>0</v>
      </c>
      <c r="CW39" s="38">
        <f t="shared" si="82"/>
        <v>0</v>
      </c>
    </row>
    <row r="40" spans="1:101">
      <c r="A40" t="s">
        <v>465</v>
      </c>
      <c r="B40" t="s">
        <v>98</v>
      </c>
      <c r="C40" t="s">
        <v>498</v>
      </c>
      <c r="D40">
        <v>24041</v>
      </c>
      <c r="E40">
        <v>248</v>
      </c>
      <c r="F40">
        <v>24</v>
      </c>
      <c r="G40">
        <v>4997</v>
      </c>
      <c r="H40">
        <v>6318</v>
      </c>
      <c r="I40">
        <v>21545</v>
      </c>
      <c r="J40">
        <v>1141</v>
      </c>
      <c r="K40">
        <v>13418</v>
      </c>
      <c r="L40">
        <v>47419</v>
      </c>
      <c r="M40" s="3">
        <f t="shared" si="48"/>
        <v>10.537970012020498</v>
      </c>
      <c r="N40" s="3">
        <f t="shared" si="49"/>
        <v>13.323773171091757</v>
      </c>
      <c r="O40" s="3">
        <f t="shared" si="50"/>
        <v>45.43537400620005</v>
      </c>
      <c r="P40" s="3">
        <f t="shared" si="51"/>
        <v>2.4062084818321767</v>
      </c>
      <c r="Q40" s="3">
        <f t="shared" si="52"/>
        <v>28.29667432885552</v>
      </c>
      <c r="R40">
        <v>16.5</v>
      </c>
      <c r="S40">
        <v>14.2</v>
      </c>
      <c r="T40">
        <v>42.9</v>
      </c>
      <c r="U40">
        <v>2.1</v>
      </c>
      <c r="V40">
        <v>23.4</v>
      </c>
      <c r="W40">
        <f t="shared" si="53"/>
        <v>0</v>
      </c>
      <c r="X40">
        <f t="shared" si="54"/>
        <v>0</v>
      </c>
      <c r="Y40">
        <f t="shared" si="55"/>
        <v>1</v>
      </c>
      <c r="Z40">
        <f t="shared" si="56"/>
        <v>0</v>
      </c>
      <c r="AA40">
        <f t="shared" si="57"/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P40" t="s">
        <v>449</v>
      </c>
      <c r="AQ40" s="7">
        <f t="shared" ref="AQ40:AQ48" si="88">AVERAGE(AQ106,AS106)</f>
        <v>1.0013911</v>
      </c>
      <c r="AR40" s="7">
        <f t="shared" ref="AR40:AR48" si="89">AVERAGE(AR106,AS106)</f>
        <v>1.0073356499999999</v>
      </c>
      <c r="AS40" s="25">
        <f>AR40</f>
        <v>1.0073356499999999</v>
      </c>
      <c r="AT40" s="25">
        <f>AR60</f>
        <v>0.98003764999999987</v>
      </c>
      <c r="AU40" s="25">
        <f>AR50</f>
        <v>0.94540614999999995</v>
      </c>
      <c r="AY40" s="5">
        <f t="shared" si="58"/>
        <v>13.327849407801978</v>
      </c>
      <c r="AZ40" s="5">
        <f t="shared" si="59"/>
        <v>28.649801235114555</v>
      </c>
      <c r="BA40" s="5">
        <f t="shared" si="60"/>
        <v>29.715044358855135</v>
      </c>
      <c r="BB40" s="5">
        <f t="shared" si="61"/>
        <v>2.9679505892772244</v>
      </c>
      <c r="BC40" s="5">
        <f t="shared" si="62"/>
        <v>25.443887040759964</v>
      </c>
      <c r="BD40" s="5"/>
      <c r="BE40" s="5">
        <f t="shared" si="34"/>
        <v>100.10453263180885</v>
      </c>
      <c r="BF40" s="2"/>
      <c r="BH40" s="2">
        <f t="array" ref="BH40">MIN(100,MAX(0,M40-AK40*5+AR$16*(W40*AQ$29+SUMPRODUCT($AB40:$AJ40,TRANSPOSE(AQ$30:AQ$38)))+AS$16*(W40*AQ$39+SUMPRODUCT($AB40:$AJ40,TRANSPOSE(AQ$40:AQ$48)))+AU$16*(W40*AQ$49+SUMPRODUCT($AB40:$AJ40,TRANSPOSE(AQ$50:AQ$58)))+AT$16*(W40*AQ$59+SUMPRODUCT($AB40:$AJ40,TRANSPOSE(AQ$60:AQ$68)))))</f>
        <v>13.327849407801978</v>
      </c>
      <c r="BI40" s="2">
        <f t="array" ref="BI40">MIN(100,MAX(0,N40-AL40*5+AQ$17*(X40*AR$29+SUMPRODUCT($AB40:$AJ40,TRANSPOSE(AR$30:AR$38)))+AS$17*(X40*AR$39+SUMPRODUCT($AB40:$AJ40,TRANSPOSE(AR$40:AR$48)))+AU$17*(X40*AR$49+SUMPRODUCT($AB40:$AJ40,TRANSPOSE(AR$50:AR$58)))+AT$17*(X40*AR$59+SUMPRODUCT($AB40:$AJ40,TRANSPOSE(AR$60:AR$68)))))</f>
        <v>28.649801235114555</v>
      </c>
      <c r="BJ40" s="2">
        <f t="array" ref="BJ40">MIN(100,MAX(0,O40-AM40*5+AQ$18*(Y40*AS$29+SUMPRODUCT($AB40:$AJ40,TRANSPOSE(AS$30:AS$38)))+AR$18*(Y40*AS$39+SUMPRODUCT($AB40:$AJ40,TRANSPOSE(AS$40:AS$48)))+AU$18*(Y40*AS$49+SUMPRODUCT($AB40:$AJ40,TRANSPOSE(AS$50:AS$58)))+AT$18*(Y40*AS$59+SUMPRODUCT($AB40:$AJ40,TRANSPOSE(AS$60:AS$68)))))</f>
        <v>29.715044358855135</v>
      </c>
      <c r="BK40" s="2">
        <f t="array" ref="BK40">MIN(100,MAX(0,P40+AQ$19*(Z40*AT$29+SUMPRODUCT($AB40:$AJ40,TRANSPOSE(AT$30:AT$38)))+AR$19*(Z40*AT$39+SUMPRODUCT($AB40:$AJ40,TRANSPOSE(AT$40:AT$48)))+AS$19*(Z40*AT$49+SUMPRODUCT($AB40:$AJ40,TRANSPOSE(AT$50:AT$58)))+AU$19*(Z40*AT$59+SUMPRODUCT($AB40:$AJ40,TRANSPOSE(AT$60:AT$68)))))</f>
        <v>2.9679505892772244</v>
      </c>
      <c r="BL40" s="2">
        <f t="array" ref="BL40">MIN(100,MAX(0,Q40-AN40*5+AQ$20*(AA40*AU$29+SUMPRODUCT($AB40:$AJ40,TRANSPOSE(AU$30:AU$38)))+AR$20*(AA40*AU$39+SUMPRODUCT($AB40:$AJ40,TRANSPOSE(AU$40:AU$48)))+AS$20*(AA40*AU$49+SUMPRODUCT($AB40:$AJ40,TRANSPOSE(AU$50:AU$58)))+AT$20*(AA40*AU$59+SUMPRODUCT($AB40:$AJ40,TRANSPOSE(AU$60:AU$68)))))</f>
        <v>25.574966860906322</v>
      </c>
      <c r="BM40" s="2"/>
      <c r="BN40" s="2"/>
      <c r="BP40">
        <f t="shared" si="63"/>
        <v>0</v>
      </c>
      <c r="BQ40">
        <f t="shared" si="64"/>
        <v>0</v>
      </c>
      <c r="BR40">
        <f t="shared" si="65"/>
        <v>1</v>
      </c>
      <c r="BS40">
        <f t="shared" si="66"/>
        <v>0</v>
      </c>
      <c r="BT40">
        <f t="shared" si="67"/>
        <v>0</v>
      </c>
      <c r="BV40" s="2"/>
      <c r="BW40" s="2">
        <f t="shared" si="36"/>
        <v>0</v>
      </c>
      <c r="BX40" s="2">
        <f t="shared" si="37"/>
        <v>0</v>
      </c>
      <c r="BY40" s="2">
        <f t="shared" si="38"/>
        <v>1</v>
      </c>
      <c r="BZ40" s="2">
        <f t="shared" si="39"/>
        <v>1</v>
      </c>
      <c r="CA40" s="2">
        <f t="shared" si="40"/>
        <v>1</v>
      </c>
      <c r="CD40">
        <f t="shared" si="68"/>
        <v>1</v>
      </c>
      <c r="CE40">
        <f t="shared" si="69"/>
        <v>1</v>
      </c>
      <c r="CF40">
        <f t="shared" si="70"/>
        <v>0</v>
      </c>
      <c r="CG40">
        <f t="shared" si="71"/>
        <v>1</v>
      </c>
      <c r="CH40">
        <f t="shared" si="72"/>
        <v>0</v>
      </c>
      <c r="CK40">
        <f t="shared" si="73"/>
        <v>0</v>
      </c>
      <c r="CL40">
        <f t="shared" si="74"/>
        <v>0</v>
      </c>
      <c r="CM40">
        <f t="shared" si="75"/>
        <v>1</v>
      </c>
      <c r="CN40">
        <f t="shared" si="76"/>
        <v>0</v>
      </c>
      <c r="CO40">
        <f t="shared" si="77"/>
        <v>1</v>
      </c>
      <c r="CS40" s="38">
        <f t="shared" si="78"/>
        <v>0</v>
      </c>
      <c r="CT40" s="38">
        <f t="shared" si="79"/>
        <v>1</v>
      </c>
      <c r="CU40" s="38">
        <f t="shared" si="80"/>
        <v>0</v>
      </c>
      <c r="CV40" s="38">
        <f t="shared" si="81"/>
        <v>0</v>
      </c>
      <c r="CW40" s="38">
        <f t="shared" si="82"/>
        <v>1</v>
      </c>
    </row>
    <row r="41" spans="1:101">
      <c r="A41" t="s">
        <v>465</v>
      </c>
      <c r="B41" t="s">
        <v>99</v>
      </c>
      <c r="C41" t="s">
        <v>499</v>
      </c>
      <c r="D41">
        <v>24043</v>
      </c>
      <c r="E41">
        <v>243</v>
      </c>
      <c r="F41">
        <v>24</v>
      </c>
      <c r="G41">
        <v>4602</v>
      </c>
      <c r="H41">
        <v>5313</v>
      </c>
      <c r="I41">
        <v>26335</v>
      </c>
      <c r="J41">
        <v>1156</v>
      </c>
      <c r="K41">
        <v>15162</v>
      </c>
      <c r="L41">
        <v>52654</v>
      </c>
      <c r="M41" s="3">
        <f t="shared" si="48"/>
        <v>8.7400767273141646</v>
      </c>
      <c r="N41" s="3">
        <f t="shared" si="49"/>
        <v>10.0904014889657</v>
      </c>
      <c r="O41" s="3">
        <f t="shared" si="50"/>
        <v>50.015193527557258</v>
      </c>
      <c r="P41" s="3">
        <f t="shared" si="51"/>
        <v>2.1954647320241576</v>
      </c>
      <c r="Q41" s="3">
        <f t="shared" si="52"/>
        <v>28.795533102898162</v>
      </c>
      <c r="R41">
        <v>16.5</v>
      </c>
      <c r="S41">
        <v>14.2</v>
      </c>
      <c r="T41">
        <v>42.9</v>
      </c>
      <c r="U41">
        <v>2.1</v>
      </c>
      <c r="V41">
        <v>23.4</v>
      </c>
      <c r="W41">
        <f t="shared" si="53"/>
        <v>0</v>
      </c>
      <c r="X41">
        <f t="shared" si="54"/>
        <v>0</v>
      </c>
      <c r="Y41">
        <f t="shared" si="55"/>
        <v>1</v>
      </c>
      <c r="Z41">
        <f t="shared" si="56"/>
        <v>0</v>
      </c>
      <c r="AA41">
        <f t="shared" si="57"/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 t="s">
        <v>450</v>
      </c>
      <c r="AQ41" s="7">
        <f t="shared" si="88"/>
        <v>0.97375844999999994</v>
      </c>
      <c r="AR41" s="7">
        <f t="shared" si="89"/>
        <v>0.99816574999999996</v>
      </c>
      <c r="AS41" s="25">
        <f t="shared" ref="AS41:AS48" si="90">AR41</f>
        <v>0.99816574999999996</v>
      </c>
      <c r="AT41" s="25">
        <f t="shared" ref="AT41:AT48" si="91">AR61</f>
        <v>1.0025312500000001</v>
      </c>
      <c r="AU41" s="25">
        <f t="shared" ref="AU41:AU48" si="92">AR51</f>
        <v>0.94519854999999997</v>
      </c>
      <c r="AY41" s="5">
        <f t="shared" si="58"/>
        <v>11.529956123095644</v>
      </c>
      <c r="AZ41" s="5">
        <f t="shared" si="59"/>
        <v>25.416429552988497</v>
      </c>
      <c r="BA41" s="5">
        <f t="shared" si="60"/>
        <v>34.29486388021234</v>
      </c>
      <c r="BB41" s="5">
        <f t="shared" si="61"/>
        <v>2.7572068394692053</v>
      </c>
      <c r="BC41" s="5">
        <f t="shared" si="62"/>
        <v>25.929824044872195</v>
      </c>
      <c r="BD41" s="5"/>
      <c r="BE41" s="5">
        <f t="shared" si="34"/>
        <v>99.928280440637877</v>
      </c>
      <c r="BF41" s="2"/>
      <c r="BH41" s="2">
        <f t="array" ref="BH41">MIN(100,MAX(0,M41-AK41*5+AR$16*(W41*AQ$29+SUMPRODUCT($AB41:$AJ41,TRANSPOSE(AQ$30:AQ$38)))+AS$16*(W41*AQ$39+SUMPRODUCT($AB41:$AJ41,TRANSPOSE(AQ$40:AQ$48)))+AU$16*(W41*AQ$49+SUMPRODUCT($AB41:$AJ41,TRANSPOSE(AQ$50:AQ$58)))+AT$16*(W41*AQ$59+SUMPRODUCT($AB41:$AJ41,TRANSPOSE(AQ$60:AQ$68)))))</f>
        <v>11.529956123095644</v>
      </c>
      <c r="BI41" s="2">
        <f t="array" ref="BI41">MIN(100,MAX(0,N41-AL41*5+AQ$17*(X41*AR$29+SUMPRODUCT($AB41:$AJ41,TRANSPOSE(AR$30:AR$38)))+AS$17*(X41*AR$39+SUMPRODUCT($AB41:$AJ41,TRANSPOSE(AR$40:AR$48)))+AU$17*(X41*AR$49+SUMPRODUCT($AB41:$AJ41,TRANSPOSE(AR$50:AR$58)))+AT$17*(X41*AR$59+SUMPRODUCT($AB41:$AJ41,TRANSPOSE(AR$60:AR$68)))))</f>
        <v>25.416429552988497</v>
      </c>
      <c r="BJ41" s="2">
        <f t="array" ref="BJ41">MIN(100,MAX(0,O41-AM41*5+AQ$18*(Y41*AS$29+SUMPRODUCT($AB41:$AJ41,TRANSPOSE(AS$30:AS$38)))+AR$18*(Y41*AS$39+SUMPRODUCT($AB41:$AJ41,TRANSPOSE(AS$40:AS$48)))+AU$18*(Y41*AS$49+SUMPRODUCT($AB41:$AJ41,TRANSPOSE(AS$50:AS$58)))+AT$18*(Y41*AS$59+SUMPRODUCT($AB41:$AJ41,TRANSPOSE(AS$60:AS$68)))))</f>
        <v>34.29486388021234</v>
      </c>
      <c r="BK41" s="2">
        <f t="array" ref="BK41">MIN(100,MAX(0,P41+AQ$19*(Z41*AT$29+SUMPRODUCT($AB41:$AJ41,TRANSPOSE(AT$30:AT$38)))+AR$19*(Z41*AT$39+SUMPRODUCT($AB41:$AJ41,TRANSPOSE(AT$40:AT$48)))+AS$19*(Z41*AT$49+SUMPRODUCT($AB41:$AJ41,TRANSPOSE(AT$50:AT$58)))+AU$19*(Z41*AT$59+SUMPRODUCT($AB41:$AJ41,TRANSPOSE(AT$60:AT$68)))))</f>
        <v>2.7572068394692053</v>
      </c>
      <c r="BL41" s="2">
        <f t="array" ref="BL41">MIN(100,MAX(0,Q41-AN41*5+AQ$20*(AA41*AU$29+SUMPRODUCT($AB41:$AJ41,TRANSPOSE(AU$30:AU$38)))+AR$20*(AA41*AU$39+SUMPRODUCT($AB41:$AJ41,TRANSPOSE(AU$40:AU$48)))+AS$20*(AA41*AU$49+SUMPRODUCT($AB41:$AJ41,TRANSPOSE(AU$50:AU$58)))+AT$20*(AA41*AU$59+SUMPRODUCT($AB41:$AJ41,TRANSPOSE(AU$60:AU$68)))))</f>
        <v>26.073825634948964</v>
      </c>
      <c r="BM41" s="2"/>
      <c r="BN41" s="2"/>
      <c r="BP41">
        <f t="shared" si="63"/>
        <v>0</v>
      </c>
      <c r="BQ41">
        <f t="shared" si="64"/>
        <v>0</v>
      </c>
      <c r="BR41">
        <f t="shared" si="65"/>
        <v>1</v>
      </c>
      <c r="BS41">
        <f t="shared" si="66"/>
        <v>0</v>
      </c>
      <c r="BT41">
        <f t="shared" si="67"/>
        <v>0</v>
      </c>
      <c r="BV41" s="2"/>
      <c r="BW41" s="2">
        <f t="shared" si="36"/>
        <v>0</v>
      </c>
      <c r="BX41" s="2">
        <f t="shared" si="37"/>
        <v>0</v>
      </c>
      <c r="BY41" s="2">
        <f t="shared" si="38"/>
        <v>1</v>
      </c>
      <c r="BZ41" s="2">
        <f t="shared" si="39"/>
        <v>1</v>
      </c>
      <c r="CA41" s="2">
        <f t="shared" si="40"/>
        <v>1</v>
      </c>
      <c r="CD41">
        <f t="shared" si="68"/>
        <v>1</v>
      </c>
      <c r="CE41">
        <f t="shared" si="69"/>
        <v>1</v>
      </c>
      <c r="CF41">
        <f t="shared" si="70"/>
        <v>0</v>
      </c>
      <c r="CG41">
        <f t="shared" si="71"/>
        <v>1</v>
      </c>
      <c r="CH41">
        <f t="shared" si="72"/>
        <v>0</v>
      </c>
      <c r="CK41">
        <f t="shared" si="73"/>
        <v>0</v>
      </c>
      <c r="CL41">
        <f t="shared" si="74"/>
        <v>0</v>
      </c>
      <c r="CM41">
        <f t="shared" si="75"/>
        <v>1</v>
      </c>
      <c r="CN41">
        <f t="shared" si="76"/>
        <v>0</v>
      </c>
      <c r="CO41">
        <f t="shared" si="77"/>
        <v>1</v>
      </c>
      <c r="CS41" s="38">
        <f t="shared" si="78"/>
        <v>0</v>
      </c>
      <c r="CT41" s="38">
        <f t="shared" si="79"/>
        <v>0</v>
      </c>
      <c r="CU41" s="38">
        <f t="shared" si="80"/>
        <v>0</v>
      </c>
      <c r="CV41" s="38">
        <f t="shared" si="81"/>
        <v>0</v>
      </c>
      <c r="CW41" s="38">
        <f t="shared" si="82"/>
        <v>1</v>
      </c>
    </row>
    <row r="42" spans="1:101">
      <c r="A42" t="s">
        <v>465</v>
      </c>
      <c r="B42" t="s">
        <v>100</v>
      </c>
      <c r="C42" t="s">
        <v>100</v>
      </c>
      <c r="D42">
        <v>24044</v>
      </c>
      <c r="E42">
        <v>242</v>
      </c>
      <c r="F42">
        <v>24</v>
      </c>
      <c r="G42">
        <v>13194</v>
      </c>
      <c r="H42">
        <v>8108</v>
      </c>
      <c r="I42">
        <v>23358</v>
      </c>
      <c r="J42">
        <v>996</v>
      </c>
      <c r="K42">
        <v>14635</v>
      </c>
      <c r="L42">
        <v>60435</v>
      </c>
      <c r="M42" s="3">
        <f t="shared" si="48"/>
        <v>21.831720029784066</v>
      </c>
      <c r="N42" s="3">
        <f t="shared" si="49"/>
        <v>13.4160668486804</v>
      </c>
      <c r="O42" s="3">
        <f t="shared" si="50"/>
        <v>38.649789029535867</v>
      </c>
      <c r="P42" s="3">
        <f t="shared" si="51"/>
        <v>1.6480516257135764</v>
      </c>
      <c r="Q42" s="3">
        <f t="shared" si="52"/>
        <v>24.21609994208654</v>
      </c>
      <c r="R42">
        <v>16.5</v>
      </c>
      <c r="S42">
        <v>14.2</v>
      </c>
      <c r="T42">
        <v>42.9</v>
      </c>
      <c r="U42">
        <v>2.1</v>
      </c>
      <c r="V42">
        <v>23.4</v>
      </c>
      <c r="W42">
        <f t="shared" si="53"/>
        <v>0</v>
      </c>
      <c r="X42">
        <f t="shared" si="54"/>
        <v>0</v>
      </c>
      <c r="Y42">
        <f t="shared" si="55"/>
        <v>1</v>
      </c>
      <c r="Z42">
        <f t="shared" si="56"/>
        <v>0</v>
      </c>
      <c r="AA42">
        <f t="shared" si="57"/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P42" t="s">
        <v>451</v>
      </c>
      <c r="AQ42" s="7">
        <f t="shared" si="88"/>
        <v>1.1988541500000001</v>
      </c>
      <c r="AR42" s="7">
        <f t="shared" si="89"/>
        <v>1.03533115</v>
      </c>
      <c r="AS42" s="25">
        <f t="shared" si="90"/>
        <v>1.03533115</v>
      </c>
      <c r="AT42" s="25">
        <f t="shared" si="91"/>
        <v>0.92582775000000006</v>
      </c>
      <c r="AU42" s="25">
        <f t="shared" si="92"/>
        <v>0.99330289999999999</v>
      </c>
      <c r="AY42" s="5">
        <f t="shared" si="58"/>
        <v>25.276867706666113</v>
      </c>
      <c r="AZ42" s="5">
        <f t="shared" si="59"/>
        <v>29.343638536609006</v>
      </c>
      <c r="BA42" s="5">
        <f t="shared" si="60"/>
        <v>22.034562127395027</v>
      </c>
      <c r="BB42" s="5">
        <f t="shared" si="61"/>
        <v>2.0570071156902503</v>
      </c>
      <c r="BC42" s="5">
        <f t="shared" si="62"/>
        <v>21.278865505034975</v>
      </c>
      <c r="BD42" s="5"/>
      <c r="BE42" s="5">
        <f t="shared" si="34"/>
        <v>99.990940991395362</v>
      </c>
      <c r="BF42" s="2"/>
      <c r="BH42" s="2">
        <f t="array" ref="BH42">MIN(100,MAX(0,M42-AK42*5+AR$16*(W42*AQ$29+SUMPRODUCT($AB42:$AJ42,TRANSPOSE(AQ$30:AQ$38)))+AS$16*(W42*AQ$39+SUMPRODUCT($AB42:$AJ42,TRANSPOSE(AQ$40:AQ$48)))+AU$16*(W42*AQ$49+SUMPRODUCT($AB42:$AJ42,TRANSPOSE(AQ$50:AQ$58)))+AT$16*(W42*AQ$59+SUMPRODUCT($AB42:$AJ42,TRANSPOSE(AQ$60:AQ$68)))))</f>
        <v>25.276867706666113</v>
      </c>
      <c r="BI42" s="2">
        <f t="array" ref="BI42">MIN(100,MAX(0,N42-AL42*5+AQ$17*(X42*AR$29+SUMPRODUCT($AB42:$AJ42,TRANSPOSE(AR$30:AR$38)))+AS$17*(X42*AR$39+SUMPRODUCT($AB42:$AJ42,TRANSPOSE(AR$40:AR$48)))+AU$17*(X42*AR$49+SUMPRODUCT($AB42:$AJ42,TRANSPOSE(AR$50:AR$58)))+AT$17*(X42*AR$59+SUMPRODUCT($AB42:$AJ42,TRANSPOSE(AR$60:AR$68)))))</f>
        <v>29.343638536609006</v>
      </c>
      <c r="BJ42" s="2">
        <f t="array" ref="BJ42">MIN(100,MAX(0,O42-AM42*5+AQ$18*(Y42*AS$29+SUMPRODUCT($AB42:$AJ42,TRANSPOSE(AS$30:AS$38)))+AR$18*(Y42*AS$39+SUMPRODUCT($AB42:$AJ42,TRANSPOSE(AS$40:AS$48)))+AU$18*(Y42*AS$49+SUMPRODUCT($AB42:$AJ42,TRANSPOSE(AS$50:AS$58)))+AT$18*(Y42*AS$59+SUMPRODUCT($AB42:$AJ42,TRANSPOSE(AS$60:AS$68)))))</f>
        <v>22.034562127395027</v>
      </c>
      <c r="BK42" s="2">
        <f t="array" ref="BK42">MIN(100,MAX(0,P42+AQ$19*(Z42*AT$29+SUMPRODUCT($AB42:$AJ42,TRANSPOSE(AT$30:AT$38)))+AR$19*(Z42*AT$39+SUMPRODUCT($AB42:$AJ42,TRANSPOSE(AT$40:AT$48)))+AS$19*(Z42*AT$49+SUMPRODUCT($AB42:$AJ42,TRANSPOSE(AT$50:AT$58)))+AU$19*(Z42*AT$59+SUMPRODUCT($AB42:$AJ42,TRANSPOSE(AT$60:AT$68)))))</f>
        <v>2.0570071156902503</v>
      </c>
      <c r="BL42" s="2">
        <f t="array" ref="BL42">MIN(100,MAX(0,Q42-AN42*5+AQ$20*(AA42*AU$29+SUMPRODUCT($AB42:$AJ42,TRANSPOSE(AU$30:AU$38)))+AR$20*(AA42*AU$39+SUMPRODUCT($AB42:$AJ42,TRANSPOSE(AU$40:AU$48)))+AS$20*(AA42*AU$49+SUMPRODUCT($AB42:$AJ42,TRANSPOSE(AU$50:AU$58)))+AT$20*(AA42*AU$59+SUMPRODUCT($AB42:$AJ42,TRANSPOSE(AU$60:AU$68)))))</f>
        <v>21.299191359987496</v>
      </c>
      <c r="BM42" s="2"/>
      <c r="BN42" s="2"/>
      <c r="BP42">
        <f t="shared" si="63"/>
        <v>0</v>
      </c>
      <c r="BQ42">
        <f t="shared" si="64"/>
        <v>1</v>
      </c>
      <c r="BR42">
        <f t="shared" si="65"/>
        <v>0</v>
      </c>
      <c r="BS42">
        <f t="shared" si="66"/>
        <v>0</v>
      </c>
      <c r="BT42">
        <f t="shared" si="67"/>
        <v>0</v>
      </c>
      <c r="BV42" s="2"/>
      <c r="BW42" s="2">
        <f t="shared" si="36"/>
        <v>1</v>
      </c>
      <c r="BX42" s="2">
        <f t="shared" si="37"/>
        <v>0</v>
      </c>
      <c r="BY42" s="2">
        <f t="shared" si="38"/>
        <v>0</v>
      </c>
      <c r="BZ42" s="2">
        <f t="shared" si="39"/>
        <v>0</v>
      </c>
      <c r="CA42" s="2">
        <f t="shared" si="40"/>
        <v>1</v>
      </c>
      <c r="CD42">
        <f t="shared" si="68"/>
        <v>1</v>
      </c>
      <c r="CE42">
        <f t="shared" si="69"/>
        <v>1</v>
      </c>
      <c r="CF42">
        <f t="shared" si="70"/>
        <v>0</v>
      </c>
      <c r="CG42">
        <f t="shared" si="71"/>
        <v>1</v>
      </c>
      <c r="CH42">
        <f t="shared" si="72"/>
        <v>0</v>
      </c>
      <c r="CK42">
        <f t="shared" si="73"/>
        <v>0</v>
      </c>
      <c r="CL42">
        <f t="shared" si="74"/>
        <v>0</v>
      </c>
      <c r="CM42">
        <f t="shared" si="75"/>
        <v>1</v>
      </c>
      <c r="CN42">
        <f t="shared" si="76"/>
        <v>0</v>
      </c>
      <c r="CO42">
        <f t="shared" si="77"/>
        <v>1</v>
      </c>
      <c r="CS42" s="38">
        <f t="shared" si="78"/>
        <v>1</v>
      </c>
      <c r="CT42" s="38">
        <f t="shared" si="79"/>
        <v>0</v>
      </c>
      <c r="CU42" s="38">
        <f t="shared" si="80"/>
        <v>0</v>
      </c>
      <c r="CV42" s="38">
        <f t="shared" si="81"/>
        <v>0</v>
      </c>
      <c r="CW42" s="38">
        <f t="shared" si="82"/>
        <v>1</v>
      </c>
    </row>
    <row r="43" spans="1:101">
      <c r="A43" t="s">
        <v>465</v>
      </c>
      <c r="B43" t="s">
        <v>101</v>
      </c>
      <c r="C43" t="s">
        <v>101</v>
      </c>
      <c r="D43">
        <v>24045</v>
      </c>
      <c r="E43">
        <v>242</v>
      </c>
      <c r="F43">
        <v>24</v>
      </c>
      <c r="G43">
        <v>21278</v>
      </c>
      <c r="H43">
        <v>3606</v>
      </c>
      <c r="I43">
        <v>22576</v>
      </c>
      <c r="J43">
        <v>852</v>
      </c>
      <c r="K43">
        <v>8128</v>
      </c>
      <c r="L43">
        <v>56616</v>
      </c>
      <c r="M43" s="3">
        <f t="shared" si="48"/>
        <v>37.583015402006495</v>
      </c>
      <c r="N43" s="3">
        <f t="shared" si="49"/>
        <v>6.3692242475625269</v>
      </c>
      <c r="O43" s="3">
        <f t="shared" si="50"/>
        <v>39.875653525505157</v>
      </c>
      <c r="P43" s="3">
        <f t="shared" si="51"/>
        <v>1.5048749470114455</v>
      </c>
      <c r="Q43" s="3">
        <f t="shared" si="52"/>
        <v>14.356365691677265</v>
      </c>
      <c r="R43">
        <v>16.5</v>
      </c>
      <c r="S43">
        <v>14.2</v>
      </c>
      <c r="T43">
        <v>42.9</v>
      </c>
      <c r="U43">
        <v>2.1</v>
      </c>
      <c r="V43">
        <v>23.4</v>
      </c>
      <c r="W43">
        <f t="shared" si="53"/>
        <v>0</v>
      </c>
      <c r="X43">
        <f t="shared" si="54"/>
        <v>0</v>
      </c>
      <c r="Y43" s="54">
        <v>0</v>
      </c>
      <c r="Z43">
        <f t="shared" si="56"/>
        <v>0</v>
      </c>
      <c r="AA43">
        <f t="shared" si="57"/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 t="s">
        <v>452</v>
      </c>
      <c r="AQ43" s="7">
        <f t="shared" si="88"/>
        <v>1.1686070000000002</v>
      </c>
      <c r="AR43" s="7">
        <f t="shared" si="89"/>
        <v>1.1246425</v>
      </c>
      <c r="AS43" s="25">
        <f t="shared" si="90"/>
        <v>1.1246425</v>
      </c>
      <c r="AT43" s="25">
        <f t="shared" si="91"/>
        <v>0.97616924999999988</v>
      </c>
      <c r="AU43" s="25">
        <f t="shared" si="92"/>
        <v>1.088956</v>
      </c>
      <c r="AY43" s="5">
        <f t="shared" si="58"/>
        <v>46.028163078888547</v>
      </c>
      <c r="AZ43" s="5">
        <f t="shared" si="59"/>
        <v>22.296795935491133</v>
      </c>
      <c r="BA43" s="5">
        <f t="shared" si="60"/>
        <v>23.260426623364317</v>
      </c>
      <c r="BB43" s="5">
        <f t="shared" si="61"/>
        <v>1.9138304369881194</v>
      </c>
      <c r="BC43" s="5">
        <f t="shared" si="62"/>
        <v>11.439457109578225</v>
      </c>
      <c r="BD43" s="5"/>
      <c r="BE43" s="5">
        <f t="shared" si="34"/>
        <v>104.93867318431035</v>
      </c>
      <c r="BF43" s="2"/>
      <c r="BH43" s="58">
        <f t="array" ref="BH43">MIN(100,MAX(0,M43+5-AK43*5+AR$16*(W43*AQ$29+SUMPRODUCT($AB43:$AJ43,TRANSPOSE(AQ$30:AQ$38)))+AS$16*(W43*AQ$39+SUMPRODUCT($AB43:$AJ43,TRANSPOSE(AQ$40:AQ$48)))+AU$16*(W43*AQ$49+SUMPRODUCT($AB43:$AJ43,TRANSPOSE(AQ$50:AQ$58)))+AT$16*(W43*AQ$59+SUMPRODUCT($AB43:$AJ43,TRANSPOSE(AQ$60:AQ$68)))))</f>
        <v>46.028163078888547</v>
      </c>
      <c r="BI43" s="2">
        <f t="array" ref="BI43">MIN(100,MAX(0,N43-AL43*5+AQ$17*(X43*AR$29+SUMPRODUCT($AB43:$AJ43,TRANSPOSE(AR$30:AR$38)))+AS$17*(X43*AR$39+SUMPRODUCT($AB43:$AJ43,TRANSPOSE(AR$40:AR$48)))+AU$17*(X43*AR$49+SUMPRODUCT($AB43:$AJ43,TRANSPOSE(AR$50:AR$58)))+AT$17*(X43*AR$59+SUMPRODUCT($AB43:$AJ43,TRANSPOSE(AR$60:AR$68)))))</f>
        <v>22.296795935491133</v>
      </c>
      <c r="BJ43" s="2">
        <f t="array" ref="BJ43">MIN(100,MAX(0,O43-AM43*5+AQ$18*(Y43*AS$29+SUMPRODUCT($AB43:$AJ43,TRANSPOSE(AS$30:AS$38)))+AR$18*(Y43*AS$39+SUMPRODUCT($AB43:$AJ43,TRANSPOSE(AS$40:AS$48)))+AU$18*(Y43*AS$49+SUMPRODUCT($AB43:$AJ43,TRANSPOSE(AS$50:AS$58)))+AT$18*(Y43*AS$59+SUMPRODUCT($AB43:$AJ43,TRANSPOSE(AS$60:AS$68)))))</f>
        <v>23.260426623364317</v>
      </c>
      <c r="BK43" s="2">
        <f t="array" ref="BK43">MIN(100,MAX(0,P43+AQ$19*(Z43*AT$29+SUMPRODUCT($AB43:$AJ43,TRANSPOSE(AT$30:AT$38)))+AR$19*(Z43*AT$39+SUMPRODUCT($AB43:$AJ43,TRANSPOSE(AT$40:AT$48)))+AS$19*(Z43*AT$49+SUMPRODUCT($AB43:$AJ43,TRANSPOSE(AT$50:AT$58)))+AU$19*(Z43*AT$59+SUMPRODUCT($AB43:$AJ43,TRANSPOSE(AT$60:AT$68)))))</f>
        <v>1.9138304369881194</v>
      </c>
      <c r="BL43" s="2">
        <f t="array" ref="BL43">MIN(100,MAX(0,Q43-AN43*5+AQ$20*(AA43*AU$29+SUMPRODUCT($AB43:$AJ43,TRANSPOSE(AU$30:AU$38)))+AR$20*(AA43*AU$39+SUMPRODUCT($AB43:$AJ43,TRANSPOSE(AU$40:AU$48)))+AS$20*(AA43*AU$49+SUMPRODUCT($AB43:$AJ43,TRANSPOSE(AU$50:AU$58)))+AT$20*(AA43*AU$59+SUMPRODUCT($AB43:$AJ43,TRANSPOSE(AU$60:AU$68)))))</f>
        <v>11.439457109578225</v>
      </c>
      <c r="BM43" s="2"/>
      <c r="BN43" s="2"/>
      <c r="BP43">
        <f t="shared" si="63"/>
        <v>1</v>
      </c>
      <c r="BQ43">
        <f t="shared" si="64"/>
        <v>0</v>
      </c>
      <c r="BR43">
        <f t="shared" si="65"/>
        <v>0</v>
      </c>
      <c r="BS43">
        <f t="shared" si="66"/>
        <v>0</v>
      </c>
      <c r="BT43">
        <f t="shared" si="67"/>
        <v>0</v>
      </c>
      <c r="BV43" s="2"/>
      <c r="BW43" s="2">
        <f t="shared" si="36"/>
        <v>1</v>
      </c>
      <c r="BX43" s="2">
        <f t="shared" si="37"/>
        <v>0</v>
      </c>
      <c r="BY43" s="2">
        <f t="shared" si="38"/>
        <v>0</v>
      </c>
      <c r="BZ43" s="2">
        <f t="shared" si="39"/>
        <v>0</v>
      </c>
      <c r="CA43" s="2">
        <f t="shared" si="40"/>
        <v>0</v>
      </c>
      <c r="CD43">
        <f t="shared" si="68"/>
        <v>1</v>
      </c>
      <c r="CE43">
        <f t="shared" si="69"/>
        <v>1</v>
      </c>
      <c r="CF43">
        <f t="shared" si="70"/>
        <v>0</v>
      </c>
      <c r="CG43">
        <f t="shared" si="71"/>
        <v>1</v>
      </c>
      <c r="CH43">
        <f t="shared" si="72"/>
        <v>0</v>
      </c>
      <c r="CK43">
        <f t="shared" si="73"/>
        <v>0</v>
      </c>
      <c r="CL43">
        <f t="shared" si="74"/>
        <v>0</v>
      </c>
      <c r="CM43">
        <f t="shared" si="75"/>
        <v>1</v>
      </c>
      <c r="CN43">
        <f t="shared" si="76"/>
        <v>0</v>
      </c>
      <c r="CO43">
        <f t="shared" si="77"/>
        <v>1</v>
      </c>
      <c r="CS43" s="38">
        <f t="shared" si="78"/>
        <v>0</v>
      </c>
      <c r="CT43" s="38">
        <f t="shared" si="79"/>
        <v>0</v>
      </c>
      <c r="CU43" s="38">
        <f t="shared" si="80"/>
        <v>0</v>
      </c>
      <c r="CV43" s="38">
        <f t="shared" si="81"/>
        <v>0</v>
      </c>
      <c r="CW43" s="38">
        <f t="shared" si="82"/>
        <v>0</v>
      </c>
    </row>
    <row r="44" spans="1:101">
      <c r="A44" t="s">
        <v>465</v>
      </c>
      <c r="B44" t="s">
        <v>102</v>
      </c>
      <c r="C44" t="s">
        <v>102</v>
      </c>
      <c r="D44">
        <v>24046</v>
      </c>
      <c r="E44">
        <v>249</v>
      </c>
      <c r="F44">
        <v>24</v>
      </c>
      <c r="G44">
        <v>4502</v>
      </c>
      <c r="H44">
        <v>2131</v>
      </c>
      <c r="I44">
        <v>18458</v>
      </c>
      <c r="J44">
        <v>972</v>
      </c>
      <c r="K44">
        <v>12654</v>
      </c>
      <c r="L44">
        <v>38716</v>
      </c>
      <c r="M44" s="3">
        <f t="shared" si="48"/>
        <v>11.62826738299411</v>
      </c>
      <c r="N44" s="3">
        <f t="shared" si="49"/>
        <v>5.5041843165616289</v>
      </c>
      <c r="O44" s="3">
        <f t="shared" si="50"/>
        <v>47.675379687984297</v>
      </c>
      <c r="P44" s="3">
        <f t="shared" si="51"/>
        <v>2.5105899369769604</v>
      </c>
      <c r="Q44" s="3">
        <f t="shared" si="52"/>
        <v>32.684161586940803</v>
      </c>
      <c r="R44">
        <v>16.5</v>
      </c>
      <c r="S44">
        <v>14.2</v>
      </c>
      <c r="T44">
        <v>42.9</v>
      </c>
      <c r="U44">
        <v>2.1</v>
      </c>
      <c r="V44">
        <v>23.4</v>
      </c>
      <c r="W44">
        <f t="shared" si="53"/>
        <v>0</v>
      </c>
      <c r="X44">
        <f t="shared" si="54"/>
        <v>0</v>
      </c>
      <c r="Y44">
        <f t="shared" si="55"/>
        <v>1</v>
      </c>
      <c r="Z44">
        <f t="shared" si="56"/>
        <v>0</v>
      </c>
      <c r="AA44">
        <f t="shared" si="57"/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P44" t="s">
        <v>453</v>
      </c>
      <c r="AQ44" s="7">
        <f t="shared" si="88"/>
        <v>1.02721135</v>
      </c>
      <c r="AR44" s="7">
        <f t="shared" si="89"/>
        <v>0.96989884999999998</v>
      </c>
      <c r="AS44" s="25">
        <f t="shared" si="90"/>
        <v>0.96989884999999998</v>
      </c>
      <c r="AT44" s="25">
        <f t="shared" si="91"/>
        <v>0.95126840000000001</v>
      </c>
      <c r="AU44" s="25">
        <f t="shared" si="92"/>
        <v>0.97690214999999991</v>
      </c>
      <c r="AY44" s="5">
        <f t="shared" si="58"/>
        <v>14.988852792715878</v>
      </c>
      <c r="AZ44" s="5">
        <f t="shared" si="59"/>
        <v>22.829578725254901</v>
      </c>
      <c r="BA44" s="5">
        <f t="shared" si="60"/>
        <v>29.896420702526289</v>
      </c>
      <c r="BB44" s="5">
        <f t="shared" si="61"/>
        <v>3.0189308309496736</v>
      </c>
      <c r="BC44" s="5">
        <f t="shared" si="62"/>
        <v>29.30247405017813</v>
      </c>
      <c r="BD44" s="5"/>
      <c r="BE44" s="5">
        <f t="shared" si="34"/>
        <v>100.03625710162487</v>
      </c>
      <c r="BF44" s="2"/>
      <c r="BH44" s="2">
        <f t="array" ref="BH44">MIN(100,MAX(0,M44-AK44*5+AR$16*(W44*AQ$29+SUMPRODUCT($AB44:$AJ44,TRANSPOSE(AQ$30:AQ$38)))+AS$16*(W44*AQ$39+SUMPRODUCT($AB44:$AJ44,TRANSPOSE(AQ$40:AQ$48)))+AU$16*(W44*AQ$49+SUMPRODUCT($AB44:$AJ44,TRANSPOSE(AQ$50:AQ$58)))+AT$16*(W44*AQ$59+SUMPRODUCT($AB44:$AJ44,TRANSPOSE(AQ$60:AQ$68)))))</f>
        <v>14.988852792715878</v>
      </c>
      <c r="BI44" s="2">
        <f t="array" ref="BI44">MIN(100,MAX(0,N44-AL44*5+AQ$17*(X44*AR$29+SUMPRODUCT($AB44:$AJ44,TRANSPOSE(AR$30:AR$38)))+AS$17*(X44*AR$39+SUMPRODUCT($AB44:$AJ44,TRANSPOSE(AR$40:AR$48)))+AU$17*(X44*AR$49+SUMPRODUCT($AB44:$AJ44,TRANSPOSE(AR$50:AR$58)))+AT$17*(X44*AR$59+SUMPRODUCT($AB44:$AJ44,TRANSPOSE(AR$60:AR$68)))))</f>
        <v>22.829578725254901</v>
      </c>
      <c r="BJ44" s="2">
        <f t="array" ref="BJ44">MIN(100,MAX(0,O44-AM44*5+AQ$18*(Y44*AS$29+SUMPRODUCT($AB44:$AJ44,TRANSPOSE(AS$30:AS$38)))+AR$18*(Y44*AS$39+SUMPRODUCT($AB44:$AJ44,TRANSPOSE(AS$40:AS$48)))+AU$18*(Y44*AS$49+SUMPRODUCT($AB44:$AJ44,TRANSPOSE(AS$50:AS$58)))+AT$18*(Y44*AS$59+SUMPRODUCT($AB44:$AJ44,TRANSPOSE(AS$60:AS$68)))))</f>
        <v>29.896420702526289</v>
      </c>
      <c r="BK44" s="2">
        <f t="array" ref="BK44">MIN(100,MAX(0,P44+AQ$19*(Z44*AT$29+SUMPRODUCT($AB44:$AJ44,TRANSPOSE(AT$30:AT$38)))+AR$19*(Z44*AT$39+SUMPRODUCT($AB44:$AJ44,TRANSPOSE(AT$40:AT$48)))+AS$19*(Z44*AT$49+SUMPRODUCT($AB44:$AJ44,TRANSPOSE(AT$50:AT$58)))+AU$19*(Z44*AT$59+SUMPRODUCT($AB44:$AJ44,TRANSPOSE(AT$60:AT$68)))))</f>
        <v>3.0189308309496736</v>
      </c>
      <c r="BL44" s="2">
        <f t="array" ref="BL44">MIN(100,MAX(0,Q44-AN44*5+AQ$20*(AA44*AU$29+SUMPRODUCT($AB44:$AJ44,TRANSPOSE(AU$30:AU$38)))+AR$20*(AA44*AU$39+SUMPRODUCT($AB44:$AJ44,TRANSPOSE(AU$40:AU$48)))+AS$20*(AA44*AU$49+SUMPRODUCT($AB44:$AJ44,TRANSPOSE(AU$50:AU$58)))+AT$20*(AA44*AU$59+SUMPRODUCT($AB44:$AJ44,TRANSPOSE(AU$60:AU$68)))))</f>
        <v>29.536159296892617</v>
      </c>
      <c r="BM44" s="2"/>
      <c r="BN44" s="2"/>
      <c r="BP44">
        <f t="shared" si="63"/>
        <v>0</v>
      </c>
      <c r="BQ44">
        <f t="shared" si="64"/>
        <v>0</v>
      </c>
      <c r="BR44">
        <f t="shared" si="65"/>
        <v>1</v>
      </c>
      <c r="BS44">
        <f t="shared" si="66"/>
        <v>0</v>
      </c>
      <c r="BT44">
        <f t="shared" si="67"/>
        <v>0</v>
      </c>
      <c r="BV44" s="2"/>
      <c r="BW44" s="2">
        <f t="shared" si="36"/>
        <v>0</v>
      </c>
      <c r="BX44" s="2">
        <f t="shared" si="37"/>
        <v>0</v>
      </c>
      <c r="BY44" s="2">
        <f t="shared" si="38"/>
        <v>1</v>
      </c>
      <c r="BZ44" s="2">
        <f t="shared" si="39"/>
        <v>1</v>
      </c>
      <c r="CA44" s="2">
        <f t="shared" si="40"/>
        <v>1</v>
      </c>
      <c r="CD44">
        <f t="shared" si="68"/>
        <v>1</v>
      </c>
      <c r="CE44">
        <f t="shared" si="69"/>
        <v>1</v>
      </c>
      <c r="CF44">
        <f t="shared" si="70"/>
        <v>0</v>
      </c>
      <c r="CG44">
        <f t="shared" si="71"/>
        <v>1</v>
      </c>
      <c r="CH44">
        <f t="shared" si="72"/>
        <v>0</v>
      </c>
      <c r="CK44">
        <f t="shared" si="73"/>
        <v>0</v>
      </c>
      <c r="CL44">
        <f t="shared" si="74"/>
        <v>0</v>
      </c>
      <c r="CM44">
        <f t="shared" si="75"/>
        <v>1</v>
      </c>
      <c r="CN44">
        <f t="shared" si="76"/>
        <v>0</v>
      </c>
      <c r="CO44">
        <f t="shared" si="77"/>
        <v>1</v>
      </c>
      <c r="CS44" s="38">
        <f t="shared" si="78"/>
        <v>0</v>
      </c>
      <c r="CT44" s="38">
        <f t="shared" si="79"/>
        <v>0</v>
      </c>
      <c r="CU44" s="38">
        <f t="shared" si="80"/>
        <v>0</v>
      </c>
      <c r="CV44" s="38">
        <f t="shared" si="81"/>
        <v>0</v>
      </c>
      <c r="CW44" s="38">
        <f t="shared" si="82"/>
        <v>1</v>
      </c>
    </row>
    <row r="45" spans="1:101">
      <c r="A45" t="s">
        <v>465</v>
      </c>
      <c r="B45" t="s">
        <v>103</v>
      </c>
      <c r="C45" t="s">
        <v>500</v>
      </c>
      <c r="D45">
        <v>24065</v>
      </c>
      <c r="E45">
        <v>244</v>
      </c>
      <c r="F45">
        <v>24</v>
      </c>
      <c r="G45">
        <v>4904</v>
      </c>
      <c r="H45">
        <v>6545</v>
      </c>
      <c r="I45">
        <v>23154</v>
      </c>
      <c r="J45">
        <v>1108</v>
      </c>
      <c r="K45">
        <v>11471</v>
      </c>
      <c r="L45">
        <v>47273</v>
      </c>
      <c r="M45" s="3">
        <f t="shared" si="48"/>
        <v>10.37378630507901</v>
      </c>
      <c r="N45" s="3">
        <f t="shared" si="49"/>
        <v>13.84511243204366</v>
      </c>
      <c r="O45" s="3">
        <f t="shared" si="50"/>
        <v>48.979332811541468</v>
      </c>
      <c r="P45" s="3">
        <f t="shared" si="51"/>
        <v>2.3438326317348168</v>
      </c>
      <c r="Q45" s="3">
        <f t="shared" si="52"/>
        <v>24.265436930171557</v>
      </c>
      <c r="R45">
        <v>16.5</v>
      </c>
      <c r="S45">
        <v>14.2</v>
      </c>
      <c r="T45">
        <v>42.9</v>
      </c>
      <c r="U45">
        <v>2.1</v>
      </c>
      <c r="V45">
        <v>23.4</v>
      </c>
      <c r="W45">
        <f t="shared" si="53"/>
        <v>0</v>
      </c>
      <c r="X45">
        <f t="shared" si="54"/>
        <v>0</v>
      </c>
      <c r="Y45">
        <f t="shared" si="55"/>
        <v>1</v>
      </c>
      <c r="Z45">
        <f t="shared" si="56"/>
        <v>0</v>
      </c>
      <c r="AA45">
        <f t="shared" si="57"/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 t="s">
        <v>454</v>
      </c>
      <c r="AQ45" s="7">
        <f t="shared" si="88"/>
        <v>1.083127</v>
      </c>
      <c r="AR45" s="7">
        <f t="shared" si="89"/>
        <v>1.0643940000000001</v>
      </c>
      <c r="AS45" s="25">
        <f t="shared" si="90"/>
        <v>1.0643940000000001</v>
      </c>
      <c r="AT45" s="25">
        <f t="shared" si="91"/>
        <v>1.0891284999999999</v>
      </c>
      <c r="AU45" s="25">
        <f t="shared" si="92"/>
        <v>0.97200675000000003</v>
      </c>
      <c r="AY45" s="5">
        <f t="shared" si="58"/>
        <v>13.2395032432925</v>
      </c>
      <c r="AZ45" s="5">
        <f t="shared" si="59"/>
        <v>29.291652793015743</v>
      </c>
      <c r="BA45" s="5">
        <f t="shared" si="60"/>
        <v>33.046288707063752</v>
      </c>
      <c r="BB45" s="5">
        <f t="shared" si="61"/>
        <v>2.9378586461724536</v>
      </c>
      <c r="BC45" s="5">
        <f t="shared" si="62"/>
        <v>21.504371915485926</v>
      </c>
      <c r="BD45" s="5"/>
      <c r="BE45" s="5">
        <f t="shared" si="34"/>
        <v>100.01967530503038</v>
      </c>
      <c r="BF45" s="2"/>
      <c r="BH45" s="2">
        <f t="array" ref="BH45">MIN(100,MAX(0,M45-AK45*5+AR$16*(W45*AQ$29+SUMPRODUCT($AB45:$AJ45,TRANSPOSE(AQ$30:AQ$38)))+AS$16*(W45*AQ$39+SUMPRODUCT($AB45:$AJ45,TRANSPOSE(AQ$40:AQ$48)))+AU$16*(W45*AQ$49+SUMPRODUCT($AB45:$AJ45,TRANSPOSE(AQ$50:AQ$58)))+AT$16*(W45*AQ$59+SUMPRODUCT($AB45:$AJ45,TRANSPOSE(AQ$60:AQ$68)))))</f>
        <v>13.2395032432925</v>
      </c>
      <c r="BI45" s="2">
        <f t="array" ref="BI45">MIN(100,MAX(0,N45-AL45*5+AQ$17*(X45*AR$29+SUMPRODUCT($AB45:$AJ45,TRANSPOSE(AR$30:AR$38)))+AS$17*(X45*AR$39+SUMPRODUCT($AB45:$AJ45,TRANSPOSE(AR$40:AR$48)))+AU$17*(X45*AR$49+SUMPRODUCT($AB45:$AJ45,TRANSPOSE(AR$50:AR$58)))+AT$17*(X45*AR$59+SUMPRODUCT($AB45:$AJ45,TRANSPOSE(AR$60:AR$68)))))</f>
        <v>29.291652793015743</v>
      </c>
      <c r="BJ45" s="2">
        <f t="array" ref="BJ45">MIN(100,MAX(0,O45-AM45*5+AQ$18*(Y45*AS$29+SUMPRODUCT($AB45:$AJ45,TRANSPOSE(AS$30:AS$38)))+AR$18*(Y45*AS$39+SUMPRODUCT($AB45:$AJ45,TRANSPOSE(AS$40:AS$48)))+AU$18*(Y45*AS$49+SUMPRODUCT($AB45:$AJ45,TRANSPOSE(AS$50:AS$58)))+AT$18*(Y45*AS$59+SUMPRODUCT($AB45:$AJ45,TRANSPOSE(AS$60:AS$68)))))</f>
        <v>33.046288707063752</v>
      </c>
      <c r="BK45" s="2">
        <f t="array" ref="BK45">MIN(100,MAX(0,P45+AQ$19*(Z45*AT$29+SUMPRODUCT($AB45:$AJ45,TRANSPOSE(AT$30:AT$38)))+AR$19*(Z45*AT$39+SUMPRODUCT($AB45:$AJ45,TRANSPOSE(AT$40:AT$48)))+AS$19*(Z45*AT$49+SUMPRODUCT($AB45:$AJ45,TRANSPOSE(AT$50:AT$58)))+AU$19*(Z45*AT$59+SUMPRODUCT($AB45:$AJ45,TRANSPOSE(AT$60:AT$68)))))</f>
        <v>2.9378586461724536</v>
      </c>
      <c r="BL45" s="2">
        <f t="array" ref="BL45">MIN(100,MAX(0,Q45-AN45*5+AQ$20*(AA45*AU$29+SUMPRODUCT($AB45:$AJ45,TRANSPOSE(AU$30:AU$38)))+AR$20*(AA45*AU$39+SUMPRODUCT($AB45:$AJ45,TRANSPOSE(AU$40:AU$48)))+AS$20*(AA45*AU$49+SUMPRODUCT($AB45:$AJ45,TRANSPOSE(AU$50:AU$58)))+AT$20*(AA45*AU$59+SUMPRODUCT($AB45:$AJ45,TRANSPOSE(AU$60:AU$68)))))</f>
        <v>21.530694313054095</v>
      </c>
      <c r="BM45" s="2"/>
      <c r="BN45" s="2"/>
      <c r="BP45">
        <f t="shared" si="63"/>
        <v>0</v>
      </c>
      <c r="BQ45">
        <f t="shared" si="64"/>
        <v>0</v>
      </c>
      <c r="BR45">
        <f t="shared" si="65"/>
        <v>1</v>
      </c>
      <c r="BS45">
        <f t="shared" si="66"/>
        <v>0</v>
      </c>
      <c r="BT45">
        <f t="shared" si="67"/>
        <v>0</v>
      </c>
      <c r="BV45" s="2"/>
      <c r="BW45" s="2">
        <f t="shared" si="36"/>
        <v>0</v>
      </c>
      <c r="BX45" s="2">
        <f t="shared" si="37"/>
        <v>0</v>
      </c>
      <c r="BY45" s="2">
        <f t="shared" si="38"/>
        <v>1</v>
      </c>
      <c r="BZ45" s="2">
        <f t="shared" si="39"/>
        <v>1</v>
      </c>
      <c r="CA45" s="2">
        <f t="shared" si="40"/>
        <v>1</v>
      </c>
      <c r="CD45">
        <f t="shared" si="68"/>
        <v>1</v>
      </c>
      <c r="CE45">
        <f t="shared" si="69"/>
        <v>1</v>
      </c>
      <c r="CF45">
        <f t="shared" si="70"/>
        <v>0</v>
      </c>
      <c r="CG45">
        <f t="shared" si="71"/>
        <v>1</v>
      </c>
      <c r="CH45">
        <f t="shared" si="72"/>
        <v>0</v>
      </c>
      <c r="CK45">
        <f t="shared" si="73"/>
        <v>0</v>
      </c>
      <c r="CL45">
        <f t="shared" si="74"/>
        <v>0</v>
      </c>
      <c r="CM45">
        <f t="shared" si="75"/>
        <v>1</v>
      </c>
      <c r="CN45">
        <f t="shared" si="76"/>
        <v>0</v>
      </c>
      <c r="CO45">
        <f t="shared" si="77"/>
        <v>1</v>
      </c>
      <c r="CS45" s="38">
        <f t="shared" si="78"/>
        <v>0</v>
      </c>
      <c r="CT45" s="38">
        <f t="shared" si="79"/>
        <v>1</v>
      </c>
      <c r="CU45" s="38">
        <f t="shared" si="80"/>
        <v>0</v>
      </c>
      <c r="CV45" s="38">
        <f t="shared" si="81"/>
        <v>0</v>
      </c>
      <c r="CW45" s="38">
        <f t="shared" si="82"/>
        <v>0</v>
      </c>
    </row>
    <row r="46" spans="1:101">
      <c r="A46" t="s">
        <v>465</v>
      </c>
      <c r="B46" t="s">
        <v>104</v>
      </c>
      <c r="C46" t="s">
        <v>501</v>
      </c>
      <c r="D46">
        <v>24047</v>
      </c>
      <c r="E46">
        <v>242</v>
      </c>
      <c r="F46">
        <v>24</v>
      </c>
      <c r="G46">
        <v>22321</v>
      </c>
      <c r="H46">
        <v>2711</v>
      </c>
      <c r="I46">
        <v>11929</v>
      </c>
      <c r="J46">
        <v>667</v>
      </c>
      <c r="K46">
        <v>7542</v>
      </c>
      <c r="L46">
        <v>45420</v>
      </c>
      <c r="M46" s="3">
        <f t="shared" si="48"/>
        <v>49.143549097313958</v>
      </c>
      <c r="N46" s="3">
        <f t="shared" si="49"/>
        <v>5.9687362395420518</v>
      </c>
      <c r="O46" s="3">
        <f t="shared" si="50"/>
        <v>26.263760457948042</v>
      </c>
      <c r="P46" s="3">
        <f t="shared" si="51"/>
        <v>1.4685160722148833</v>
      </c>
      <c r="Q46" s="3">
        <f t="shared" si="52"/>
        <v>16.605019815059446</v>
      </c>
      <c r="R46">
        <v>16.5</v>
      </c>
      <c r="S46">
        <v>14.2</v>
      </c>
      <c r="T46">
        <v>42.9</v>
      </c>
      <c r="U46">
        <v>2.1</v>
      </c>
      <c r="V46">
        <v>23.4</v>
      </c>
      <c r="W46" s="54">
        <v>0</v>
      </c>
      <c r="X46">
        <f t="shared" si="54"/>
        <v>0</v>
      </c>
      <c r="Y46">
        <f t="shared" si="55"/>
        <v>0</v>
      </c>
      <c r="Z46">
        <f t="shared" si="56"/>
        <v>0</v>
      </c>
      <c r="AA46">
        <f t="shared" si="57"/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54">
        <v>1</v>
      </c>
      <c r="AL46">
        <v>0</v>
      </c>
      <c r="AM46">
        <v>0</v>
      </c>
      <c r="AN46">
        <v>0</v>
      </c>
      <c r="AP46" t="s">
        <v>455</v>
      </c>
      <c r="AQ46" s="7">
        <f t="shared" si="88"/>
        <v>0.75526399999999994</v>
      </c>
      <c r="AR46" s="7">
        <f t="shared" si="89"/>
        <v>0.90165309999999987</v>
      </c>
      <c r="AS46" s="25">
        <f t="shared" si="90"/>
        <v>0.90165309999999987</v>
      </c>
      <c r="AT46" s="25">
        <f t="shared" si="91"/>
        <v>1.1590094999999998</v>
      </c>
      <c r="AU46" s="25">
        <f t="shared" si="92"/>
        <v>0.81945895000000002</v>
      </c>
      <c r="AY46" s="5">
        <f t="shared" si="58"/>
        <v>47.588696774196009</v>
      </c>
      <c r="AZ46" s="5">
        <f t="shared" si="59"/>
        <v>21.896307927470659</v>
      </c>
      <c r="BA46" s="5">
        <f t="shared" si="60"/>
        <v>9.6485335558072052</v>
      </c>
      <c r="BB46" s="5">
        <f t="shared" si="61"/>
        <v>1.8774715621915572</v>
      </c>
      <c r="BC46" s="5">
        <f t="shared" si="62"/>
        <v>13.688111232960406</v>
      </c>
      <c r="BD46" s="5"/>
      <c r="BE46" s="5">
        <f t="shared" si="34"/>
        <v>94.699121052625841</v>
      </c>
      <c r="BF46" s="2"/>
      <c r="BH46" s="2">
        <f t="array" ref="BH46">MIN(100,MAX(0,M46-AK46*5+AR$16*(W46*AQ$29+SUMPRODUCT($AB46:$AJ46,TRANSPOSE(AQ$30:AQ$38)))+AS$16*(W46*AQ$39+SUMPRODUCT($AB46:$AJ46,TRANSPOSE(AQ$40:AQ$48)))+AU$16*(W46*AQ$49+SUMPRODUCT($AB46:$AJ46,TRANSPOSE(AQ$50:AQ$58)))+AT$16*(W46*AQ$59+SUMPRODUCT($AB46:$AJ46,TRANSPOSE(AQ$60:AQ$68)))))</f>
        <v>47.588696774196009</v>
      </c>
      <c r="BI46" s="2">
        <f t="array" ref="BI46">MIN(100,MAX(0,N46-AL46*5+AQ$17*(X46*AR$29+SUMPRODUCT($AB46:$AJ46,TRANSPOSE(AR$30:AR$38)))+AS$17*(X46*AR$39+SUMPRODUCT($AB46:$AJ46,TRANSPOSE(AR$40:AR$48)))+AU$17*(X46*AR$49+SUMPRODUCT($AB46:$AJ46,TRANSPOSE(AR$50:AR$58)))+AT$17*(X46*AR$59+SUMPRODUCT($AB46:$AJ46,TRANSPOSE(AR$60:AR$68)))))</f>
        <v>21.896307927470659</v>
      </c>
      <c r="BJ46" s="2">
        <f t="array" ref="BJ46">MIN(100,MAX(0,O46-AM46*5+AQ$18*(Y46*AS$29+SUMPRODUCT($AB46:$AJ46,TRANSPOSE(AS$30:AS$38)))+AR$18*(Y46*AS$39+SUMPRODUCT($AB46:$AJ46,TRANSPOSE(AS$40:AS$48)))+AU$18*(Y46*AS$49+SUMPRODUCT($AB46:$AJ46,TRANSPOSE(AS$50:AS$58)))+AT$18*(Y46*AS$59+SUMPRODUCT($AB46:$AJ46,TRANSPOSE(AS$60:AS$68)))))</f>
        <v>9.6485335558072052</v>
      </c>
      <c r="BK46" s="2">
        <f t="array" ref="BK46">MIN(100,MAX(0,P46+AQ$19*(Z46*AT$29+SUMPRODUCT($AB46:$AJ46,TRANSPOSE(AT$30:AT$38)))+AR$19*(Z46*AT$39+SUMPRODUCT($AB46:$AJ46,TRANSPOSE(AT$40:AT$48)))+AS$19*(Z46*AT$49+SUMPRODUCT($AB46:$AJ46,TRANSPOSE(AT$50:AT$58)))+AU$19*(Z46*AT$59+SUMPRODUCT($AB46:$AJ46,TRANSPOSE(AT$60:AT$68)))))</f>
        <v>1.8774715621915572</v>
      </c>
      <c r="BL46" s="2">
        <f t="array" ref="BL46">MIN(100,MAX(0,Q46-AN46*5+AQ$20*(AA46*AU$29+SUMPRODUCT($AB46:$AJ46,TRANSPOSE(AU$30:AU$38)))+AR$20*(AA46*AU$39+SUMPRODUCT($AB46:$AJ46,TRANSPOSE(AU$40:AU$48)))+AS$20*(AA46*AU$49+SUMPRODUCT($AB46:$AJ46,TRANSPOSE(AU$50:AU$58)))+AT$20*(AA46*AU$59+SUMPRODUCT($AB46:$AJ46,TRANSPOSE(AU$60:AU$68)))))</f>
        <v>13.688111232960406</v>
      </c>
      <c r="BM46" s="2"/>
      <c r="BN46" s="2"/>
      <c r="BP46">
        <f t="shared" si="63"/>
        <v>1</v>
      </c>
      <c r="BQ46">
        <f t="shared" si="64"/>
        <v>0</v>
      </c>
      <c r="BR46">
        <f t="shared" si="65"/>
        <v>0</v>
      </c>
      <c r="BS46">
        <f t="shared" si="66"/>
        <v>0</v>
      </c>
      <c r="BT46">
        <f t="shared" si="67"/>
        <v>0</v>
      </c>
      <c r="BV46" s="2"/>
      <c r="BW46" s="2">
        <f t="shared" si="36"/>
        <v>1</v>
      </c>
      <c r="BX46" s="2">
        <f t="shared" si="37"/>
        <v>0</v>
      </c>
      <c r="BY46" s="2">
        <f t="shared" si="38"/>
        <v>0</v>
      </c>
      <c r="BZ46" s="2">
        <f t="shared" si="39"/>
        <v>0</v>
      </c>
      <c r="CA46" s="2">
        <f t="shared" si="40"/>
        <v>0</v>
      </c>
      <c r="CD46">
        <f t="shared" si="68"/>
        <v>0</v>
      </c>
      <c r="CE46">
        <f t="shared" si="69"/>
        <v>1</v>
      </c>
      <c r="CF46">
        <f t="shared" si="70"/>
        <v>0</v>
      </c>
      <c r="CG46">
        <f t="shared" si="71"/>
        <v>1</v>
      </c>
      <c r="CH46">
        <f t="shared" si="72"/>
        <v>0</v>
      </c>
      <c r="CK46">
        <f t="shared" si="73"/>
        <v>1</v>
      </c>
      <c r="CL46">
        <f t="shared" si="74"/>
        <v>0</v>
      </c>
      <c r="CM46">
        <f t="shared" si="75"/>
        <v>1</v>
      </c>
      <c r="CN46">
        <f t="shared" si="76"/>
        <v>0</v>
      </c>
      <c r="CO46">
        <f t="shared" si="77"/>
        <v>1</v>
      </c>
      <c r="CS46" s="38">
        <f t="shared" si="78"/>
        <v>0</v>
      </c>
      <c r="CT46" s="38">
        <f t="shared" si="79"/>
        <v>0</v>
      </c>
      <c r="CU46" s="38">
        <f t="shared" si="80"/>
        <v>0</v>
      </c>
      <c r="CV46" s="38">
        <f t="shared" si="81"/>
        <v>0</v>
      </c>
      <c r="CW46" s="38">
        <f t="shared" si="82"/>
        <v>0</v>
      </c>
    </row>
    <row r="47" spans="1:101">
      <c r="A47" t="s">
        <v>465</v>
      </c>
      <c r="B47" t="s">
        <v>105</v>
      </c>
      <c r="C47" t="s">
        <v>105</v>
      </c>
      <c r="D47">
        <v>24048</v>
      </c>
      <c r="E47">
        <v>241</v>
      </c>
      <c r="F47">
        <v>24</v>
      </c>
      <c r="G47">
        <v>4380</v>
      </c>
      <c r="H47">
        <v>3679</v>
      </c>
      <c r="I47">
        <v>23527</v>
      </c>
      <c r="J47">
        <v>958</v>
      </c>
      <c r="K47">
        <v>14727</v>
      </c>
      <c r="L47">
        <v>47484</v>
      </c>
      <c r="M47" s="3">
        <f t="shared" si="48"/>
        <v>9.2241597169572902</v>
      </c>
      <c r="N47" s="3">
        <f t="shared" si="49"/>
        <v>7.7478729677365008</v>
      </c>
      <c r="O47" s="3">
        <f t="shared" si="50"/>
        <v>49.547215904304608</v>
      </c>
      <c r="P47" s="3">
        <f t="shared" si="51"/>
        <v>2.0175216915171426</v>
      </c>
      <c r="Q47" s="3">
        <f t="shared" si="52"/>
        <v>31.014657568865299</v>
      </c>
      <c r="R47">
        <v>16.5</v>
      </c>
      <c r="S47">
        <v>14.2</v>
      </c>
      <c r="T47">
        <v>42.9</v>
      </c>
      <c r="U47">
        <v>2.1</v>
      </c>
      <c r="V47">
        <v>23.4</v>
      </c>
      <c r="W47">
        <f t="shared" si="53"/>
        <v>0</v>
      </c>
      <c r="X47">
        <f t="shared" si="54"/>
        <v>0</v>
      </c>
      <c r="Y47">
        <f t="shared" si="55"/>
        <v>1</v>
      </c>
      <c r="Z47">
        <f t="shared" si="56"/>
        <v>0</v>
      </c>
      <c r="AA47">
        <f t="shared" si="57"/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P47" t="s">
        <v>456</v>
      </c>
      <c r="AQ47" s="7">
        <f t="shared" si="88"/>
        <v>1.0281003499999999</v>
      </c>
      <c r="AR47" s="7">
        <f t="shared" si="89"/>
        <v>1.1096805000000001</v>
      </c>
      <c r="AS47" s="25">
        <f t="shared" si="90"/>
        <v>1.1096805000000001</v>
      </c>
      <c r="AT47" s="25">
        <f t="shared" si="91"/>
        <v>0.99506079999999997</v>
      </c>
      <c r="AU47" s="25">
        <f t="shared" si="92"/>
        <v>0.97845414999999991</v>
      </c>
      <c r="AY47" s="5">
        <f t="shared" si="58"/>
        <v>12.08987665517078</v>
      </c>
      <c r="AZ47" s="5">
        <f t="shared" si="59"/>
        <v>23.194413328708581</v>
      </c>
      <c r="BA47" s="5">
        <f t="shared" si="60"/>
        <v>33.614171799826892</v>
      </c>
      <c r="BB47" s="5">
        <f t="shared" si="61"/>
        <v>2.6115477059547794</v>
      </c>
      <c r="BC47" s="5">
        <f t="shared" si="62"/>
        <v>28.078769776991578</v>
      </c>
      <c r="BD47" s="5"/>
      <c r="BE47" s="5">
        <f t="shared" si="34"/>
        <v>99.588779266652608</v>
      </c>
      <c r="BF47" s="2"/>
      <c r="BH47" s="2">
        <f t="array" ref="BH47">MIN(100,MAX(0,M47-AK47*5+AR$16*(W47*AQ$29+SUMPRODUCT($AB47:$AJ47,TRANSPOSE(AQ$30:AQ$38)))+AS$16*(W47*AQ$39+SUMPRODUCT($AB47:$AJ47,TRANSPOSE(AQ$40:AQ$48)))+AU$16*(W47*AQ$49+SUMPRODUCT($AB47:$AJ47,TRANSPOSE(AQ$50:AQ$58)))+AT$16*(W47*AQ$59+SUMPRODUCT($AB47:$AJ47,TRANSPOSE(AQ$60:AQ$68)))))</f>
        <v>12.08987665517078</v>
      </c>
      <c r="BI47" s="2">
        <f t="array" ref="BI47">MIN(100,MAX(0,N47-AL47*5+AQ$17*(X47*AR$29+SUMPRODUCT($AB47:$AJ47,TRANSPOSE(AR$30:AR$38)))+AS$17*(X47*AR$39+SUMPRODUCT($AB47:$AJ47,TRANSPOSE(AR$40:AR$48)))+AU$17*(X47*AR$49+SUMPRODUCT($AB47:$AJ47,TRANSPOSE(AR$50:AR$58)))+AT$17*(X47*AR$59+SUMPRODUCT($AB47:$AJ47,TRANSPOSE(AR$60:AR$68)))))</f>
        <v>23.194413328708581</v>
      </c>
      <c r="BJ47" s="2">
        <f t="array" ref="BJ47">MIN(100,MAX(0,O47-AM47*5+AQ$18*(Y47*AS$29+SUMPRODUCT($AB47:$AJ47,TRANSPOSE(AS$30:AS$38)))+AR$18*(Y47*AS$39+SUMPRODUCT($AB47:$AJ47,TRANSPOSE(AS$40:AS$48)))+AU$18*(Y47*AS$49+SUMPRODUCT($AB47:$AJ47,TRANSPOSE(AS$50:AS$58)))+AT$18*(Y47*AS$59+SUMPRODUCT($AB47:$AJ47,TRANSPOSE(AS$60:AS$68)))))</f>
        <v>33.614171799826892</v>
      </c>
      <c r="BK47" s="2">
        <f t="array" ref="BK47">MIN(100,MAX(0,P47+AQ$19*(Z47*AT$29+SUMPRODUCT($AB47:$AJ47,TRANSPOSE(AT$30:AT$38)))+AR$19*(Z47*AT$39+SUMPRODUCT($AB47:$AJ47,TRANSPOSE(AT$40:AT$48)))+AS$19*(Z47*AT$49+SUMPRODUCT($AB47:$AJ47,TRANSPOSE(AT$50:AT$58)))+AU$19*(Z47*AT$59+SUMPRODUCT($AB47:$AJ47,TRANSPOSE(AT$60:AT$68)))))</f>
        <v>2.6115477059547794</v>
      </c>
      <c r="BL47" s="2">
        <f t="array" ref="BL47">MIN(100,MAX(0,Q47-AN47*5+AQ$20*(AA47*AU$29+SUMPRODUCT($AB47:$AJ47,TRANSPOSE(AU$30:AU$38)))+AR$20*(AA47*AU$39+SUMPRODUCT($AB47:$AJ47,TRANSPOSE(AU$40:AU$48)))+AS$20*(AA47*AU$49+SUMPRODUCT($AB47:$AJ47,TRANSPOSE(AU$50:AU$58)))+AT$20*(AA47*AU$59+SUMPRODUCT($AB47:$AJ47,TRANSPOSE(AU$60:AU$68)))))</f>
        <v>28.279914951747838</v>
      </c>
      <c r="BM47" s="2"/>
      <c r="BN47" s="2"/>
      <c r="BP47">
        <f t="shared" si="63"/>
        <v>0</v>
      </c>
      <c r="BQ47">
        <f t="shared" si="64"/>
        <v>0</v>
      </c>
      <c r="BR47">
        <f t="shared" si="65"/>
        <v>1</v>
      </c>
      <c r="BS47">
        <f t="shared" si="66"/>
        <v>0</v>
      </c>
      <c r="BT47">
        <f t="shared" si="67"/>
        <v>0</v>
      </c>
      <c r="BV47" s="2"/>
      <c r="BW47" s="2">
        <f t="shared" si="36"/>
        <v>0</v>
      </c>
      <c r="BX47" s="2">
        <f t="shared" si="37"/>
        <v>0</v>
      </c>
      <c r="BY47" s="2">
        <f t="shared" si="38"/>
        <v>1</v>
      </c>
      <c r="BZ47" s="2">
        <f t="shared" si="39"/>
        <v>0</v>
      </c>
      <c r="CA47" s="2">
        <f t="shared" si="40"/>
        <v>1</v>
      </c>
      <c r="CD47">
        <f t="shared" si="68"/>
        <v>1</v>
      </c>
      <c r="CE47">
        <f t="shared" si="69"/>
        <v>1</v>
      </c>
      <c r="CF47">
        <f t="shared" si="70"/>
        <v>0</v>
      </c>
      <c r="CG47">
        <f t="shared" si="71"/>
        <v>1</v>
      </c>
      <c r="CH47">
        <f t="shared" si="72"/>
        <v>0</v>
      </c>
      <c r="CK47">
        <f t="shared" si="73"/>
        <v>0</v>
      </c>
      <c r="CL47">
        <f t="shared" si="74"/>
        <v>0</v>
      </c>
      <c r="CM47">
        <f t="shared" si="75"/>
        <v>1</v>
      </c>
      <c r="CN47">
        <f t="shared" si="76"/>
        <v>0</v>
      </c>
      <c r="CO47">
        <f t="shared" si="77"/>
        <v>1</v>
      </c>
      <c r="CS47" s="38">
        <f t="shared" si="78"/>
        <v>0</v>
      </c>
      <c r="CT47" s="38">
        <f t="shared" si="79"/>
        <v>0</v>
      </c>
      <c r="CU47" s="38">
        <f t="shared" si="80"/>
        <v>0</v>
      </c>
      <c r="CV47" s="38">
        <f t="shared" si="81"/>
        <v>0</v>
      </c>
      <c r="CW47" s="38">
        <f t="shared" si="82"/>
        <v>1</v>
      </c>
    </row>
    <row r="48" spans="1:101">
      <c r="A48" t="s">
        <v>465</v>
      </c>
      <c r="B48" t="s">
        <v>106</v>
      </c>
      <c r="C48" t="s">
        <v>106</v>
      </c>
      <c r="D48">
        <v>24049</v>
      </c>
      <c r="E48">
        <v>242</v>
      </c>
      <c r="F48">
        <v>24</v>
      </c>
      <c r="G48">
        <v>5007</v>
      </c>
      <c r="H48">
        <v>6524</v>
      </c>
      <c r="I48">
        <v>23227</v>
      </c>
      <c r="J48">
        <v>1278</v>
      </c>
      <c r="K48">
        <v>15166</v>
      </c>
      <c r="L48">
        <v>52161</v>
      </c>
      <c r="M48" s="3">
        <f t="shared" si="48"/>
        <v>9.5991257836314485</v>
      </c>
      <c r="N48" s="3">
        <f t="shared" si="49"/>
        <v>12.507428921991526</v>
      </c>
      <c r="O48" s="3">
        <f t="shared" si="50"/>
        <v>44.529437702498036</v>
      </c>
      <c r="P48" s="3">
        <f t="shared" si="51"/>
        <v>2.4501064013343301</v>
      </c>
      <c r="Q48" s="3">
        <f t="shared" si="52"/>
        <v>29.075362818964361</v>
      </c>
      <c r="R48">
        <v>16.5</v>
      </c>
      <c r="S48">
        <v>14.2</v>
      </c>
      <c r="T48">
        <v>42.9</v>
      </c>
      <c r="U48">
        <v>2.1</v>
      </c>
      <c r="V48">
        <v>23.4</v>
      </c>
      <c r="W48">
        <f t="shared" si="53"/>
        <v>0</v>
      </c>
      <c r="X48">
        <f t="shared" si="54"/>
        <v>0</v>
      </c>
      <c r="Y48">
        <f t="shared" si="55"/>
        <v>1</v>
      </c>
      <c r="Z48">
        <f t="shared" si="56"/>
        <v>0</v>
      </c>
      <c r="AA48">
        <f t="shared" si="57"/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P48" t="s">
        <v>457</v>
      </c>
      <c r="AQ48" s="7">
        <f t="shared" si="88"/>
        <v>0.75178425000000004</v>
      </c>
      <c r="AR48" s="7">
        <f t="shared" si="89"/>
        <v>0.84256584999999995</v>
      </c>
      <c r="AS48" s="25">
        <f t="shared" si="90"/>
        <v>0.84256584999999995</v>
      </c>
      <c r="AT48" s="25">
        <f t="shared" si="91"/>
        <v>0.89036775000000001</v>
      </c>
      <c r="AU48" s="25">
        <f t="shared" si="92"/>
        <v>0.79550419999999999</v>
      </c>
      <c r="AY48" s="5">
        <f t="shared" si="58"/>
        <v>12.38900517941293</v>
      </c>
      <c r="AZ48" s="5">
        <f t="shared" si="59"/>
        <v>27.833456986014326</v>
      </c>
      <c r="BA48" s="5">
        <f t="shared" si="60"/>
        <v>28.809108055153121</v>
      </c>
      <c r="BB48" s="5">
        <f t="shared" si="61"/>
        <v>3.0118485087793778</v>
      </c>
      <c r="BC48" s="5">
        <f t="shared" si="62"/>
        <v>26.202405426542274</v>
      </c>
      <c r="BD48" s="5"/>
      <c r="BE48" s="5">
        <f t="shared" si="34"/>
        <v>98.245824155902028</v>
      </c>
      <c r="BF48" s="2"/>
      <c r="BH48" s="2">
        <f t="array" ref="BH48">MIN(100,MAX(0,M48-AK48*5+AR$16*(W48*AQ$29+SUMPRODUCT($AB48:$AJ48,TRANSPOSE(AQ$30:AQ$38)))+AS$16*(W48*AQ$39+SUMPRODUCT($AB48:$AJ48,TRANSPOSE(AQ$40:AQ$48)))+AU$16*(W48*AQ$49+SUMPRODUCT($AB48:$AJ48,TRANSPOSE(AQ$50:AQ$58)))+AT$16*(W48*AQ$59+SUMPRODUCT($AB48:$AJ48,TRANSPOSE(AQ$60:AQ$68)))))</f>
        <v>12.38900517941293</v>
      </c>
      <c r="BI48" s="2">
        <f t="array" ref="BI48">MIN(100,MAX(0,N48-AL48*5+AQ$17*(X48*AR$29+SUMPRODUCT($AB48:$AJ48,TRANSPOSE(AR$30:AR$38)))+AS$17*(X48*AR$39+SUMPRODUCT($AB48:$AJ48,TRANSPOSE(AR$40:AR$48)))+AU$17*(X48*AR$49+SUMPRODUCT($AB48:$AJ48,TRANSPOSE(AR$50:AR$58)))+AT$17*(X48*AR$59+SUMPRODUCT($AB48:$AJ48,TRANSPOSE(AR$60:AR$68)))))</f>
        <v>27.833456986014326</v>
      </c>
      <c r="BJ48" s="2">
        <f t="array" ref="BJ48">MIN(100,MAX(0,O48-AM48*5+AQ$18*(Y48*AS$29+SUMPRODUCT($AB48:$AJ48,TRANSPOSE(AS$30:AS$38)))+AR$18*(Y48*AS$39+SUMPRODUCT($AB48:$AJ48,TRANSPOSE(AS$40:AS$48)))+AU$18*(Y48*AS$49+SUMPRODUCT($AB48:$AJ48,TRANSPOSE(AS$50:AS$58)))+AT$18*(Y48*AS$59+SUMPRODUCT($AB48:$AJ48,TRANSPOSE(AS$60:AS$68)))))</f>
        <v>28.809108055153121</v>
      </c>
      <c r="BK48" s="2">
        <f t="array" ref="BK48">MIN(100,MAX(0,P48+AQ$19*(Z48*AT$29+SUMPRODUCT($AB48:$AJ48,TRANSPOSE(AT$30:AT$38)))+AR$19*(Z48*AT$39+SUMPRODUCT($AB48:$AJ48,TRANSPOSE(AT$40:AT$48)))+AS$19*(Z48*AT$49+SUMPRODUCT($AB48:$AJ48,TRANSPOSE(AT$50:AT$58)))+AU$19*(Z48*AT$59+SUMPRODUCT($AB48:$AJ48,TRANSPOSE(AT$60:AT$68)))))</f>
        <v>3.0118485087793778</v>
      </c>
      <c r="BL48" s="2">
        <f t="array" ref="BL48">MIN(100,MAX(0,Q48-AN48*5+AQ$20*(AA48*AU$29+SUMPRODUCT($AB48:$AJ48,TRANSPOSE(AU$30:AU$38)))+AR$20*(AA48*AU$39+SUMPRODUCT($AB48:$AJ48,TRANSPOSE(AU$40:AU$48)))+AS$20*(AA48*AU$49+SUMPRODUCT($AB48:$AJ48,TRANSPOSE(AU$50:AU$58)))+AT$20*(AA48*AU$59+SUMPRODUCT($AB48:$AJ48,TRANSPOSE(AU$60:AU$68)))))</f>
        <v>26.353655351015163</v>
      </c>
      <c r="BM48" s="2"/>
      <c r="BN48" s="2"/>
      <c r="BP48">
        <f t="shared" si="63"/>
        <v>0</v>
      </c>
      <c r="BQ48">
        <f t="shared" si="64"/>
        <v>0</v>
      </c>
      <c r="BR48">
        <f t="shared" si="65"/>
        <v>1</v>
      </c>
      <c r="BS48">
        <f t="shared" si="66"/>
        <v>0</v>
      </c>
      <c r="BT48">
        <f t="shared" si="67"/>
        <v>0</v>
      </c>
      <c r="BV48" s="2"/>
      <c r="BW48" s="2">
        <f t="shared" si="36"/>
        <v>0</v>
      </c>
      <c r="BX48" s="2">
        <f t="shared" si="37"/>
        <v>0</v>
      </c>
      <c r="BY48" s="2">
        <f t="shared" si="38"/>
        <v>1</v>
      </c>
      <c r="BZ48" s="2">
        <f t="shared" si="39"/>
        <v>1</v>
      </c>
      <c r="CA48" s="2">
        <f t="shared" si="40"/>
        <v>1</v>
      </c>
      <c r="CD48">
        <f t="shared" si="68"/>
        <v>1</v>
      </c>
      <c r="CE48">
        <f t="shared" si="69"/>
        <v>1</v>
      </c>
      <c r="CF48">
        <f t="shared" si="70"/>
        <v>0</v>
      </c>
      <c r="CG48">
        <f t="shared" si="71"/>
        <v>1</v>
      </c>
      <c r="CH48">
        <f t="shared" si="72"/>
        <v>0</v>
      </c>
      <c r="CK48">
        <f t="shared" si="73"/>
        <v>0</v>
      </c>
      <c r="CL48">
        <f t="shared" si="74"/>
        <v>0</v>
      </c>
      <c r="CM48">
        <f t="shared" si="75"/>
        <v>1</v>
      </c>
      <c r="CN48">
        <f t="shared" si="76"/>
        <v>0</v>
      </c>
      <c r="CO48">
        <f t="shared" si="77"/>
        <v>1</v>
      </c>
      <c r="CS48" s="38">
        <f t="shared" si="78"/>
        <v>0</v>
      </c>
      <c r="CT48" s="38">
        <f t="shared" si="79"/>
        <v>1</v>
      </c>
      <c r="CU48" s="38">
        <f t="shared" si="80"/>
        <v>0</v>
      </c>
      <c r="CV48" s="38">
        <f t="shared" si="81"/>
        <v>0</v>
      </c>
      <c r="CW48" s="38">
        <f t="shared" si="82"/>
        <v>1</v>
      </c>
    </row>
    <row r="49" spans="1:101">
      <c r="A49" t="s">
        <v>465</v>
      </c>
      <c r="B49" t="s">
        <v>107</v>
      </c>
      <c r="C49" t="s">
        <v>107</v>
      </c>
      <c r="D49">
        <v>24050</v>
      </c>
      <c r="E49">
        <v>245</v>
      </c>
      <c r="F49">
        <v>24</v>
      </c>
      <c r="G49">
        <v>3556</v>
      </c>
      <c r="H49">
        <v>2204</v>
      </c>
      <c r="I49">
        <v>23228</v>
      </c>
      <c r="J49">
        <v>1697</v>
      </c>
      <c r="K49">
        <v>14070</v>
      </c>
      <c r="L49">
        <v>44755</v>
      </c>
      <c r="M49" s="3">
        <f t="shared" si="48"/>
        <v>7.945480951848956</v>
      </c>
      <c r="N49" s="3">
        <f t="shared" si="49"/>
        <v>4.9245894313484531</v>
      </c>
      <c r="O49" s="3">
        <f t="shared" si="50"/>
        <v>51.900346330018991</v>
      </c>
      <c r="P49" s="3">
        <f t="shared" si="51"/>
        <v>3.7917551111607639</v>
      </c>
      <c r="Q49" s="3">
        <f t="shared" si="52"/>
        <v>31.437828175622833</v>
      </c>
      <c r="R49">
        <v>16.5</v>
      </c>
      <c r="S49">
        <v>14.2</v>
      </c>
      <c r="T49">
        <v>42.9</v>
      </c>
      <c r="U49">
        <v>2.1</v>
      </c>
      <c r="V49">
        <v>23.4</v>
      </c>
      <c r="W49">
        <f t="shared" si="53"/>
        <v>0</v>
      </c>
      <c r="X49">
        <f t="shared" si="54"/>
        <v>0</v>
      </c>
      <c r="Y49">
        <f t="shared" si="55"/>
        <v>1</v>
      </c>
      <c r="Z49">
        <f t="shared" si="56"/>
        <v>0</v>
      </c>
      <c r="AA49">
        <f t="shared" si="57"/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P49" t="s">
        <v>429</v>
      </c>
      <c r="AQ49" s="26">
        <f>AQ105</f>
        <v>-0.33259620000000001</v>
      </c>
      <c r="AR49" s="26">
        <f>AR105</f>
        <v>-5.1240399999999998E-2</v>
      </c>
      <c r="AS49" s="26">
        <f>AS105</f>
        <v>0</v>
      </c>
      <c r="AT49" s="7">
        <f>AT105</f>
        <v>0</v>
      </c>
      <c r="AU49" s="7">
        <v>0</v>
      </c>
      <c r="AY49" s="5">
        <f t="shared" si="58"/>
        <v>10.811197890062445</v>
      </c>
      <c r="AZ49" s="5">
        <f t="shared" si="59"/>
        <v>20.371129792320534</v>
      </c>
      <c r="BA49" s="5">
        <f t="shared" si="60"/>
        <v>35.967302225541275</v>
      </c>
      <c r="BB49" s="5">
        <f t="shared" si="61"/>
        <v>4.3857811255984007</v>
      </c>
      <c r="BC49" s="5">
        <f t="shared" si="62"/>
        <v>28.490979138790898</v>
      </c>
      <c r="BD49" s="5"/>
      <c r="BE49" s="5">
        <f t="shared" si="34"/>
        <v>100.02639017231354</v>
      </c>
      <c r="BF49" s="2"/>
      <c r="BH49" s="2">
        <f t="array" ref="BH49">MIN(100,MAX(0,M49-AK49*5+AR$16*(W49*AQ$29+SUMPRODUCT($AB49:$AJ49,TRANSPOSE(AQ$30:AQ$38)))+AS$16*(W49*AQ$39+SUMPRODUCT($AB49:$AJ49,TRANSPOSE(AQ$40:AQ$48)))+AU$16*(W49*AQ$49+SUMPRODUCT($AB49:$AJ49,TRANSPOSE(AQ$50:AQ$58)))+AT$16*(W49*AQ$59+SUMPRODUCT($AB49:$AJ49,TRANSPOSE(AQ$60:AQ$68)))))</f>
        <v>10.811197890062445</v>
      </c>
      <c r="BI49" s="2">
        <f t="array" ref="BI49">MIN(100,MAX(0,N49-AL49*5+AQ$17*(X49*AR$29+SUMPRODUCT($AB49:$AJ49,TRANSPOSE(AR$30:AR$38)))+AS$17*(X49*AR$39+SUMPRODUCT($AB49:$AJ49,TRANSPOSE(AR$40:AR$48)))+AU$17*(X49*AR$49+SUMPRODUCT($AB49:$AJ49,TRANSPOSE(AR$50:AR$58)))+AT$17*(X49*AR$59+SUMPRODUCT($AB49:$AJ49,TRANSPOSE(AR$60:AR$68)))))</f>
        <v>20.371129792320534</v>
      </c>
      <c r="BJ49" s="2">
        <f t="array" ref="BJ49">MIN(100,MAX(0,O49-AM49*5+AQ$18*(Y49*AS$29+SUMPRODUCT($AB49:$AJ49,TRANSPOSE(AS$30:AS$38)))+AR$18*(Y49*AS$39+SUMPRODUCT($AB49:$AJ49,TRANSPOSE(AS$40:AS$48)))+AU$18*(Y49*AS$49+SUMPRODUCT($AB49:$AJ49,TRANSPOSE(AS$50:AS$58)))+AT$18*(Y49*AS$59+SUMPRODUCT($AB49:$AJ49,TRANSPOSE(AS$60:AS$68)))))</f>
        <v>35.967302225541275</v>
      </c>
      <c r="BK49" s="2">
        <f t="array" ref="BK49">MIN(100,MAX(0,P49+AQ$19*(Z49*AT$29+SUMPRODUCT($AB49:$AJ49,TRANSPOSE(AT$30:AT$38)))+AR$19*(Z49*AT$39+SUMPRODUCT($AB49:$AJ49,TRANSPOSE(AT$40:AT$48)))+AS$19*(Z49*AT$49+SUMPRODUCT($AB49:$AJ49,TRANSPOSE(AT$50:AT$58)))+AU$19*(Z49*AT$59+SUMPRODUCT($AB49:$AJ49,TRANSPOSE(AT$60:AT$68)))))</f>
        <v>4.3857811255984007</v>
      </c>
      <c r="BL49" s="2">
        <f t="array" ref="BL49">MIN(100,MAX(0,Q49-AN49*5+AQ$20*(AA49*AU$29+SUMPRODUCT($AB49:$AJ49,TRANSPOSE(AU$30:AU$38)))+AR$20*(AA49*AU$39+SUMPRODUCT($AB49:$AJ49,TRANSPOSE(AU$40:AU$48)))+AS$20*(AA49*AU$49+SUMPRODUCT($AB49:$AJ49,TRANSPOSE(AU$50:AU$58)))+AT$20*(AA49*AU$59+SUMPRODUCT($AB49:$AJ49,TRANSPOSE(AU$60:AU$68)))))</f>
        <v>28.703085558505368</v>
      </c>
      <c r="BM49" s="2"/>
      <c r="BN49" s="2"/>
      <c r="BP49">
        <f t="shared" si="63"/>
        <v>0</v>
      </c>
      <c r="BQ49">
        <f t="shared" si="64"/>
        <v>0</v>
      </c>
      <c r="BR49">
        <f t="shared" si="65"/>
        <v>1</v>
      </c>
      <c r="BS49">
        <f t="shared" si="66"/>
        <v>0</v>
      </c>
      <c r="BT49">
        <f t="shared" si="67"/>
        <v>0</v>
      </c>
      <c r="BV49" s="2"/>
      <c r="BW49" s="2">
        <f t="shared" si="36"/>
        <v>0</v>
      </c>
      <c r="BX49" s="2">
        <f t="shared" si="37"/>
        <v>0</v>
      </c>
      <c r="BY49" s="2">
        <f t="shared" si="38"/>
        <v>1</v>
      </c>
      <c r="BZ49" s="2">
        <f t="shared" si="39"/>
        <v>1</v>
      </c>
      <c r="CA49" s="2">
        <f t="shared" si="40"/>
        <v>1</v>
      </c>
      <c r="CD49">
        <f t="shared" si="68"/>
        <v>1</v>
      </c>
      <c r="CE49">
        <f t="shared" si="69"/>
        <v>1</v>
      </c>
      <c r="CF49">
        <f t="shared" si="70"/>
        <v>0</v>
      </c>
      <c r="CG49">
        <f t="shared" si="71"/>
        <v>1</v>
      </c>
      <c r="CH49">
        <f t="shared" si="72"/>
        <v>0</v>
      </c>
      <c r="CK49">
        <f t="shared" si="73"/>
        <v>0</v>
      </c>
      <c r="CL49">
        <f t="shared" si="74"/>
        <v>0</v>
      </c>
      <c r="CM49">
        <f t="shared" si="75"/>
        <v>1</v>
      </c>
      <c r="CN49">
        <f t="shared" si="76"/>
        <v>0</v>
      </c>
      <c r="CO49">
        <f t="shared" si="77"/>
        <v>1</v>
      </c>
      <c r="CS49" s="38">
        <f t="shared" si="78"/>
        <v>0</v>
      </c>
      <c r="CT49" s="38">
        <f t="shared" si="79"/>
        <v>0</v>
      </c>
      <c r="CU49" s="38">
        <f t="shared" si="80"/>
        <v>0</v>
      </c>
      <c r="CV49" s="38">
        <f t="shared" si="81"/>
        <v>0</v>
      </c>
      <c r="CW49" s="38">
        <f t="shared" si="82"/>
        <v>1</v>
      </c>
    </row>
    <row r="50" spans="1:101">
      <c r="A50" t="s">
        <v>465</v>
      </c>
      <c r="B50" t="s">
        <v>108</v>
      </c>
      <c r="C50" t="s">
        <v>502</v>
      </c>
      <c r="D50">
        <v>24051</v>
      </c>
      <c r="E50">
        <v>247</v>
      </c>
      <c r="F50">
        <v>24</v>
      </c>
      <c r="G50">
        <v>17276</v>
      </c>
      <c r="H50">
        <v>2743</v>
      </c>
      <c r="I50">
        <v>17285</v>
      </c>
      <c r="J50">
        <v>691</v>
      </c>
      <c r="K50">
        <v>9550</v>
      </c>
      <c r="L50">
        <v>47545</v>
      </c>
      <c r="M50" s="3">
        <f t="shared" si="48"/>
        <v>36.336102639604583</v>
      </c>
      <c r="N50" s="3">
        <f t="shared" si="49"/>
        <v>5.7692712167420339</v>
      </c>
      <c r="O50" s="3">
        <f t="shared" si="50"/>
        <v>36.355032074876434</v>
      </c>
      <c r="P50" s="3">
        <f t="shared" si="51"/>
        <v>1.4533599747607528</v>
      </c>
      <c r="Q50" s="3">
        <f t="shared" si="52"/>
        <v>20.086234094016195</v>
      </c>
      <c r="S50">
        <v>14.2</v>
      </c>
      <c r="T50">
        <v>42.9</v>
      </c>
      <c r="U50">
        <v>2.1</v>
      </c>
      <c r="V50">
        <v>23.4</v>
      </c>
      <c r="W50">
        <f t="shared" si="53"/>
        <v>0</v>
      </c>
      <c r="X50">
        <f t="shared" si="54"/>
        <v>0</v>
      </c>
      <c r="Y50">
        <f t="shared" si="55"/>
        <v>1</v>
      </c>
      <c r="Z50">
        <f t="shared" si="56"/>
        <v>0</v>
      </c>
      <c r="AA50">
        <f t="shared" si="57"/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P50" t="s">
        <v>449</v>
      </c>
      <c r="AQ50" s="26">
        <f t="shared" ref="AQ50:AQ58" si="93">AVERAGE(AQ106,AU106)</f>
        <v>0.93946160000000001</v>
      </c>
      <c r="AR50" s="26">
        <f t="shared" ref="AR50:AR58" si="94">AVERAGE(AR106,AU106)</f>
        <v>0.94540614999999995</v>
      </c>
      <c r="AS50" s="26">
        <f t="shared" ref="AS50:AS58" si="95">AVERAGE(AS106,AU106)</f>
        <v>1.0879075</v>
      </c>
      <c r="AT50" s="7">
        <f>AS60</f>
        <v>1.122539</v>
      </c>
      <c r="AU50" s="7">
        <f>AS50</f>
        <v>1.0879075</v>
      </c>
      <c r="AY50" s="5">
        <f t="shared" si="58"/>
        <v>39.307213093998257</v>
      </c>
      <c r="AZ50" s="5">
        <f t="shared" si="59"/>
        <v>20.801215902281747</v>
      </c>
      <c r="BA50" s="5">
        <f t="shared" si="60"/>
        <v>20.959445308838021</v>
      </c>
      <c r="BB50" s="5">
        <f t="shared" si="61"/>
        <v>1.9141793570726384</v>
      </c>
      <c r="BC50" s="5">
        <f t="shared" si="62"/>
        <v>17.250862087358875</v>
      </c>
      <c r="BD50" s="5"/>
      <c r="BE50" s="5">
        <f t="shared" si="34"/>
        <v>100.23291574954953</v>
      </c>
      <c r="BF50" s="2"/>
      <c r="BH50" s="2">
        <f t="array" ref="BH50">MIN(100,MAX(0,M50-AK50*5+AR$16*(W50*AQ$29+SUMPRODUCT($AB50:$AJ50,TRANSPOSE(AQ$30:AQ$38)))+AS$16*(W50*AQ$39+SUMPRODUCT($AB50:$AJ50,TRANSPOSE(AQ$40:AQ$48)))+AU$16*(W50*AQ$49+SUMPRODUCT($AB50:$AJ50,TRANSPOSE(AQ$50:AQ$58)))+AT$16*(W50*AQ$59+SUMPRODUCT($AB50:$AJ50,TRANSPOSE(AQ$60:AQ$68)))))</f>
        <v>39.307213093998257</v>
      </c>
      <c r="BI50" s="2">
        <f t="array" ref="BI50">MIN(100,MAX(0,N50-AL50*5+AQ$17*(X50*AR$29+SUMPRODUCT($AB50:$AJ50,TRANSPOSE(AR$30:AR$38)))+AS$17*(X50*AR$39+SUMPRODUCT($AB50:$AJ50,TRANSPOSE(AR$40:AR$48)))+AU$17*(X50*AR$49+SUMPRODUCT($AB50:$AJ50,TRANSPOSE(AR$50:AR$58)))+AT$17*(X50*AR$59+SUMPRODUCT($AB50:$AJ50,TRANSPOSE(AR$60:AR$68)))))</f>
        <v>20.801215902281747</v>
      </c>
      <c r="BJ50" s="2">
        <f t="array" ref="BJ50">MIN(100,MAX(0,O50-AM50*5+AQ$18*(Y50*AS$29+SUMPRODUCT($AB50:$AJ50,TRANSPOSE(AS$30:AS$38)))+AR$18*(Y50*AS$39+SUMPRODUCT($AB50:$AJ50,TRANSPOSE(AS$40:AS$48)))+AU$18*(Y50*AS$49+SUMPRODUCT($AB50:$AJ50,TRANSPOSE(AS$50:AS$58)))+AT$18*(Y50*AS$59+SUMPRODUCT($AB50:$AJ50,TRANSPOSE(AS$60:AS$68)))))</f>
        <v>20.959445308838021</v>
      </c>
      <c r="BK50" s="2">
        <f t="array" ref="BK50">MIN(100,MAX(0,P50+AQ$19*(Z50*AT$29+SUMPRODUCT($AB50:$AJ50,TRANSPOSE(AT$30:AT$38)))+AR$19*(Z50*AT$39+SUMPRODUCT($AB50:$AJ50,TRANSPOSE(AT$40:AT$48)))+AS$19*(Z50*AT$49+SUMPRODUCT($AB50:$AJ50,TRANSPOSE(AT$50:AT$58)))+AU$19*(Z50*AT$59+SUMPRODUCT($AB50:$AJ50,TRANSPOSE(AT$60:AT$68)))))</f>
        <v>1.9141793570726384</v>
      </c>
      <c r="BL50" s="2">
        <f t="array" ref="BL50">MIN(100,MAX(0,Q50-AN50*5+AQ$20*(AA50*AU$29+SUMPRODUCT($AB50:$AJ50,TRANSPOSE(AU$30:AU$38)))+AR$20*(AA50*AU$39+SUMPRODUCT($AB50:$AJ50,TRANSPOSE(AU$40:AU$48)))+AS$20*(AA50*AU$49+SUMPRODUCT($AB50:$AJ50,TRANSPOSE(AU$50:AU$58)))+AT$20*(AA50*AU$59+SUMPRODUCT($AB50:$AJ50,TRANSPOSE(AU$60:AU$68)))))</f>
        <v>17.250862087358875</v>
      </c>
      <c r="BM50" s="2"/>
      <c r="BN50" s="2"/>
      <c r="BP50">
        <f t="shared" si="63"/>
        <v>1</v>
      </c>
      <c r="BQ50">
        <f t="shared" si="64"/>
        <v>0</v>
      </c>
      <c r="BR50">
        <f t="shared" si="65"/>
        <v>0</v>
      </c>
      <c r="BS50">
        <f t="shared" si="66"/>
        <v>0</v>
      </c>
      <c r="BT50">
        <f t="shared" si="67"/>
        <v>0</v>
      </c>
      <c r="BV50" s="2"/>
      <c r="BW50" s="2">
        <f t="shared" si="36"/>
        <v>1</v>
      </c>
      <c r="BX50" s="2">
        <f t="shared" si="37"/>
        <v>0</v>
      </c>
      <c r="BY50" s="2">
        <f t="shared" si="38"/>
        <v>0</v>
      </c>
      <c r="BZ50" s="2">
        <f t="shared" si="39"/>
        <v>0</v>
      </c>
      <c r="CA50" s="2">
        <f t="shared" si="40"/>
        <v>0</v>
      </c>
      <c r="CD50">
        <f t="shared" si="68"/>
        <v>1</v>
      </c>
      <c r="CE50">
        <f t="shared" si="69"/>
        <v>1</v>
      </c>
      <c r="CF50">
        <f t="shared" si="70"/>
        <v>0</v>
      </c>
      <c r="CG50">
        <f t="shared" si="71"/>
        <v>1</v>
      </c>
      <c r="CH50">
        <f t="shared" si="72"/>
        <v>0</v>
      </c>
      <c r="CK50">
        <f t="shared" si="73"/>
        <v>0</v>
      </c>
      <c r="CL50">
        <f t="shared" si="74"/>
        <v>0</v>
      </c>
      <c r="CM50">
        <f t="shared" si="75"/>
        <v>1</v>
      </c>
      <c r="CN50">
        <f t="shared" si="76"/>
        <v>0</v>
      </c>
      <c r="CO50">
        <f t="shared" si="77"/>
        <v>1</v>
      </c>
      <c r="CS50" s="38">
        <f t="shared" si="78"/>
        <v>0</v>
      </c>
      <c r="CT50" s="38">
        <f t="shared" si="79"/>
        <v>0</v>
      </c>
      <c r="CU50" s="38">
        <f t="shared" si="80"/>
        <v>0</v>
      </c>
      <c r="CV50" s="38">
        <f t="shared" si="81"/>
        <v>0</v>
      </c>
      <c r="CW50" s="38">
        <f t="shared" si="82"/>
        <v>0</v>
      </c>
    </row>
    <row r="51" spans="1:101">
      <c r="A51" t="s">
        <v>465</v>
      </c>
      <c r="B51" t="s">
        <v>109</v>
      </c>
      <c r="C51" t="s">
        <v>503</v>
      </c>
      <c r="D51">
        <v>24052</v>
      </c>
      <c r="E51">
        <v>247</v>
      </c>
      <c r="F51">
        <v>24</v>
      </c>
      <c r="G51">
        <v>13891</v>
      </c>
      <c r="H51">
        <v>16151</v>
      </c>
      <c r="I51">
        <v>6963</v>
      </c>
      <c r="J51">
        <v>683</v>
      </c>
      <c r="K51">
        <v>1136</v>
      </c>
      <c r="L51">
        <v>39006</v>
      </c>
      <c r="M51" s="3">
        <f t="shared" si="48"/>
        <v>35.612469876429266</v>
      </c>
      <c r="N51" s="3">
        <f t="shared" si="49"/>
        <v>41.406450289699023</v>
      </c>
      <c r="O51" s="3">
        <f t="shared" si="50"/>
        <v>17.85109983079526</v>
      </c>
      <c r="P51" s="3">
        <f t="shared" si="51"/>
        <v>1.7510126647182485</v>
      </c>
      <c r="Q51" s="3">
        <f t="shared" si="52"/>
        <v>2.9123724555196637</v>
      </c>
      <c r="R51">
        <v>16.5</v>
      </c>
      <c r="S51">
        <v>14.2</v>
      </c>
      <c r="T51">
        <v>42.9</v>
      </c>
      <c r="U51">
        <v>2.1</v>
      </c>
      <c r="V51">
        <v>23.4</v>
      </c>
      <c r="W51">
        <f t="shared" si="53"/>
        <v>0</v>
      </c>
      <c r="X51" s="54">
        <v>0</v>
      </c>
      <c r="Y51">
        <f t="shared" si="55"/>
        <v>0</v>
      </c>
      <c r="Z51">
        <f t="shared" si="56"/>
        <v>0</v>
      </c>
      <c r="AA51">
        <f t="shared" si="57"/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 s="54">
        <v>1</v>
      </c>
      <c r="AM51">
        <v>0</v>
      </c>
      <c r="AN51">
        <v>0</v>
      </c>
      <c r="AP51" t="s">
        <v>450</v>
      </c>
      <c r="AQ51" s="26">
        <f t="shared" si="93"/>
        <v>0.92079124999999995</v>
      </c>
      <c r="AR51" s="26">
        <f t="shared" si="94"/>
        <v>0.94519854999999997</v>
      </c>
      <c r="AS51" s="26">
        <f t="shared" si="95"/>
        <v>1.0033338000000001</v>
      </c>
      <c r="AT51" s="7">
        <f t="shared" ref="AT51:AT58" si="96">AS61</f>
        <v>1.0606665</v>
      </c>
      <c r="AU51" s="7">
        <f t="shared" ref="AU51:AU58" si="97">AS51</f>
        <v>1.0033338000000001</v>
      </c>
      <c r="AY51" s="5">
        <f t="shared" si="58"/>
        <v>37.75798584881116</v>
      </c>
      <c r="AZ51" s="5">
        <f t="shared" si="59"/>
        <v>50.168401973971577</v>
      </c>
      <c r="BA51" s="5">
        <f t="shared" si="60"/>
        <v>3.9169904792797197</v>
      </c>
      <c r="BB51" s="5">
        <f t="shared" si="61"/>
        <v>2.2959491122302902</v>
      </c>
      <c r="BC51" s="5">
        <f t="shared" si="62"/>
        <v>0.60161940974053052</v>
      </c>
      <c r="BD51" s="5"/>
      <c r="BE51" s="5">
        <f t="shared" si="34"/>
        <v>94.740946824033287</v>
      </c>
      <c r="BF51" s="2"/>
      <c r="BH51" s="2">
        <f t="array" ref="BH51">MIN(100,MAX(0,M51-AK51*5+AR$16*(W51*AQ$29+SUMPRODUCT($AB51:$AJ51,TRANSPOSE(AQ$30:AQ$38)))+AS$16*(W51*AQ$39+SUMPRODUCT($AB51:$AJ51,TRANSPOSE(AQ$40:AQ$48)))+AU$16*(W51*AQ$49+SUMPRODUCT($AB51:$AJ51,TRANSPOSE(AQ$50:AQ$58)))+AT$16*(W51*AQ$59+SUMPRODUCT($AB51:$AJ51,TRANSPOSE(AQ$60:AQ$68)))))</f>
        <v>37.75798584881116</v>
      </c>
      <c r="BI51" s="2">
        <f t="array" ref="BI51">MIN(100,MAX(0,N51-AL51*5+AQ$17*(X51*AR$29+SUMPRODUCT($AB51:$AJ51,TRANSPOSE(AR$30:AR$38)))+AS$17*(X51*AR$39+SUMPRODUCT($AB51:$AJ51,TRANSPOSE(AR$40:AR$48)))+AU$17*(X51*AR$49+SUMPRODUCT($AB51:$AJ51,TRANSPOSE(AR$50:AR$58)))+AT$17*(X51*AR$59+SUMPRODUCT($AB51:$AJ51,TRANSPOSE(AR$60:AR$68)))))</f>
        <v>50.168401973971577</v>
      </c>
      <c r="BJ51" s="2">
        <f t="array" ref="BJ51">MIN(100,MAX(0,O51-AM51*5+AQ$18*(Y51*AS$29+SUMPRODUCT($AB51:$AJ51,TRANSPOSE(AS$30:AS$38)))+AR$18*(Y51*AS$39+SUMPRODUCT($AB51:$AJ51,TRANSPOSE(AS$40:AS$48)))+AU$18*(Y51*AS$49+SUMPRODUCT($AB51:$AJ51,TRANSPOSE(AS$50:AS$58)))+AT$18*(Y51*AS$59+SUMPRODUCT($AB51:$AJ51,TRANSPOSE(AS$60:AS$68)))))</f>
        <v>3.9169904792797197</v>
      </c>
      <c r="BK51" s="2">
        <f t="array" ref="BK51">MIN(100,MAX(0,P51+AQ$19*(Z51*AT$29+SUMPRODUCT($AB51:$AJ51,TRANSPOSE(AT$30:AT$38)))+AR$19*(Z51*AT$39+SUMPRODUCT($AB51:$AJ51,TRANSPOSE(AT$40:AT$48)))+AS$19*(Z51*AT$49+SUMPRODUCT($AB51:$AJ51,TRANSPOSE(AT$50:AT$58)))+AU$19*(Z51*AT$59+SUMPRODUCT($AB51:$AJ51,TRANSPOSE(AT$60:AT$68)))))</f>
        <v>2.2959491122302902</v>
      </c>
      <c r="BL51" s="2">
        <f t="array" ref="BL51">MIN(100,MAX(0,Q51-AN51*5+AQ$20*(AA51*AU$29+SUMPRODUCT($AB51:$AJ51,TRANSPOSE(AU$30:AU$38)))+AR$20*(AA51*AU$39+SUMPRODUCT($AB51:$AJ51,TRANSPOSE(AU$40:AU$48)))+AS$20*(AA51*AU$49+SUMPRODUCT($AB51:$AJ51,TRANSPOSE(AU$50:AU$58)))+AT$20*(AA51*AU$59+SUMPRODUCT($AB51:$AJ51,TRANSPOSE(AU$60:AU$68)))))</f>
        <v>0.60161940974053052</v>
      </c>
      <c r="BM51" s="2"/>
      <c r="BN51" s="2"/>
      <c r="BP51">
        <f t="shared" si="63"/>
        <v>0</v>
      </c>
      <c r="BQ51">
        <f t="shared" si="64"/>
        <v>1</v>
      </c>
      <c r="BR51">
        <f t="shared" si="65"/>
        <v>0</v>
      </c>
      <c r="BS51">
        <f t="shared" si="66"/>
        <v>0</v>
      </c>
      <c r="BT51">
        <f t="shared" si="67"/>
        <v>0</v>
      </c>
      <c r="BV51" s="2"/>
      <c r="BW51" s="2">
        <f t="shared" si="36"/>
        <v>1</v>
      </c>
      <c r="BX51" s="2">
        <f t="shared" si="37"/>
        <v>1</v>
      </c>
      <c r="BY51" s="2">
        <f t="shared" si="38"/>
        <v>0</v>
      </c>
      <c r="BZ51" s="2">
        <f t="shared" si="39"/>
        <v>0</v>
      </c>
      <c r="CA51" s="2">
        <f t="shared" si="40"/>
        <v>0</v>
      </c>
      <c r="CD51">
        <f t="shared" si="68"/>
        <v>1</v>
      </c>
      <c r="CE51">
        <f t="shared" si="69"/>
        <v>1</v>
      </c>
      <c r="CF51">
        <f t="shared" si="70"/>
        <v>0</v>
      </c>
      <c r="CG51">
        <f t="shared" si="71"/>
        <v>1</v>
      </c>
      <c r="CH51">
        <f t="shared" si="72"/>
        <v>0</v>
      </c>
      <c r="CK51">
        <f t="shared" si="73"/>
        <v>0</v>
      </c>
      <c r="CL51">
        <f t="shared" si="74"/>
        <v>0</v>
      </c>
      <c r="CM51">
        <f t="shared" si="75"/>
        <v>1</v>
      </c>
      <c r="CN51">
        <f t="shared" si="76"/>
        <v>0</v>
      </c>
      <c r="CO51">
        <f t="shared" si="77"/>
        <v>1</v>
      </c>
      <c r="CS51" s="38">
        <f t="shared" si="78"/>
        <v>0</v>
      </c>
      <c r="CT51" s="38">
        <f t="shared" si="79"/>
        <v>0</v>
      </c>
      <c r="CU51" s="38">
        <f t="shared" si="80"/>
        <v>0</v>
      </c>
      <c r="CV51" s="38">
        <f t="shared" si="81"/>
        <v>0</v>
      </c>
      <c r="CW51" s="38">
        <f t="shared" si="82"/>
        <v>0</v>
      </c>
    </row>
    <row r="52" spans="1:101">
      <c r="A52" t="s">
        <v>465</v>
      </c>
      <c r="B52" t="s">
        <v>110</v>
      </c>
      <c r="C52" t="s">
        <v>504</v>
      </c>
      <c r="D52">
        <v>24053</v>
      </c>
      <c r="E52">
        <v>243</v>
      </c>
      <c r="F52">
        <v>24</v>
      </c>
      <c r="G52">
        <v>7878</v>
      </c>
      <c r="H52">
        <v>17072</v>
      </c>
      <c r="I52">
        <v>15648</v>
      </c>
      <c r="J52">
        <v>1955</v>
      </c>
      <c r="K52">
        <v>1816</v>
      </c>
      <c r="L52">
        <v>44640</v>
      </c>
      <c r="M52" s="3">
        <f t="shared" si="48"/>
        <v>17.647849462365592</v>
      </c>
      <c r="N52" s="3">
        <f t="shared" si="49"/>
        <v>38.243727598566309</v>
      </c>
      <c r="O52" s="3">
        <f t="shared" si="50"/>
        <v>35.053763440860216</v>
      </c>
      <c r="P52" s="3">
        <f t="shared" si="51"/>
        <v>4.3794802867383513</v>
      </c>
      <c r="Q52" s="3">
        <f t="shared" si="52"/>
        <v>4.0681003584229387</v>
      </c>
      <c r="R52">
        <v>16.5</v>
      </c>
      <c r="S52">
        <v>14.2</v>
      </c>
      <c r="T52">
        <v>42.9</v>
      </c>
      <c r="U52">
        <v>2.1</v>
      </c>
      <c r="V52">
        <v>23.4</v>
      </c>
      <c r="W52">
        <f t="shared" si="53"/>
        <v>0</v>
      </c>
      <c r="X52">
        <f t="shared" si="54"/>
        <v>1</v>
      </c>
      <c r="Y52">
        <f t="shared" si="55"/>
        <v>0</v>
      </c>
      <c r="Z52">
        <f t="shared" si="56"/>
        <v>0</v>
      </c>
      <c r="AA52">
        <f t="shared" si="57"/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P52" t="s">
        <v>451</v>
      </c>
      <c r="AQ52" s="26">
        <f t="shared" si="93"/>
        <v>1.1568259000000001</v>
      </c>
      <c r="AR52" s="26">
        <f t="shared" si="94"/>
        <v>0.99330289999999999</v>
      </c>
      <c r="AS52" s="26">
        <f t="shared" si="95"/>
        <v>0.84019005000000002</v>
      </c>
      <c r="AT52" s="7">
        <f>AS62</f>
        <v>0.77271489999999998</v>
      </c>
      <c r="AU52" s="7">
        <f t="shared" si="97"/>
        <v>0.84019005000000002</v>
      </c>
      <c r="AY52" s="5">
        <f t="shared" si="58"/>
        <v>19.793365434747489</v>
      </c>
      <c r="AZ52" s="5">
        <f t="shared" si="59"/>
        <v>51.212417127716975</v>
      </c>
      <c r="BA52" s="5">
        <f t="shared" si="60"/>
        <v>21.119654089344674</v>
      </c>
      <c r="BB52" s="5">
        <f t="shared" si="61"/>
        <v>4.9244167342503928</v>
      </c>
      <c r="BC52" s="5">
        <f t="shared" si="62"/>
        <v>1.7573473126438055</v>
      </c>
      <c r="BD52" s="5"/>
      <c r="BE52" s="5">
        <f t="shared" si="34"/>
        <v>98.80720069870334</v>
      </c>
      <c r="BF52" s="2"/>
      <c r="BH52" s="2">
        <f t="array" ref="BH52">MIN(100,MAX(0,M52-AK52*5+AR$16*(W52*AQ$29+SUMPRODUCT($AB52:$AJ52,TRANSPOSE(AQ$30:AQ$38)))+AS$16*(W52*AQ$39+SUMPRODUCT($AB52:$AJ52,TRANSPOSE(AQ$40:AQ$48)))+AU$16*(W52*AQ$49+SUMPRODUCT($AB52:$AJ52,TRANSPOSE(AQ$50:AQ$58)))+AT$16*(W52*AQ$59+SUMPRODUCT($AB52:$AJ52,TRANSPOSE(AQ$60:AQ$68)))))</f>
        <v>19.793365434747489</v>
      </c>
      <c r="BI52" s="2">
        <f t="array" ref="BI52">MIN(100,MAX(0,N52-AL52*5+AQ$17*(X52*AR$29+SUMPRODUCT($AB52:$AJ52,TRANSPOSE(AR$30:AR$38)))+AS$17*(X52*AR$39+SUMPRODUCT($AB52:$AJ52,TRANSPOSE(AR$40:AR$48)))+AU$17*(X52*AR$49+SUMPRODUCT($AB52:$AJ52,TRANSPOSE(AR$50:AR$58)))+AT$17*(X52*AR$59+SUMPRODUCT($AB52:$AJ52,TRANSPOSE(AR$60:AR$68)))))</f>
        <v>51.212417127716975</v>
      </c>
      <c r="BJ52" s="2">
        <f t="array" ref="BJ52">MIN(100,MAX(0,O52-AM52*5+AQ$18*(Y52*AS$29+SUMPRODUCT($AB52:$AJ52,TRANSPOSE(AS$30:AS$38)))+AR$18*(Y52*AS$39+SUMPRODUCT($AB52:$AJ52,TRANSPOSE(AS$40:AS$48)))+AU$18*(Y52*AS$49+SUMPRODUCT($AB52:$AJ52,TRANSPOSE(AS$50:AS$58)))+AT$18*(Y52*AS$59+SUMPRODUCT($AB52:$AJ52,TRANSPOSE(AS$60:AS$68)))))</f>
        <v>21.119654089344674</v>
      </c>
      <c r="BK52" s="2">
        <f t="array" ref="BK52">MIN(100,MAX(0,P52+AQ$19*(Z52*AT$29+SUMPRODUCT($AB52:$AJ52,TRANSPOSE(AT$30:AT$38)))+AR$19*(Z52*AT$39+SUMPRODUCT($AB52:$AJ52,TRANSPOSE(AT$40:AT$48)))+AS$19*(Z52*AT$49+SUMPRODUCT($AB52:$AJ52,TRANSPOSE(AT$50:AT$58)))+AU$19*(Z52*AT$59+SUMPRODUCT($AB52:$AJ52,TRANSPOSE(AT$60:AT$68)))))</f>
        <v>4.9244167342503928</v>
      </c>
      <c r="BL52" s="2">
        <f t="array" ref="BL52">MIN(100,MAX(0,Q52-AN52*5+AQ$20*(AA52*AU$29+SUMPRODUCT($AB52:$AJ52,TRANSPOSE(AU$30:AU$38)))+AR$20*(AA52*AU$39+SUMPRODUCT($AB52:$AJ52,TRANSPOSE(AU$40:AU$48)))+AS$20*(AA52*AU$49+SUMPRODUCT($AB52:$AJ52,TRANSPOSE(AU$50:AU$58)))+AT$20*(AA52*AU$59+SUMPRODUCT($AB52:$AJ52,TRANSPOSE(AU$60:AU$68)))))</f>
        <v>1.7573473126438055</v>
      </c>
      <c r="BM52" s="2"/>
      <c r="BN52" s="2"/>
      <c r="BP52">
        <f t="shared" si="63"/>
        <v>0</v>
      </c>
      <c r="BQ52">
        <f t="shared" si="64"/>
        <v>1</v>
      </c>
      <c r="BR52">
        <f t="shared" si="65"/>
        <v>0</v>
      </c>
      <c r="BS52">
        <f t="shared" si="66"/>
        <v>0</v>
      </c>
      <c r="BT52">
        <f t="shared" si="67"/>
        <v>0</v>
      </c>
      <c r="BV52" s="2"/>
      <c r="BW52" s="2">
        <f t="shared" si="36"/>
        <v>1</v>
      </c>
      <c r="BX52" s="2">
        <f t="shared" si="37"/>
        <v>1</v>
      </c>
      <c r="BY52" s="2">
        <f t="shared" si="38"/>
        <v>0</v>
      </c>
      <c r="BZ52" s="2">
        <f t="shared" si="39"/>
        <v>1</v>
      </c>
      <c r="CA52" s="2">
        <f t="shared" si="40"/>
        <v>0</v>
      </c>
      <c r="CD52">
        <f t="shared" si="68"/>
        <v>1</v>
      </c>
      <c r="CE52">
        <f t="shared" si="69"/>
        <v>1</v>
      </c>
      <c r="CF52">
        <f t="shared" si="70"/>
        <v>0</v>
      </c>
      <c r="CG52">
        <f t="shared" si="71"/>
        <v>1</v>
      </c>
      <c r="CH52">
        <f t="shared" si="72"/>
        <v>0</v>
      </c>
      <c r="CK52">
        <f t="shared" si="73"/>
        <v>0</v>
      </c>
      <c r="CL52">
        <f t="shared" si="74"/>
        <v>0</v>
      </c>
      <c r="CM52">
        <f t="shared" si="75"/>
        <v>1</v>
      </c>
      <c r="CN52">
        <f t="shared" si="76"/>
        <v>0</v>
      </c>
      <c r="CO52">
        <f t="shared" si="77"/>
        <v>1</v>
      </c>
      <c r="CS52" s="38">
        <f t="shared" si="78"/>
        <v>0</v>
      </c>
      <c r="CT52" s="38">
        <f t="shared" si="79"/>
        <v>0</v>
      </c>
      <c r="CU52" s="38">
        <f t="shared" si="80"/>
        <v>0</v>
      </c>
      <c r="CV52" s="38">
        <f t="shared" si="81"/>
        <v>0</v>
      </c>
      <c r="CW52" s="38">
        <f t="shared" si="82"/>
        <v>0</v>
      </c>
    </row>
    <row r="53" spans="1:101">
      <c r="A53" t="s">
        <v>465</v>
      </c>
      <c r="B53" t="s">
        <v>111</v>
      </c>
      <c r="C53" t="s">
        <v>111</v>
      </c>
      <c r="D53">
        <v>24054</v>
      </c>
      <c r="E53">
        <v>246</v>
      </c>
      <c r="F53">
        <v>24</v>
      </c>
      <c r="G53">
        <v>3343</v>
      </c>
      <c r="H53">
        <v>9055</v>
      </c>
      <c r="I53">
        <v>23317</v>
      </c>
      <c r="J53">
        <v>937</v>
      </c>
      <c r="K53">
        <v>4860</v>
      </c>
      <c r="L53">
        <v>41876</v>
      </c>
      <c r="M53" s="3">
        <f t="shared" si="48"/>
        <v>7.9830929410640943</v>
      </c>
      <c r="N53" s="3">
        <f t="shared" si="49"/>
        <v>21.623364218167922</v>
      </c>
      <c r="O53" s="3">
        <f t="shared" si="50"/>
        <v>55.681058362785365</v>
      </c>
      <c r="P53" s="3">
        <f t="shared" si="51"/>
        <v>2.2375585060655268</v>
      </c>
      <c r="Q53" s="3">
        <f t="shared" si="52"/>
        <v>11.605692998376158</v>
      </c>
      <c r="R53">
        <v>16.5</v>
      </c>
      <c r="S53">
        <v>14.2</v>
      </c>
      <c r="T53">
        <v>42.9</v>
      </c>
      <c r="U53">
        <v>2.1</v>
      </c>
      <c r="V53">
        <v>23.4</v>
      </c>
      <c r="W53">
        <f t="shared" si="53"/>
        <v>0</v>
      </c>
      <c r="X53">
        <f t="shared" si="54"/>
        <v>0</v>
      </c>
      <c r="Y53">
        <f t="shared" si="55"/>
        <v>1</v>
      </c>
      <c r="Z53">
        <f t="shared" si="56"/>
        <v>0</v>
      </c>
      <c r="AA53">
        <f t="shared" si="57"/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P53" t="s">
        <v>452</v>
      </c>
      <c r="AQ53" s="26">
        <f t="shared" si="93"/>
        <v>1.1329205</v>
      </c>
      <c r="AR53" s="26">
        <f t="shared" si="94"/>
        <v>1.088956</v>
      </c>
      <c r="AS53" s="26">
        <f t="shared" si="95"/>
        <v>1.0707295000000001</v>
      </c>
      <c r="AT53" s="7">
        <f t="shared" si="96"/>
        <v>0.95794274999999995</v>
      </c>
      <c r="AU53" s="7">
        <f t="shared" si="97"/>
        <v>1.0707295000000001</v>
      </c>
      <c r="AY53" s="5">
        <f t="shared" si="58"/>
        <v>10.128608913445991</v>
      </c>
      <c r="AZ53" s="5">
        <f t="shared" si="59"/>
        <v>35.385315902440475</v>
      </c>
      <c r="BA53" s="5">
        <f t="shared" si="60"/>
        <v>41.746949011269827</v>
      </c>
      <c r="BB53" s="5">
        <f t="shared" si="61"/>
        <v>2.7824949535775683</v>
      </c>
      <c r="BC53" s="5">
        <f t="shared" si="62"/>
        <v>9.2949399525970247</v>
      </c>
      <c r="BD53" s="5"/>
      <c r="BE53" s="5">
        <f t="shared" si="34"/>
        <v>99.338308733330891</v>
      </c>
      <c r="BF53" s="2"/>
      <c r="BH53" s="2">
        <f t="array" ref="BH53">MIN(100,MAX(0,M53-AK53*5+AR$16*(W53*AQ$29+SUMPRODUCT($AB53:$AJ53,TRANSPOSE(AQ$30:AQ$38)))+AS$16*(W53*AQ$39+SUMPRODUCT($AB53:$AJ53,TRANSPOSE(AQ$40:AQ$48)))+AU$16*(W53*AQ$49+SUMPRODUCT($AB53:$AJ53,TRANSPOSE(AQ$50:AQ$58)))+AT$16*(W53*AQ$59+SUMPRODUCT($AB53:$AJ53,TRANSPOSE(AQ$60:AQ$68)))))</f>
        <v>10.128608913445991</v>
      </c>
      <c r="BI53" s="2">
        <f t="array" ref="BI53">MIN(100,MAX(0,N53-AL53*5+AQ$17*(X53*AR$29+SUMPRODUCT($AB53:$AJ53,TRANSPOSE(AR$30:AR$38)))+AS$17*(X53*AR$39+SUMPRODUCT($AB53:$AJ53,TRANSPOSE(AR$40:AR$48)))+AU$17*(X53*AR$49+SUMPRODUCT($AB53:$AJ53,TRANSPOSE(AR$50:AR$58)))+AT$17*(X53*AR$59+SUMPRODUCT($AB53:$AJ53,TRANSPOSE(AR$60:AR$68)))))</f>
        <v>35.385315902440475</v>
      </c>
      <c r="BJ53" s="2">
        <f t="array" ref="BJ53">MIN(100,MAX(0,O53-AM53*5+AQ$18*(Y53*AS$29+SUMPRODUCT($AB53:$AJ53,TRANSPOSE(AS$30:AS$38)))+AR$18*(Y53*AS$39+SUMPRODUCT($AB53:$AJ53,TRANSPOSE(AS$40:AS$48)))+AU$18*(Y53*AS$49+SUMPRODUCT($AB53:$AJ53,TRANSPOSE(AS$50:AS$58)))+AT$18*(Y53*AS$59+SUMPRODUCT($AB53:$AJ53,TRANSPOSE(AS$60:AS$68)))))</f>
        <v>41.746949011269827</v>
      </c>
      <c r="BK53" s="2">
        <f t="array" ref="BK53">MIN(100,MAX(0,P53+AQ$19*(Z53*AT$29+SUMPRODUCT($AB53:$AJ53,TRANSPOSE(AT$30:AT$38)))+AR$19*(Z53*AT$39+SUMPRODUCT($AB53:$AJ53,TRANSPOSE(AT$40:AT$48)))+AS$19*(Z53*AT$49+SUMPRODUCT($AB53:$AJ53,TRANSPOSE(AT$50:AT$58)))+AU$19*(Z53*AT$59+SUMPRODUCT($AB53:$AJ53,TRANSPOSE(AT$60:AT$68)))))</f>
        <v>2.7824949535775683</v>
      </c>
      <c r="BL53" s="2">
        <f t="array" ref="BL53">MIN(100,MAX(0,Q53-AN53*5+AQ$20*(AA53*AU$29+SUMPRODUCT($AB53:$AJ53,TRANSPOSE(AU$30:AU$38)))+AR$20*(AA53*AU$39+SUMPRODUCT($AB53:$AJ53,TRANSPOSE(AU$40:AU$48)))+AS$20*(AA53*AU$49+SUMPRODUCT($AB53:$AJ53,TRANSPOSE(AU$50:AU$58)))+AT$20*(AA53*AU$59+SUMPRODUCT($AB53:$AJ53,TRANSPOSE(AU$60:AU$68)))))</f>
        <v>9.2949399525970247</v>
      </c>
      <c r="BM53" s="2"/>
      <c r="BN53" s="2"/>
      <c r="BP53">
        <f t="shared" si="63"/>
        <v>0</v>
      </c>
      <c r="BQ53">
        <f t="shared" si="64"/>
        <v>0</v>
      </c>
      <c r="BR53">
        <f t="shared" si="65"/>
        <v>1</v>
      </c>
      <c r="BS53">
        <f t="shared" si="66"/>
        <v>0</v>
      </c>
      <c r="BT53">
        <f t="shared" si="67"/>
        <v>0</v>
      </c>
      <c r="BV53" s="2"/>
      <c r="BW53" s="2">
        <f t="shared" si="36"/>
        <v>0</v>
      </c>
      <c r="BX53" s="2">
        <f t="shared" si="37"/>
        <v>1</v>
      </c>
      <c r="BY53" s="2">
        <f t="shared" si="38"/>
        <v>1</v>
      </c>
      <c r="BZ53" s="2">
        <f t="shared" si="39"/>
        <v>1</v>
      </c>
      <c r="CA53" s="2">
        <f t="shared" si="40"/>
        <v>0</v>
      </c>
      <c r="CD53">
        <f t="shared" si="68"/>
        <v>1</v>
      </c>
      <c r="CE53">
        <f t="shared" si="69"/>
        <v>1</v>
      </c>
      <c r="CF53">
        <f t="shared" si="70"/>
        <v>0</v>
      </c>
      <c r="CG53">
        <f t="shared" si="71"/>
        <v>1</v>
      </c>
      <c r="CH53">
        <f t="shared" si="72"/>
        <v>0</v>
      </c>
      <c r="CK53">
        <f t="shared" si="73"/>
        <v>0</v>
      </c>
      <c r="CL53">
        <f t="shared" si="74"/>
        <v>0</v>
      </c>
      <c r="CM53">
        <f t="shared" si="75"/>
        <v>1</v>
      </c>
      <c r="CN53">
        <f t="shared" si="76"/>
        <v>0</v>
      </c>
      <c r="CO53">
        <f t="shared" si="77"/>
        <v>1</v>
      </c>
      <c r="CS53" s="38">
        <f t="shared" si="78"/>
        <v>0</v>
      </c>
      <c r="CT53" s="38">
        <f t="shared" si="79"/>
        <v>0</v>
      </c>
      <c r="CU53" s="38">
        <f t="shared" si="80"/>
        <v>0</v>
      </c>
      <c r="CV53" s="38">
        <f t="shared" si="81"/>
        <v>0</v>
      </c>
      <c r="CW53" s="38">
        <f t="shared" si="82"/>
        <v>0</v>
      </c>
    </row>
    <row r="54" spans="1:101">
      <c r="A54" t="s">
        <v>465</v>
      </c>
      <c r="B54" t="s">
        <v>112</v>
      </c>
      <c r="C54" t="s">
        <v>112</v>
      </c>
      <c r="D54">
        <v>24055</v>
      </c>
      <c r="E54">
        <v>246</v>
      </c>
      <c r="F54">
        <v>24</v>
      </c>
      <c r="G54">
        <v>2314</v>
      </c>
      <c r="H54">
        <v>17407</v>
      </c>
      <c r="I54">
        <v>13525</v>
      </c>
      <c r="J54">
        <v>868</v>
      </c>
      <c r="K54">
        <v>11421</v>
      </c>
      <c r="L54">
        <v>45891</v>
      </c>
      <c r="M54" s="3">
        <f t="shared" si="48"/>
        <v>5.0423830380684667</v>
      </c>
      <c r="N54" s="3">
        <f t="shared" si="49"/>
        <v>37.931184763897058</v>
      </c>
      <c r="O54" s="3">
        <f t="shared" si="50"/>
        <v>29.472009762262751</v>
      </c>
      <c r="P54" s="3">
        <f t="shared" si="51"/>
        <v>1.8914384084025189</v>
      </c>
      <c r="Q54" s="3">
        <f t="shared" si="52"/>
        <v>24.887232790743283</v>
      </c>
      <c r="R54">
        <v>16.5</v>
      </c>
      <c r="S54">
        <v>14.2</v>
      </c>
      <c r="T54">
        <v>42.9</v>
      </c>
      <c r="U54">
        <v>2.1</v>
      </c>
      <c r="V54">
        <v>23.4</v>
      </c>
      <c r="W54">
        <f t="shared" si="53"/>
        <v>0</v>
      </c>
      <c r="X54">
        <f t="shared" si="54"/>
        <v>1</v>
      </c>
      <c r="Y54">
        <f t="shared" si="55"/>
        <v>0</v>
      </c>
      <c r="Z54">
        <f t="shared" si="56"/>
        <v>0</v>
      </c>
      <c r="AA54">
        <f t="shared" si="57"/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P54" t="s">
        <v>453</v>
      </c>
      <c r="AQ54" s="26">
        <f t="shared" si="93"/>
        <v>1.03421465</v>
      </c>
      <c r="AR54" s="26">
        <f t="shared" si="94"/>
        <v>0.97690214999999991</v>
      </c>
      <c r="AS54" s="26">
        <f t="shared" si="95"/>
        <v>0.88794100000000009</v>
      </c>
      <c r="AT54" s="7">
        <f t="shared" si="96"/>
        <v>0.86230724999999997</v>
      </c>
      <c r="AU54" s="7">
        <f t="shared" si="97"/>
        <v>0.88794100000000009</v>
      </c>
      <c r="AY54" s="5">
        <f t="shared" si="58"/>
        <v>7.1935370561301433</v>
      </c>
      <c r="AZ54" s="5">
        <f t="shared" si="59"/>
        <v>48.069212900613579</v>
      </c>
      <c r="BA54" s="5">
        <f t="shared" si="60"/>
        <v>19.355846972725139</v>
      </c>
      <c r="BB54" s="5">
        <f t="shared" si="61"/>
        <v>2.3841953695633342</v>
      </c>
      <c r="BC54" s="5">
        <f t="shared" si="62"/>
        <v>22.570011099236325</v>
      </c>
      <c r="BD54" s="5"/>
      <c r="BE54" s="5">
        <f t="shared" si="34"/>
        <v>99.572803398268505</v>
      </c>
      <c r="BF54" s="2"/>
      <c r="BH54" s="2">
        <f t="array" ref="BH54">MIN(100,MAX(0,M54-AK54*5+AR$16*(W54*AQ$29+SUMPRODUCT($AB54:$AJ54,TRANSPOSE(AQ$30:AQ$38)))+AS$16*(W54*AQ$39+SUMPRODUCT($AB54:$AJ54,TRANSPOSE(AQ$40:AQ$48)))+AU$16*(W54*AQ$49+SUMPRODUCT($AB54:$AJ54,TRANSPOSE(AQ$50:AQ$58)))+AT$16*(W54*AQ$59+SUMPRODUCT($AB54:$AJ54,TRANSPOSE(AQ$60:AQ$68)))))</f>
        <v>7.1935370561301433</v>
      </c>
      <c r="BI54" s="58">
        <f t="array" ref="BI54">MIN(100,MAX(0,N54-2-AL54*5+AQ$17*(X54*AR$29+SUMPRODUCT($AB54:$AJ54,TRANSPOSE(AR$30:AR$38)))+AS$17*(X54*AR$39+SUMPRODUCT($AB54:$AJ54,TRANSPOSE(AR$40:AR$48)))+AU$17*(X54*AR$49+SUMPRODUCT($AB54:$AJ54,TRANSPOSE(AR$50:AR$58)))+AT$17*(X54*AR$59+SUMPRODUCT($AB54:$AJ54,TRANSPOSE(AR$60:AR$68)))))</f>
        <v>48.069212900613579</v>
      </c>
      <c r="BJ54" s="58">
        <f t="array" ref="BJ54">MIN(100,MAX(0,O54+3-AM54*5+AQ$18*(Y54*AS$29+SUMPRODUCT($AB54:$AJ54,TRANSPOSE(AS$30:AS$38)))+AR$18*(Y54*AS$39+SUMPRODUCT($AB54:$AJ54,TRANSPOSE(AS$40:AS$48)))+AU$18*(Y54*AS$49+SUMPRODUCT($AB54:$AJ54,TRANSPOSE(AS$50:AS$58)))+AT$18*(Y54*AS$59+SUMPRODUCT($AB54:$AJ54,TRANSPOSE(AS$60:AS$68)))))</f>
        <v>19.355846972725139</v>
      </c>
      <c r="BK54" s="2">
        <f t="array" ref="BK54">MIN(100,MAX(0,P54+AQ$19*(Z54*AT$29+SUMPRODUCT($AB54:$AJ54,TRANSPOSE(AT$30:AT$38)))+AR$19*(Z54*AT$39+SUMPRODUCT($AB54:$AJ54,TRANSPOSE(AT$40:AT$48)))+AS$19*(Z54*AT$49+SUMPRODUCT($AB54:$AJ54,TRANSPOSE(AT$50:AT$58)))+AU$19*(Z54*AT$59+SUMPRODUCT($AB54:$AJ54,TRANSPOSE(AT$60:AT$68)))))</f>
        <v>2.3841953695633342</v>
      </c>
      <c r="BL54" s="2">
        <f t="array" ref="BL54">MIN(100,MAX(0,Q54-AN54*5+AQ$20*(AA54*AU$29+SUMPRODUCT($AB54:$AJ54,TRANSPOSE(AU$30:AU$38)))+AR$20*(AA54*AU$39+SUMPRODUCT($AB54:$AJ54,TRANSPOSE(AU$40:AU$48)))+AS$20*(AA54*AU$49+SUMPRODUCT($AB54:$AJ54,TRANSPOSE(AU$50:AU$58)))+AT$20*(AA54*AU$59+SUMPRODUCT($AB54:$AJ54,TRANSPOSE(AU$60:AU$68)))))</f>
        <v>22.624670388715845</v>
      </c>
      <c r="BM54" s="2"/>
      <c r="BN54" s="2"/>
      <c r="BP54">
        <f t="shared" si="63"/>
        <v>0</v>
      </c>
      <c r="BQ54">
        <f t="shared" si="64"/>
        <v>1</v>
      </c>
      <c r="BR54">
        <f t="shared" si="65"/>
        <v>0</v>
      </c>
      <c r="BS54">
        <f t="shared" si="66"/>
        <v>0</v>
      </c>
      <c r="BT54">
        <f t="shared" si="67"/>
        <v>0</v>
      </c>
      <c r="BV54" s="2"/>
      <c r="BW54" s="2">
        <f t="shared" si="36"/>
        <v>0</v>
      </c>
      <c r="BX54" s="2">
        <f t="shared" si="37"/>
        <v>1</v>
      </c>
      <c r="BY54" s="2">
        <f t="shared" si="38"/>
        <v>0</v>
      </c>
      <c r="BZ54" s="2">
        <f t="shared" si="39"/>
        <v>0</v>
      </c>
      <c r="CA54" s="2">
        <f t="shared" si="40"/>
        <v>1</v>
      </c>
      <c r="CD54">
        <f t="shared" si="68"/>
        <v>1</v>
      </c>
      <c r="CE54">
        <f t="shared" si="69"/>
        <v>1</v>
      </c>
      <c r="CF54">
        <f t="shared" si="70"/>
        <v>0</v>
      </c>
      <c r="CG54">
        <f t="shared" si="71"/>
        <v>1</v>
      </c>
      <c r="CH54">
        <f t="shared" si="72"/>
        <v>0</v>
      </c>
      <c r="CK54">
        <f t="shared" si="73"/>
        <v>0</v>
      </c>
      <c r="CL54">
        <f t="shared" si="74"/>
        <v>0</v>
      </c>
      <c r="CM54">
        <f t="shared" si="75"/>
        <v>1</v>
      </c>
      <c r="CN54">
        <f t="shared" si="76"/>
        <v>0</v>
      </c>
      <c r="CO54">
        <f t="shared" si="77"/>
        <v>1</v>
      </c>
      <c r="CS54" s="38">
        <f t="shared" si="78"/>
        <v>0</v>
      </c>
      <c r="CT54" s="38">
        <f t="shared" si="79"/>
        <v>0</v>
      </c>
      <c r="CU54" s="38">
        <f t="shared" si="80"/>
        <v>0</v>
      </c>
      <c r="CV54" s="38">
        <f t="shared" si="81"/>
        <v>0</v>
      </c>
      <c r="CW54" s="38">
        <f t="shared" si="82"/>
        <v>0</v>
      </c>
    </row>
    <row r="55" spans="1:101">
      <c r="A55" t="s">
        <v>465</v>
      </c>
      <c r="B55" t="s">
        <v>113</v>
      </c>
      <c r="C55" t="s">
        <v>505</v>
      </c>
      <c r="D55">
        <v>24014</v>
      </c>
      <c r="E55">
        <v>248</v>
      </c>
      <c r="F55">
        <v>24</v>
      </c>
      <c r="G55">
        <v>4482</v>
      </c>
      <c r="H55">
        <v>5263</v>
      </c>
      <c r="I55">
        <v>23882</v>
      </c>
      <c r="J55">
        <v>1125</v>
      </c>
      <c r="K55">
        <v>18212</v>
      </c>
      <c r="L55">
        <v>53256</v>
      </c>
      <c r="M55" s="3">
        <f t="shared" si="48"/>
        <v>8.4159531320414604</v>
      </c>
      <c r="N55" s="3">
        <f t="shared" si="49"/>
        <v>9.8824545591107107</v>
      </c>
      <c r="O55" s="3">
        <f t="shared" si="50"/>
        <v>44.84377347153373</v>
      </c>
      <c r="P55" s="3">
        <f t="shared" si="51"/>
        <v>2.1124380351509688</v>
      </c>
      <c r="Q55" s="3">
        <f t="shared" si="52"/>
        <v>34.197085774372844</v>
      </c>
      <c r="R55">
        <v>16.5</v>
      </c>
      <c r="S55">
        <v>14.2</v>
      </c>
      <c r="T55">
        <v>42.9</v>
      </c>
      <c r="U55">
        <v>2.1</v>
      </c>
      <c r="V55">
        <v>23.4</v>
      </c>
      <c r="W55">
        <f t="shared" si="53"/>
        <v>0</v>
      </c>
      <c r="X55">
        <f t="shared" si="54"/>
        <v>0</v>
      </c>
      <c r="Y55" s="54">
        <v>0</v>
      </c>
      <c r="Z55">
        <f t="shared" si="56"/>
        <v>0</v>
      </c>
      <c r="AA55">
        <f t="shared" si="57"/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P55" t="s">
        <v>454</v>
      </c>
      <c r="AQ55" s="26">
        <f t="shared" si="93"/>
        <v>0.99073974999999992</v>
      </c>
      <c r="AR55" s="26">
        <f t="shared" si="94"/>
        <v>0.97200675000000003</v>
      </c>
      <c r="AS55" s="26">
        <f t="shared" si="95"/>
        <v>0.96618074999999992</v>
      </c>
      <c r="AT55" s="7">
        <f t="shared" si="96"/>
        <v>1.0833024999999998</v>
      </c>
      <c r="AU55" s="7">
        <f t="shared" si="97"/>
        <v>0.96618074999999992</v>
      </c>
      <c r="AY55" s="5">
        <f t="shared" si="58"/>
        <v>11.205832527822942</v>
      </c>
      <c r="AZ55" s="5">
        <f t="shared" si="59"/>
        <v>25.208482623133509</v>
      </c>
      <c r="BA55" s="5">
        <f t="shared" si="60"/>
        <v>29.123443824188815</v>
      </c>
      <c r="BB55" s="5">
        <f t="shared" si="61"/>
        <v>2.6741801425960166</v>
      </c>
      <c r="BC55" s="5">
        <f t="shared" si="62"/>
        <v>31.19146212624722</v>
      </c>
      <c r="BD55" s="5"/>
      <c r="BE55" s="5">
        <f t="shared" si="34"/>
        <v>99.403401243988498</v>
      </c>
      <c r="BF55" s="2"/>
      <c r="BH55" s="2">
        <f t="array" ref="BH55">MIN(100,MAX(0,M55-AK55*5+AR$16*(W55*AQ$29+SUMPRODUCT($AB55:$AJ55,TRANSPOSE(AQ$30:AQ$38)))+AS$16*(W55*AQ$39+SUMPRODUCT($AB55:$AJ55,TRANSPOSE(AQ$40:AQ$48)))+AU$16*(W55*AQ$49+SUMPRODUCT($AB55:$AJ55,TRANSPOSE(AQ$50:AQ$58)))+AT$16*(W55*AQ$59+SUMPRODUCT($AB55:$AJ55,TRANSPOSE(AQ$60:AQ$68)))))</f>
        <v>11.205832527822942</v>
      </c>
      <c r="BI55" s="2">
        <f t="array" ref="BI55">MIN(100,MAX(0,N55-AL55*5+AQ$17*(X55*AR$29+SUMPRODUCT($AB55:$AJ55,TRANSPOSE(AR$30:AR$38)))+AS$17*(X55*AR$39+SUMPRODUCT($AB55:$AJ55,TRANSPOSE(AR$40:AR$48)))+AU$17*(X55*AR$49+SUMPRODUCT($AB55:$AJ55,TRANSPOSE(AR$50:AR$58)))+AT$17*(X55*AR$59+SUMPRODUCT($AB55:$AJ55,TRANSPOSE(AR$60:AR$68)))))</f>
        <v>25.208482623133509</v>
      </c>
      <c r="BJ55" s="2">
        <f t="array" ref="BJ55">MIN(100,MAX(0,O55-AM55*5+AQ$18*(Y55*AS$29+SUMPRODUCT($AB55:$AJ55,TRANSPOSE(AS$30:AS$38)))+AR$18*(Y55*AS$39+SUMPRODUCT($AB55:$AJ55,TRANSPOSE(AS$40:AS$48)))+AU$18*(Y55*AS$49+SUMPRODUCT($AB55:$AJ55,TRANSPOSE(AS$50:AS$58)))+AT$18*(Y55*AS$59+SUMPRODUCT($AB55:$AJ55,TRANSPOSE(AS$60:AS$68)))))</f>
        <v>29.123443824188815</v>
      </c>
      <c r="BK55" s="2">
        <f t="array" ref="BK55">MIN(100,MAX(0,P55+AQ$19*(Z55*AT$29+SUMPRODUCT($AB55:$AJ55,TRANSPOSE(AT$30:AT$38)))+AR$19*(Z55*AT$39+SUMPRODUCT($AB55:$AJ55,TRANSPOSE(AT$40:AT$48)))+AS$19*(Z55*AT$49+SUMPRODUCT($AB55:$AJ55,TRANSPOSE(AT$50:AT$58)))+AU$19*(Z55*AT$59+SUMPRODUCT($AB55:$AJ55,TRANSPOSE(AT$60:AT$68)))))</f>
        <v>2.6741801425960166</v>
      </c>
      <c r="BL55" s="2">
        <f t="array" ref="BL55">MIN(100,MAX(0,Q55-AN55*5+AQ$20*(AA55*AU$29+SUMPRODUCT($AB55:$AJ55,TRANSPOSE(AU$30:AU$38)))+AR$20*(AA55*AU$39+SUMPRODUCT($AB55:$AJ55,TRANSPOSE(AU$40:AU$48)))+AS$20*(AA55*AU$49+SUMPRODUCT($AB55:$AJ55,TRANSPOSE(AU$50:AU$58)))+AT$20*(AA55*AU$59+SUMPRODUCT($AB55:$AJ55,TRANSPOSE(AU$60:AU$68)))))</f>
        <v>31.475378306423643</v>
      </c>
      <c r="BM55" s="2"/>
      <c r="BN55" s="2"/>
      <c r="BP55">
        <f t="shared" si="63"/>
        <v>0</v>
      </c>
      <c r="BQ55">
        <f t="shared" si="64"/>
        <v>0</v>
      </c>
      <c r="BR55">
        <f t="shared" si="65"/>
        <v>0</v>
      </c>
      <c r="BS55">
        <f t="shared" si="66"/>
        <v>0</v>
      </c>
      <c r="BT55">
        <f t="shared" si="67"/>
        <v>1</v>
      </c>
      <c r="BV55" s="2"/>
      <c r="BW55" s="2">
        <f t="shared" si="36"/>
        <v>0</v>
      </c>
      <c r="BX55" s="2">
        <f t="shared" si="37"/>
        <v>0</v>
      </c>
      <c r="BY55" s="2">
        <f t="shared" si="38"/>
        <v>1</v>
      </c>
      <c r="BZ55" s="2">
        <f t="shared" si="39"/>
        <v>1</v>
      </c>
      <c r="CA55" s="2">
        <f t="shared" si="40"/>
        <v>1</v>
      </c>
      <c r="CD55">
        <f t="shared" si="68"/>
        <v>1</v>
      </c>
      <c r="CE55">
        <f t="shared" si="69"/>
        <v>1</v>
      </c>
      <c r="CF55">
        <f t="shared" si="70"/>
        <v>0</v>
      </c>
      <c r="CG55">
        <f t="shared" si="71"/>
        <v>1</v>
      </c>
      <c r="CH55">
        <f t="shared" si="72"/>
        <v>0</v>
      </c>
      <c r="CK55">
        <f t="shared" si="73"/>
        <v>0</v>
      </c>
      <c r="CL55">
        <f t="shared" si="74"/>
        <v>0</v>
      </c>
      <c r="CM55">
        <f t="shared" si="75"/>
        <v>1</v>
      </c>
      <c r="CN55">
        <f t="shared" si="76"/>
        <v>0</v>
      </c>
      <c r="CO55">
        <f t="shared" si="77"/>
        <v>1</v>
      </c>
      <c r="CS55" s="38">
        <f t="shared" si="78"/>
        <v>0</v>
      </c>
      <c r="CT55" s="38">
        <f t="shared" si="79"/>
        <v>0</v>
      </c>
      <c r="CU55" s="38">
        <f t="shared" si="80"/>
        <v>1</v>
      </c>
      <c r="CV55" s="38">
        <f t="shared" si="81"/>
        <v>0</v>
      </c>
      <c r="CW55" s="38">
        <f t="shared" si="82"/>
        <v>0</v>
      </c>
    </row>
    <row r="56" spans="1:101">
      <c r="A56" t="s">
        <v>465</v>
      </c>
      <c r="B56" t="s">
        <v>114</v>
      </c>
      <c r="C56" t="s">
        <v>506</v>
      </c>
      <c r="D56">
        <v>24056</v>
      </c>
      <c r="E56">
        <v>248</v>
      </c>
      <c r="F56">
        <v>24</v>
      </c>
      <c r="G56">
        <v>12901</v>
      </c>
      <c r="H56">
        <v>14632</v>
      </c>
      <c r="I56">
        <v>16390</v>
      </c>
      <c r="J56">
        <v>1710</v>
      </c>
      <c r="K56">
        <v>2392</v>
      </c>
      <c r="L56">
        <v>48025</v>
      </c>
      <c r="M56" s="3">
        <f t="shared" si="48"/>
        <v>26.86309213951067</v>
      </c>
      <c r="N56" s="3">
        <f t="shared" si="49"/>
        <v>30.467464862051013</v>
      </c>
      <c r="O56" s="3">
        <f t="shared" si="50"/>
        <v>34.128058302967204</v>
      </c>
      <c r="P56" s="3">
        <f t="shared" si="51"/>
        <v>3.5606454971369077</v>
      </c>
      <c r="Q56" s="3">
        <f t="shared" si="52"/>
        <v>4.9807391983342013</v>
      </c>
      <c r="R56">
        <v>16.5</v>
      </c>
      <c r="S56">
        <v>14.2</v>
      </c>
      <c r="T56">
        <v>42.9</v>
      </c>
      <c r="U56">
        <v>2.1</v>
      </c>
      <c r="V56">
        <v>23.4</v>
      </c>
      <c r="W56">
        <f t="shared" si="53"/>
        <v>0</v>
      </c>
      <c r="X56">
        <f t="shared" si="54"/>
        <v>0</v>
      </c>
      <c r="Y56">
        <f t="shared" si="55"/>
        <v>1</v>
      </c>
      <c r="Z56">
        <f t="shared" si="56"/>
        <v>0</v>
      </c>
      <c r="AA56">
        <f t="shared" si="57"/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P56" t="s">
        <v>455</v>
      </c>
      <c r="AQ56" s="26">
        <f t="shared" si="93"/>
        <v>0.67306985000000008</v>
      </c>
      <c r="AR56" s="26">
        <f t="shared" si="94"/>
        <v>0.81945895000000002</v>
      </c>
      <c r="AS56" s="26">
        <f t="shared" si="95"/>
        <v>0.69414704999999999</v>
      </c>
      <c r="AT56" s="7">
        <f t="shared" si="96"/>
        <v>1.0336976</v>
      </c>
      <c r="AU56" s="7">
        <f t="shared" si="97"/>
        <v>0.69414704999999999</v>
      </c>
      <c r="AY56" s="5">
        <f t="shared" si="58"/>
        <v>29.008608111892567</v>
      </c>
      <c r="AZ56" s="5">
        <f t="shared" si="59"/>
        <v>44.22941654632357</v>
      </c>
      <c r="BA56" s="5">
        <f t="shared" si="60"/>
        <v>20.193948951451663</v>
      </c>
      <c r="BB56" s="5">
        <f t="shared" si="61"/>
        <v>4.1055819446489492</v>
      </c>
      <c r="BC56" s="5">
        <f t="shared" si="62"/>
        <v>2.6699861525550688</v>
      </c>
      <c r="BD56" s="5"/>
      <c r="BE56" s="5">
        <f t="shared" si="34"/>
        <v>100.20754170687181</v>
      </c>
      <c r="BF56" s="2"/>
      <c r="BH56" s="2">
        <f t="array" ref="BH56">MIN(100,MAX(0,M56-AK56*5+AR$16*(W56*AQ$29+SUMPRODUCT($AB56:$AJ56,TRANSPOSE(AQ$30:AQ$38)))+AS$16*(W56*AQ$39+SUMPRODUCT($AB56:$AJ56,TRANSPOSE(AQ$40:AQ$48)))+AU$16*(W56*AQ$49+SUMPRODUCT($AB56:$AJ56,TRANSPOSE(AQ$50:AQ$58)))+AT$16*(W56*AQ$59+SUMPRODUCT($AB56:$AJ56,TRANSPOSE(AQ$60:AQ$68)))))</f>
        <v>29.008608111892567</v>
      </c>
      <c r="BI56" s="2">
        <f t="array" ref="BI56">MIN(100,MAX(0,N56-AL56*5+AQ$17*(X56*AR$29+SUMPRODUCT($AB56:$AJ56,TRANSPOSE(AR$30:AR$38)))+AS$17*(X56*AR$39+SUMPRODUCT($AB56:$AJ56,TRANSPOSE(AR$40:AR$48)))+AU$17*(X56*AR$49+SUMPRODUCT($AB56:$AJ56,TRANSPOSE(AR$50:AR$58)))+AT$17*(X56*AR$59+SUMPRODUCT($AB56:$AJ56,TRANSPOSE(AR$60:AR$68)))))</f>
        <v>44.22941654632357</v>
      </c>
      <c r="BJ56" s="2">
        <f t="array" ref="BJ56">MIN(100,MAX(0,O56-AM56*5+AQ$18*(Y56*AS$29+SUMPRODUCT($AB56:$AJ56,TRANSPOSE(AS$30:AS$38)))+AR$18*(Y56*AS$39+SUMPRODUCT($AB56:$AJ56,TRANSPOSE(AS$40:AS$48)))+AU$18*(Y56*AS$49+SUMPRODUCT($AB56:$AJ56,TRANSPOSE(AS$50:AS$58)))+AT$18*(Y56*AS$59+SUMPRODUCT($AB56:$AJ56,TRANSPOSE(AS$60:AS$68)))))</f>
        <v>20.193948951451663</v>
      </c>
      <c r="BK56" s="2">
        <f t="array" ref="BK56">MIN(100,MAX(0,P56+AQ$19*(Z56*AT$29+SUMPRODUCT($AB56:$AJ56,TRANSPOSE(AT$30:AT$38)))+AR$19*(Z56*AT$39+SUMPRODUCT($AB56:$AJ56,TRANSPOSE(AT$40:AT$48)))+AS$19*(Z56*AT$49+SUMPRODUCT($AB56:$AJ56,TRANSPOSE(AT$50:AT$58)))+AU$19*(Z56*AT$59+SUMPRODUCT($AB56:$AJ56,TRANSPOSE(AT$60:AT$68)))))</f>
        <v>4.1055819446489492</v>
      </c>
      <c r="BL56" s="2">
        <f t="array" ref="BL56">MIN(100,MAX(0,Q56-AN56*5+AQ$20*(AA56*AU$29+SUMPRODUCT($AB56:$AJ56,TRANSPOSE(AU$30:AU$38)))+AR$20*(AA56*AU$39+SUMPRODUCT($AB56:$AJ56,TRANSPOSE(AU$40:AU$48)))+AS$20*(AA56*AU$49+SUMPRODUCT($AB56:$AJ56,TRANSPOSE(AU$50:AU$58)))+AT$20*(AA56*AU$59+SUMPRODUCT($AB56:$AJ56,TRANSPOSE(AU$60:AU$68)))))</f>
        <v>2.6699861525550688</v>
      </c>
      <c r="BM56" s="2"/>
      <c r="BN56" s="2"/>
      <c r="BP56">
        <f t="shared" si="63"/>
        <v>0</v>
      </c>
      <c r="BQ56">
        <f t="shared" si="64"/>
        <v>1</v>
      </c>
      <c r="BR56">
        <f t="shared" si="65"/>
        <v>0</v>
      </c>
      <c r="BS56">
        <f t="shared" si="66"/>
        <v>0</v>
      </c>
      <c r="BT56">
        <f t="shared" si="67"/>
        <v>0</v>
      </c>
      <c r="BV56" s="2"/>
      <c r="BW56" s="2">
        <f t="shared" si="36"/>
        <v>1</v>
      </c>
      <c r="BX56" s="2">
        <f t="shared" si="37"/>
        <v>1</v>
      </c>
      <c r="BY56" s="2">
        <f t="shared" si="38"/>
        <v>0</v>
      </c>
      <c r="BZ56" s="2">
        <f t="shared" si="39"/>
        <v>1</v>
      </c>
      <c r="CA56" s="2">
        <f t="shared" si="40"/>
        <v>0</v>
      </c>
      <c r="CD56">
        <f t="shared" si="68"/>
        <v>1</v>
      </c>
      <c r="CE56">
        <f t="shared" si="69"/>
        <v>1</v>
      </c>
      <c r="CF56">
        <f t="shared" si="70"/>
        <v>0</v>
      </c>
      <c r="CG56">
        <f t="shared" si="71"/>
        <v>1</v>
      </c>
      <c r="CH56">
        <f t="shared" si="72"/>
        <v>0</v>
      </c>
      <c r="CK56">
        <f t="shared" si="73"/>
        <v>0</v>
      </c>
      <c r="CL56">
        <f t="shared" si="74"/>
        <v>0</v>
      </c>
      <c r="CM56">
        <f t="shared" si="75"/>
        <v>1</v>
      </c>
      <c r="CN56">
        <f t="shared" si="76"/>
        <v>0</v>
      </c>
      <c r="CO56">
        <f t="shared" si="77"/>
        <v>1</v>
      </c>
      <c r="CS56" s="38">
        <f t="shared" si="78"/>
        <v>0</v>
      </c>
      <c r="CT56" s="38">
        <f t="shared" si="79"/>
        <v>0</v>
      </c>
      <c r="CU56" s="38">
        <f t="shared" si="80"/>
        <v>0</v>
      </c>
      <c r="CV56" s="38">
        <f t="shared" si="81"/>
        <v>0</v>
      </c>
      <c r="CW56" s="38">
        <f t="shared" si="82"/>
        <v>0</v>
      </c>
    </row>
    <row r="57" spans="1:101">
      <c r="A57" t="s">
        <v>465</v>
      </c>
      <c r="B57" t="s">
        <v>115</v>
      </c>
      <c r="C57" t="s">
        <v>115</v>
      </c>
      <c r="D57">
        <v>24057</v>
      </c>
      <c r="E57">
        <v>243</v>
      </c>
      <c r="F57">
        <v>24</v>
      </c>
      <c r="G57">
        <v>13189</v>
      </c>
      <c r="H57">
        <v>7649</v>
      </c>
      <c r="I57">
        <v>23809</v>
      </c>
      <c r="J57">
        <v>823</v>
      </c>
      <c r="K57">
        <v>4810</v>
      </c>
      <c r="L57">
        <v>50366</v>
      </c>
      <c r="M57" s="3">
        <f t="shared" si="48"/>
        <v>26.186316165667318</v>
      </c>
      <c r="N57" s="3">
        <f t="shared" si="49"/>
        <v>15.186832386927691</v>
      </c>
      <c r="O57" s="3">
        <f t="shared" si="50"/>
        <v>47.271969185561687</v>
      </c>
      <c r="P57" s="3">
        <f t="shared" si="51"/>
        <v>1.6340388357225111</v>
      </c>
      <c r="Q57" s="3">
        <f t="shared" si="52"/>
        <v>9.5500933169201438</v>
      </c>
      <c r="R57">
        <v>16.5</v>
      </c>
      <c r="S57">
        <v>14.2</v>
      </c>
      <c r="T57">
        <v>42.9</v>
      </c>
      <c r="U57">
        <v>2.1</v>
      </c>
      <c r="V57">
        <v>23.4</v>
      </c>
      <c r="W57">
        <f t="shared" si="53"/>
        <v>0</v>
      </c>
      <c r="X57">
        <f t="shared" si="54"/>
        <v>0</v>
      </c>
      <c r="Y57">
        <f t="shared" si="55"/>
        <v>1</v>
      </c>
      <c r="Z57">
        <f t="shared" si="56"/>
        <v>0</v>
      </c>
      <c r="AA57">
        <f t="shared" si="57"/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 s="54">
        <v>1</v>
      </c>
      <c r="AL57">
        <v>0</v>
      </c>
      <c r="AM57">
        <v>0</v>
      </c>
      <c r="AN57">
        <v>0</v>
      </c>
      <c r="AP57" t="s">
        <v>456</v>
      </c>
      <c r="AQ57" s="26">
        <f t="shared" si="93"/>
        <v>0.89687399999999995</v>
      </c>
      <c r="AR57" s="26">
        <f t="shared" si="94"/>
        <v>0.97845414999999991</v>
      </c>
      <c r="AS57" s="26">
        <f t="shared" si="95"/>
        <v>1.02474865</v>
      </c>
      <c r="AT57" s="7">
        <f t="shared" si="96"/>
        <v>1.0413553</v>
      </c>
      <c r="AU57" s="7">
        <f t="shared" si="97"/>
        <v>1.02474865</v>
      </c>
      <c r="AY57" s="5">
        <f t="shared" si="58"/>
        <v>24.098253564579423</v>
      </c>
      <c r="AZ57" s="5">
        <f t="shared" si="59"/>
        <v>32.051950761551851</v>
      </c>
      <c r="BA57" s="5">
        <f t="shared" si="60"/>
        <v>29.988085227407396</v>
      </c>
      <c r="BB57" s="5">
        <f t="shared" si="61"/>
        <v>2.1790168659313602</v>
      </c>
      <c r="BC57" s="5">
        <f t="shared" si="62"/>
        <v>6.7682992936172015</v>
      </c>
      <c r="BD57" s="5"/>
      <c r="BE57" s="5">
        <f t="shared" si="34"/>
        <v>95.085605713087233</v>
      </c>
      <c r="BF57" s="2"/>
      <c r="BH57" s="2">
        <f t="array" ref="BH57">MIN(100,MAX(0,M57-AK57*5+AR$16*(W57*AQ$29+SUMPRODUCT($AB57:$AJ57,TRANSPOSE(AQ$30:AQ$38)))+AS$16*(W57*AQ$39+SUMPRODUCT($AB57:$AJ57,TRANSPOSE(AQ$40:AQ$48)))+AU$16*(W57*AQ$49+SUMPRODUCT($AB57:$AJ57,TRANSPOSE(AQ$50:AQ$58)))+AT$16*(W57*AQ$59+SUMPRODUCT($AB57:$AJ57,TRANSPOSE(AQ$60:AQ$68)))))</f>
        <v>24.098253564579423</v>
      </c>
      <c r="BI57" s="2">
        <f t="array" ref="BI57">MIN(100,MAX(0,N57-AL57*5+AQ$17*(X57*AR$29+SUMPRODUCT($AB57:$AJ57,TRANSPOSE(AR$30:AR$38)))+AS$17*(X57*AR$39+SUMPRODUCT($AB57:$AJ57,TRANSPOSE(AR$40:AR$48)))+AU$17*(X57*AR$49+SUMPRODUCT($AB57:$AJ57,TRANSPOSE(AR$50:AR$58)))+AT$17*(X57*AR$59+SUMPRODUCT($AB57:$AJ57,TRANSPOSE(AR$60:AR$68)))))</f>
        <v>32.051950761551851</v>
      </c>
      <c r="BJ57" s="2">
        <f t="array" ref="BJ57">MIN(100,MAX(0,O57-AM57*5+AQ$18*(Y57*AS$29+SUMPRODUCT($AB57:$AJ57,TRANSPOSE(AS$30:AS$38)))+AR$18*(Y57*AS$39+SUMPRODUCT($AB57:$AJ57,TRANSPOSE(AS$40:AS$48)))+AU$18*(Y57*AS$49+SUMPRODUCT($AB57:$AJ57,TRANSPOSE(AS$50:AS$58)))+AT$18*(Y57*AS$59+SUMPRODUCT($AB57:$AJ57,TRANSPOSE(AS$60:AS$68)))))</f>
        <v>29.988085227407396</v>
      </c>
      <c r="BK57" s="2">
        <f t="array" ref="BK57">MIN(100,MAX(0,P57+AQ$19*(Z57*AT$29+SUMPRODUCT($AB57:$AJ57,TRANSPOSE(AT$30:AT$38)))+AR$19*(Z57*AT$39+SUMPRODUCT($AB57:$AJ57,TRANSPOSE(AT$40:AT$48)))+AS$19*(Z57*AT$49+SUMPRODUCT($AB57:$AJ57,TRANSPOSE(AT$50:AT$58)))+AU$19*(Z57*AT$59+SUMPRODUCT($AB57:$AJ57,TRANSPOSE(AT$60:AT$68)))))</f>
        <v>2.1790168659313602</v>
      </c>
      <c r="BL57" s="2">
        <f t="array" ref="BL57">MIN(100,MAX(0,Q57-AN57*5+AQ$20*(AA57*AU$29+SUMPRODUCT($AB57:$AJ57,TRANSPOSE(AU$30:AU$38)))+AR$20*(AA57*AU$39+SUMPRODUCT($AB57:$AJ57,TRANSPOSE(AU$40:AU$48)))+AS$20*(AA57*AU$49+SUMPRODUCT($AB57:$AJ57,TRANSPOSE(AU$50:AU$58)))+AT$20*(AA57*AU$59+SUMPRODUCT($AB57:$AJ57,TRANSPOSE(AU$60:AU$68)))))</f>
        <v>6.7682992936172015</v>
      </c>
      <c r="BM57" s="2"/>
      <c r="BN57" s="2"/>
      <c r="BP57">
        <f t="shared" si="63"/>
        <v>0</v>
      </c>
      <c r="BQ57">
        <f t="shared" si="64"/>
        <v>1</v>
      </c>
      <c r="BR57">
        <f t="shared" si="65"/>
        <v>0</v>
      </c>
      <c r="BS57">
        <f t="shared" si="66"/>
        <v>0</v>
      </c>
      <c r="BT57">
        <f t="shared" si="67"/>
        <v>0</v>
      </c>
      <c r="BV57" s="2"/>
      <c r="BW57" s="2">
        <f t="shared" si="36"/>
        <v>1</v>
      </c>
      <c r="BX57" s="2">
        <f t="shared" si="37"/>
        <v>1</v>
      </c>
      <c r="BY57" s="2">
        <f t="shared" si="38"/>
        <v>1</v>
      </c>
      <c r="BZ57" s="2">
        <f t="shared" si="39"/>
        <v>0</v>
      </c>
      <c r="CA57" s="2">
        <f t="shared" si="40"/>
        <v>0</v>
      </c>
      <c r="CD57">
        <f t="shared" si="68"/>
        <v>0</v>
      </c>
      <c r="CE57">
        <f t="shared" si="69"/>
        <v>1</v>
      </c>
      <c r="CF57">
        <f t="shared" si="70"/>
        <v>0</v>
      </c>
      <c r="CG57">
        <f t="shared" si="71"/>
        <v>1</v>
      </c>
      <c r="CH57">
        <f t="shared" si="72"/>
        <v>0</v>
      </c>
      <c r="CK57">
        <f t="shared" si="73"/>
        <v>1</v>
      </c>
      <c r="CL57">
        <f t="shared" si="74"/>
        <v>0</v>
      </c>
      <c r="CM57">
        <f t="shared" si="75"/>
        <v>1</v>
      </c>
      <c r="CN57">
        <f t="shared" si="76"/>
        <v>0</v>
      </c>
      <c r="CO57">
        <f t="shared" si="77"/>
        <v>1</v>
      </c>
      <c r="CS57" s="38">
        <f t="shared" si="78"/>
        <v>0</v>
      </c>
      <c r="CT57" s="38">
        <f t="shared" si="79"/>
        <v>0</v>
      </c>
      <c r="CU57" s="38">
        <f t="shared" si="80"/>
        <v>1</v>
      </c>
      <c r="CV57" s="38">
        <f t="shared" si="81"/>
        <v>0</v>
      </c>
      <c r="CW57" s="38">
        <f t="shared" si="82"/>
        <v>0</v>
      </c>
    </row>
    <row r="58" spans="1:101">
      <c r="A58" t="s">
        <v>465</v>
      </c>
      <c r="B58" t="s">
        <v>116</v>
      </c>
      <c r="C58" t="s">
        <v>507</v>
      </c>
      <c r="D58">
        <v>24058</v>
      </c>
      <c r="E58">
        <v>248</v>
      </c>
      <c r="F58">
        <v>24</v>
      </c>
      <c r="G58" s="54">
        <v>14594</v>
      </c>
      <c r="H58">
        <v>3463</v>
      </c>
      <c r="I58">
        <v>22387</v>
      </c>
      <c r="J58">
        <v>1279</v>
      </c>
      <c r="K58">
        <v>10745</v>
      </c>
      <c r="L58">
        <v>52468</v>
      </c>
      <c r="M58" s="43">
        <f t="shared" si="48"/>
        <v>27.815049172829156</v>
      </c>
      <c r="N58" s="3">
        <f t="shared" si="49"/>
        <v>6.6002134634443852</v>
      </c>
      <c r="O58" s="3">
        <f t="shared" si="50"/>
        <v>42.667911870092247</v>
      </c>
      <c r="P58" s="3">
        <f t="shared" si="51"/>
        <v>2.437676297933979</v>
      </c>
      <c r="Q58" s="3">
        <f t="shared" si="52"/>
        <v>20.479149195700234</v>
      </c>
      <c r="R58">
        <v>16.5</v>
      </c>
      <c r="S58">
        <v>14.2</v>
      </c>
      <c r="T58">
        <v>42.9</v>
      </c>
      <c r="U58">
        <v>2.1</v>
      </c>
      <c r="V58">
        <v>23.4</v>
      </c>
      <c r="W58">
        <f t="shared" si="53"/>
        <v>0</v>
      </c>
      <c r="X58">
        <f t="shared" si="54"/>
        <v>0</v>
      </c>
      <c r="Y58">
        <f t="shared" si="55"/>
        <v>1</v>
      </c>
      <c r="Z58">
        <f t="shared" si="56"/>
        <v>0</v>
      </c>
      <c r="AA58">
        <f t="shared" si="57"/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P58" t="s">
        <v>457</v>
      </c>
      <c r="AQ58" s="26">
        <f t="shared" si="93"/>
        <v>0.70472259999999998</v>
      </c>
      <c r="AR58" s="26">
        <f t="shared" si="94"/>
        <v>0.79550419999999999</v>
      </c>
      <c r="AS58" s="26">
        <f t="shared" si="95"/>
        <v>0.83563965000000007</v>
      </c>
      <c r="AT58" s="7">
        <f t="shared" si="96"/>
        <v>0.93050319999999997</v>
      </c>
      <c r="AU58" s="7">
        <f t="shared" si="97"/>
        <v>0.83563965000000007</v>
      </c>
      <c r="AY58" s="5">
        <f t="shared" si="58"/>
        <v>31.260196849711203</v>
      </c>
      <c r="AZ58" s="5">
        <f t="shared" si="59"/>
        <v>22.527785151372996</v>
      </c>
      <c r="BA58" s="5">
        <f t="shared" si="60"/>
        <v>26.052684967951407</v>
      </c>
      <c r="BB58" s="5">
        <f t="shared" si="61"/>
        <v>2.8466317879106531</v>
      </c>
      <c r="BC58" s="5">
        <f t="shared" si="62"/>
        <v>17.56224061360119</v>
      </c>
      <c r="BD58" s="5"/>
      <c r="BE58" s="5">
        <f t="shared" si="34"/>
        <v>100.24953937054745</v>
      </c>
      <c r="BF58" s="2"/>
      <c r="BH58" s="2">
        <f t="array" ref="BH58">MIN(100,MAX(0,M58-AK58*5+AR$16*(W58*AQ$29+SUMPRODUCT($AB58:$AJ58,TRANSPOSE(AQ$30:AQ$38)))+AS$16*(W58*AQ$39+SUMPRODUCT($AB58:$AJ58,TRANSPOSE(AQ$40:AQ$48)))+AU$16*(W58*AQ$49+SUMPRODUCT($AB58:$AJ58,TRANSPOSE(AQ$50:AQ$58)))+AT$16*(W58*AQ$59+SUMPRODUCT($AB58:$AJ58,TRANSPOSE(AQ$60:AQ$68)))))</f>
        <v>31.260196849711203</v>
      </c>
      <c r="BI58" s="2">
        <f t="array" ref="BI58">MIN(100,MAX(0,N58-AL58*5+AQ$17*(X58*AR$29+SUMPRODUCT($AB58:$AJ58,TRANSPOSE(AR$30:AR$38)))+AS$17*(X58*AR$39+SUMPRODUCT($AB58:$AJ58,TRANSPOSE(AR$40:AR$48)))+AU$17*(X58*AR$49+SUMPRODUCT($AB58:$AJ58,TRANSPOSE(AR$50:AR$58)))+AT$17*(X58*AR$59+SUMPRODUCT($AB58:$AJ58,TRANSPOSE(AR$60:AR$68)))))</f>
        <v>22.527785151372996</v>
      </c>
      <c r="BJ58" s="2">
        <f t="array" ref="BJ58">MIN(100,MAX(0,O58-AM58*5+AQ$18*(Y58*AS$29+SUMPRODUCT($AB58:$AJ58,TRANSPOSE(AS$30:AS$38)))+AR$18*(Y58*AS$39+SUMPRODUCT($AB58:$AJ58,TRANSPOSE(AS$40:AS$48)))+AU$18*(Y58*AS$49+SUMPRODUCT($AB58:$AJ58,TRANSPOSE(AS$50:AS$58)))+AT$18*(Y58*AS$59+SUMPRODUCT($AB58:$AJ58,TRANSPOSE(AS$60:AS$68)))))</f>
        <v>26.052684967951407</v>
      </c>
      <c r="BK58" s="2">
        <f t="array" ref="BK58">MIN(100,MAX(0,P58+AQ$19*(Z58*AT$29+SUMPRODUCT($AB58:$AJ58,TRANSPOSE(AT$30:AT$38)))+AR$19*(Z58*AT$39+SUMPRODUCT($AB58:$AJ58,TRANSPOSE(AT$40:AT$48)))+AS$19*(Z58*AT$49+SUMPRODUCT($AB58:$AJ58,TRANSPOSE(AT$50:AT$58)))+AU$19*(Z58*AT$59+SUMPRODUCT($AB58:$AJ58,TRANSPOSE(AT$60:AT$68)))))</f>
        <v>2.8466317879106531</v>
      </c>
      <c r="BL58" s="2">
        <f t="array" ref="BL58">MIN(100,MAX(0,Q58-AN58*5+AQ$20*(AA58*AU$29+SUMPRODUCT($AB58:$AJ58,TRANSPOSE(AU$30:AU$38)))+AR$20*(AA58*AU$39+SUMPRODUCT($AB58:$AJ58,TRANSPOSE(AU$40:AU$48)))+AS$20*(AA58*AU$49+SUMPRODUCT($AB58:$AJ58,TRANSPOSE(AU$50:AU$58)))+AT$20*(AA58*AU$59+SUMPRODUCT($AB58:$AJ58,TRANSPOSE(AU$60:AU$68)))))</f>
        <v>17.56224061360119</v>
      </c>
      <c r="BM58" s="2"/>
      <c r="BN58" s="2"/>
      <c r="BP58">
        <f t="shared" si="63"/>
        <v>1</v>
      </c>
      <c r="BQ58">
        <f t="shared" si="64"/>
        <v>0</v>
      </c>
      <c r="BR58">
        <f t="shared" si="65"/>
        <v>0</v>
      </c>
      <c r="BS58">
        <f t="shared" si="66"/>
        <v>0</v>
      </c>
      <c r="BT58">
        <f t="shared" si="67"/>
        <v>0</v>
      </c>
      <c r="BV58" s="2"/>
      <c r="BW58" s="2">
        <f t="shared" si="36"/>
        <v>1</v>
      </c>
      <c r="BX58" s="2">
        <f t="shared" si="37"/>
        <v>0</v>
      </c>
      <c r="BY58" s="2">
        <f t="shared" si="38"/>
        <v>0</v>
      </c>
      <c r="BZ58" s="2">
        <f t="shared" si="39"/>
        <v>1</v>
      </c>
      <c r="CA58" s="2">
        <f t="shared" si="40"/>
        <v>0</v>
      </c>
      <c r="CD58">
        <f t="shared" si="68"/>
        <v>1</v>
      </c>
      <c r="CE58">
        <f t="shared" si="69"/>
        <v>1</v>
      </c>
      <c r="CF58">
        <f t="shared" si="70"/>
        <v>0</v>
      </c>
      <c r="CG58">
        <f t="shared" si="71"/>
        <v>1</v>
      </c>
      <c r="CH58">
        <f t="shared" si="72"/>
        <v>0</v>
      </c>
      <c r="CK58">
        <f t="shared" si="73"/>
        <v>0</v>
      </c>
      <c r="CL58">
        <f t="shared" si="74"/>
        <v>0</v>
      </c>
      <c r="CM58">
        <f t="shared" si="75"/>
        <v>1</v>
      </c>
      <c r="CN58">
        <f t="shared" si="76"/>
        <v>0</v>
      </c>
      <c r="CO58">
        <f t="shared" si="77"/>
        <v>1</v>
      </c>
      <c r="CS58" s="38">
        <f t="shared" si="78"/>
        <v>0</v>
      </c>
      <c r="CT58" s="38">
        <f t="shared" si="79"/>
        <v>0</v>
      </c>
      <c r="CU58" s="38">
        <f t="shared" si="80"/>
        <v>0</v>
      </c>
      <c r="CV58" s="38">
        <f t="shared" si="81"/>
        <v>0</v>
      </c>
      <c r="CW58" s="38">
        <f t="shared" si="82"/>
        <v>0</v>
      </c>
    </row>
    <row r="59" spans="1:101">
      <c r="A59" t="s">
        <v>465</v>
      </c>
      <c r="B59" t="s">
        <v>117</v>
      </c>
      <c r="C59" t="s">
        <v>117</v>
      </c>
      <c r="D59">
        <v>24059</v>
      </c>
      <c r="E59">
        <v>243</v>
      </c>
      <c r="F59">
        <v>24</v>
      </c>
      <c r="G59">
        <v>9331</v>
      </c>
      <c r="H59">
        <v>4736</v>
      </c>
      <c r="I59">
        <v>22394</v>
      </c>
      <c r="J59">
        <v>1144</v>
      </c>
      <c r="K59">
        <v>14685</v>
      </c>
      <c r="L59">
        <v>52518</v>
      </c>
      <c r="M59" s="3">
        <f t="shared" si="48"/>
        <v>17.76724170760501</v>
      </c>
      <c r="N59" s="3">
        <f t="shared" si="49"/>
        <v>9.0178605430519063</v>
      </c>
      <c r="O59" s="3">
        <f t="shared" si="50"/>
        <v>42.640618454625077</v>
      </c>
      <c r="P59" s="3">
        <f t="shared" si="51"/>
        <v>2.1783007730682815</v>
      </c>
      <c r="Q59" s="3">
        <f t="shared" si="52"/>
        <v>27.961841654289959</v>
      </c>
      <c r="R59">
        <v>16.5</v>
      </c>
      <c r="S59">
        <v>14.2</v>
      </c>
      <c r="T59">
        <v>42.9</v>
      </c>
      <c r="U59">
        <v>2.1</v>
      </c>
      <c r="V59">
        <v>23.4</v>
      </c>
      <c r="W59">
        <f t="shared" si="53"/>
        <v>0</v>
      </c>
      <c r="X59">
        <f t="shared" si="54"/>
        <v>0</v>
      </c>
      <c r="Y59">
        <f t="shared" si="55"/>
        <v>1</v>
      </c>
      <c r="Z59">
        <f t="shared" si="56"/>
        <v>0</v>
      </c>
      <c r="AA59">
        <f t="shared" si="57"/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P59" t="s">
        <v>429</v>
      </c>
      <c r="AQ59" s="27">
        <f>AQ105</f>
        <v>-0.33259620000000001</v>
      </c>
      <c r="AR59" s="27">
        <f>AR105</f>
        <v>-5.1240399999999998E-2</v>
      </c>
      <c r="AS59" s="27">
        <f>AS105</f>
        <v>0</v>
      </c>
      <c r="AT59" s="26">
        <f>AT105</f>
        <v>0</v>
      </c>
      <c r="AU59" s="27">
        <v>0</v>
      </c>
      <c r="AY59" s="5">
        <f t="shared" si="58"/>
        <v>21.212389384487057</v>
      </c>
      <c r="AZ59" s="5">
        <f t="shared" si="59"/>
        <v>24.945432230980515</v>
      </c>
      <c r="BA59" s="5">
        <f t="shared" si="60"/>
        <v>26.025391552484237</v>
      </c>
      <c r="BB59" s="5">
        <f t="shared" si="61"/>
        <v>2.5872562630449556</v>
      </c>
      <c r="BC59" s="5">
        <f t="shared" si="62"/>
        <v>24.927582537825423</v>
      </c>
      <c r="BD59" s="5"/>
      <c r="BE59" s="5">
        <f t="shared" si="34"/>
        <v>99.69805196882217</v>
      </c>
      <c r="BF59" s="2"/>
      <c r="BH59" s="2">
        <f t="array" ref="BH59">MIN(100,MAX(0,M59-AK59*5+AR$16*(W59*AQ$29+SUMPRODUCT($AB59:$AJ59,TRANSPOSE(AQ$30:AQ$38)))+AS$16*(W59*AQ$39+SUMPRODUCT($AB59:$AJ59,TRANSPOSE(AQ$40:AQ$48)))+AU$16*(W59*AQ$49+SUMPRODUCT($AB59:$AJ59,TRANSPOSE(AQ$50:AQ$58)))+AT$16*(W59*AQ$59+SUMPRODUCT($AB59:$AJ59,TRANSPOSE(AQ$60:AQ$68)))))</f>
        <v>21.212389384487057</v>
      </c>
      <c r="BI59" s="2">
        <f t="array" ref="BI59">MIN(100,MAX(0,N59-AL59*5+AQ$17*(X59*AR$29+SUMPRODUCT($AB59:$AJ59,TRANSPOSE(AR$30:AR$38)))+AS$17*(X59*AR$39+SUMPRODUCT($AB59:$AJ59,TRANSPOSE(AR$40:AR$48)))+AU$17*(X59*AR$49+SUMPRODUCT($AB59:$AJ59,TRANSPOSE(AR$50:AR$58)))+AT$17*(X59*AR$59+SUMPRODUCT($AB59:$AJ59,TRANSPOSE(AR$60:AR$68)))))</f>
        <v>24.945432230980515</v>
      </c>
      <c r="BJ59" s="2">
        <f t="array" ref="BJ59">MIN(100,MAX(0,O59-AM59*5+AQ$18*(Y59*AS$29+SUMPRODUCT($AB59:$AJ59,TRANSPOSE(AS$30:AS$38)))+AR$18*(Y59*AS$39+SUMPRODUCT($AB59:$AJ59,TRANSPOSE(AS$40:AS$48)))+AU$18*(Y59*AS$49+SUMPRODUCT($AB59:$AJ59,TRANSPOSE(AS$50:AS$58)))+AT$18*(Y59*AS$59+SUMPRODUCT($AB59:$AJ59,TRANSPOSE(AS$60:AS$68)))))</f>
        <v>26.025391552484237</v>
      </c>
      <c r="BK59" s="2">
        <f t="array" ref="BK59">MIN(100,MAX(0,P59+AQ$19*(Z59*AT$29+SUMPRODUCT($AB59:$AJ59,TRANSPOSE(AT$30:AT$38)))+AR$19*(Z59*AT$39+SUMPRODUCT($AB59:$AJ59,TRANSPOSE(AT$40:AT$48)))+AS$19*(Z59*AT$49+SUMPRODUCT($AB59:$AJ59,TRANSPOSE(AT$50:AT$58)))+AU$19*(Z59*AT$59+SUMPRODUCT($AB59:$AJ59,TRANSPOSE(AT$60:AT$68)))))</f>
        <v>2.5872562630449556</v>
      </c>
      <c r="BL59" s="2">
        <f t="array" ref="BL59">MIN(100,MAX(0,Q59-AN59*5+AQ$20*(AA59*AU$29+SUMPRODUCT($AB59:$AJ59,TRANSPOSE(AU$30:AU$38)))+AR$20*(AA59*AU$39+SUMPRODUCT($AB59:$AJ59,TRANSPOSE(AU$40:AU$48)))+AS$20*(AA59*AU$49+SUMPRODUCT($AB59:$AJ59,TRANSPOSE(AU$50:AU$58)))+AT$20*(AA59*AU$59+SUMPRODUCT($AB59:$AJ59,TRANSPOSE(AU$60:AU$68)))))</f>
        <v>25.044933072190915</v>
      </c>
      <c r="BM59" s="2"/>
      <c r="BN59" s="2"/>
      <c r="BP59">
        <f t="shared" si="63"/>
        <v>0</v>
      </c>
      <c r="BQ59">
        <f t="shared" si="64"/>
        <v>0</v>
      </c>
      <c r="BR59">
        <f t="shared" si="65"/>
        <v>1</v>
      </c>
      <c r="BS59">
        <f t="shared" si="66"/>
        <v>0</v>
      </c>
      <c r="BT59">
        <f t="shared" si="67"/>
        <v>0</v>
      </c>
      <c r="BV59" s="2"/>
      <c r="BW59" s="2">
        <f t="shared" si="36"/>
        <v>1</v>
      </c>
      <c r="BX59" s="2">
        <f t="shared" si="37"/>
        <v>0</v>
      </c>
      <c r="BY59" s="2">
        <f t="shared" si="38"/>
        <v>0</v>
      </c>
      <c r="BZ59" s="2">
        <f t="shared" si="39"/>
        <v>0</v>
      </c>
      <c r="CA59" s="2">
        <f t="shared" si="40"/>
        <v>1</v>
      </c>
      <c r="CD59">
        <f t="shared" si="68"/>
        <v>1</v>
      </c>
      <c r="CE59">
        <f t="shared" si="69"/>
        <v>1</v>
      </c>
      <c r="CF59">
        <f t="shared" si="70"/>
        <v>0</v>
      </c>
      <c r="CG59">
        <f t="shared" si="71"/>
        <v>1</v>
      </c>
      <c r="CH59">
        <f t="shared" si="72"/>
        <v>0</v>
      </c>
      <c r="CK59">
        <f t="shared" si="73"/>
        <v>0</v>
      </c>
      <c r="CL59">
        <f t="shared" si="74"/>
        <v>0</v>
      </c>
      <c r="CM59">
        <f t="shared" si="75"/>
        <v>1</v>
      </c>
      <c r="CN59">
        <f t="shared" si="76"/>
        <v>0</v>
      </c>
      <c r="CO59">
        <f t="shared" si="77"/>
        <v>1</v>
      </c>
      <c r="CS59" s="38">
        <f t="shared" si="78"/>
        <v>1</v>
      </c>
      <c r="CT59" s="38">
        <f t="shared" si="79"/>
        <v>1</v>
      </c>
      <c r="CU59" s="38">
        <f t="shared" si="80"/>
        <v>0</v>
      </c>
      <c r="CV59" s="38">
        <f t="shared" si="81"/>
        <v>0</v>
      </c>
      <c r="CW59" s="38">
        <f t="shared" si="82"/>
        <v>1</v>
      </c>
    </row>
    <row r="60" spans="1:101">
      <c r="A60" t="s">
        <v>465</v>
      </c>
      <c r="B60" t="s">
        <v>118</v>
      </c>
      <c r="C60" t="s">
        <v>118</v>
      </c>
      <c r="D60">
        <v>24060</v>
      </c>
      <c r="E60">
        <v>249</v>
      </c>
      <c r="F60">
        <v>24</v>
      </c>
      <c r="G60">
        <v>4342</v>
      </c>
      <c r="H60">
        <v>4613</v>
      </c>
      <c r="I60">
        <v>30339</v>
      </c>
      <c r="J60">
        <v>1006</v>
      </c>
      <c r="K60">
        <v>17963</v>
      </c>
      <c r="L60">
        <v>58263</v>
      </c>
      <c r="M60" s="3">
        <f t="shared" si="48"/>
        <v>7.4524140535159527</v>
      </c>
      <c r="N60" s="3">
        <f t="shared" si="49"/>
        <v>7.9175462986801222</v>
      </c>
      <c r="O60" s="3">
        <f t="shared" si="50"/>
        <v>52.072498841460281</v>
      </c>
      <c r="P60" s="3">
        <f t="shared" si="51"/>
        <v>1.7266532790965108</v>
      </c>
      <c r="Q60" s="3">
        <f t="shared" si="52"/>
        <v>30.830887527247135</v>
      </c>
      <c r="R60">
        <v>16.5</v>
      </c>
      <c r="S60">
        <v>14.2</v>
      </c>
      <c r="T60">
        <v>42.9</v>
      </c>
      <c r="U60">
        <v>2.1</v>
      </c>
      <c r="V60">
        <v>23.4</v>
      </c>
      <c r="W60">
        <f t="shared" si="53"/>
        <v>0</v>
      </c>
      <c r="X60">
        <f t="shared" si="54"/>
        <v>0</v>
      </c>
      <c r="Y60">
        <f t="shared" si="55"/>
        <v>1</v>
      </c>
      <c r="Z60">
        <f t="shared" si="56"/>
        <v>0</v>
      </c>
      <c r="AA60">
        <f t="shared" si="57"/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P60" t="s">
        <v>449</v>
      </c>
      <c r="AQ60" s="27">
        <f t="shared" ref="AQ60:AQ68" si="98">AVERAGE(AQ106,AT106)</f>
        <v>0.97409309999999993</v>
      </c>
      <c r="AR60" s="27">
        <f t="shared" ref="AR60:AR68" si="99">AVERAGE(AR106,AT106)</f>
        <v>0.98003764999999987</v>
      </c>
      <c r="AS60" s="27">
        <f t="shared" ref="AS60:AT68" si="100">AVERAGE(AS106,AT106)</f>
        <v>1.122539</v>
      </c>
      <c r="AT60" s="26">
        <f t="shared" si="100"/>
        <v>1.0606095</v>
      </c>
      <c r="AU60" s="27">
        <f>AT60</f>
        <v>1.0606095</v>
      </c>
      <c r="AY60" s="5">
        <f t="shared" si="58"/>
        <v>10.318130991729443</v>
      </c>
      <c r="AZ60" s="5">
        <f t="shared" si="59"/>
        <v>23.364086659652202</v>
      </c>
      <c r="BA60" s="5">
        <f t="shared" si="60"/>
        <v>36.139454736982572</v>
      </c>
      <c r="BB60" s="5">
        <f t="shared" si="61"/>
        <v>2.3206792935341478</v>
      </c>
      <c r="BC60" s="5">
        <f t="shared" si="62"/>
        <v>27.899759868544265</v>
      </c>
      <c r="BD60" s="5"/>
      <c r="BE60" s="5">
        <f t="shared" si="34"/>
        <v>100.04211155044263</v>
      </c>
      <c r="BF60" s="2"/>
      <c r="BH60" s="2">
        <f t="array" ref="BH60">MIN(100,MAX(0,M60-AK60*5+AR$16*(W60*AQ$29+SUMPRODUCT($AB60:$AJ60,TRANSPOSE(AQ$30:AQ$38)))+AS$16*(W60*AQ$39+SUMPRODUCT($AB60:$AJ60,TRANSPOSE(AQ$40:AQ$48)))+AU$16*(W60*AQ$49+SUMPRODUCT($AB60:$AJ60,TRANSPOSE(AQ$50:AQ$58)))+AT$16*(W60*AQ$59+SUMPRODUCT($AB60:$AJ60,TRANSPOSE(AQ$60:AQ$68)))))</f>
        <v>10.318130991729443</v>
      </c>
      <c r="BI60" s="2">
        <f t="array" ref="BI60">MIN(100,MAX(0,N60-AL60*5+AQ$17*(X60*AR$29+SUMPRODUCT($AB60:$AJ60,TRANSPOSE(AR$30:AR$38)))+AS$17*(X60*AR$39+SUMPRODUCT($AB60:$AJ60,TRANSPOSE(AR$40:AR$48)))+AU$17*(X60*AR$49+SUMPRODUCT($AB60:$AJ60,TRANSPOSE(AR$50:AR$58)))+AT$17*(X60*AR$59+SUMPRODUCT($AB60:$AJ60,TRANSPOSE(AR$60:AR$68)))))</f>
        <v>23.364086659652202</v>
      </c>
      <c r="BJ60" s="2">
        <f t="array" ref="BJ60">MIN(100,MAX(0,O60-AM60*5+AQ$18*(Y60*AS$29+SUMPRODUCT($AB60:$AJ60,TRANSPOSE(AS$30:AS$38)))+AR$18*(Y60*AS$39+SUMPRODUCT($AB60:$AJ60,TRANSPOSE(AS$40:AS$48)))+AU$18*(Y60*AS$49+SUMPRODUCT($AB60:$AJ60,TRANSPOSE(AS$50:AS$58)))+AT$18*(Y60*AS$59+SUMPRODUCT($AB60:$AJ60,TRANSPOSE(AS$60:AS$68)))))</f>
        <v>36.139454736982572</v>
      </c>
      <c r="BK60" s="2">
        <f t="array" ref="BK60">MIN(100,MAX(0,P60+AQ$19*(Z60*AT$29+SUMPRODUCT($AB60:$AJ60,TRANSPOSE(AT$30:AT$38)))+AR$19*(Z60*AT$39+SUMPRODUCT($AB60:$AJ60,TRANSPOSE(AT$40:AT$48)))+AS$19*(Z60*AT$49+SUMPRODUCT($AB60:$AJ60,TRANSPOSE(AT$50:AT$58)))+AU$19*(Z60*AT$59+SUMPRODUCT($AB60:$AJ60,TRANSPOSE(AT$60:AT$68)))))</f>
        <v>2.3206792935341478</v>
      </c>
      <c r="BL60" s="2">
        <f t="array" ref="BL60">MIN(100,MAX(0,Q60-AN60*5+AQ$20*(AA60*AU$29+SUMPRODUCT($AB60:$AJ60,TRANSPOSE(AU$30:AU$38)))+AR$20*(AA60*AU$39+SUMPRODUCT($AB60:$AJ60,TRANSPOSE(AU$40:AU$48)))+AS$20*(AA60*AU$49+SUMPRODUCT($AB60:$AJ60,TRANSPOSE(AU$50:AU$58)))+AT$20*(AA60*AU$59+SUMPRODUCT($AB60:$AJ60,TRANSPOSE(AU$60:AU$68)))))</f>
        <v>28.09614491012967</v>
      </c>
      <c r="BM60" s="2"/>
      <c r="BN60" s="2"/>
      <c r="BP60">
        <f t="shared" si="63"/>
        <v>0</v>
      </c>
      <c r="BQ60">
        <f t="shared" si="64"/>
        <v>0</v>
      </c>
      <c r="BR60">
        <f t="shared" si="65"/>
        <v>1</v>
      </c>
      <c r="BS60">
        <f t="shared" si="66"/>
        <v>0</v>
      </c>
      <c r="BT60">
        <f t="shared" si="67"/>
        <v>0</v>
      </c>
      <c r="BV60" s="2"/>
      <c r="BW60" s="2">
        <f t="shared" si="36"/>
        <v>0</v>
      </c>
      <c r="BX60" s="2">
        <f t="shared" si="37"/>
        <v>0</v>
      </c>
      <c r="BY60" s="2">
        <f t="shared" si="38"/>
        <v>1</v>
      </c>
      <c r="BZ60" s="2">
        <f t="shared" si="39"/>
        <v>0</v>
      </c>
      <c r="CA60" s="2">
        <f t="shared" si="40"/>
        <v>1</v>
      </c>
      <c r="CD60">
        <f t="shared" si="68"/>
        <v>1</v>
      </c>
      <c r="CE60">
        <f t="shared" si="69"/>
        <v>1</v>
      </c>
      <c r="CF60">
        <f t="shared" si="70"/>
        <v>0</v>
      </c>
      <c r="CG60">
        <f t="shared" si="71"/>
        <v>1</v>
      </c>
      <c r="CH60">
        <f t="shared" si="72"/>
        <v>0</v>
      </c>
      <c r="CK60">
        <f t="shared" si="73"/>
        <v>0</v>
      </c>
      <c r="CL60">
        <f t="shared" si="74"/>
        <v>0</v>
      </c>
      <c r="CM60">
        <f t="shared" si="75"/>
        <v>1</v>
      </c>
      <c r="CN60">
        <f t="shared" si="76"/>
        <v>0</v>
      </c>
      <c r="CO60">
        <f t="shared" si="77"/>
        <v>1</v>
      </c>
      <c r="CS60" s="38">
        <f t="shared" si="78"/>
        <v>0</v>
      </c>
      <c r="CT60" s="38">
        <f t="shared" si="79"/>
        <v>0</v>
      </c>
      <c r="CU60" s="38">
        <f t="shared" si="80"/>
        <v>0</v>
      </c>
      <c r="CV60" s="38">
        <f t="shared" si="81"/>
        <v>0</v>
      </c>
      <c r="CW60" s="38">
        <f t="shared" si="82"/>
        <v>1</v>
      </c>
    </row>
    <row r="61" spans="1:101">
      <c r="A61" t="s">
        <v>465</v>
      </c>
      <c r="B61" t="s">
        <v>119</v>
      </c>
      <c r="C61" t="s">
        <v>508</v>
      </c>
      <c r="D61">
        <v>24061</v>
      </c>
      <c r="E61">
        <v>241</v>
      </c>
      <c r="F61">
        <v>24</v>
      </c>
      <c r="G61">
        <v>13145</v>
      </c>
      <c r="H61">
        <v>3711</v>
      </c>
      <c r="I61">
        <v>17316</v>
      </c>
      <c r="J61">
        <v>1098</v>
      </c>
      <c r="K61">
        <v>18033</v>
      </c>
      <c r="L61">
        <v>53303</v>
      </c>
      <c r="M61" s="3">
        <f t="shared" si="48"/>
        <v>24.660900887379697</v>
      </c>
      <c r="N61" s="3">
        <f t="shared" si="49"/>
        <v>6.9620846856649727</v>
      </c>
      <c r="O61" s="3">
        <f t="shared" si="50"/>
        <v>32.485976399076975</v>
      </c>
      <c r="P61" s="3">
        <f t="shared" si="51"/>
        <v>2.0599215803988518</v>
      </c>
      <c r="Q61" s="3">
        <f t="shared" si="52"/>
        <v>33.831116447479502</v>
      </c>
      <c r="R61">
        <v>16.5</v>
      </c>
      <c r="S61">
        <v>14.2</v>
      </c>
      <c r="T61">
        <v>42.9</v>
      </c>
      <c r="U61">
        <v>2.1</v>
      </c>
      <c r="V61">
        <v>23.4</v>
      </c>
      <c r="W61">
        <f t="shared" si="53"/>
        <v>0</v>
      </c>
      <c r="X61">
        <f t="shared" si="54"/>
        <v>0</v>
      </c>
      <c r="Y61">
        <f t="shared" si="55"/>
        <v>0</v>
      </c>
      <c r="Z61">
        <f t="shared" si="56"/>
        <v>0</v>
      </c>
      <c r="AA61" s="54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54">
        <v>1</v>
      </c>
      <c r="AP61" t="s">
        <v>450</v>
      </c>
      <c r="AQ61" s="27">
        <f t="shared" si="98"/>
        <v>0.97812394999999996</v>
      </c>
      <c r="AR61" s="27">
        <f t="shared" si="99"/>
        <v>1.0025312500000001</v>
      </c>
      <c r="AS61" s="27">
        <f t="shared" si="100"/>
        <v>1.0606665</v>
      </c>
      <c r="AT61" s="26">
        <f t="shared" si="100"/>
        <v>1.0076993000000001</v>
      </c>
      <c r="AU61" s="27">
        <f t="shared" ref="AU61:AU68" si="101">AT61</f>
        <v>1.0076993000000001</v>
      </c>
      <c r="AY61" s="5">
        <f t="shared" si="58"/>
        <v>36.749177916365475</v>
      </c>
      <c r="AZ61" s="5">
        <f t="shared" si="59"/>
        <v>23.219064300332899</v>
      </c>
      <c r="BA61" s="5">
        <f t="shared" si="60"/>
        <v>15.635917655305908</v>
      </c>
      <c r="BB61" s="5">
        <f t="shared" si="61"/>
        <v>2.6304927643441416</v>
      </c>
      <c r="BC61" s="5">
        <f t="shared" si="62"/>
        <v>21.003573586702544</v>
      </c>
      <c r="BD61" s="5"/>
      <c r="BE61" s="5">
        <f t="shared" si="34"/>
        <v>99.238226223050958</v>
      </c>
      <c r="BF61" s="2"/>
      <c r="BH61" s="58">
        <f t="array" ref="BH61">MIN(100,MAX(0,M61+9-AK61*5+AR$16*(W61*AQ$29+SUMPRODUCT($AB61:$AJ61,TRANSPOSE(AQ$30:AQ$38)))+AS$16*(W61*AQ$39+SUMPRODUCT($AB61:$AJ61,TRANSPOSE(AQ$40:AQ$48)))+AU$16*(W61*AQ$49+SUMPRODUCT($AB61:$AJ61,TRANSPOSE(AQ$50:AQ$58)))+AT$16*(W61*AQ$59+SUMPRODUCT($AB61:$AJ61,TRANSPOSE(AQ$60:AQ$68)))))</f>
        <v>36.749177916365475</v>
      </c>
      <c r="BI61" s="2">
        <f t="array" ref="BI61">MIN(100,MAX(0,N61-AL61*5+AQ$17*(X61*AR$29+SUMPRODUCT($AB61:$AJ61,TRANSPOSE(AR$30:AR$38)))+AS$17*(X61*AR$39+SUMPRODUCT($AB61:$AJ61,TRANSPOSE(AR$40:AR$48)))+AU$17*(X61*AR$49+SUMPRODUCT($AB61:$AJ61,TRANSPOSE(AR$50:AR$58)))+AT$17*(X61*AR$59+SUMPRODUCT($AB61:$AJ61,TRANSPOSE(AR$60:AR$68)))))</f>
        <v>23.219064300332899</v>
      </c>
      <c r="BJ61" s="2">
        <f t="array" ref="BJ61">MIN(100,MAX(0,O61-AM61*5+AQ$18*(Y61*AS$29+SUMPRODUCT($AB61:$AJ61,TRANSPOSE(AS$30:AS$38)))+AR$18*(Y61*AS$39+SUMPRODUCT($AB61:$AJ61,TRANSPOSE(AS$40:AS$48)))+AU$18*(Y61*AS$49+SUMPRODUCT($AB61:$AJ61,TRANSPOSE(AS$50:AS$58)))+AT$18*(Y61*AS$59+SUMPRODUCT($AB61:$AJ61,TRANSPOSE(AS$60:AS$68)))))</f>
        <v>15.635917655305908</v>
      </c>
      <c r="BK61" s="2">
        <f t="array" ref="BK61">MIN(100,MAX(0,P61+AQ$19*(Z61*AT$29+SUMPRODUCT($AB61:$AJ61,TRANSPOSE(AT$30:AT$38)))+AR$19*(Z61*AT$39+SUMPRODUCT($AB61:$AJ61,TRANSPOSE(AT$40:AT$48)))+AS$19*(Z61*AT$49+SUMPRODUCT($AB61:$AJ61,TRANSPOSE(AT$50:AT$58)))+AU$19*(Z61*AT$59+SUMPRODUCT($AB61:$AJ61,TRANSPOSE(AT$60:AT$68)))))</f>
        <v>2.6304927643441416</v>
      </c>
      <c r="BL61" s="58">
        <f t="array" ref="BL61">MIN(100,MAX(0,Q61-5-AN61*5+AQ$20*(AA61*AU$29+SUMPRODUCT($AB61:$AJ61,TRANSPOSE(AU$30:AU$38)))+AR$20*(AA61*AU$39+SUMPRODUCT($AB61:$AJ61,TRANSPOSE(AU$40:AU$48)))+AS$20*(AA61*AU$49+SUMPRODUCT($AB61:$AJ61,TRANSPOSE(AU$50:AU$58)))+AT$20*(AA61*AU$59+SUMPRODUCT($AB61:$AJ61,TRANSPOSE(AU$60:AU$68)))))</f>
        <v>21.016579030156681</v>
      </c>
      <c r="BM61" s="2"/>
      <c r="BN61" s="2"/>
      <c r="BP61">
        <f t="shared" si="63"/>
        <v>1</v>
      </c>
      <c r="BQ61">
        <f t="shared" si="64"/>
        <v>0</v>
      </c>
      <c r="BR61">
        <f t="shared" si="65"/>
        <v>0</v>
      </c>
      <c r="BS61">
        <f t="shared" si="66"/>
        <v>0</v>
      </c>
      <c r="BT61">
        <f t="shared" si="67"/>
        <v>0</v>
      </c>
      <c r="BV61" s="2"/>
      <c r="BW61" s="2">
        <f t="shared" si="36"/>
        <v>1</v>
      </c>
      <c r="BX61" s="2">
        <f t="shared" si="37"/>
        <v>0</v>
      </c>
      <c r="BY61" s="2">
        <f t="shared" si="38"/>
        <v>0</v>
      </c>
      <c r="BZ61" s="2">
        <f t="shared" si="39"/>
        <v>0</v>
      </c>
      <c r="CA61" s="2">
        <f t="shared" si="40"/>
        <v>1</v>
      </c>
      <c r="CD61">
        <f t="shared" si="68"/>
        <v>1</v>
      </c>
      <c r="CE61">
        <f t="shared" si="69"/>
        <v>1</v>
      </c>
      <c r="CF61">
        <f t="shared" si="70"/>
        <v>0</v>
      </c>
      <c r="CG61">
        <f t="shared" si="71"/>
        <v>1</v>
      </c>
      <c r="CH61">
        <f t="shared" si="72"/>
        <v>0</v>
      </c>
      <c r="CK61">
        <f t="shared" si="73"/>
        <v>0</v>
      </c>
      <c r="CL61">
        <f t="shared" si="74"/>
        <v>0</v>
      </c>
      <c r="CM61">
        <f t="shared" si="75"/>
        <v>1</v>
      </c>
      <c r="CN61">
        <f t="shared" si="76"/>
        <v>0</v>
      </c>
      <c r="CO61">
        <f t="shared" si="77"/>
        <v>1</v>
      </c>
      <c r="CS61" s="38">
        <f t="shared" si="78"/>
        <v>0</v>
      </c>
      <c r="CT61" s="38">
        <f t="shared" si="79"/>
        <v>0</v>
      </c>
      <c r="CU61" s="38">
        <f t="shared" si="80"/>
        <v>0</v>
      </c>
      <c r="CV61" s="38">
        <f t="shared" si="81"/>
        <v>0</v>
      </c>
      <c r="CW61" s="38">
        <f t="shared" si="82"/>
        <v>0</v>
      </c>
    </row>
    <row r="62" spans="1:101">
      <c r="A62" t="s">
        <v>465</v>
      </c>
      <c r="B62" t="s">
        <v>120</v>
      </c>
      <c r="C62" t="s">
        <v>509</v>
      </c>
      <c r="D62">
        <v>24018</v>
      </c>
      <c r="E62">
        <v>246</v>
      </c>
      <c r="F62">
        <v>24</v>
      </c>
      <c r="G62">
        <v>6218</v>
      </c>
      <c r="H62">
        <v>4101</v>
      </c>
      <c r="I62">
        <v>18360</v>
      </c>
      <c r="J62">
        <v>867</v>
      </c>
      <c r="K62">
        <v>13170</v>
      </c>
      <c r="L62">
        <v>42716</v>
      </c>
      <c r="M62" s="3">
        <f t="shared" si="48"/>
        <v>14.556606423822455</v>
      </c>
      <c r="N62" s="3">
        <f t="shared" si="49"/>
        <v>9.6006180353965735</v>
      </c>
      <c r="O62" s="3">
        <f t="shared" si="50"/>
        <v>42.981552579829575</v>
      </c>
      <c r="P62" s="3">
        <f t="shared" si="51"/>
        <v>2.029684427380841</v>
      </c>
      <c r="Q62" s="3">
        <f t="shared" si="52"/>
        <v>30.831538533570559</v>
      </c>
      <c r="R62">
        <v>16.5</v>
      </c>
      <c r="S62">
        <v>14.2</v>
      </c>
      <c r="T62">
        <v>42.9</v>
      </c>
      <c r="U62">
        <v>2.1</v>
      </c>
      <c r="V62">
        <v>23.4</v>
      </c>
      <c r="W62">
        <f t="shared" si="53"/>
        <v>0</v>
      </c>
      <c r="X62">
        <f t="shared" si="54"/>
        <v>0</v>
      </c>
      <c r="Y62">
        <f t="shared" si="55"/>
        <v>1</v>
      </c>
      <c r="Z62">
        <f t="shared" si="56"/>
        <v>0</v>
      </c>
      <c r="AA62">
        <f t="shared" si="57"/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P62" t="s">
        <v>451</v>
      </c>
      <c r="AQ62" s="27">
        <f t="shared" si="98"/>
        <v>1.0893507499999999</v>
      </c>
      <c r="AR62" s="27">
        <f t="shared" si="99"/>
        <v>0.92582775000000006</v>
      </c>
      <c r="AS62" s="27">
        <f t="shared" si="100"/>
        <v>0.77271489999999998</v>
      </c>
      <c r="AT62" s="26">
        <f t="shared" si="100"/>
        <v>0.73068664999999999</v>
      </c>
      <c r="AU62" s="27">
        <f t="shared" si="101"/>
        <v>0.73068664999999999</v>
      </c>
      <c r="AY62" s="5">
        <f t="shared" si="58"/>
        <v>17.527716878216133</v>
      </c>
      <c r="AZ62" s="5">
        <f t="shared" si="59"/>
        <v>24.632562720936285</v>
      </c>
      <c r="BA62" s="5">
        <f t="shared" si="60"/>
        <v>27.585965813791162</v>
      </c>
      <c r="BB62" s="5">
        <f t="shared" si="61"/>
        <v>2.4905038096927266</v>
      </c>
      <c r="BC62" s="5">
        <f t="shared" si="62"/>
        <v>27.80237119153961</v>
      </c>
      <c r="BD62" s="5"/>
      <c r="BE62" s="5">
        <f t="shared" si="34"/>
        <v>100.03912041417591</v>
      </c>
      <c r="BF62" s="2"/>
      <c r="BH62" s="2">
        <f t="array" ref="BH62">MIN(100,MAX(0,M62-AK62*5+AR$16*(W62*AQ$29+SUMPRODUCT($AB62:$AJ62,TRANSPOSE(AQ$30:AQ$38)))+AS$16*(W62*AQ$39+SUMPRODUCT($AB62:$AJ62,TRANSPOSE(AQ$40:AQ$48)))+AU$16*(W62*AQ$49+SUMPRODUCT($AB62:$AJ62,TRANSPOSE(AQ$50:AQ$58)))+AT$16*(W62*AQ$59+SUMPRODUCT($AB62:$AJ62,TRANSPOSE(AQ$60:AQ$68)))))</f>
        <v>17.527716878216133</v>
      </c>
      <c r="BI62" s="2">
        <f t="array" ref="BI62">MIN(100,MAX(0,N62-AL62*5+AQ$17*(X62*AR$29+SUMPRODUCT($AB62:$AJ62,TRANSPOSE(AR$30:AR$38)))+AS$17*(X62*AR$39+SUMPRODUCT($AB62:$AJ62,TRANSPOSE(AR$40:AR$48)))+AU$17*(X62*AR$49+SUMPRODUCT($AB62:$AJ62,TRANSPOSE(AR$50:AR$58)))+AT$17*(X62*AR$59+SUMPRODUCT($AB62:$AJ62,TRANSPOSE(AR$60:AR$68)))))</f>
        <v>24.632562720936285</v>
      </c>
      <c r="BJ62" s="2">
        <f t="array" ref="BJ62">MIN(100,MAX(0,O62-AM62*5+AQ$18*(Y62*AS$29+SUMPRODUCT($AB62:$AJ62,TRANSPOSE(AS$30:AS$38)))+AR$18*(Y62*AS$39+SUMPRODUCT($AB62:$AJ62,TRANSPOSE(AS$40:AS$48)))+AU$18*(Y62*AS$49+SUMPRODUCT($AB62:$AJ62,TRANSPOSE(AS$50:AS$58)))+AT$18*(Y62*AS$59+SUMPRODUCT($AB62:$AJ62,TRANSPOSE(AS$60:AS$68)))))</f>
        <v>27.585965813791162</v>
      </c>
      <c r="BK62" s="2">
        <f t="array" ref="BK62">MIN(100,MAX(0,P62+AQ$19*(Z62*AT$29+SUMPRODUCT($AB62:$AJ62,TRANSPOSE(AT$30:AT$38)))+AR$19*(Z62*AT$39+SUMPRODUCT($AB62:$AJ62,TRANSPOSE(AT$40:AT$48)))+AS$19*(Z62*AT$49+SUMPRODUCT($AB62:$AJ62,TRANSPOSE(AT$50:AT$58)))+AU$19*(Z62*AT$59+SUMPRODUCT($AB62:$AJ62,TRANSPOSE(AT$60:AT$68)))))</f>
        <v>2.4905038096927266</v>
      </c>
      <c r="BL62" s="2">
        <f t="array" ref="BL62">MIN(100,MAX(0,Q62-AN62*5+AQ$20*(AA62*AU$29+SUMPRODUCT($AB62:$AJ62,TRANSPOSE(AU$30:AU$38)))+AR$20*(AA62*AU$39+SUMPRODUCT($AB62:$AJ62,TRANSPOSE(AU$40:AU$48)))+AS$20*(AA62*AU$49+SUMPRODUCT($AB62:$AJ62,TRANSPOSE(AU$50:AU$58)))+AT$20*(AA62*AU$59+SUMPRODUCT($AB62:$AJ62,TRANSPOSE(AU$60:AU$68)))))</f>
        <v>27.996166526913239</v>
      </c>
      <c r="BM62" s="2"/>
      <c r="BN62" s="2"/>
      <c r="BP62">
        <f t="shared" si="63"/>
        <v>0</v>
      </c>
      <c r="BQ62">
        <f t="shared" si="64"/>
        <v>0</v>
      </c>
      <c r="BR62">
        <f t="shared" si="65"/>
        <v>0</v>
      </c>
      <c r="BS62">
        <f t="shared" si="66"/>
        <v>0</v>
      </c>
      <c r="BT62">
        <f t="shared" si="67"/>
        <v>1</v>
      </c>
      <c r="BV62" s="2"/>
      <c r="BW62" s="2">
        <f t="shared" si="36"/>
        <v>0</v>
      </c>
      <c r="BX62" s="2">
        <f t="shared" si="37"/>
        <v>0</v>
      </c>
      <c r="BY62" s="2">
        <f t="shared" si="38"/>
        <v>1</v>
      </c>
      <c r="BZ62" s="2">
        <f t="shared" si="39"/>
        <v>0</v>
      </c>
      <c r="CA62" s="2">
        <f t="shared" si="40"/>
        <v>1</v>
      </c>
      <c r="CD62">
        <f t="shared" si="68"/>
        <v>1</v>
      </c>
      <c r="CE62">
        <f t="shared" si="69"/>
        <v>1</v>
      </c>
      <c r="CF62">
        <f t="shared" si="70"/>
        <v>0</v>
      </c>
      <c r="CG62">
        <f t="shared" si="71"/>
        <v>1</v>
      </c>
      <c r="CH62">
        <f t="shared" si="72"/>
        <v>0</v>
      </c>
      <c r="CK62">
        <f t="shared" si="73"/>
        <v>0</v>
      </c>
      <c r="CL62">
        <f t="shared" si="74"/>
        <v>0</v>
      </c>
      <c r="CM62">
        <f t="shared" si="75"/>
        <v>1</v>
      </c>
      <c r="CN62">
        <f t="shared" si="76"/>
        <v>0</v>
      </c>
      <c r="CO62">
        <f t="shared" si="77"/>
        <v>1</v>
      </c>
      <c r="CS62" s="38">
        <f t="shared" si="78"/>
        <v>0</v>
      </c>
      <c r="CT62" s="38">
        <f t="shared" si="79"/>
        <v>1</v>
      </c>
      <c r="CU62" s="38">
        <f t="shared" si="80"/>
        <v>1</v>
      </c>
      <c r="CV62" s="38">
        <f t="shared" si="81"/>
        <v>0</v>
      </c>
      <c r="CW62" s="38">
        <f t="shared" si="82"/>
        <v>0</v>
      </c>
    </row>
    <row r="63" spans="1:101">
      <c r="A63" t="s">
        <v>465</v>
      </c>
      <c r="B63" t="s">
        <v>121</v>
      </c>
      <c r="C63" t="s">
        <v>121</v>
      </c>
      <c r="D63">
        <v>24062</v>
      </c>
      <c r="E63">
        <v>244</v>
      </c>
      <c r="F63">
        <v>24</v>
      </c>
      <c r="G63">
        <v>5399</v>
      </c>
      <c r="H63">
        <v>5819</v>
      </c>
      <c r="I63">
        <v>25758</v>
      </c>
      <c r="J63">
        <v>1242</v>
      </c>
      <c r="K63">
        <v>14223</v>
      </c>
      <c r="L63">
        <v>52440</v>
      </c>
      <c r="M63" s="3">
        <f t="shared" si="48"/>
        <v>10.295575896262395</v>
      </c>
      <c r="N63" s="3">
        <f t="shared" si="49"/>
        <v>11.096491228070175</v>
      </c>
      <c r="O63" s="3">
        <f t="shared" si="50"/>
        <v>49.118993135011443</v>
      </c>
      <c r="P63" s="3">
        <f t="shared" si="51"/>
        <v>2.3684210526315792</v>
      </c>
      <c r="Q63" s="3">
        <f t="shared" si="52"/>
        <v>27.122425629290621</v>
      </c>
      <c r="R63">
        <v>16.5</v>
      </c>
      <c r="S63">
        <v>14.2</v>
      </c>
      <c r="T63">
        <v>42.9</v>
      </c>
      <c r="U63">
        <v>2.1</v>
      </c>
      <c r="V63">
        <v>23.4</v>
      </c>
      <c r="W63">
        <f t="shared" si="53"/>
        <v>0</v>
      </c>
      <c r="X63">
        <f t="shared" si="54"/>
        <v>0</v>
      </c>
      <c r="Y63">
        <f t="shared" si="55"/>
        <v>1</v>
      </c>
      <c r="Z63">
        <f t="shared" si="56"/>
        <v>0</v>
      </c>
      <c r="AA63">
        <f t="shared" si="57"/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P63" t="s">
        <v>452</v>
      </c>
      <c r="AQ63" s="27">
        <f t="shared" si="98"/>
        <v>1.0201337500000001</v>
      </c>
      <c r="AR63" s="27">
        <f t="shared" si="99"/>
        <v>0.97616924999999988</v>
      </c>
      <c r="AS63" s="27">
        <f t="shared" si="100"/>
        <v>0.95794274999999995</v>
      </c>
      <c r="AT63" s="26">
        <f t="shared" si="100"/>
        <v>0.92225625</v>
      </c>
      <c r="AU63" s="27">
        <f t="shared" si="101"/>
        <v>0.92225625</v>
      </c>
      <c r="AY63" s="5">
        <f t="shared" si="58"/>
        <v>13.161292834475885</v>
      </c>
      <c r="AZ63" s="5">
        <f t="shared" si="59"/>
        <v>26.543031589042258</v>
      </c>
      <c r="BA63" s="5">
        <f t="shared" si="60"/>
        <v>33.185949030533735</v>
      </c>
      <c r="BB63" s="5">
        <f t="shared" si="61"/>
        <v>2.962447067069216</v>
      </c>
      <c r="BC63" s="5">
        <f t="shared" si="62"/>
        <v>24.287357003593741</v>
      </c>
      <c r="BD63" s="5"/>
      <c r="BE63" s="5">
        <f t="shared" si="34"/>
        <v>100.14007752471484</v>
      </c>
      <c r="BF63" s="2"/>
      <c r="BH63" s="2">
        <f t="array" ref="BH63">MIN(100,MAX(0,M63-AK63*5+AR$16*(W63*AQ$29+SUMPRODUCT($AB63:$AJ63,TRANSPOSE(AQ$30:AQ$38)))+AS$16*(W63*AQ$39+SUMPRODUCT($AB63:$AJ63,TRANSPOSE(AQ$40:AQ$48)))+AU$16*(W63*AQ$49+SUMPRODUCT($AB63:$AJ63,TRANSPOSE(AQ$50:AQ$58)))+AT$16*(W63*AQ$59+SUMPRODUCT($AB63:$AJ63,TRANSPOSE(AQ$60:AQ$68)))))</f>
        <v>13.161292834475885</v>
      </c>
      <c r="BI63" s="2">
        <f t="array" ref="BI63">MIN(100,MAX(0,N63-AL63*5+AQ$17*(X63*AR$29+SUMPRODUCT($AB63:$AJ63,TRANSPOSE(AR$30:AR$38)))+AS$17*(X63*AR$39+SUMPRODUCT($AB63:$AJ63,TRANSPOSE(AR$40:AR$48)))+AU$17*(X63*AR$49+SUMPRODUCT($AB63:$AJ63,TRANSPOSE(AR$50:AR$58)))+AT$17*(X63*AR$59+SUMPRODUCT($AB63:$AJ63,TRANSPOSE(AR$60:AR$68)))))</f>
        <v>26.543031589042258</v>
      </c>
      <c r="BJ63" s="2">
        <f t="array" ref="BJ63">MIN(100,MAX(0,O63-AM63*5+AQ$18*(Y63*AS$29+SUMPRODUCT($AB63:$AJ63,TRANSPOSE(AS$30:AS$38)))+AR$18*(Y63*AS$39+SUMPRODUCT($AB63:$AJ63,TRANSPOSE(AS$40:AS$48)))+AU$18*(Y63*AS$49+SUMPRODUCT($AB63:$AJ63,TRANSPOSE(AS$50:AS$58)))+AT$18*(Y63*AS$59+SUMPRODUCT($AB63:$AJ63,TRANSPOSE(AS$60:AS$68)))))</f>
        <v>33.185949030533735</v>
      </c>
      <c r="BK63" s="2">
        <f t="array" ref="BK63">MIN(100,MAX(0,P63+AQ$19*(Z63*AT$29+SUMPRODUCT($AB63:$AJ63,TRANSPOSE(AT$30:AT$38)))+AR$19*(Z63*AT$39+SUMPRODUCT($AB63:$AJ63,TRANSPOSE(AT$40:AT$48)))+AS$19*(Z63*AT$49+SUMPRODUCT($AB63:$AJ63,TRANSPOSE(AT$50:AT$58)))+AU$19*(Z63*AT$59+SUMPRODUCT($AB63:$AJ63,TRANSPOSE(AT$60:AT$68)))))</f>
        <v>2.962447067069216</v>
      </c>
      <c r="BL63" s="2">
        <f t="array" ref="BL63">MIN(100,MAX(0,Q63-AN63*5+AQ$20*(AA63*AU$29+SUMPRODUCT($AB63:$AJ63,TRANSPOSE(AU$30:AU$38)))+AR$20*(AA63*AU$39+SUMPRODUCT($AB63:$AJ63,TRANSPOSE(AU$40:AU$48)))+AS$20*(AA63*AU$49+SUMPRODUCT($AB63:$AJ63,TRANSPOSE(AU$50:AU$58)))+AT$20*(AA63*AU$59+SUMPRODUCT($AB63:$AJ63,TRANSPOSE(AU$60:AU$68)))))</f>
        <v>24.387683012173159</v>
      </c>
      <c r="BM63" s="2"/>
      <c r="BN63" s="2"/>
      <c r="BP63">
        <f t="shared" si="63"/>
        <v>0</v>
      </c>
      <c r="BQ63">
        <f t="shared" si="64"/>
        <v>0</v>
      </c>
      <c r="BR63">
        <f t="shared" si="65"/>
        <v>1</v>
      </c>
      <c r="BS63">
        <f t="shared" si="66"/>
        <v>0</v>
      </c>
      <c r="BT63">
        <f t="shared" si="67"/>
        <v>0</v>
      </c>
      <c r="BV63" s="2"/>
      <c r="BW63" s="2">
        <f t="shared" si="36"/>
        <v>0</v>
      </c>
      <c r="BX63" s="2">
        <f t="shared" si="37"/>
        <v>0</v>
      </c>
      <c r="BY63" s="2">
        <f t="shared" si="38"/>
        <v>1</v>
      </c>
      <c r="BZ63" s="2">
        <f t="shared" si="39"/>
        <v>1</v>
      </c>
      <c r="CA63" s="2">
        <f t="shared" si="40"/>
        <v>1</v>
      </c>
      <c r="CD63">
        <f t="shared" si="68"/>
        <v>1</v>
      </c>
      <c r="CE63">
        <f t="shared" si="69"/>
        <v>1</v>
      </c>
      <c r="CF63">
        <f t="shared" si="70"/>
        <v>0</v>
      </c>
      <c r="CG63">
        <f t="shared" si="71"/>
        <v>1</v>
      </c>
      <c r="CH63">
        <f t="shared" si="72"/>
        <v>0</v>
      </c>
      <c r="CK63">
        <f t="shared" si="73"/>
        <v>0</v>
      </c>
      <c r="CL63">
        <f t="shared" si="74"/>
        <v>0</v>
      </c>
      <c r="CM63">
        <f t="shared" si="75"/>
        <v>1</v>
      </c>
      <c r="CN63">
        <f t="shared" si="76"/>
        <v>0</v>
      </c>
      <c r="CO63">
        <f t="shared" si="77"/>
        <v>1</v>
      </c>
      <c r="CS63" s="38">
        <f t="shared" si="78"/>
        <v>0</v>
      </c>
      <c r="CT63" s="38">
        <f t="shared" si="79"/>
        <v>0</v>
      </c>
      <c r="CU63" s="38">
        <f t="shared" si="80"/>
        <v>0</v>
      </c>
      <c r="CV63" s="38">
        <f t="shared" si="81"/>
        <v>0</v>
      </c>
      <c r="CW63" s="38">
        <f t="shared" si="82"/>
        <v>1</v>
      </c>
    </row>
    <row r="64" spans="1:101">
      <c r="A64" t="s">
        <v>465</v>
      </c>
      <c r="B64" t="s">
        <v>122</v>
      </c>
      <c r="C64" t="s">
        <v>122</v>
      </c>
      <c r="D64">
        <v>24063</v>
      </c>
      <c r="E64">
        <v>244</v>
      </c>
      <c r="F64">
        <v>24</v>
      </c>
      <c r="G64">
        <v>4022</v>
      </c>
      <c r="H64">
        <v>3078</v>
      </c>
      <c r="I64">
        <v>26290</v>
      </c>
      <c r="J64">
        <v>856</v>
      </c>
      <c r="K64">
        <v>13449</v>
      </c>
      <c r="L64">
        <v>47696</v>
      </c>
      <c r="M64" s="3">
        <f t="shared" si="48"/>
        <v>8.432572962093257</v>
      </c>
      <c r="N64" s="3">
        <f t="shared" si="49"/>
        <v>6.4533713518953375</v>
      </c>
      <c r="O64" s="3">
        <f t="shared" si="50"/>
        <v>55.11992619926199</v>
      </c>
      <c r="P64" s="3">
        <f t="shared" si="51"/>
        <v>1.7946997651794701</v>
      </c>
      <c r="Q64" s="3">
        <f t="shared" si="52"/>
        <v>28.197333109694732</v>
      </c>
      <c r="R64">
        <v>16.5</v>
      </c>
      <c r="S64">
        <v>14.2</v>
      </c>
      <c r="T64">
        <v>42.9</v>
      </c>
      <c r="U64">
        <v>2.1</v>
      </c>
      <c r="V64">
        <v>23.4</v>
      </c>
      <c r="W64">
        <f t="shared" si="53"/>
        <v>0</v>
      </c>
      <c r="X64">
        <f t="shared" si="54"/>
        <v>0</v>
      </c>
      <c r="Y64">
        <f t="shared" si="55"/>
        <v>1</v>
      </c>
      <c r="Z64">
        <f t="shared" si="56"/>
        <v>0</v>
      </c>
      <c r="AA64">
        <f t="shared" si="57"/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P64" t="s">
        <v>453</v>
      </c>
      <c r="AQ64" s="27">
        <f t="shared" si="98"/>
        <v>1.0085808999999999</v>
      </c>
      <c r="AR64" s="27">
        <f t="shared" si="99"/>
        <v>0.95126840000000001</v>
      </c>
      <c r="AS64" s="27">
        <f t="shared" si="100"/>
        <v>0.86230724999999997</v>
      </c>
      <c r="AT64" s="26">
        <f t="shared" si="100"/>
        <v>0.86931055000000002</v>
      </c>
      <c r="AU64" s="27">
        <f t="shared" si="101"/>
        <v>0.86931055000000002</v>
      </c>
      <c r="AY64" s="5">
        <f t="shared" si="58"/>
        <v>11.298289900306747</v>
      </c>
      <c r="AZ64" s="5">
        <f t="shared" si="59"/>
        <v>21.899911712867418</v>
      </c>
      <c r="BA64" s="5">
        <f t="shared" si="60"/>
        <v>39.186882094784281</v>
      </c>
      <c r="BB64" s="5">
        <f t="shared" si="61"/>
        <v>2.3887257796171069</v>
      </c>
      <c r="BC64" s="5">
        <f t="shared" si="62"/>
        <v>25.334421519453596</v>
      </c>
      <c r="BD64" s="5"/>
      <c r="BE64" s="5">
        <f t="shared" si="34"/>
        <v>100.10823100702915</v>
      </c>
      <c r="BF64" s="2"/>
      <c r="BH64" s="2">
        <f t="array" ref="BH64">MIN(100,MAX(0,M64-AK64*5+AR$16*(W64*AQ$29+SUMPRODUCT($AB64:$AJ64,TRANSPOSE(AQ$30:AQ$38)))+AS$16*(W64*AQ$39+SUMPRODUCT($AB64:$AJ64,TRANSPOSE(AQ$40:AQ$48)))+AU$16*(W64*AQ$49+SUMPRODUCT($AB64:$AJ64,TRANSPOSE(AQ$50:AQ$58)))+AT$16*(W64*AQ$59+SUMPRODUCT($AB64:$AJ64,TRANSPOSE(AQ$60:AQ$68)))))</f>
        <v>11.298289900306747</v>
      </c>
      <c r="BI64" s="2">
        <f t="array" ref="BI64">MIN(100,MAX(0,N64-AL64*5+AQ$17*(X64*AR$29+SUMPRODUCT($AB64:$AJ64,TRANSPOSE(AR$30:AR$38)))+AS$17*(X64*AR$39+SUMPRODUCT($AB64:$AJ64,TRANSPOSE(AR$40:AR$48)))+AU$17*(X64*AR$49+SUMPRODUCT($AB64:$AJ64,TRANSPOSE(AR$50:AR$58)))+AT$17*(X64*AR$59+SUMPRODUCT($AB64:$AJ64,TRANSPOSE(AR$60:AR$68)))))</f>
        <v>21.899911712867418</v>
      </c>
      <c r="BJ64" s="2">
        <f t="array" ref="BJ64">MIN(100,MAX(0,O64-AM64*5+AQ$18*(Y64*AS$29+SUMPRODUCT($AB64:$AJ64,TRANSPOSE(AS$30:AS$38)))+AR$18*(Y64*AS$39+SUMPRODUCT($AB64:$AJ64,TRANSPOSE(AS$40:AS$48)))+AU$18*(Y64*AS$49+SUMPRODUCT($AB64:$AJ64,TRANSPOSE(AS$50:AS$58)))+AT$18*(Y64*AS$59+SUMPRODUCT($AB64:$AJ64,TRANSPOSE(AS$60:AS$68)))))</f>
        <v>39.186882094784281</v>
      </c>
      <c r="BK64" s="2">
        <f t="array" ref="BK64">MIN(100,MAX(0,P64+AQ$19*(Z64*AT$29+SUMPRODUCT($AB64:$AJ64,TRANSPOSE(AT$30:AT$38)))+AR$19*(Z64*AT$39+SUMPRODUCT($AB64:$AJ64,TRANSPOSE(AT$40:AT$48)))+AS$19*(Z64*AT$49+SUMPRODUCT($AB64:$AJ64,TRANSPOSE(AT$50:AT$58)))+AU$19*(Z64*AT$59+SUMPRODUCT($AB64:$AJ64,TRANSPOSE(AT$60:AT$68)))))</f>
        <v>2.3887257796171069</v>
      </c>
      <c r="BL64" s="2">
        <f t="array" ref="BL64">MIN(100,MAX(0,Q64-AN64*5+AQ$20*(AA64*AU$29+SUMPRODUCT($AB64:$AJ64,TRANSPOSE(AU$30:AU$38)))+AR$20*(AA64*AU$39+SUMPRODUCT($AB64:$AJ64,TRANSPOSE(AU$40:AU$48)))+AS$20*(AA64*AU$49+SUMPRODUCT($AB64:$AJ64,TRANSPOSE(AU$50:AU$58)))+AT$20*(AA64*AU$59+SUMPRODUCT($AB64:$AJ64,TRANSPOSE(AU$60:AU$68)))))</f>
        <v>25.462590492577267</v>
      </c>
      <c r="BM64" s="2"/>
      <c r="BN64" s="2"/>
      <c r="BP64">
        <f t="shared" si="63"/>
        <v>0</v>
      </c>
      <c r="BQ64">
        <f t="shared" si="64"/>
        <v>0</v>
      </c>
      <c r="BR64">
        <f t="shared" si="65"/>
        <v>1</v>
      </c>
      <c r="BS64">
        <f t="shared" si="66"/>
        <v>0</v>
      </c>
      <c r="BT64">
        <f t="shared" si="67"/>
        <v>0</v>
      </c>
      <c r="BV64" s="2"/>
      <c r="BW64" s="2">
        <f t="shared" si="36"/>
        <v>0</v>
      </c>
      <c r="BX64" s="2">
        <f t="shared" si="37"/>
        <v>0</v>
      </c>
      <c r="BY64" s="2">
        <f t="shared" si="38"/>
        <v>1</v>
      </c>
      <c r="BZ64" s="2">
        <f t="shared" si="39"/>
        <v>0</v>
      </c>
      <c r="CA64" s="2">
        <f t="shared" si="40"/>
        <v>1</v>
      </c>
      <c r="CD64">
        <f t="shared" si="68"/>
        <v>1</v>
      </c>
      <c r="CE64">
        <f t="shared" si="69"/>
        <v>1</v>
      </c>
      <c r="CF64">
        <f t="shared" si="70"/>
        <v>0</v>
      </c>
      <c r="CG64">
        <f t="shared" si="71"/>
        <v>1</v>
      </c>
      <c r="CH64">
        <f t="shared" si="72"/>
        <v>0</v>
      </c>
      <c r="CK64">
        <f t="shared" si="73"/>
        <v>0</v>
      </c>
      <c r="CL64">
        <f t="shared" si="74"/>
        <v>0</v>
      </c>
      <c r="CM64">
        <f t="shared" si="75"/>
        <v>1</v>
      </c>
      <c r="CN64">
        <f t="shared" si="76"/>
        <v>0</v>
      </c>
      <c r="CO64">
        <f t="shared" si="77"/>
        <v>1</v>
      </c>
      <c r="CS64" s="38">
        <f t="shared" si="78"/>
        <v>0</v>
      </c>
      <c r="CT64" s="38">
        <f t="shared" si="79"/>
        <v>0</v>
      </c>
      <c r="CU64" s="38">
        <f t="shared" si="80"/>
        <v>0</v>
      </c>
      <c r="CV64" s="38">
        <f t="shared" si="81"/>
        <v>0</v>
      </c>
      <c r="CW64" s="38">
        <f t="shared" si="82"/>
        <v>0</v>
      </c>
    </row>
    <row r="65" spans="1:101">
      <c r="A65" t="s">
        <v>465</v>
      </c>
      <c r="B65" t="s">
        <v>123</v>
      </c>
      <c r="C65" t="s">
        <v>510</v>
      </c>
      <c r="D65">
        <v>24064</v>
      </c>
      <c r="E65">
        <v>244</v>
      </c>
      <c r="F65">
        <v>24</v>
      </c>
      <c r="G65">
        <v>2337</v>
      </c>
      <c r="H65">
        <v>4951</v>
      </c>
      <c r="I65">
        <v>27644</v>
      </c>
      <c r="J65">
        <v>906</v>
      </c>
      <c r="K65">
        <v>17731</v>
      </c>
      <c r="L65">
        <v>54127</v>
      </c>
      <c r="M65" s="3">
        <f t="shared" si="48"/>
        <v>4.3176233672658748</v>
      </c>
      <c r="N65" s="3">
        <f t="shared" si="49"/>
        <v>9.1470061152474731</v>
      </c>
      <c r="O65" s="3">
        <f t="shared" si="50"/>
        <v>51.072477691355509</v>
      </c>
      <c r="P65" s="3">
        <f t="shared" si="51"/>
        <v>1.6738411513662312</v>
      </c>
      <c r="Q65" s="3">
        <f t="shared" si="52"/>
        <v>32.758142886175108</v>
      </c>
      <c r="R65">
        <v>16.5</v>
      </c>
      <c r="S65">
        <v>14.2</v>
      </c>
      <c r="T65">
        <v>42.9</v>
      </c>
      <c r="U65">
        <v>2.1</v>
      </c>
      <c r="V65">
        <v>23.4</v>
      </c>
      <c r="W65">
        <f t="shared" si="53"/>
        <v>0</v>
      </c>
      <c r="X65">
        <f t="shared" si="54"/>
        <v>0</v>
      </c>
      <c r="Y65">
        <f t="shared" si="55"/>
        <v>1</v>
      </c>
      <c r="Z65">
        <f t="shared" si="56"/>
        <v>0</v>
      </c>
      <c r="AA65">
        <f t="shared" si="57"/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P65" t="s">
        <v>454</v>
      </c>
      <c r="AQ65" s="27">
        <f t="shared" si="98"/>
        <v>1.1078614999999998</v>
      </c>
      <c r="AR65" s="27">
        <f t="shared" si="99"/>
        <v>1.0891284999999999</v>
      </c>
      <c r="AS65" s="27">
        <f t="shared" si="100"/>
        <v>1.0833024999999998</v>
      </c>
      <c r="AT65" s="26">
        <f t="shared" si="100"/>
        <v>0.99091525000000003</v>
      </c>
      <c r="AU65" s="27">
        <f t="shared" si="101"/>
        <v>0.99091525000000003</v>
      </c>
      <c r="AY65" s="5">
        <f t="shared" si="58"/>
        <v>6.4687773853275514</v>
      </c>
      <c r="AZ65" s="5">
        <f t="shared" si="59"/>
        <v>22.07829640708589</v>
      </c>
      <c r="BA65" s="5">
        <f t="shared" si="60"/>
        <v>37.95631490181789</v>
      </c>
      <c r="BB65" s="5">
        <f t="shared" si="61"/>
        <v>2.1665981125270468</v>
      </c>
      <c r="BC65" s="5">
        <f t="shared" si="62"/>
        <v>30.237043675241331</v>
      </c>
      <c r="BD65" s="5"/>
      <c r="BE65" s="5">
        <f t="shared" si="34"/>
        <v>98.907030481999698</v>
      </c>
      <c r="BF65" s="2"/>
      <c r="BH65" s="2">
        <f t="array" ref="BH65">MIN(100,MAX(0,M65-AK65*5+AR$16*(W65*AQ$29+SUMPRODUCT($AB65:$AJ65,TRANSPOSE(AQ$30:AQ$38)))+AS$16*(W65*AQ$39+SUMPRODUCT($AB65:$AJ65,TRANSPOSE(AQ$40:AQ$48)))+AU$16*(W65*AQ$49+SUMPRODUCT($AB65:$AJ65,TRANSPOSE(AQ$50:AQ$58)))+AT$16*(W65*AQ$59+SUMPRODUCT($AB65:$AJ65,TRANSPOSE(AQ$60:AQ$68)))))</f>
        <v>6.4687773853275514</v>
      </c>
      <c r="BI65" s="2">
        <f t="array" ref="BI65">MIN(100,MAX(0,N65-AL65*5+AQ$17*(X65*AR$29+SUMPRODUCT($AB65:$AJ65,TRANSPOSE(AR$30:AR$38)))+AS$17*(X65*AR$39+SUMPRODUCT($AB65:$AJ65,TRANSPOSE(AR$40:AR$48)))+AU$17*(X65*AR$49+SUMPRODUCT($AB65:$AJ65,TRANSPOSE(AR$50:AR$58)))+AT$17*(X65*AR$59+SUMPRODUCT($AB65:$AJ65,TRANSPOSE(AR$60:AR$68)))))</f>
        <v>22.07829640708589</v>
      </c>
      <c r="BJ65" s="2">
        <f t="array" ref="BJ65">MIN(100,MAX(0,O65-AM65*5+AQ$18*(Y65*AS$29+SUMPRODUCT($AB65:$AJ65,TRANSPOSE(AS$30:AS$38)))+AR$18*(Y65*AS$39+SUMPRODUCT($AB65:$AJ65,TRANSPOSE(AS$40:AS$48)))+AU$18*(Y65*AS$49+SUMPRODUCT($AB65:$AJ65,TRANSPOSE(AS$50:AS$58)))+AT$18*(Y65*AS$59+SUMPRODUCT($AB65:$AJ65,TRANSPOSE(AS$60:AS$68)))))</f>
        <v>37.95631490181789</v>
      </c>
      <c r="BK65" s="2">
        <f t="array" ref="BK65">MIN(100,MAX(0,P65+AQ$19*(Z65*AT$29+SUMPRODUCT($AB65:$AJ65,TRANSPOSE(AT$30:AT$38)))+AR$19*(Z65*AT$39+SUMPRODUCT($AB65:$AJ65,TRANSPOSE(AT$40:AT$48)))+AS$19*(Z65*AT$49+SUMPRODUCT($AB65:$AJ65,TRANSPOSE(AT$50:AT$58)))+AU$19*(Z65*AT$59+SUMPRODUCT($AB65:$AJ65,TRANSPOSE(AT$60:AT$68)))))</f>
        <v>2.1665981125270468</v>
      </c>
      <c r="BL65" s="2">
        <f t="array" ref="BL65">MIN(100,MAX(0,Q65-AN65*5+AQ$20*(AA65*AU$29+SUMPRODUCT($AB65:$AJ65,TRANSPOSE(AU$30:AU$38)))+AR$20*(AA65*AU$39+SUMPRODUCT($AB65:$AJ65,TRANSPOSE(AU$40:AU$48)))+AS$20*(AA65*AU$49+SUMPRODUCT($AB65:$AJ65,TRANSPOSE(AU$50:AU$58)))+AT$20*(AA65*AU$59+SUMPRODUCT($AB65:$AJ65,TRANSPOSE(AU$60:AU$68)))))</f>
        <v>30.49558048414767</v>
      </c>
      <c r="BM65" s="2"/>
      <c r="BN65" s="2"/>
      <c r="BP65">
        <f t="shared" si="63"/>
        <v>0</v>
      </c>
      <c r="BQ65">
        <f t="shared" si="64"/>
        <v>0</v>
      </c>
      <c r="BR65">
        <f t="shared" si="65"/>
        <v>1</v>
      </c>
      <c r="BS65">
        <f t="shared" si="66"/>
        <v>0</v>
      </c>
      <c r="BT65">
        <f t="shared" si="67"/>
        <v>0</v>
      </c>
      <c r="BV65" s="2"/>
      <c r="BW65" s="2">
        <f t="shared" si="36"/>
        <v>0</v>
      </c>
      <c r="BX65" s="2">
        <f t="shared" si="37"/>
        <v>0</v>
      </c>
      <c r="BY65" s="2">
        <f t="shared" si="38"/>
        <v>1</v>
      </c>
      <c r="BZ65" s="2">
        <f t="shared" si="39"/>
        <v>0</v>
      </c>
      <c r="CA65" s="2">
        <f t="shared" si="40"/>
        <v>1</v>
      </c>
      <c r="CD65">
        <f t="shared" si="68"/>
        <v>1</v>
      </c>
      <c r="CE65">
        <f t="shared" si="69"/>
        <v>1</v>
      </c>
      <c r="CF65">
        <f t="shared" si="70"/>
        <v>0</v>
      </c>
      <c r="CG65">
        <f t="shared" si="71"/>
        <v>1</v>
      </c>
      <c r="CH65">
        <f t="shared" si="72"/>
        <v>0</v>
      </c>
      <c r="CK65">
        <f t="shared" si="73"/>
        <v>0</v>
      </c>
      <c r="CL65">
        <f t="shared" si="74"/>
        <v>0</v>
      </c>
      <c r="CM65">
        <f t="shared" si="75"/>
        <v>1</v>
      </c>
      <c r="CN65">
        <f t="shared" si="76"/>
        <v>0</v>
      </c>
      <c r="CO65">
        <f t="shared" si="77"/>
        <v>1</v>
      </c>
      <c r="CS65" s="38">
        <f t="shared" si="78"/>
        <v>0</v>
      </c>
      <c r="CT65" s="38">
        <f t="shared" si="79"/>
        <v>0</v>
      </c>
      <c r="CU65" s="38">
        <f t="shared" si="80"/>
        <v>0</v>
      </c>
      <c r="CV65" s="38">
        <f t="shared" si="81"/>
        <v>0</v>
      </c>
      <c r="CW65" s="38">
        <f t="shared" si="82"/>
        <v>1</v>
      </c>
    </row>
    <row r="66" spans="1:101">
      <c r="A66" t="s">
        <v>465</v>
      </c>
      <c r="B66" t="s">
        <v>124</v>
      </c>
      <c r="C66" t="s">
        <v>511</v>
      </c>
      <c r="D66">
        <v>24066</v>
      </c>
      <c r="E66">
        <v>242</v>
      </c>
      <c r="F66">
        <v>24</v>
      </c>
      <c r="G66">
        <v>8108</v>
      </c>
      <c r="H66">
        <v>2784</v>
      </c>
      <c r="I66">
        <v>26963</v>
      </c>
      <c r="J66">
        <v>994</v>
      </c>
      <c r="K66">
        <v>12651</v>
      </c>
      <c r="L66">
        <v>51500</v>
      </c>
      <c r="M66" s="3">
        <f t="shared" ref="M66:M79" si="102">G66/$L66*100</f>
        <v>15.743689320388349</v>
      </c>
      <c r="N66" s="3">
        <f t="shared" ref="N66:N79" si="103">H66/$L66*100</f>
        <v>5.4058252427184472</v>
      </c>
      <c r="O66" s="3">
        <f t="shared" ref="O66:O79" si="104">I66/$L66*100</f>
        <v>52.355339805825238</v>
      </c>
      <c r="P66" s="3">
        <f t="shared" ref="P66:P79" si="105">J66/$L66*100</f>
        <v>1.9300970873786409</v>
      </c>
      <c r="Q66" s="3">
        <f t="shared" ref="Q66:Q79" si="106">K66/$L66*100</f>
        <v>24.565048543689318</v>
      </c>
      <c r="R66">
        <v>16.5</v>
      </c>
      <c r="S66">
        <v>14.2</v>
      </c>
      <c r="T66">
        <v>42.9</v>
      </c>
      <c r="U66">
        <v>2.1</v>
      </c>
      <c r="V66">
        <v>23.4</v>
      </c>
      <c r="W66">
        <f t="shared" ref="W66:W79" si="107">IF(M66=MAX($M66:$Q66),1,0)</f>
        <v>0</v>
      </c>
      <c r="X66">
        <f t="shared" ref="X66:X79" si="108">IF(N66=MAX($M66:$Q66),1,0)</f>
        <v>0</v>
      </c>
      <c r="Y66" s="54">
        <v>0</v>
      </c>
      <c r="Z66">
        <f t="shared" ref="Z66:Z79" si="109">IF(P66=MAX($M66:$Q66),1,0)</f>
        <v>0</v>
      </c>
      <c r="AA66">
        <f t="shared" ref="AA66:AA79" si="110">IF(Q66=MAX($M66:$Q66),1,0)</f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P66" t="s">
        <v>455</v>
      </c>
      <c r="AQ66" s="27">
        <f t="shared" si="98"/>
        <v>1.0126203999999999</v>
      </c>
      <c r="AR66" s="27">
        <f t="shared" si="99"/>
        <v>1.1590094999999998</v>
      </c>
      <c r="AS66" s="27">
        <f t="shared" si="100"/>
        <v>1.0336976</v>
      </c>
      <c r="AT66" s="26">
        <f t="shared" si="100"/>
        <v>0.95150344999999992</v>
      </c>
      <c r="AU66" s="27">
        <f t="shared" si="101"/>
        <v>0.95150344999999992</v>
      </c>
      <c r="AY66" s="5">
        <f t="shared" ref="AY66:AY79" si="111">MIN(100,(1-BW66*AQ$11-(1-BW66)*AQ$13)*BH66+BW66*AQ$11*(AQ$6+AQ$6/AQ$10*(BH66-AQ$6))+(1-BW66)*AQ$13*(BH66+(AQ$6-AQ$12)/(100-AQ$12)*(AQ$6-BH66)))</f>
        <v>18.533568716169828</v>
      </c>
      <c r="AZ66" s="5">
        <f t="shared" ref="AZ66:AZ79" si="112">MIN(100,(1-BX66*AR$11-(1-BX66)*AR$13)*BI66+BX66*AR$11*(AR$6+AR$6/AR$10*(BI66-AR$6))+(1-BX66)*AR$13*(BI66+(AR$6-AR$12)/(100-AR$12)*(AR$6-BI66)))</f>
        <v>20.731853306741247</v>
      </c>
      <c r="BA66" s="5">
        <f t="shared" ref="BA66:BA79" si="113">MIN(100,(1-BY66*AS$11-(1-BY66)*AS$13)*BJ66+BY66*AS$11*(AS$6+AS$6/AS$10*(BJ66-AS$6))+(1-BY66)*AS$13*(BJ66+(AS$6-AS$12)/(100-AS$12)*(AS$6-BJ66)))</f>
        <v>36.63501015848032</v>
      </c>
      <c r="BB66" s="5">
        <f t="shared" ref="BB66:BB79" si="114">MIN(100,(1-BZ66*AT$11-(1-BZ66)*AT$13)*BK66+BZ66*AT$11*(AT$6+AT$6/AT$10*(BK66-AT$6))+(1-BZ66)*AT$13*(BK66+(AT$6-AT$12)/(100-AT$12)*(AT$6-BK66)))</f>
        <v>2.4918391948236884</v>
      </c>
      <c r="BC66" s="5">
        <f t="shared" ref="BC66:BC79" si="115">MIN(100,(1-CA66*AU$11-(1-CA66)*AU$13)*BL66+CA66*AU$11*(AU$6+AU$6/AU$10*(BL66-AU$6))+(1-CA66)*AU$13*(BL66+(AU$6-AU$12)/(100-AU$12)*(AU$6-BL66)))</f>
        <v>21.808920294927777</v>
      </c>
      <c r="BD66" s="5"/>
      <c r="BE66" s="5">
        <f t="shared" si="34"/>
        <v>100.20119167114285</v>
      </c>
      <c r="BF66" s="2"/>
      <c r="BH66" s="2">
        <f t="array" ref="BH66">MIN(100,MAX(0,M66-AK66*5+AR$16*(W66*AQ$29+SUMPRODUCT($AB66:$AJ66,TRANSPOSE(AQ$30:AQ$38)))+AS$16*(W66*AQ$39+SUMPRODUCT($AB66:$AJ66,TRANSPOSE(AQ$40:AQ$48)))+AU$16*(W66*AQ$49+SUMPRODUCT($AB66:$AJ66,TRANSPOSE(AQ$50:AQ$58)))+AT$16*(W66*AQ$59+SUMPRODUCT($AB66:$AJ66,TRANSPOSE(AQ$60:AQ$68)))))</f>
        <v>18.533568716169828</v>
      </c>
      <c r="BI66" s="2">
        <f t="array" ref="BI66">MIN(100,MAX(0,N66-AL66*5+AQ$17*(X66*AR$29+SUMPRODUCT($AB66:$AJ66,TRANSPOSE(AR$30:AR$38)))+AS$17*(X66*AR$39+SUMPRODUCT($AB66:$AJ66,TRANSPOSE(AR$40:AR$48)))+AU$17*(X66*AR$49+SUMPRODUCT($AB66:$AJ66,TRANSPOSE(AR$50:AR$58)))+AT$17*(X66*AR$59+SUMPRODUCT($AB66:$AJ66,TRANSPOSE(AR$60:AR$68)))))</f>
        <v>20.731853306741247</v>
      </c>
      <c r="BJ66" s="2">
        <f t="array" ref="BJ66">MIN(100,MAX(0,O66-AM66*5+AQ$18*(Y66*AS$29+SUMPRODUCT($AB66:$AJ66,TRANSPOSE(AS$30:AS$38)))+AR$18*(Y66*AS$39+SUMPRODUCT($AB66:$AJ66,TRANSPOSE(AS$40:AS$48)))+AU$18*(Y66*AS$49+SUMPRODUCT($AB66:$AJ66,TRANSPOSE(AS$50:AS$58)))+AT$18*(Y66*AS$59+SUMPRODUCT($AB66:$AJ66,TRANSPOSE(AS$60:AS$68)))))</f>
        <v>36.63501015848032</v>
      </c>
      <c r="BK66" s="2">
        <f t="array" ref="BK66">MIN(100,MAX(0,P66+AQ$19*(Z66*AT$29+SUMPRODUCT($AB66:$AJ66,TRANSPOSE(AT$30:AT$38)))+AR$19*(Z66*AT$39+SUMPRODUCT($AB66:$AJ66,TRANSPOSE(AT$40:AT$48)))+AS$19*(Z66*AT$49+SUMPRODUCT($AB66:$AJ66,TRANSPOSE(AT$50:AT$58)))+AU$19*(Z66*AT$59+SUMPRODUCT($AB66:$AJ66,TRANSPOSE(AT$60:AT$68)))))</f>
        <v>2.4918391948236884</v>
      </c>
      <c r="BL66" s="2">
        <f t="array" ref="BL66">MIN(100,MAX(0,Q66-AN66*5+AQ$20*(AA66*AU$29+SUMPRODUCT($AB66:$AJ66,TRANSPOSE(AU$30:AU$38)))+AR$20*(AA66*AU$39+SUMPRODUCT($AB66:$AJ66,TRANSPOSE(AU$40:AU$48)))+AS$20*(AA66*AU$49+SUMPRODUCT($AB66:$AJ66,TRANSPOSE(AU$50:AU$58)))+AT$20*(AA66*AU$59+SUMPRODUCT($AB66:$AJ66,TRANSPOSE(AU$60:AU$68)))))</f>
        <v>21.843341075740121</v>
      </c>
      <c r="BM66" s="2"/>
      <c r="BN66" s="2"/>
      <c r="BP66">
        <f t="shared" ref="BP66:BP79" si="116">IF(AY66=MAX($AY66:$BC66),1,0)</f>
        <v>0</v>
      </c>
      <c r="BQ66">
        <f t="shared" ref="BQ66:BQ79" si="117">IF(AZ66=MAX($AY66:$BC66),1,0)</f>
        <v>0</v>
      </c>
      <c r="BR66">
        <f t="shared" ref="BR66:BR79" si="118">IF(BA66=MAX($AY66:$BC66),1,0)</f>
        <v>1</v>
      </c>
      <c r="BS66">
        <f t="shared" ref="BS66:BS79" si="119">IF(BB66=MAX($AY66:$BC66),1,0)</f>
        <v>0</v>
      </c>
      <c r="BT66">
        <f t="shared" ref="BT66:BT79" si="120">IF(BC66=MAX($AY66:$BC66),1,0)</f>
        <v>0</v>
      </c>
      <c r="BV66" s="2"/>
      <c r="BW66" s="2">
        <f t="shared" si="36"/>
        <v>0</v>
      </c>
      <c r="BX66" s="2">
        <f t="shared" si="37"/>
        <v>0</v>
      </c>
      <c r="BY66" s="2">
        <f t="shared" si="38"/>
        <v>1</v>
      </c>
      <c r="BZ66" s="2">
        <f t="shared" si="39"/>
        <v>0</v>
      </c>
      <c r="CA66" s="2">
        <f t="shared" si="40"/>
        <v>1</v>
      </c>
      <c r="CD66">
        <f t="shared" ref="CD66:CD79" si="121">IF(BH66&gt;M66,1,0)</f>
        <v>1</v>
      </c>
      <c r="CE66">
        <f t="shared" ref="CE66:CE79" si="122">IF(BI66&gt;N66,1,0)</f>
        <v>1</v>
      </c>
      <c r="CF66">
        <f t="shared" ref="CF66:CF79" si="123">IF(BJ66&gt;O66,1,0)</f>
        <v>0</v>
      </c>
      <c r="CG66">
        <f t="shared" ref="CG66:CG79" si="124">IF(BK66&gt;P66,1,0)</f>
        <v>1</v>
      </c>
      <c r="CH66">
        <f t="shared" ref="CH66:CH79" si="125">IF(BL66&gt;Q66,1,0)</f>
        <v>0</v>
      </c>
      <c r="CK66">
        <f t="shared" ref="CK66:CK79" si="126">IF(BH66&lt;M66,1,0)</f>
        <v>0</v>
      </c>
      <c r="CL66">
        <f t="shared" ref="CL66:CL79" si="127">IF(BI66&lt;N66,1,0)</f>
        <v>0</v>
      </c>
      <c r="CM66">
        <f t="shared" ref="CM66:CM79" si="128">IF(BJ66&lt;O66,1,0)</f>
        <v>1</v>
      </c>
      <c r="CN66">
        <f t="shared" ref="CN66:CN79" si="129">IF(BK66&lt;P66,1,0)</f>
        <v>0</v>
      </c>
      <c r="CO66">
        <f t="shared" ref="CO66:CO79" si="130">IF(BL66&lt;Q66,1,0)</f>
        <v>1</v>
      </c>
      <c r="CS66" s="38">
        <f t="shared" ref="CS66:CS79" si="131">IF(AND((MAX($AY66:$BC66)-AY66)/$BE66&lt;=0.05,BP66=0),1,0)</f>
        <v>0</v>
      </c>
      <c r="CT66" s="38">
        <f t="shared" ref="CT66:CT79" si="132">IF(AND((MAX($AY66:$BC66)-AZ66)/$BE66&lt;=0.05,BQ66=0),1,0)</f>
        <v>0</v>
      </c>
      <c r="CU66" s="38">
        <f t="shared" ref="CU66:CU79" si="133">IF(AND((MAX($AY66:$BC66)-BA66)/$BE66&lt;=0.05,BR66=0),1,0)</f>
        <v>0</v>
      </c>
      <c r="CV66" s="38">
        <f t="shared" ref="CV66:CV79" si="134">IF(AND((MAX($AY66:$BC66)-BB66)/$BE66&lt;=0.05,BS66=0),1,0)</f>
        <v>0</v>
      </c>
      <c r="CW66" s="38">
        <f t="shared" ref="CW66:CW79" si="135">IF(AND((MAX($AY66:$BC66)-BC66)/$BE66&lt;=0.1,BT66=0),1,0)</f>
        <v>0</v>
      </c>
    </row>
    <row r="67" spans="1:101">
      <c r="A67" t="s">
        <v>465</v>
      </c>
      <c r="B67" t="s">
        <v>125</v>
      </c>
      <c r="C67" t="s">
        <v>125</v>
      </c>
      <c r="D67">
        <v>24067</v>
      </c>
      <c r="E67">
        <v>241</v>
      </c>
      <c r="F67">
        <v>24</v>
      </c>
      <c r="G67">
        <v>5603</v>
      </c>
      <c r="H67">
        <v>4644</v>
      </c>
      <c r="I67">
        <v>24943</v>
      </c>
      <c r="J67">
        <v>1326</v>
      </c>
      <c r="K67">
        <v>16023</v>
      </c>
      <c r="L67">
        <v>52539</v>
      </c>
      <c r="M67" s="3">
        <f t="shared" si="102"/>
        <v>10.664458782999295</v>
      </c>
      <c r="N67" s="3">
        <f t="shared" si="103"/>
        <v>8.8391480614400741</v>
      </c>
      <c r="O67" s="3">
        <f t="shared" si="104"/>
        <v>47.475208892441806</v>
      </c>
      <c r="P67" s="3">
        <f t="shared" si="105"/>
        <v>2.5238394335636385</v>
      </c>
      <c r="Q67" s="3">
        <f t="shared" si="106"/>
        <v>30.497344829555189</v>
      </c>
      <c r="R67">
        <v>16.5</v>
      </c>
      <c r="S67">
        <v>14.2</v>
      </c>
      <c r="T67">
        <v>42.9</v>
      </c>
      <c r="U67">
        <v>2.1</v>
      </c>
      <c r="V67">
        <v>23.4</v>
      </c>
      <c r="W67">
        <f t="shared" si="107"/>
        <v>0</v>
      </c>
      <c r="X67">
        <f t="shared" si="108"/>
        <v>0</v>
      </c>
      <c r="Y67" s="54">
        <v>0</v>
      </c>
      <c r="Z67">
        <f t="shared" si="109"/>
        <v>0</v>
      </c>
      <c r="AA67">
        <f t="shared" si="110"/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P67" t="s">
        <v>456</v>
      </c>
      <c r="AQ67" s="27">
        <f t="shared" si="98"/>
        <v>0.91348065000000001</v>
      </c>
      <c r="AR67" s="27">
        <f t="shared" si="99"/>
        <v>0.99506079999999997</v>
      </c>
      <c r="AS67" s="27">
        <f t="shared" si="100"/>
        <v>1.0413553</v>
      </c>
      <c r="AT67" s="26">
        <f t="shared" si="100"/>
        <v>0.91012895000000005</v>
      </c>
      <c r="AU67" s="27">
        <f t="shared" si="101"/>
        <v>0.91012895000000005</v>
      </c>
      <c r="AY67" s="5">
        <f t="shared" si="111"/>
        <v>13.454338178780777</v>
      </c>
      <c r="AZ67" s="5">
        <f t="shared" si="112"/>
        <v>24.165176125462871</v>
      </c>
      <c r="BA67" s="5">
        <f t="shared" si="113"/>
        <v>31.754879245096895</v>
      </c>
      <c r="BB67" s="5">
        <f t="shared" si="114"/>
        <v>3.0855815410086862</v>
      </c>
      <c r="BC67" s="5">
        <f t="shared" si="115"/>
        <v>27.587554318538967</v>
      </c>
      <c r="BD67" s="5"/>
      <c r="BE67" s="5">
        <f t="shared" ref="BE67:BE79" si="136">SUM(AY67:BC67)</f>
        <v>100.04752940888818</v>
      </c>
      <c r="BF67" s="2"/>
      <c r="BH67" s="2">
        <f t="array" ref="BH67">MIN(100,MAX(0,M67-AK67*5+AR$16*(W67*AQ$29+SUMPRODUCT($AB67:$AJ67,TRANSPOSE(AQ$30:AQ$38)))+AS$16*(W67*AQ$39+SUMPRODUCT($AB67:$AJ67,TRANSPOSE(AQ$40:AQ$48)))+AU$16*(W67*AQ$49+SUMPRODUCT($AB67:$AJ67,TRANSPOSE(AQ$50:AQ$58)))+AT$16*(W67*AQ$59+SUMPRODUCT($AB67:$AJ67,TRANSPOSE(AQ$60:AQ$68)))))</f>
        <v>13.454338178780777</v>
      </c>
      <c r="BI67" s="2">
        <f t="array" ref="BI67">MIN(100,MAX(0,N67-AL67*5+AQ$17*(X67*AR$29+SUMPRODUCT($AB67:$AJ67,TRANSPOSE(AR$30:AR$38)))+AS$17*(X67*AR$39+SUMPRODUCT($AB67:$AJ67,TRANSPOSE(AR$40:AR$48)))+AU$17*(X67*AR$49+SUMPRODUCT($AB67:$AJ67,TRANSPOSE(AR$50:AR$58)))+AT$17*(X67*AR$59+SUMPRODUCT($AB67:$AJ67,TRANSPOSE(AR$60:AR$68)))))</f>
        <v>24.165176125462871</v>
      </c>
      <c r="BJ67" s="2">
        <f t="array" ref="BJ67">MIN(100,MAX(0,O67-AM67*5+AQ$18*(Y67*AS$29+SUMPRODUCT($AB67:$AJ67,TRANSPOSE(AS$30:AS$38)))+AR$18*(Y67*AS$39+SUMPRODUCT($AB67:$AJ67,TRANSPOSE(AS$40:AS$48)))+AU$18*(Y67*AS$49+SUMPRODUCT($AB67:$AJ67,TRANSPOSE(AS$50:AS$58)))+AT$18*(Y67*AS$59+SUMPRODUCT($AB67:$AJ67,TRANSPOSE(AS$60:AS$68)))))</f>
        <v>31.754879245096895</v>
      </c>
      <c r="BK67" s="2">
        <f t="array" ref="BK67">MIN(100,MAX(0,P67+AQ$19*(Z67*AT$29+SUMPRODUCT($AB67:$AJ67,TRANSPOSE(AT$30:AT$38)))+AR$19*(Z67*AT$39+SUMPRODUCT($AB67:$AJ67,TRANSPOSE(AT$40:AT$48)))+AS$19*(Z67*AT$49+SUMPRODUCT($AB67:$AJ67,TRANSPOSE(AT$50:AT$58)))+AU$19*(Z67*AT$59+SUMPRODUCT($AB67:$AJ67,TRANSPOSE(AT$60:AT$68)))))</f>
        <v>3.0855815410086862</v>
      </c>
      <c r="BL67" s="2">
        <f t="array" ref="BL67">MIN(100,MAX(0,Q67-AN67*5+AQ$20*(AA67*AU$29+SUMPRODUCT($AB67:$AJ67,TRANSPOSE(AU$30:AU$38)))+AR$20*(AA67*AU$39+SUMPRODUCT($AB67:$AJ67,TRANSPOSE(AU$40:AU$48)))+AS$20*(AA67*AU$49+SUMPRODUCT($AB67:$AJ67,TRANSPOSE(AU$50:AU$58)))+AT$20*(AA67*AU$59+SUMPRODUCT($AB67:$AJ67,TRANSPOSE(AU$60:AU$68)))))</f>
        <v>27.775637361605991</v>
      </c>
      <c r="BM67" s="2"/>
      <c r="BN67" s="2"/>
      <c r="BP67">
        <f t="shared" si="116"/>
        <v>0</v>
      </c>
      <c r="BQ67">
        <f t="shared" si="117"/>
        <v>0</v>
      </c>
      <c r="BR67">
        <f t="shared" si="118"/>
        <v>1</v>
      </c>
      <c r="BS67">
        <f t="shared" si="119"/>
        <v>0</v>
      </c>
      <c r="BT67">
        <f t="shared" si="120"/>
        <v>0</v>
      </c>
      <c r="BV67" s="2"/>
      <c r="BW67" s="2">
        <f t="shared" ref="BW67:BW79" si="137">IF(BH67&gt;AQ$6,1,0)</f>
        <v>0</v>
      </c>
      <c r="BX67" s="2">
        <f t="shared" ref="BX67:BX79" si="138">IF(BI67&gt;AR$6,1,0)</f>
        <v>0</v>
      </c>
      <c r="BY67" s="2">
        <f t="shared" ref="BY67:BY79" si="139">IF(BJ67&gt;AS$6,1,0)</f>
        <v>1</v>
      </c>
      <c r="BZ67" s="2">
        <f t="shared" ref="BZ67:BZ79" si="140">IF(BK67&gt;AT$6,1,0)</f>
        <v>1</v>
      </c>
      <c r="CA67" s="2">
        <f t="shared" ref="CA67:CA79" si="141">IF(BL67&gt;AU$6,1,0)</f>
        <v>1</v>
      </c>
      <c r="CD67">
        <f t="shared" si="121"/>
        <v>1</v>
      </c>
      <c r="CE67">
        <f t="shared" si="122"/>
        <v>1</v>
      </c>
      <c r="CF67">
        <f t="shared" si="123"/>
        <v>0</v>
      </c>
      <c r="CG67">
        <f t="shared" si="124"/>
        <v>1</v>
      </c>
      <c r="CH67">
        <f t="shared" si="125"/>
        <v>0</v>
      </c>
      <c r="CK67">
        <f t="shared" si="126"/>
        <v>0</v>
      </c>
      <c r="CL67">
        <f t="shared" si="127"/>
        <v>0</v>
      </c>
      <c r="CM67">
        <f t="shared" si="128"/>
        <v>1</v>
      </c>
      <c r="CN67">
        <f t="shared" si="129"/>
        <v>0</v>
      </c>
      <c r="CO67">
        <f t="shared" si="130"/>
        <v>1</v>
      </c>
      <c r="CS67" s="38">
        <f t="shared" si="131"/>
        <v>0</v>
      </c>
      <c r="CT67" s="38">
        <f t="shared" si="132"/>
        <v>0</v>
      </c>
      <c r="CU67" s="38">
        <f t="shared" si="133"/>
        <v>0</v>
      </c>
      <c r="CV67" s="38">
        <f t="shared" si="134"/>
        <v>0</v>
      </c>
      <c r="CW67" s="38">
        <f t="shared" si="135"/>
        <v>1</v>
      </c>
    </row>
    <row r="68" spans="1:101">
      <c r="A68" t="s">
        <v>465</v>
      </c>
      <c r="B68" t="s">
        <v>126</v>
      </c>
      <c r="C68" t="s">
        <v>126</v>
      </c>
      <c r="D68">
        <v>24068</v>
      </c>
      <c r="E68">
        <v>246</v>
      </c>
      <c r="F68">
        <v>24</v>
      </c>
      <c r="G68">
        <v>6206</v>
      </c>
      <c r="H68">
        <v>13915</v>
      </c>
      <c r="I68">
        <v>9437</v>
      </c>
      <c r="J68">
        <v>680</v>
      </c>
      <c r="K68">
        <v>2089</v>
      </c>
      <c r="L68">
        <v>32467</v>
      </c>
      <c r="M68" s="3">
        <f t="shared" si="102"/>
        <v>19.114793482613116</v>
      </c>
      <c r="N68" s="3">
        <f t="shared" si="103"/>
        <v>42.858902886007336</v>
      </c>
      <c r="O68" s="3">
        <f t="shared" si="104"/>
        <v>29.066436689561709</v>
      </c>
      <c r="P68" s="3">
        <f t="shared" si="105"/>
        <v>2.0944343487233192</v>
      </c>
      <c r="Q68" s="3">
        <f t="shared" si="106"/>
        <v>6.4342255212985489</v>
      </c>
      <c r="R68">
        <v>16.5</v>
      </c>
      <c r="S68">
        <v>14.2</v>
      </c>
      <c r="T68">
        <v>42.9</v>
      </c>
      <c r="U68">
        <v>2.1</v>
      </c>
      <c r="V68">
        <v>23.4</v>
      </c>
      <c r="W68">
        <f t="shared" si="107"/>
        <v>0</v>
      </c>
      <c r="X68">
        <f t="shared" si="108"/>
        <v>1</v>
      </c>
      <c r="Y68">
        <f t="shared" ref="Y68:Y79" si="142">IF(O68=MAX($M68:$Q68),1,0)</f>
        <v>0</v>
      </c>
      <c r="Z68">
        <f t="shared" si="109"/>
        <v>0</v>
      </c>
      <c r="AA68">
        <f t="shared" si="110"/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P68" t="s">
        <v>457</v>
      </c>
      <c r="AQ68" s="27">
        <f t="shared" si="98"/>
        <v>0.79958615</v>
      </c>
      <c r="AR68" s="27">
        <f t="shared" si="99"/>
        <v>0.89036775000000001</v>
      </c>
      <c r="AS68" s="27">
        <f t="shared" si="100"/>
        <v>0.93050319999999997</v>
      </c>
      <c r="AT68" s="26">
        <f t="shared" si="100"/>
        <v>0.88344155000000002</v>
      </c>
      <c r="AU68" s="27">
        <f t="shared" si="101"/>
        <v>0.88344155000000002</v>
      </c>
      <c r="AY68" s="5">
        <f t="shared" si="111"/>
        <v>21.260309454995014</v>
      </c>
      <c r="AZ68" s="5">
        <f t="shared" si="112"/>
        <v>55.827592415158001</v>
      </c>
      <c r="BA68" s="5">
        <f t="shared" si="113"/>
        <v>15.132327338046169</v>
      </c>
      <c r="BB68" s="5">
        <f t="shared" si="114"/>
        <v>2.6393707962353607</v>
      </c>
      <c r="BC68" s="5">
        <f t="shared" si="115"/>
        <v>4.1234724755194154</v>
      </c>
      <c r="BD68" s="5"/>
      <c r="BE68" s="5">
        <f t="shared" si="136"/>
        <v>98.983072479953961</v>
      </c>
      <c r="BF68" s="2"/>
      <c r="BH68" s="2">
        <f t="array" ref="BH68">MIN(100,MAX(0,M68-AK68*5+AR$16*(W68*AQ$29+SUMPRODUCT($AB68:$AJ68,TRANSPOSE(AQ$30:AQ$38)))+AS$16*(W68*AQ$39+SUMPRODUCT($AB68:$AJ68,TRANSPOSE(AQ$40:AQ$48)))+AU$16*(W68*AQ$49+SUMPRODUCT($AB68:$AJ68,TRANSPOSE(AQ$50:AQ$58)))+AT$16*(W68*AQ$59+SUMPRODUCT($AB68:$AJ68,TRANSPOSE(AQ$60:AQ$68)))))</f>
        <v>21.260309454995014</v>
      </c>
      <c r="BI68" s="2">
        <f t="array" ref="BI68">MIN(100,MAX(0,N68-AL68*5+AQ$17*(X68*AR$29+SUMPRODUCT($AB68:$AJ68,TRANSPOSE(AR$30:AR$38)))+AS$17*(X68*AR$39+SUMPRODUCT($AB68:$AJ68,TRANSPOSE(AR$40:AR$48)))+AU$17*(X68*AR$49+SUMPRODUCT($AB68:$AJ68,TRANSPOSE(AR$50:AR$58)))+AT$17*(X68*AR$59+SUMPRODUCT($AB68:$AJ68,TRANSPOSE(AR$60:AR$68)))))</f>
        <v>55.827592415158001</v>
      </c>
      <c r="BJ68" s="2">
        <f t="array" ref="BJ68">MIN(100,MAX(0,O68-AM68*5+AQ$18*(Y68*AS$29+SUMPRODUCT($AB68:$AJ68,TRANSPOSE(AS$30:AS$38)))+AR$18*(Y68*AS$39+SUMPRODUCT($AB68:$AJ68,TRANSPOSE(AS$40:AS$48)))+AU$18*(Y68*AS$49+SUMPRODUCT($AB68:$AJ68,TRANSPOSE(AS$50:AS$58)))+AT$18*(Y68*AS$59+SUMPRODUCT($AB68:$AJ68,TRANSPOSE(AS$60:AS$68)))))</f>
        <v>15.132327338046169</v>
      </c>
      <c r="BK68" s="2">
        <f t="array" ref="BK68">MIN(100,MAX(0,P68+AQ$19*(Z68*AT$29+SUMPRODUCT($AB68:$AJ68,TRANSPOSE(AT$30:AT$38)))+AR$19*(Z68*AT$39+SUMPRODUCT($AB68:$AJ68,TRANSPOSE(AT$40:AT$48)))+AS$19*(Z68*AT$49+SUMPRODUCT($AB68:$AJ68,TRANSPOSE(AT$50:AT$58)))+AU$19*(Z68*AT$59+SUMPRODUCT($AB68:$AJ68,TRANSPOSE(AT$60:AT$68)))))</f>
        <v>2.6393707962353607</v>
      </c>
      <c r="BL68" s="2">
        <f t="array" ref="BL68">MIN(100,MAX(0,Q68-AN68*5+AQ$20*(AA68*AU$29+SUMPRODUCT($AB68:$AJ68,TRANSPOSE(AU$30:AU$38)))+AR$20*(AA68*AU$39+SUMPRODUCT($AB68:$AJ68,TRANSPOSE(AU$40:AU$48)))+AS$20*(AA68*AU$49+SUMPRODUCT($AB68:$AJ68,TRANSPOSE(AU$50:AU$58)))+AT$20*(AA68*AU$59+SUMPRODUCT($AB68:$AJ68,TRANSPOSE(AU$60:AU$68)))))</f>
        <v>4.1234724755194154</v>
      </c>
      <c r="BM68" s="2"/>
      <c r="BN68" s="2"/>
      <c r="BP68">
        <f t="shared" si="116"/>
        <v>0</v>
      </c>
      <c r="BQ68">
        <f t="shared" si="117"/>
        <v>1</v>
      </c>
      <c r="BR68">
        <f t="shared" si="118"/>
        <v>0</v>
      </c>
      <c r="BS68">
        <f t="shared" si="119"/>
        <v>0</v>
      </c>
      <c r="BT68">
        <f t="shared" si="120"/>
        <v>0</v>
      </c>
      <c r="BV68" s="2"/>
      <c r="BW68" s="2">
        <f t="shared" si="137"/>
        <v>1</v>
      </c>
      <c r="BX68" s="2">
        <f t="shared" si="138"/>
        <v>1</v>
      </c>
      <c r="BY68" s="2">
        <f t="shared" si="139"/>
        <v>0</v>
      </c>
      <c r="BZ68" s="2">
        <f t="shared" si="140"/>
        <v>1</v>
      </c>
      <c r="CA68" s="2">
        <f t="shared" si="141"/>
        <v>0</v>
      </c>
      <c r="CD68">
        <f t="shared" si="121"/>
        <v>1</v>
      </c>
      <c r="CE68">
        <f t="shared" si="122"/>
        <v>1</v>
      </c>
      <c r="CF68">
        <f t="shared" si="123"/>
        <v>0</v>
      </c>
      <c r="CG68">
        <f t="shared" si="124"/>
        <v>1</v>
      </c>
      <c r="CH68">
        <f t="shared" si="125"/>
        <v>0</v>
      </c>
      <c r="CK68">
        <f t="shared" si="126"/>
        <v>0</v>
      </c>
      <c r="CL68">
        <f t="shared" si="127"/>
        <v>0</v>
      </c>
      <c r="CM68">
        <f t="shared" si="128"/>
        <v>1</v>
      </c>
      <c r="CN68">
        <f t="shared" si="129"/>
        <v>0</v>
      </c>
      <c r="CO68">
        <f t="shared" si="130"/>
        <v>1</v>
      </c>
      <c r="CS68" s="38">
        <f t="shared" si="131"/>
        <v>0</v>
      </c>
      <c r="CT68" s="38">
        <f t="shared" si="132"/>
        <v>0</v>
      </c>
      <c r="CU68" s="38">
        <f t="shared" si="133"/>
        <v>0</v>
      </c>
      <c r="CV68" s="38">
        <f t="shared" si="134"/>
        <v>0</v>
      </c>
      <c r="CW68" s="38">
        <f t="shared" si="135"/>
        <v>0</v>
      </c>
    </row>
    <row r="69" spans="1:101">
      <c r="A69" t="s">
        <v>465</v>
      </c>
      <c r="B69" t="s">
        <v>127</v>
      </c>
      <c r="C69" t="s">
        <v>512</v>
      </c>
      <c r="D69">
        <v>24069</v>
      </c>
      <c r="E69">
        <v>246</v>
      </c>
      <c r="F69">
        <v>24</v>
      </c>
      <c r="G69">
        <v>5075</v>
      </c>
      <c r="H69">
        <v>15702</v>
      </c>
      <c r="I69">
        <v>12026</v>
      </c>
      <c r="J69">
        <v>660</v>
      </c>
      <c r="K69">
        <v>3592</v>
      </c>
      <c r="L69">
        <v>37233</v>
      </c>
      <c r="M69" s="3">
        <f t="shared" si="102"/>
        <v>13.630381650686218</v>
      </c>
      <c r="N69" s="3">
        <f t="shared" si="103"/>
        <v>42.172266537748769</v>
      </c>
      <c r="O69" s="3">
        <f t="shared" si="104"/>
        <v>32.299304380522656</v>
      </c>
      <c r="P69" s="3">
        <f t="shared" si="105"/>
        <v>1.7726210619611635</v>
      </c>
      <c r="Q69" s="3">
        <f t="shared" si="106"/>
        <v>9.6473558402492419</v>
      </c>
      <c r="R69">
        <v>16.5</v>
      </c>
      <c r="S69">
        <v>14.2</v>
      </c>
      <c r="T69">
        <v>42.9</v>
      </c>
      <c r="U69">
        <v>2.1</v>
      </c>
      <c r="V69">
        <v>23.4</v>
      </c>
      <c r="W69">
        <f t="shared" si="107"/>
        <v>0</v>
      </c>
      <c r="X69" s="54">
        <v>0</v>
      </c>
      <c r="Y69">
        <f t="shared" si="142"/>
        <v>0</v>
      </c>
      <c r="Z69">
        <f t="shared" si="109"/>
        <v>0</v>
      </c>
      <c r="AA69">
        <f t="shared" si="110"/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 s="54">
        <v>1</v>
      </c>
      <c r="AM69">
        <v>0</v>
      </c>
      <c r="AN69">
        <v>0</v>
      </c>
      <c r="AY69" s="5">
        <f t="shared" si="111"/>
        <v>15.781535668747892</v>
      </c>
      <c r="AZ69" s="5">
        <f t="shared" si="112"/>
        <v>50.103556829587191</v>
      </c>
      <c r="BA69" s="5">
        <f t="shared" si="113"/>
        <v>19.183141590985045</v>
      </c>
      <c r="BB69" s="5">
        <f t="shared" si="114"/>
        <v>2.2653780231219791</v>
      </c>
      <c r="BC69" s="5">
        <f t="shared" si="115"/>
        <v>7.384793438221803</v>
      </c>
      <c r="BD69" s="5"/>
      <c r="BE69" s="5">
        <f t="shared" si="136"/>
        <v>94.718405550663917</v>
      </c>
      <c r="BF69" s="2"/>
      <c r="BH69" s="2">
        <f t="array" ref="BH69">MIN(100,MAX(0,M69-AK69*5+AR$16*(W69*AQ$29+SUMPRODUCT($AB69:$AJ69,TRANSPOSE(AQ$30:AQ$38)))+AS$16*(W69*AQ$39+SUMPRODUCT($AB69:$AJ69,TRANSPOSE(AQ$40:AQ$48)))+AU$16*(W69*AQ$49+SUMPRODUCT($AB69:$AJ69,TRANSPOSE(AQ$50:AQ$58)))+AT$16*(W69*AQ$59+SUMPRODUCT($AB69:$AJ69,TRANSPOSE(AQ$60:AQ$68)))))</f>
        <v>15.781535668747892</v>
      </c>
      <c r="BI69" s="2">
        <f t="array" ref="BI69">MIN(100,MAX(0,N69-AL69*5+AQ$17*(X69*AR$29+SUMPRODUCT($AB69:$AJ69,TRANSPOSE(AR$30:AR$38)))+AS$17*(X69*AR$39+SUMPRODUCT($AB69:$AJ69,TRANSPOSE(AR$40:AR$48)))+AU$17*(X69*AR$49+SUMPRODUCT($AB69:$AJ69,TRANSPOSE(AR$50:AR$58)))+AT$17*(X69*AR$59+SUMPRODUCT($AB69:$AJ69,TRANSPOSE(AR$60:AR$68)))))</f>
        <v>50.103556829587191</v>
      </c>
      <c r="BJ69" s="2">
        <f t="array" ref="BJ69">MIN(100,MAX(0,O69-AM69*5+AQ$18*(Y69*AS$29+SUMPRODUCT($AB69:$AJ69,TRANSPOSE(AS$30:AS$38)))+AR$18*(Y69*AS$39+SUMPRODUCT($AB69:$AJ69,TRANSPOSE(AS$40:AS$48)))+AU$18*(Y69*AS$49+SUMPRODUCT($AB69:$AJ69,TRANSPOSE(AS$50:AS$58)))+AT$18*(Y69*AS$59+SUMPRODUCT($AB69:$AJ69,TRANSPOSE(AS$60:AS$68)))))</f>
        <v>19.183141590985045</v>
      </c>
      <c r="BK69" s="2">
        <f t="array" ref="BK69">MIN(100,MAX(0,P69+AQ$19*(Z69*AT$29+SUMPRODUCT($AB69:$AJ69,TRANSPOSE(AT$30:AT$38)))+AR$19*(Z69*AT$39+SUMPRODUCT($AB69:$AJ69,TRANSPOSE(AT$40:AT$48)))+AS$19*(Z69*AT$49+SUMPRODUCT($AB69:$AJ69,TRANSPOSE(AT$50:AT$58)))+AU$19*(Z69*AT$59+SUMPRODUCT($AB69:$AJ69,TRANSPOSE(AT$60:AT$68)))))</f>
        <v>2.2653780231219791</v>
      </c>
      <c r="BL69" s="2">
        <f t="array" ref="BL69">MIN(100,MAX(0,Q69-AN69*5+AQ$20*(AA69*AU$29+SUMPRODUCT($AB69:$AJ69,TRANSPOSE(AU$30:AU$38)))+AR$20*(AA69*AU$39+SUMPRODUCT($AB69:$AJ69,TRANSPOSE(AU$40:AU$48)))+AS$20*(AA69*AU$49+SUMPRODUCT($AB69:$AJ69,TRANSPOSE(AU$50:AU$58)))+AT$20*(AA69*AU$59+SUMPRODUCT($AB69:$AJ69,TRANSPOSE(AU$60:AU$68)))))</f>
        <v>7.384793438221803</v>
      </c>
      <c r="BM69" s="2"/>
      <c r="BN69" s="2"/>
      <c r="BP69">
        <f t="shared" si="116"/>
        <v>0</v>
      </c>
      <c r="BQ69">
        <f t="shared" si="117"/>
        <v>1</v>
      </c>
      <c r="BR69">
        <f t="shared" si="118"/>
        <v>0</v>
      </c>
      <c r="BS69">
        <f t="shared" si="119"/>
        <v>0</v>
      </c>
      <c r="BT69">
        <f t="shared" si="120"/>
        <v>0</v>
      </c>
      <c r="BV69" s="2"/>
      <c r="BW69" s="2">
        <f t="shared" si="137"/>
        <v>0</v>
      </c>
      <c r="BX69" s="2">
        <f t="shared" si="138"/>
        <v>1</v>
      </c>
      <c r="BY69" s="2">
        <f t="shared" si="139"/>
        <v>0</v>
      </c>
      <c r="BZ69" s="2">
        <f t="shared" si="140"/>
        <v>0</v>
      </c>
      <c r="CA69" s="2">
        <f t="shared" si="141"/>
        <v>0</v>
      </c>
      <c r="CD69">
        <f t="shared" si="121"/>
        <v>1</v>
      </c>
      <c r="CE69">
        <f t="shared" si="122"/>
        <v>1</v>
      </c>
      <c r="CF69">
        <f t="shared" si="123"/>
        <v>0</v>
      </c>
      <c r="CG69">
        <f t="shared" si="124"/>
        <v>1</v>
      </c>
      <c r="CH69">
        <f t="shared" si="125"/>
        <v>0</v>
      </c>
      <c r="CK69">
        <f t="shared" si="126"/>
        <v>0</v>
      </c>
      <c r="CL69">
        <f t="shared" si="127"/>
        <v>0</v>
      </c>
      <c r="CM69">
        <f t="shared" si="128"/>
        <v>1</v>
      </c>
      <c r="CN69">
        <f t="shared" si="129"/>
        <v>0</v>
      </c>
      <c r="CO69">
        <f t="shared" si="130"/>
        <v>1</v>
      </c>
      <c r="CS69" s="38">
        <f t="shared" si="131"/>
        <v>0</v>
      </c>
      <c r="CT69" s="38">
        <f t="shared" si="132"/>
        <v>0</v>
      </c>
      <c r="CU69" s="38">
        <f t="shared" si="133"/>
        <v>0</v>
      </c>
      <c r="CV69" s="38">
        <f t="shared" si="134"/>
        <v>0</v>
      </c>
      <c r="CW69" s="38">
        <f t="shared" si="135"/>
        <v>0</v>
      </c>
    </row>
    <row r="70" spans="1:101">
      <c r="A70" t="s">
        <v>465</v>
      </c>
      <c r="B70" t="s">
        <v>128</v>
      </c>
      <c r="C70" t="s">
        <v>513</v>
      </c>
      <c r="D70">
        <v>24070</v>
      </c>
      <c r="E70">
        <v>246</v>
      </c>
      <c r="F70">
        <v>24</v>
      </c>
      <c r="G70">
        <v>9452</v>
      </c>
      <c r="H70">
        <v>6029</v>
      </c>
      <c r="I70">
        <v>22777</v>
      </c>
      <c r="J70">
        <v>1120</v>
      </c>
      <c r="K70">
        <v>15711</v>
      </c>
      <c r="L70">
        <v>55177</v>
      </c>
      <c r="M70" s="3">
        <f t="shared" si="102"/>
        <v>17.130326041647788</v>
      </c>
      <c r="N70" s="3">
        <f t="shared" si="103"/>
        <v>10.926654221867807</v>
      </c>
      <c r="O70" s="3">
        <f t="shared" si="104"/>
        <v>41.279881109882744</v>
      </c>
      <c r="P70" s="3">
        <f t="shared" si="105"/>
        <v>2.0298312702756585</v>
      </c>
      <c r="Q70" s="3">
        <f t="shared" si="106"/>
        <v>28.473820613661488</v>
      </c>
      <c r="R70">
        <v>16.5</v>
      </c>
      <c r="S70">
        <v>14.2</v>
      </c>
      <c r="T70">
        <v>42.9</v>
      </c>
      <c r="U70">
        <v>2.1</v>
      </c>
      <c r="V70">
        <v>23.4</v>
      </c>
      <c r="W70">
        <f t="shared" si="107"/>
        <v>0</v>
      </c>
      <c r="X70">
        <f t="shared" si="108"/>
        <v>0</v>
      </c>
      <c r="Y70" s="54">
        <v>0</v>
      </c>
      <c r="Z70">
        <f t="shared" si="109"/>
        <v>0</v>
      </c>
      <c r="AA70">
        <f t="shared" si="110"/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Y70" s="5">
        <f t="shared" si="111"/>
        <v>20.218603070633566</v>
      </c>
      <c r="AZ70" s="5">
        <f t="shared" si="112"/>
        <v>27.183633836535737</v>
      </c>
      <c r="BA70" s="5">
        <f t="shared" si="113"/>
        <v>24.429822366111679</v>
      </c>
      <c r="BB70" s="5">
        <f t="shared" si="114"/>
        <v>2.6004024542209483</v>
      </c>
      <c r="BC70" s="5">
        <f t="shared" si="115"/>
        <v>25.526019358701738</v>
      </c>
      <c r="BD70" s="5"/>
      <c r="BE70" s="5">
        <f t="shared" si="136"/>
        <v>99.958481086203676</v>
      </c>
      <c r="BF70" s="2"/>
      <c r="BH70" s="2">
        <f t="array" ref="BH70">MIN(100,MAX(0,M70-AK70*5+AR$16*(W70*AQ$29+SUMPRODUCT($AB70:$AJ70,TRANSPOSE(AQ$30:AQ$38)))+AS$16*(W70*AQ$39+SUMPRODUCT($AB70:$AJ70,TRANSPOSE(AQ$40:AQ$48)))+AU$16*(W70*AQ$49+SUMPRODUCT($AB70:$AJ70,TRANSPOSE(AQ$50:AQ$58)))+AT$16*(W70*AQ$59+SUMPRODUCT($AB70:$AJ70,TRANSPOSE(AQ$60:AQ$68)))))</f>
        <v>20.218603070633566</v>
      </c>
      <c r="BI70" s="2">
        <f t="array" ref="BI70">MIN(100,MAX(0,N70-AL70*5+AQ$17*(X70*AR$29+SUMPRODUCT($AB70:$AJ70,TRANSPOSE(AR$30:AR$38)))+AS$17*(X70*AR$39+SUMPRODUCT($AB70:$AJ70,TRANSPOSE(AR$40:AR$48)))+AU$17*(X70*AR$49+SUMPRODUCT($AB70:$AJ70,TRANSPOSE(AR$50:AR$58)))+AT$17*(X70*AR$59+SUMPRODUCT($AB70:$AJ70,TRANSPOSE(AR$60:AR$68)))))</f>
        <v>27.183633836535737</v>
      </c>
      <c r="BJ70" s="2">
        <f t="array" ref="BJ70">MIN(100,MAX(0,O70-AM70*5+AQ$18*(Y70*AS$29+SUMPRODUCT($AB70:$AJ70,TRANSPOSE(AS$30:AS$38)))+AR$18*(Y70*AS$39+SUMPRODUCT($AB70:$AJ70,TRANSPOSE(AS$40:AS$48)))+AU$18*(Y70*AS$49+SUMPRODUCT($AB70:$AJ70,TRANSPOSE(AS$50:AS$58)))+AT$18*(Y70*AS$59+SUMPRODUCT($AB70:$AJ70,TRANSPOSE(AS$60:AS$68)))))</f>
        <v>24.429822366111679</v>
      </c>
      <c r="BK70" s="2">
        <f t="array" ref="BK70">MIN(100,MAX(0,P70+AQ$19*(Z70*AT$29+SUMPRODUCT($AB70:$AJ70,TRANSPOSE(AT$30:AT$38)))+AR$19*(Z70*AT$39+SUMPRODUCT($AB70:$AJ70,TRANSPOSE(AT$40:AT$48)))+AS$19*(Z70*AT$49+SUMPRODUCT($AB70:$AJ70,TRANSPOSE(AT$50:AT$58)))+AU$19*(Z70*AT$59+SUMPRODUCT($AB70:$AJ70,TRANSPOSE(AT$60:AT$68)))))</f>
        <v>2.6004024542209483</v>
      </c>
      <c r="BL70" s="2">
        <f t="array" ref="BL70">MIN(100,MAX(0,Q70-AN70*5+AQ$20*(AA70*AU$29+SUMPRODUCT($AB70:$AJ70,TRANSPOSE(AU$30:AU$38)))+AR$20*(AA70*AU$39+SUMPRODUCT($AB70:$AJ70,TRANSPOSE(AU$40:AU$48)))+AS$20*(AA70*AU$49+SUMPRODUCT($AB70:$AJ70,TRANSPOSE(AU$50:AU$58)))+AT$20*(AA70*AU$59+SUMPRODUCT($AB70:$AJ70,TRANSPOSE(AU$60:AU$68)))))</f>
        <v>25.659283196338666</v>
      </c>
      <c r="BM70" s="2"/>
      <c r="BN70" s="2"/>
      <c r="BP70">
        <f t="shared" si="116"/>
        <v>0</v>
      </c>
      <c r="BQ70">
        <f t="shared" si="117"/>
        <v>1</v>
      </c>
      <c r="BR70">
        <f t="shared" si="118"/>
        <v>0</v>
      </c>
      <c r="BS70">
        <f t="shared" si="119"/>
        <v>0</v>
      </c>
      <c r="BT70">
        <f t="shared" si="120"/>
        <v>0</v>
      </c>
      <c r="BV70" s="2"/>
      <c r="BW70" s="2">
        <f t="shared" si="137"/>
        <v>1</v>
      </c>
      <c r="BX70" s="2">
        <f t="shared" si="138"/>
        <v>0</v>
      </c>
      <c r="BY70" s="2">
        <f t="shared" si="139"/>
        <v>0</v>
      </c>
      <c r="BZ70" s="2">
        <f t="shared" si="140"/>
        <v>0</v>
      </c>
      <c r="CA70" s="2">
        <f t="shared" si="141"/>
        <v>1</v>
      </c>
      <c r="CD70">
        <f t="shared" si="121"/>
        <v>1</v>
      </c>
      <c r="CE70">
        <f t="shared" si="122"/>
        <v>1</v>
      </c>
      <c r="CF70">
        <f t="shared" si="123"/>
        <v>0</v>
      </c>
      <c r="CG70">
        <f t="shared" si="124"/>
        <v>1</v>
      </c>
      <c r="CH70">
        <f t="shared" si="125"/>
        <v>0</v>
      </c>
      <c r="CK70">
        <f t="shared" si="126"/>
        <v>0</v>
      </c>
      <c r="CL70">
        <f t="shared" si="127"/>
        <v>0</v>
      </c>
      <c r="CM70">
        <f t="shared" si="128"/>
        <v>1</v>
      </c>
      <c r="CN70">
        <f t="shared" si="129"/>
        <v>0</v>
      </c>
      <c r="CO70">
        <f t="shared" si="130"/>
        <v>1</v>
      </c>
      <c r="CS70" s="38">
        <f t="shared" si="131"/>
        <v>0</v>
      </c>
      <c r="CT70" s="38">
        <f t="shared" si="132"/>
        <v>0</v>
      </c>
      <c r="CU70" s="38">
        <f t="shared" si="133"/>
        <v>1</v>
      </c>
      <c r="CV70" s="38">
        <f t="shared" si="134"/>
        <v>0</v>
      </c>
      <c r="CW70" s="38">
        <f t="shared" si="135"/>
        <v>1</v>
      </c>
    </row>
    <row r="71" spans="1:101">
      <c r="A71" t="s">
        <v>465</v>
      </c>
      <c r="B71" t="s">
        <v>129</v>
      </c>
      <c r="C71" t="s">
        <v>514</v>
      </c>
      <c r="D71">
        <v>24071</v>
      </c>
      <c r="F71">
        <v>24</v>
      </c>
      <c r="G71">
        <v>6849</v>
      </c>
      <c r="H71">
        <v>4394</v>
      </c>
      <c r="I71">
        <v>23547</v>
      </c>
      <c r="J71">
        <v>991</v>
      </c>
      <c r="K71">
        <v>18227</v>
      </c>
      <c r="L71">
        <v>54007</v>
      </c>
      <c r="M71" s="3">
        <f t="shared" si="102"/>
        <v>12.681689410631956</v>
      </c>
      <c r="N71" s="3">
        <f t="shared" si="103"/>
        <v>8.1359823726553966</v>
      </c>
      <c r="O71" s="3">
        <f t="shared" si="104"/>
        <v>43.59990371618494</v>
      </c>
      <c r="P71" s="3">
        <f t="shared" si="105"/>
        <v>1.8349473216434906</v>
      </c>
      <c r="Q71" s="3">
        <f t="shared" si="106"/>
        <v>33.749328790712312</v>
      </c>
      <c r="R71">
        <v>16.5</v>
      </c>
      <c r="S71">
        <v>14.2</v>
      </c>
      <c r="T71">
        <v>42.9</v>
      </c>
      <c r="U71">
        <v>2.1</v>
      </c>
      <c r="V71">
        <v>23.4</v>
      </c>
      <c r="W71">
        <f t="shared" si="107"/>
        <v>0</v>
      </c>
      <c r="X71">
        <f t="shared" si="108"/>
        <v>0</v>
      </c>
      <c r="Y71">
        <f t="shared" si="142"/>
        <v>1</v>
      </c>
      <c r="Z71">
        <f t="shared" si="109"/>
        <v>0</v>
      </c>
      <c r="AA71">
        <f t="shared" si="110"/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P71" t="s">
        <v>515</v>
      </c>
      <c r="AY71" s="5">
        <f t="shared" si="111"/>
        <v>15.471568806413437</v>
      </c>
      <c r="AZ71" s="5">
        <f t="shared" si="112"/>
        <v>23.462010436678195</v>
      </c>
      <c r="BA71" s="5">
        <f t="shared" si="113"/>
        <v>27.879574068840025</v>
      </c>
      <c r="BB71" s="5">
        <f t="shared" si="114"/>
        <v>2.3966894290885383</v>
      </c>
      <c r="BC71" s="5">
        <f t="shared" si="115"/>
        <v>30.755303240141849</v>
      </c>
      <c r="BD71" s="5"/>
      <c r="BE71" s="5">
        <f t="shared" si="136"/>
        <v>99.965145981162038</v>
      </c>
      <c r="BF71" s="2"/>
      <c r="BH71" s="2">
        <f t="array" ref="BH71">MIN(100,MAX(0,M71-AK71*5+AR$16*(W71*AQ$29+SUMPRODUCT($AB71:$AJ71,TRANSPOSE(AQ$30:AQ$38)))+AS$16*(W71*AQ$39+SUMPRODUCT($AB71:$AJ71,TRANSPOSE(AQ$40:AQ$48)))+AU$16*(W71*AQ$49+SUMPRODUCT($AB71:$AJ71,TRANSPOSE(AQ$50:AQ$58)))+AT$16*(W71*AQ$59+SUMPRODUCT($AB71:$AJ71,TRANSPOSE(AQ$60:AQ$68)))))</f>
        <v>15.471568806413437</v>
      </c>
      <c r="BI71" s="2">
        <f t="array" ref="BI71">MIN(100,MAX(0,N71-AL71*5+AQ$17*(X71*AR$29+SUMPRODUCT($AB71:$AJ71,TRANSPOSE(AR$30:AR$38)))+AS$17*(X71*AR$39+SUMPRODUCT($AB71:$AJ71,TRANSPOSE(AR$40:AR$48)))+AU$17*(X71*AR$49+SUMPRODUCT($AB71:$AJ71,TRANSPOSE(AR$50:AR$58)))+AT$17*(X71*AR$59+SUMPRODUCT($AB71:$AJ71,TRANSPOSE(AR$60:AR$68)))))</f>
        <v>23.462010436678195</v>
      </c>
      <c r="BJ71" s="2">
        <f t="array" ref="BJ71">MIN(100,MAX(0,O71-AM71*5+AQ$18*(Y71*AS$29+SUMPRODUCT($AB71:$AJ71,TRANSPOSE(AS$30:AS$38)))+AR$18*(Y71*AS$39+SUMPRODUCT($AB71:$AJ71,TRANSPOSE(AS$40:AS$48)))+AU$18*(Y71*AS$49+SUMPRODUCT($AB71:$AJ71,TRANSPOSE(AS$50:AS$58)))+AT$18*(Y71*AS$59+SUMPRODUCT($AB71:$AJ71,TRANSPOSE(AS$60:AS$68)))))</f>
        <v>27.879574068840025</v>
      </c>
      <c r="BK71" s="2">
        <f t="array" ref="BK71">MIN(100,MAX(0,P71+AQ$19*(Z71*AT$29+SUMPRODUCT($AB71:$AJ71,TRANSPOSE(AT$30:AT$38)))+AR$19*(Z71*AT$39+SUMPRODUCT($AB71:$AJ71,TRANSPOSE(AT$40:AT$48)))+AS$19*(Z71*AT$49+SUMPRODUCT($AB71:$AJ71,TRANSPOSE(AT$50:AT$58)))+AU$19*(Z71*AT$59+SUMPRODUCT($AB71:$AJ71,TRANSPOSE(AT$60:AT$68)))))</f>
        <v>2.3966894290885383</v>
      </c>
      <c r="BL71" s="2">
        <f t="array" ref="BL71">MIN(100,MAX(0,Q71-AN71*5+AQ$20*(AA71*AU$29+SUMPRODUCT($AB71:$AJ71,TRANSPOSE(AU$30:AU$38)))+AR$20*(AA71*AU$39+SUMPRODUCT($AB71:$AJ71,TRANSPOSE(AU$40:AU$48)))+AS$20*(AA71*AU$49+SUMPRODUCT($AB71:$AJ71,TRANSPOSE(AU$50:AU$58)))+AT$20*(AA71*AU$59+SUMPRODUCT($AB71:$AJ71,TRANSPOSE(AU$60:AU$68)))))</f>
        <v>31.02762132276311</v>
      </c>
      <c r="BM71" s="2"/>
      <c r="BN71" s="2"/>
      <c r="BP71">
        <f t="shared" si="116"/>
        <v>0</v>
      </c>
      <c r="BQ71">
        <f t="shared" si="117"/>
        <v>0</v>
      </c>
      <c r="BR71">
        <f t="shared" si="118"/>
        <v>0</v>
      </c>
      <c r="BS71">
        <f t="shared" si="119"/>
        <v>0</v>
      </c>
      <c r="BT71">
        <f t="shared" si="120"/>
        <v>1</v>
      </c>
      <c r="BV71" s="2"/>
      <c r="BW71" s="2">
        <f t="shared" si="137"/>
        <v>0</v>
      </c>
      <c r="BX71" s="2">
        <f t="shared" si="138"/>
        <v>0</v>
      </c>
      <c r="BY71" s="2">
        <f t="shared" si="139"/>
        <v>1</v>
      </c>
      <c r="BZ71" s="2">
        <f t="shared" si="140"/>
        <v>0</v>
      </c>
      <c r="CA71" s="2">
        <f t="shared" si="141"/>
        <v>1</v>
      </c>
      <c r="CD71">
        <f t="shared" si="121"/>
        <v>1</v>
      </c>
      <c r="CE71">
        <f t="shared" si="122"/>
        <v>1</v>
      </c>
      <c r="CF71">
        <f t="shared" si="123"/>
        <v>0</v>
      </c>
      <c r="CG71">
        <f t="shared" si="124"/>
        <v>1</v>
      </c>
      <c r="CH71">
        <f t="shared" si="125"/>
        <v>0</v>
      </c>
      <c r="CK71">
        <f t="shared" si="126"/>
        <v>0</v>
      </c>
      <c r="CL71">
        <f t="shared" si="127"/>
        <v>0</v>
      </c>
      <c r="CM71">
        <f t="shared" si="128"/>
        <v>1</v>
      </c>
      <c r="CN71">
        <f t="shared" si="129"/>
        <v>0</v>
      </c>
      <c r="CO71">
        <f t="shared" si="130"/>
        <v>1</v>
      </c>
      <c r="CS71" s="38">
        <f t="shared" si="131"/>
        <v>0</v>
      </c>
      <c r="CT71" s="38">
        <f t="shared" si="132"/>
        <v>0</v>
      </c>
      <c r="CU71" s="38">
        <f t="shared" si="133"/>
        <v>1</v>
      </c>
      <c r="CV71" s="38">
        <f t="shared" si="134"/>
        <v>0</v>
      </c>
      <c r="CW71" s="38">
        <f t="shared" si="135"/>
        <v>0</v>
      </c>
    </row>
    <row r="72" spans="1:101">
      <c r="A72" t="s">
        <v>465</v>
      </c>
      <c r="B72" t="s">
        <v>130</v>
      </c>
      <c r="C72" t="s">
        <v>130</v>
      </c>
      <c r="D72">
        <v>24072</v>
      </c>
      <c r="F72">
        <v>24</v>
      </c>
      <c r="G72">
        <v>7908</v>
      </c>
      <c r="H72">
        <v>4856</v>
      </c>
      <c r="I72">
        <v>27578</v>
      </c>
      <c r="J72">
        <v>1022</v>
      </c>
      <c r="K72">
        <v>12617</v>
      </c>
      <c r="L72">
        <v>53982</v>
      </c>
      <c r="M72" s="3">
        <f t="shared" si="102"/>
        <v>14.649327553628988</v>
      </c>
      <c r="N72" s="3">
        <f t="shared" si="103"/>
        <v>8.9955911229669141</v>
      </c>
      <c r="O72" s="3">
        <f t="shared" si="104"/>
        <v>51.087399503538208</v>
      </c>
      <c r="P72" s="3">
        <f t="shared" si="105"/>
        <v>1.8932236671483087</v>
      </c>
      <c r="Q72" s="3">
        <f t="shared" si="106"/>
        <v>23.372605683375941</v>
      </c>
      <c r="R72">
        <v>16.5</v>
      </c>
      <c r="S72">
        <v>14.2</v>
      </c>
      <c r="T72">
        <v>42.9</v>
      </c>
      <c r="U72">
        <v>2.1</v>
      </c>
      <c r="V72">
        <v>23.4</v>
      </c>
      <c r="W72">
        <f t="shared" si="107"/>
        <v>0</v>
      </c>
      <c r="X72">
        <f t="shared" si="108"/>
        <v>0</v>
      </c>
      <c r="Y72" s="54">
        <v>0</v>
      </c>
      <c r="Z72">
        <f t="shared" si="109"/>
        <v>0</v>
      </c>
      <c r="AA72">
        <f t="shared" si="110"/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P72" t="s">
        <v>449</v>
      </c>
      <c r="AY72" s="5">
        <f t="shared" si="111"/>
        <v>17.737604582614765</v>
      </c>
      <c r="AZ72" s="5">
        <f t="shared" si="112"/>
        <v>25.252570737634844</v>
      </c>
      <c r="BA72" s="5">
        <f t="shared" si="113"/>
        <v>34.237340759767143</v>
      </c>
      <c r="BB72" s="5">
        <f t="shared" si="114"/>
        <v>2.4637948510935983</v>
      </c>
      <c r="BC72" s="5">
        <f t="shared" si="115"/>
        <v>20.556939471688164</v>
      </c>
      <c r="BD72" s="5"/>
      <c r="BE72" s="5">
        <f>SUM(AY72:BC72)</f>
        <v>100.24825040279852</v>
      </c>
      <c r="BF72" s="2"/>
      <c r="BH72" s="2">
        <f t="array" ref="BH72">MIN(100,MAX(0,M72-AK72*5+AR$16*(W72*AQ$29+SUMPRODUCT($AB72:$AJ72,TRANSPOSE(AQ$30:AQ$38)))+AS$16*(W72*AQ$39+SUMPRODUCT($AB72:$AJ72,TRANSPOSE(AQ$40:AQ$48)))+AU$16*(W72*AQ$49+SUMPRODUCT($AB72:$AJ72,TRANSPOSE(AQ$50:AQ$58)))+AT$16*(W72*AQ$59+SUMPRODUCT($AB72:$AJ72,TRANSPOSE(AQ$60:AQ$68)))))</f>
        <v>17.737604582614765</v>
      </c>
      <c r="BI72" s="2">
        <f t="array" ref="BI72">MIN(100,MAX(0,N72-AL72*5+AQ$17*(X72*AR$29+SUMPRODUCT($AB72:$AJ72,TRANSPOSE(AR$30:AR$38)))+AS$17*(X72*AR$39+SUMPRODUCT($AB72:$AJ72,TRANSPOSE(AR$40:AR$48)))+AU$17*(X72*AR$49+SUMPRODUCT($AB72:$AJ72,TRANSPOSE(AR$50:AR$58)))+AT$17*(X72*AR$59+SUMPRODUCT($AB72:$AJ72,TRANSPOSE(AR$60:AR$68)))))</f>
        <v>25.252570737634844</v>
      </c>
      <c r="BJ72" s="2">
        <f t="array" ref="BJ72">MIN(100,MAX(0,O72-AM72*5+AQ$18*(Y72*AS$29+SUMPRODUCT($AB72:$AJ72,TRANSPOSE(AS$30:AS$38)))+AR$18*(Y72*AS$39+SUMPRODUCT($AB72:$AJ72,TRANSPOSE(AS$40:AS$48)))+AU$18*(Y72*AS$49+SUMPRODUCT($AB72:$AJ72,TRANSPOSE(AS$50:AS$58)))+AT$18*(Y72*AS$59+SUMPRODUCT($AB72:$AJ72,TRANSPOSE(AS$60:AS$68)))))</f>
        <v>34.237340759767143</v>
      </c>
      <c r="BK72" s="2">
        <f t="array" ref="BK72">MIN(100,MAX(0,P72+AQ$19*(Z72*AT$29+SUMPRODUCT($AB72:$AJ72,TRANSPOSE(AT$30:AT$38)))+AR$19*(Z72*AT$39+SUMPRODUCT($AB72:$AJ72,TRANSPOSE(AT$40:AT$48)))+AS$19*(Z72*AT$49+SUMPRODUCT($AB72:$AJ72,TRANSPOSE(AT$50:AT$58)))+AU$19*(Z72*AT$59+SUMPRODUCT($AB72:$AJ72,TRANSPOSE(AT$60:AT$68)))))</f>
        <v>2.4637948510935983</v>
      </c>
      <c r="BL72" s="2">
        <f t="array" ref="BL72">MIN(100,MAX(0,Q72-AN72*5+AQ$20*(AA72*AU$29+SUMPRODUCT($AB72:$AJ72,TRANSPOSE(AU$30:AU$38)))+AR$20*(AA72*AU$39+SUMPRODUCT($AB72:$AJ72,TRANSPOSE(AU$40:AU$48)))+AS$20*(AA72*AU$49+SUMPRODUCT($AB72:$AJ72,TRANSPOSE(AU$50:AU$58)))+AT$20*(AA72*AU$59+SUMPRODUCT($AB72:$AJ72,TRANSPOSE(AU$60:AU$68)))))</f>
        <v>20.55806826605312</v>
      </c>
      <c r="BM72" s="2"/>
      <c r="BN72" s="2"/>
      <c r="BP72">
        <f t="shared" si="116"/>
        <v>0</v>
      </c>
      <c r="BQ72">
        <f t="shared" si="117"/>
        <v>0</v>
      </c>
      <c r="BR72">
        <f t="shared" si="118"/>
        <v>1</v>
      </c>
      <c r="BS72">
        <f t="shared" si="119"/>
        <v>0</v>
      </c>
      <c r="BT72">
        <f t="shared" si="120"/>
        <v>0</v>
      </c>
      <c r="BV72" s="2"/>
      <c r="BW72" s="2">
        <f t="shared" si="137"/>
        <v>0</v>
      </c>
      <c r="BX72" s="2">
        <f t="shared" si="138"/>
        <v>0</v>
      </c>
      <c r="BY72" s="2">
        <f t="shared" si="139"/>
        <v>1</v>
      </c>
      <c r="BZ72" s="2">
        <f t="shared" si="140"/>
        <v>0</v>
      </c>
      <c r="CA72" s="2">
        <f t="shared" si="141"/>
        <v>1</v>
      </c>
      <c r="CD72">
        <f t="shared" si="121"/>
        <v>1</v>
      </c>
      <c r="CE72">
        <f t="shared" si="122"/>
        <v>1</v>
      </c>
      <c r="CF72">
        <f t="shared" si="123"/>
        <v>0</v>
      </c>
      <c r="CG72">
        <f t="shared" si="124"/>
        <v>1</v>
      </c>
      <c r="CH72">
        <f t="shared" si="125"/>
        <v>0</v>
      </c>
      <c r="CK72">
        <f t="shared" si="126"/>
        <v>0</v>
      </c>
      <c r="CL72">
        <f t="shared" si="127"/>
        <v>0</v>
      </c>
      <c r="CM72">
        <f t="shared" si="128"/>
        <v>1</v>
      </c>
      <c r="CN72">
        <f t="shared" si="129"/>
        <v>0</v>
      </c>
      <c r="CO72">
        <f t="shared" si="130"/>
        <v>1</v>
      </c>
      <c r="CS72" s="38">
        <f t="shared" si="131"/>
        <v>0</v>
      </c>
      <c r="CT72" s="38">
        <f t="shared" si="132"/>
        <v>0</v>
      </c>
      <c r="CU72" s="38">
        <f t="shared" si="133"/>
        <v>0</v>
      </c>
      <c r="CV72" s="38">
        <f t="shared" si="134"/>
        <v>0</v>
      </c>
      <c r="CW72" s="38">
        <f t="shared" si="135"/>
        <v>0</v>
      </c>
    </row>
    <row r="73" spans="1:101">
      <c r="A73" t="s">
        <v>465</v>
      </c>
      <c r="B73" t="s">
        <v>131</v>
      </c>
      <c r="C73" t="s">
        <v>131</v>
      </c>
      <c r="D73">
        <v>24073</v>
      </c>
      <c r="F73">
        <v>24</v>
      </c>
      <c r="G73">
        <v>4865</v>
      </c>
      <c r="H73">
        <v>5182</v>
      </c>
      <c r="I73">
        <v>22983</v>
      </c>
      <c r="J73">
        <v>924</v>
      </c>
      <c r="K73">
        <v>18689</v>
      </c>
      <c r="L73">
        <v>52871</v>
      </c>
      <c r="M73" s="3">
        <f t="shared" si="102"/>
        <v>9.2016417317622139</v>
      </c>
      <c r="N73" s="3">
        <f t="shared" si="103"/>
        <v>9.8012142762573049</v>
      </c>
      <c r="O73" s="3">
        <f t="shared" si="104"/>
        <v>43.469955173913867</v>
      </c>
      <c r="P73" s="3">
        <f t="shared" si="105"/>
        <v>1.7476499404210248</v>
      </c>
      <c r="Q73" s="3">
        <f t="shared" si="106"/>
        <v>35.348300580658581</v>
      </c>
      <c r="R73">
        <v>16.5</v>
      </c>
      <c r="S73">
        <v>14.2</v>
      </c>
      <c r="T73">
        <v>42.9</v>
      </c>
      <c r="U73">
        <v>2.1</v>
      </c>
      <c r="V73">
        <v>23.4</v>
      </c>
      <c r="W73">
        <f t="shared" si="107"/>
        <v>0</v>
      </c>
      <c r="X73">
        <f t="shared" si="108"/>
        <v>0</v>
      </c>
      <c r="Y73">
        <f t="shared" si="142"/>
        <v>1</v>
      </c>
      <c r="Z73">
        <f t="shared" si="109"/>
        <v>0</v>
      </c>
      <c r="AA73">
        <f t="shared" si="110"/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P73" t="s">
        <v>450</v>
      </c>
      <c r="AY73" s="5">
        <f t="shared" si="111"/>
        <v>12.289918760747991</v>
      </c>
      <c r="AZ73" s="5">
        <f t="shared" si="112"/>
        <v>26.058193890925235</v>
      </c>
      <c r="BA73" s="5">
        <f t="shared" si="113"/>
        <v>26.619896430142802</v>
      </c>
      <c r="BB73" s="5">
        <f t="shared" si="114"/>
        <v>2.3182211243663144</v>
      </c>
      <c r="BC73" s="5">
        <f t="shared" si="115"/>
        <v>32.222431998537502</v>
      </c>
      <c r="BD73" s="5"/>
      <c r="BE73" s="5">
        <f>SUM(AY73:BC73)</f>
        <v>99.508662204719855</v>
      </c>
      <c r="BF73" s="2"/>
      <c r="BH73" s="2">
        <f t="array" ref="BH73">MIN(100,MAX(0,M73-AK73*5+AR$16*(W73*AQ$29+SUMPRODUCT($AB73:$AJ73,TRANSPOSE(AQ$30:AQ$38)))+AS$16*(W73*AQ$39+SUMPRODUCT($AB73:$AJ73,TRANSPOSE(AQ$40:AQ$48)))+AU$16*(W73*AQ$49+SUMPRODUCT($AB73:$AJ73,TRANSPOSE(AQ$50:AQ$58)))+AT$16*(W73*AQ$59+SUMPRODUCT($AB73:$AJ73,TRANSPOSE(AQ$60:AQ$68)))))</f>
        <v>12.289918760747991</v>
      </c>
      <c r="BI73" s="2">
        <f t="array" ref="BI73">MIN(100,MAX(0,N73-AL73*5+AQ$17*(X73*AR$29+SUMPRODUCT($AB73:$AJ73,TRANSPOSE(AR$30:AR$38)))+AS$17*(X73*AR$39+SUMPRODUCT($AB73:$AJ73,TRANSPOSE(AR$40:AR$48)))+AU$17*(X73*AR$49+SUMPRODUCT($AB73:$AJ73,TRANSPOSE(AR$50:AR$58)))+AT$17*(X73*AR$59+SUMPRODUCT($AB73:$AJ73,TRANSPOSE(AR$60:AR$68)))))</f>
        <v>26.058193890925235</v>
      </c>
      <c r="BJ73" s="2">
        <f t="array" ref="BJ73">MIN(100,MAX(0,O73-AM73*5+AQ$18*(Y73*AS$29+SUMPRODUCT($AB73:$AJ73,TRANSPOSE(AS$30:AS$38)))+AR$18*(Y73*AS$39+SUMPRODUCT($AB73:$AJ73,TRANSPOSE(AS$40:AS$48)))+AU$18*(Y73*AS$49+SUMPRODUCT($AB73:$AJ73,TRANSPOSE(AS$50:AS$58)))+AT$18*(Y73*AS$59+SUMPRODUCT($AB73:$AJ73,TRANSPOSE(AS$60:AS$68)))))</f>
        <v>26.619896430142802</v>
      </c>
      <c r="BK73" s="2">
        <f t="array" ref="BK73">MIN(100,MAX(0,P73+AQ$19*(Z73*AT$29+SUMPRODUCT($AB73:$AJ73,TRANSPOSE(AT$30:AT$38)))+AR$19*(Z73*AT$39+SUMPRODUCT($AB73:$AJ73,TRANSPOSE(AT$40:AT$48)))+AS$19*(Z73*AT$49+SUMPRODUCT($AB73:$AJ73,TRANSPOSE(AT$50:AT$58)))+AU$19*(Z73*AT$59+SUMPRODUCT($AB73:$AJ73,TRANSPOSE(AT$60:AT$68)))))</f>
        <v>2.3182211243663144</v>
      </c>
      <c r="BL73" s="2">
        <f t="array" ref="BL73">MIN(100,MAX(0,Q73-AN73*5+AQ$20*(AA73*AU$29+SUMPRODUCT($AB73:$AJ73,TRANSPOSE(AU$30:AU$38)))+AR$20*(AA73*AU$39+SUMPRODUCT($AB73:$AJ73,TRANSPOSE(AU$40:AU$48)))+AS$20*(AA73*AU$49+SUMPRODUCT($AB73:$AJ73,TRANSPOSE(AU$50:AU$58)))+AT$20*(AA73*AU$59+SUMPRODUCT($AB73:$AJ73,TRANSPOSE(AU$60:AU$68)))))</f>
        <v>32.533763163335763</v>
      </c>
      <c r="BM73" s="2"/>
      <c r="BN73" s="2"/>
      <c r="BP73">
        <f t="shared" si="116"/>
        <v>0</v>
      </c>
      <c r="BQ73">
        <f t="shared" si="117"/>
        <v>0</v>
      </c>
      <c r="BR73">
        <f t="shared" si="118"/>
        <v>0</v>
      </c>
      <c r="BS73">
        <f t="shared" si="119"/>
        <v>0</v>
      </c>
      <c r="BT73">
        <f t="shared" si="120"/>
        <v>1</v>
      </c>
      <c r="BV73" s="2"/>
      <c r="BW73" s="2">
        <f t="shared" si="137"/>
        <v>0</v>
      </c>
      <c r="BX73" s="2">
        <f t="shared" si="138"/>
        <v>0</v>
      </c>
      <c r="BY73" s="2">
        <f t="shared" si="139"/>
        <v>0</v>
      </c>
      <c r="BZ73" s="2">
        <f t="shared" si="140"/>
        <v>0</v>
      </c>
      <c r="CA73" s="2">
        <f t="shared" si="141"/>
        <v>1</v>
      </c>
      <c r="CD73">
        <f t="shared" si="121"/>
        <v>1</v>
      </c>
      <c r="CE73">
        <f t="shared" si="122"/>
        <v>1</v>
      </c>
      <c r="CF73">
        <f t="shared" si="123"/>
        <v>0</v>
      </c>
      <c r="CG73">
        <f t="shared" si="124"/>
        <v>1</v>
      </c>
      <c r="CH73">
        <f t="shared" si="125"/>
        <v>0</v>
      </c>
      <c r="CK73">
        <f t="shared" si="126"/>
        <v>0</v>
      </c>
      <c r="CL73">
        <f t="shared" si="127"/>
        <v>0</v>
      </c>
      <c r="CM73">
        <f t="shared" si="128"/>
        <v>1</v>
      </c>
      <c r="CN73">
        <f t="shared" si="129"/>
        <v>0</v>
      </c>
      <c r="CO73">
        <f t="shared" si="130"/>
        <v>1</v>
      </c>
      <c r="CS73" s="38">
        <f t="shared" si="131"/>
        <v>0</v>
      </c>
      <c r="CT73" s="38">
        <f t="shared" si="132"/>
        <v>0</v>
      </c>
      <c r="CU73" s="38">
        <f t="shared" si="133"/>
        <v>0</v>
      </c>
      <c r="CV73" s="38">
        <f t="shared" si="134"/>
        <v>0</v>
      </c>
      <c r="CW73" s="38">
        <f t="shared" si="135"/>
        <v>0</v>
      </c>
    </row>
    <row r="74" spans="1:101">
      <c r="A74" t="s">
        <v>465</v>
      </c>
      <c r="B74" t="s">
        <v>132</v>
      </c>
      <c r="C74" t="s">
        <v>132</v>
      </c>
      <c r="D74">
        <v>24075</v>
      </c>
      <c r="E74">
        <v>246</v>
      </c>
      <c r="F74">
        <v>24</v>
      </c>
      <c r="G74">
        <v>4011</v>
      </c>
      <c r="H74">
        <v>3440</v>
      </c>
      <c r="I74">
        <v>25625</v>
      </c>
      <c r="J74">
        <v>1339</v>
      </c>
      <c r="K74">
        <v>15304</v>
      </c>
      <c r="L74">
        <v>49719</v>
      </c>
      <c r="M74" s="3">
        <f t="shared" si="102"/>
        <v>8.0673384420442886</v>
      </c>
      <c r="N74" s="3">
        <f t="shared" si="103"/>
        <v>6.9188841288038772</v>
      </c>
      <c r="O74" s="3">
        <f t="shared" si="104"/>
        <v>51.539652849011439</v>
      </c>
      <c r="P74" s="3">
        <f t="shared" si="105"/>
        <v>2.6931354210663931</v>
      </c>
      <c r="Q74" s="3">
        <f t="shared" si="106"/>
        <v>30.780989159073997</v>
      </c>
      <c r="R74">
        <v>16.5</v>
      </c>
      <c r="S74">
        <v>14.2</v>
      </c>
      <c r="T74">
        <v>42.9</v>
      </c>
      <c r="U74">
        <v>2.1</v>
      </c>
      <c r="V74">
        <v>23.4</v>
      </c>
      <c r="W74">
        <f t="shared" si="107"/>
        <v>0</v>
      </c>
      <c r="X74">
        <f t="shared" si="108"/>
        <v>0</v>
      </c>
      <c r="Y74">
        <f t="shared" si="142"/>
        <v>1</v>
      </c>
      <c r="Z74">
        <f t="shared" si="109"/>
        <v>0</v>
      </c>
      <c r="AA74">
        <f t="shared" si="110"/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 t="s">
        <v>451</v>
      </c>
      <c r="AY74" s="5">
        <f t="shared" si="111"/>
        <v>10.933055380257779</v>
      </c>
      <c r="AZ74" s="5">
        <f t="shared" si="112"/>
        <v>22.365424489775958</v>
      </c>
      <c r="BA74" s="5">
        <f t="shared" si="113"/>
        <v>35.60660874453373</v>
      </c>
      <c r="BB74" s="5">
        <f t="shared" si="114"/>
        <v>3.2871614355040299</v>
      </c>
      <c r="BC74" s="5">
        <f t="shared" si="115"/>
        <v>27.851154000908323</v>
      </c>
      <c r="BD74" s="5"/>
      <c r="BE74" s="5">
        <f>SUM(AY74:BC74)</f>
        <v>100.04340405097982</v>
      </c>
      <c r="BF74" s="2"/>
      <c r="BH74" s="2">
        <f t="array" ref="BH74">MIN(100,MAX(0,M74-AK74*5+AR$16*(W74*AQ$29+SUMPRODUCT($AB74:$AJ74,TRANSPOSE(AQ$30:AQ$38)))+AS$16*(W74*AQ$39+SUMPRODUCT($AB74:$AJ74,TRANSPOSE(AQ$40:AQ$48)))+AU$16*(W74*AQ$49+SUMPRODUCT($AB74:$AJ74,TRANSPOSE(AQ$50:AQ$58)))+AT$16*(W74*AQ$59+SUMPRODUCT($AB74:$AJ74,TRANSPOSE(AQ$60:AQ$68)))))</f>
        <v>10.933055380257779</v>
      </c>
      <c r="BI74" s="2">
        <f t="array" ref="BI74">MIN(100,MAX(0,N74-AL74*5+AQ$17*(X74*AR$29+SUMPRODUCT($AB74:$AJ74,TRANSPOSE(AR$30:AR$38)))+AS$17*(X74*AR$39+SUMPRODUCT($AB74:$AJ74,TRANSPOSE(AR$40:AR$48)))+AU$17*(X74*AR$49+SUMPRODUCT($AB74:$AJ74,TRANSPOSE(AR$50:AR$58)))+AT$17*(X74*AR$59+SUMPRODUCT($AB74:$AJ74,TRANSPOSE(AR$60:AR$68)))))</f>
        <v>22.365424489775958</v>
      </c>
      <c r="BJ74" s="2">
        <f t="array" ref="BJ74">MIN(100,MAX(0,O74-AM74*5+AQ$18*(Y74*AS$29+SUMPRODUCT($AB74:$AJ74,TRANSPOSE(AS$30:AS$38)))+AR$18*(Y74*AS$39+SUMPRODUCT($AB74:$AJ74,TRANSPOSE(AS$40:AS$48)))+AU$18*(Y74*AS$49+SUMPRODUCT($AB74:$AJ74,TRANSPOSE(AS$50:AS$58)))+AT$18*(Y74*AS$59+SUMPRODUCT($AB74:$AJ74,TRANSPOSE(AS$60:AS$68)))))</f>
        <v>35.60660874453373</v>
      </c>
      <c r="BK74" s="2">
        <f t="array" ref="BK74">MIN(100,MAX(0,P74+AQ$19*(Z74*AT$29+SUMPRODUCT($AB74:$AJ74,TRANSPOSE(AT$30:AT$38)))+AR$19*(Z74*AT$39+SUMPRODUCT($AB74:$AJ74,TRANSPOSE(AT$40:AT$48)))+AS$19*(Z74*AT$49+SUMPRODUCT($AB74:$AJ74,TRANSPOSE(AT$50:AT$58)))+AU$19*(Z74*AT$59+SUMPRODUCT($AB74:$AJ74,TRANSPOSE(AT$60:AT$68)))))</f>
        <v>3.2871614355040299</v>
      </c>
      <c r="BL74" s="2">
        <f t="array" ref="BL74">MIN(100,MAX(0,Q74-AN74*5+AQ$20*(AA74*AU$29+SUMPRODUCT($AB74:$AJ74,TRANSPOSE(AU$30:AU$38)))+AR$20*(AA74*AU$39+SUMPRODUCT($AB74:$AJ74,TRANSPOSE(AU$40:AU$48)))+AS$20*(AA74*AU$49+SUMPRODUCT($AB74:$AJ74,TRANSPOSE(AU$50:AU$58)))+AT$20*(AA74*AU$59+SUMPRODUCT($AB74:$AJ74,TRANSPOSE(AU$60:AU$68)))))</f>
        <v>28.046246541956531</v>
      </c>
      <c r="BM74" s="2"/>
      <c r="BN74" s="2"/>
      <c r="BP74">
        <f t="shared" si="116"/>
        <v>0</v>
      </c>
      <c r="BQ74">
        <f t="shared" si="117"/>
        <v>0</v>
      </c>
      <c r="BR74">
        <f t="shared" si="118"/>
        <v>1</v>
      </c>
      <c r="BS74">
        <f t="shared" si="119"/>
        <v>0</v>
      </c>
      <c r="BT74">
        <f t="shared" si="120"/>
        <v>0</v>
      </c>
      <c r="BV74" s="2"/>
      <c r="BW74" s="2">
        <f t="shared" si="137"/>
        <v>0</v>
      </c>
      <c r="BX74" s="2">
        <f t="shared" si="138"/>
        <v>0</v>
      </c>
      <c r="BY74" s="2">
        <f t="shared" si="139"/>
        <v>1</v>
      </c>
      <c r="BZ74" s="2">
        <f t="shared" si="140"/>
        <v>1</v>
      </c>
      <c r="CA74" s="2">
        <f t="shared" si="141"/>
        <v>1</v>
      </c>
      <c r="CD74">
        <f t="shared" si="121"/>
        <v>1</v>
      </c>
      <c r="CE74">
        <f t="shared" si="122"/>
        <v>1</v>
      </c>
      <c r="CF74">
        <f t="shared" si="123"/>
        <v>0</v>
      </c>
      <c r="CG74">
        <f t="shared" si="124"/>
        <v>1</v>
      </c>
      <c r="CH74">
        <f t="shared" si="125"/>
        <v>0</v>
      </c>
      <c r="CK74">
        <f t="shared" si="126"/>
        <v>0</v>
      </c>
      <c r="CL74">
        <f t="shared" si="127"/>
        <v>0</v>
      </c>
      <c r="CM74">
        <f t="shared" si="128"/>
        <v>1</v>
      </c>
      <c r="CN74">
        <f t="shared" si="129"/>
        <v>0</v>
      </c>
      <c r="CO74">
        <f t="shared" si="130"/>
        <v>1</v>
      </c>
      <c r="CS74" s="38">
        <f t="shared" si="131"/>
        <v>0</v>
      </c>
      <c r="CT74" s="38">
        <f t="shared" si="132"/>
        <v>0</v>
      </c>
      <c r="CU74" s="38">
        <f t="shared" si="133"/>
        <v>0</v>
      </c>
      <c r="CV74" s="38">
        <f t="shared" si="134"/>
        <v>0</v>
      </c>
      <c r="CW74" s="38">
        <f t="shared" si="135"/>
        <v>1</v>
      </c>
    </row>
    <row r="75" spans="1:101">
      <c r="A75" t="s">
        <v>465</v>
      </c>
      <c r="B75" t="s">
        <v>133</v>
      </c>
      <c r="C75" t="s">
        <v>516</v>
      </c>
      <c r="D75">
        <v>24013</v>
      </c>
      <c r="E75">
        <v>247</v>
      </c>
      <c r="F75">
        <v>24</v>
      </c>
      <c r="G75">
        <v>4715</v>
      </c>
      <c r="H75">
        <v>4960</v>
      </c>
      <c r="I75">
        <v>24180</v>
      </c>
      <c r="J75">
        <v>1012</v>
      </c>
      <c r="K75">
        <v>13456</v>
      </c>
      <c r="L75">
        <v>48322</v>
      </c>
      <c r="M75" s="3">
        <f t="shared" si="102"/>
        <v>9.757460370017796</v>
      </c>
      <c r="N75" s="3">
        <f t="shared" si="103"/>
        <v>10.264475808120526</v>
      </c>
      <c r="O75" s="3">
        <f t="shared" si="104"/>
        <v>50.039319564587558</v>
      </c>
      <c r="P75" s="3">
        <f t="shared" si="105"/>
        <v>2.0942841769794298</v>
      </c>
      <c r="Q75" s="3">
        <f t="shared" si="106"/>
        <v>27.846529531062458</v>
      </c>
      <c r="R75">
        <v>16.5</v>
      </c>
      <c r="S75">
        <v>14.2</v>
      </c>
      <c r="T75">
        <v>42.9</v>
      </c>
      <c r="U75">
        <v>2.1</v>
      </c>
      <c r="V75">
        <v>23.4</v>
      </c>
      <c r="W75">
        <f t="shared" si="107"/>
        <v>0</v>
      </c>
      <c r="X75">
        <f t="shared" si="108"/>
        <v>0</v>
      </c>
      <c r="Y75">
        <f t="shared" si="142"/>
        <v>1</v>
      </c>
      <c r="Z75">
        <f t="shared" si="109"/>
        <v>0</v>
      </c>
      <c r="AA75">
        <f t="shared" si="110"/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P75" t="s">
        <v>452</v>
      </c>
      <c r="AY75" s="5">
        <f t="shared" si="111"/>
        <v>12.623177308231286</v>
      </c>
      <c r="AZ75" s="5">
        <f t="shared" si="112"/>
        <v>25.711016169092609</v>
      </c>
      <c r="BA75" s="5">
        <f t="shared" si="113"/>
        <v>34.106275460109842</v>
      </c>
      <c r="BB75" s="5">
        <f t="shared" si="114"/>
        <v>2.6883101914170666</v>
      </c>
      <c r="BC75" s="5">
        <f t="shared" si="115"/>
        <v>24.992704687150582</v>
      </c>
      <c r="BD75" s="5"/>
      <c r="BE75" s="5">
        <f t="shared" si="136"/>
        <v>100.12148381600137</v>
      </c>
      <c r="BF75" s="2"/>
      <c r="BH75" s="2">
        <f t="array" ref="BH75">MIN(100,MAX(0,M75-AK75*5+AR$16*(W75*AQ$29+SUMPRODUCT($AB75:$AJ75,TRANSPOSE(AQ$30:AQ$38)))+AS$16*(W75*AQ$39+SUMPRODUCT($AB75:$AJ75,TRANSPOSE(AQ$40:AQ$48)))+AU$16*(W75*AQ$49+SUMPRODUCT($AB75:$AJ75,TRANSPOSE(AQ$50:AQ$58)))+AT$16*(W75*AQ$59+SUMPRODUCT($AB75:$AJ75,TRANSPOSE(AQ$60:AQ$68)))))</f>
        <v>12.623177308231286</v>
      </c>
      <c r="BI75" s="2">
        <f t="array" ref="BI75">MIN(100,MAX(0,N75-AL75*5+AQ$17*(X75*AR$29+SUMPRODUCT($AB75:$AJ75,TRANSPOSE(AR$30:AR$38)))+AS$17*(X75*AR$39+SUMPRODUCT($AB75:$AJ75,TRANSPOSE(AR$40:AR$48)))+AU$17*(X75*AR$49+SUMPRODUCT($AB75:$AJ75,TRANSPOSE(AR$50:AR$58)))+AT$17*(X75*AR$59+SUMPRODUCT($AB75:$AJ75,TRANSPOSE(AR$60:AR$68)))))</f>
        <v>25.711016169092609</v>
      </c>
      <c r="BJ75" s="2">
        <f t="array" ref="BJ75">MIN(100,MAX(0,O75-AM75*5+AQ$18*(Y75*AS$29+SUMPRODUCT($AB75:$AJ75,TRANSPOSE(AS$30:AS$38)))+AR$18*(Y75*AS$39+SUMPRODUCT($AB75:$AJ75,TRANSPOSE(AS$40:AS$48)))+AU$18*(Y75*AS$49+SUMPRODUCT($AB75:$AJ75,TRANSPOSE(AS$50:AS$58)))+AT$18*(Y75*AS$59+SUMPRODUCT($AB75:$AJ75,TRANSPOSE(AS$60:AS$68)))))</f>
        <v>34.106275460109842</v>
      </c>
      <c r="BK75" s="2">
        <f t="array" ref="BK75">MIN(100,MAX(0,P75+AQ$19*(Z75*AT$29+SUMPRODUCT($AB75:$AJ75,TRANSPOSE(AT$30:AT$38)))+AR$19*(Z75*AT$39+SUMPRODUCT($AB75:$AJ75,TRANSPOSE(AT$40:AT$48)))+AS$19*(Z75*AT$49+SUMPRODUCT($AB75:$AJ75,TRANSPOSE(AT$50:AT$58)))+AU$19*(Z75*AT$59+SUMPRODUCT($AB75:$AJ75,TRANSPOSE(AT$60:AT$68)))))</f>
        <v>2.6883101914170666</v>
      </c>
      <c r="BL75" s="2">
        <f t="array" ref="BL75">MIN(100,MAX(0,Q75-AN75*5+AQ$20*(AA75*AU$29+SUMPRODUCT($AB75:$AJ75,TRANSPOSE(AU$30:AU$38)))+AR$20*(AA75*AU$39+SUMPRODUCT($AB75:$AJ75,TRANSPOSE(AU$40:AU$48)))+AS$20*(AA75*AU$49+SUMPRODUCT($AB75:$AJ75,TRANSPOSE(AU$50:AU$58)))+AT$20*(AA75*AU$59+SUMPRODUCT($AB75:$AJ75,TRANSPOSE(AU$60:AU$68)))))</f>
        <v>25.111786913944993</v>
      </c>
      <c r="BM75" s="2"/>
      <c r="BN75" s="2"/>
      <c r="BP75">
        <f t="shared" si="116"/>
        <v>0</v>
      </c>
      <c r="BQ75">
        <f t="shared" si="117"/>
        <v>0</v>
      </c>
      <c r="BR75">
        <f t="shared" si="118"/>
        <v>1</v>
      </c>
      <c r="BS75">
        <f t="shared" si="119"/>
        <v>0</v>
      </c>
      <c r="BT75">
        <f t="shared" si="120"/>
        <v>0</v>
      </c>
      <c r="BV75" s="2"/>
      <c r="BW75" s="2">
        <f t="shared" si="137"/>
        <v>0</v>
      </c>
      <c r="BX75" s="2">
        <f t="shared" si="138"/>
        <v>0</v>
      </c>
      <c r="BY75" s="2">
        <f t="shared" si="139"/>
        <v>1</v>
      </c>
      <c r="BZ75" s="2">
        <f t="shared" si="140"/>
        <v>1</v>
      </c>
      <c r="CA75" s="2">
        <f t="shared" si="141"/>
        <v>1</v>
      </c>
      <c r="CD75">
        <f t="shared" si="121"/>
        <v>1</v>
      </c>
      <c r="CE75">
        <f t="shared" si="122"/>
        <v>1</v>
      </c>
      <c r="CF75">
        <f t="shared" si="123"/>
        <v>0</v>
      </c>
      <c r="CG75">
        <f t="shared" si="124"/>
        <v>1</v>
      </c>
      <c r="CH75">
        <f t="shared" si="125"/>
        <v>0</v>
      </c>
      <c r="CK75">
        <f t="shared" si="126"/>
        <v>0</v>
      </c>
      <c r="CL75">
        <f t="shared" si="127"/>
        <v>0</v>
      </c>
      <c r="CM75">
        <f t="shared" si="128"/>
        <v>1</v>
      </c>
      <c r="CN75">
        <f t="shared" si="129"/>
        <v>0</v>
      </c>
      <c r="CO75">
        <f t="shared" si="130"/>
        <v>1</v>
      </c>
      <c r="CS75" s="38">
        <f t="shared" si="131"/>
        <v>0</v>
      </c>
      <c r="CT75" s="38">
        <f t="shared" si="132"/>
        <v>0</v>
      </c>
      <c r="CU75" s="38">
        <f t="shared" si="133"/>
        <v>0</v>
      </c>
      <c r="CV75" s="38">
        <f t="shared" si="134"/>
        <v>0</v>
      </c>
      <c r="CW75" s="38">
        <f t="shared" si="135"/>
        <v>1</v>
      </c>
    </row>
    <row r="76" spans="1:101">
      <c r="A76" t="s">
        <v>465</v>
      </c>
      <c r="B76" t="s">
        <v>134</v>
      </c>
      <c r="C76" t="s">
        <v>134</v>
      </c>
      <c r="D76">
        <v>24076</v>
      </c>
      <c r="E76">
        <v>244</v>
      </c>
      <c r="F76">
        <v>24</v>
      </c>
      <c r="G76">
        <v>7482</v>
      </c>
      <c r="H76">
        <v>5708</v>
      </c>
      <c r="I76">
        <v>28279</v>
      </c>
      <c r="J76">
        <v>1078</v>
      </c>
      <c r="K76">
        <v>13776</v>
      </c>
      <c r="L76">
        <v>56906</v>
      </c>
      <c r="M76" s="3">
        <f t="shared" si="102"/>
        <v>13.147998453590132</v>
      </c>
      <c r="N76" s="3">
        <f t="shared" si="103"/>
        <v>10.030576740589744</v>
      </c>
      <c r="O76" s="3">
        <f t="shared" si="104"/>
        <v>49.694232594102559</v>
      </c>
      <c r="P76" s="3">
        <f t="shared" si="105"/>
        <v>1.894352089410607</v>
      </c>
      <c r="Q76" s="3">
        <f t="shared" si="106"/>
        <v>24.208343584156328</v>
      </c>
      <c r="R76">
        <v>16.5</v>
      </c>
      <c r="S76">
        <v>14.2</v>
      </c>
      <c r="T76">
        <v>42.9</v>
      </c>
      <c r="U76">
        <v>2.1</v>
      </c>
      <c r="V76">
        <v>23.4</v>
      </c>
      <c r="W76">
        <f t="shared" si="107"/>
        <v>0</v>
      </c>
      <c r="X76">
        <f t="shared" si="108"/>
        <v>0</v>
      </c>
      <c r="Y76">
        <f t="shared" si="142"/>
        <v>1</v>
      </c>
      <c r="Z76">
        <f t="shared" si="109"/>
        <v>0</v>
      </c>
      <c r="AA76">
        <f t="shared" si="110"/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P76" t="s">
        <v>453</v>
      </c>
      <c r="AY76" s="5">
        <f t="shared" si="111"/>
        <v>16.236275482575909</v>
      </c>
      <c r="AZ76" s="5">
        <f t="shared" si="112"/>
        <v>26.287556355257674</v>
      </c>
      <c r="BA76" s="5">
        <f t="shared" si="113"/>
        <v>32.844173850331494</v>
      </c>
      <c r="BB76" s="5">
        <f t="shared" si="114"/>
        <v>2.4649232733558968</v>
      </c>
      <c r="BC76" s="5">
        <f t="shared" si="115"/>
        <v>21.371029536572042</v>
      </c>
      <c r="BD76" s="5"/>
      <c r="BE76" s="5">
        <f t="shared" si="136"/>
        <v>99.203958498093016</v>
      </c>
      <c r="BF76" s="2"/>
      <c r="BH76" s="2">
        <f t="array" ref="BH76">MIN(100,MAX(0,M76-AK76*5+AR$16*(W76*AQ$29+SUMPRODUCT($AB76:$AJ76,TRANSPOSE(AQ$30:AQ$38)))+AS$16*(W76*AQ$39+SUMPRODUCT($AB76:$AJ76,TRANSPOSE(AQ$40:AQ$48)))+AU$16*(W76*AQ$49+SUMPRODUCT($AB76:$AJ76,TRANSPOSE(AQ$50:AQ$58)))+AT$16*(W76*AQ$59+SUMPRODUCT($AB76:$AJ76,TRANSPOSE(AQ$60:AQ$68)))))</f>
        <v>16.236275482575909</v>
      </c>
      <c r="BI76" s="2">
        <f t="array" ref="BI76">MIN(100,MAX(0,N76-AL76*5+AQ$17*(X76*AR$29+SUMPRODUCT($AB76:$AJ76,TRANSPOSE(AR$30:AR$38)))+AS$17*(X76*AR$39+SUMPRODUCT($AB76:$AJ76,TRANSPOSE(AR$40:AR$48)))+AU$17*(X76*AR$49+SUMPRODUCT($AB76:$AJ76,TRANSPOSE(AR$50:AR$58)))+AT$17*(X76*AR$59+SUMPRODUCT($AB76:$AJ76,TRANSPOSE(AR$60:AR$68)))))</f>
        <v>26.287556355257674</v>
      </c>
      <c r="BJ76" s="2">
        <f t="array" ref="BJ76">MIN(100,MAX(0,O76-AM76*5+AQ$18*(Y76*AS$29+SUMPRODUCT($AB76:$AJ76,TRANSPOSE(AS$30:AS$38)))+AR$18*(Y76*AS$39+SUMPRODUCT($AB76:$AJ76,TRANSPOSE(AS$40:AS$48)))+AU$18*(Y76*AS$49+SUMPRODUCT($AB76:$AJ76,TRANSPOSE(AS$50:AS$58)))+AT$18*(Y76*AS$59+SUMPRODUCT($AB76:$AJ76,TRANSPOSE(AS$60:AS$68)))))</f>
        <v>32.844173850331494</v>
      </c>
      <c r="BK76" s="2">
        <f t="array" ref="BK76">MIN(100,MAX(0,P76+AQ$19*(Z76*AT$29+SUMPRODUCT($AB76:$AJ76,TRANSPOSE(AT$30:AT$38)))+AR$19*(Z76*AT$39+SUMPRODUCT($AB76:$AJ76,TRANSPOSE(AT$40:AT$48)))+AS$19*(Z76*AT$49+SUMPRODUCT($AB76:$AJ76,TRANSPOSE(AT$50:AT$58)))+AU$19*(Z76*AT$59+SUMPRODUCT($AB76:$AJ76,TRANSPOSE(AT$60:AT$68)))))</f>
        <v>2.4649232733558968</v>
      </c>
      <c r="BL76" s="2">
        <f t="array" ref="BL76">MIN(100,MAX(0,Q76-AN76*5+AQ$20*(AA76*AU$29+SUMPRODUCT($AB76:$AJ76,TRANSPOSE(AU$30:AU$38)))+AR$20*(AA76*AU$39+SUMPRODUCT($AB76:$AJ76,TRANSPOSE(AU$40:AU$48)))+AS$20*(AA76*AU$49+SUMPRODUCT($AB76:$AJ76,TRANSPOSE(AU$50:AU$58)))+AT$20*(AA76*AU$59+SUMPRODUCT($AB76:$AJ76,TRANSPOSE(AU$60:AU$68)))))</f>
        <v>21.393806166833507</v>
      </c>
      <c r="BM76" s="2"/>
      <c r="BN76" s="2"/>
      <c r="BP76">
        <f t="shared" si="116"/>
        <v>0</v>
      </c>
      <c r="BQ76">
        <f t="shared" si="117"/>
        <v>0</v>
      </c>
      <c r="BR76">
        <f t="shared" si="118"/>
        <v>1</v>
      </c>
      <c r="BS76">
        <f t="shared" si="119"/>
        <v>0</v>
      </c>
      <c r="BT76">
        <f t="shared" si="120"/>
        <v>0</v>
      </c>
      <c r="BV76" s="2"/>
      <c r="BW76" s="2">
        <f t="shared" si="137"/>
        <v>0</v>
      </c>
      <c r="BX76" s="2">
        <f t="shared" si="138"/>
        <v>0</v>
      </c>
      <c r="BY76" s="2">
        <f t="shared" si="139"/>
        <v>1</v>
      </c>
      <c r="BZ76" s="2">
        <f t="shared" si="140"/>
        <v>0</v>
      </c>
      <c r="CA76" s="2">
        <f t="shared" si="141"/>
        <v>1</v>
      </c>
      <c r="CD76">
        <f t="shared" si="121"/>
        <v>1</v>
      </c>
      <c r="CE76">
        <f t="shared" si="122"/>
        <v>1</v>
      </c>
      <c r="CF76">
        <f t="shared" si="123"/>
        <v>0</v>
      </c>
      <c r="CG76">
        <f t="shared" si="124"/>
        <v>1</v>
      </c>
      <c r="CH76">
        <f t="shared" si="125"/>
        <v>0</v>
      </c>
      <c r="CK76">
        <f t="shared" si="126"/>
        <v>0</v>
      </c>
      <c r="CL76">
        <f t="shared" si="127"/>
        <v>0</v>
      </c>
      <c r="CM76">
        <f t="shared" si="128"/>
        <v>1</v>
      </c>
      <c r="CN76">
        <f t="shared" si="129"/>
        <v>0</v>
      </c>
      <c r="CO76">
        <f t="shared" si="130"/>
        <v>1</v>
      </c>
      <c r="CS76" s="38">
        <f t="shared" si="131"/>
        <v>0</v>
      </c>
      <c r="CT76" s="38">
        <f t="shared" si="132"/>
        <v>0</v>
      </c>
      <c r="CU76" s="38">
        <f t="shared" si="133"/>
        <v>0</v>
      </c>
      <c r="CV76" s="38">
        <f t="shared" si="134"/>
        <v>0</v>
      </c>
      <c r="CW76" s="38">
        <f t="shared" si="135"/>
        <v>0</v>
      </c>
    </row>
    <row r="77" spans="1:101">
      <c r="A77" t="s">
        <v>465</v>
      </c>
      <c r="B77" t="s">
        <v>135</v>
      </c>
      <c r="C77" t="s">
        <v>517</v>
      </c>
      <c r="D77">
        <v>24074</v>
      </c>
      <c r="E77">
        <v>243</v>
      </c>
      <c r="F77">
        <v>24</v>
      </c>
      <c r="G77">
        <v>9770</v>
      </c>
      <c r="H77">
        <v>6873</v>
      </c>
      <c r="I77">
        <v>24134</v>
      </c>
      <c r="J77">
        <v>1574</v>
      </c>
      <c r="K77">
        <v>13129</v>
      </c>
      <c r="L77">
        <v>55479</v>
      </c>
      <c r="M77" s="3">
        <f t="shared" si="102"/>
        <v>17.610266947854143</v>
      </c>
      <c r="N77" s="3">
        <f t="shared" si="103"/>
        <v>12.388471313469962</v>
      </c>
      <c r="O77" s="3">
        <f t="shared" si="104"/>
        <v>43.501144577227421</v>
      </c>
      <c r="P77" s="3">
        <f t="shared" si="105"/>
        <v>2.8371095369419059</v>
      </c>
      <c r="Q77" s="3">
        <f t="shared" si="106"/>
        <v>23.664810108329277</v>
      </c>
      <c r="R77">
        <v>16.5</v>
      </c>
      <c r="S77">
        <v>14.2</v>
      </c>
      <c r="T77">
        <v>42.9</v>
      </c>
      <c r="U77">
        <v>2.1</v>
      </c>
      <c r="V77">
        <v>23.4</v>
      </c>
      <c r="W77">
        <f t="shared" si="107"/>
        <v>0</v>
      </c>
      <c r="X77">
        <f t="shared" si="108"/>
        <v>0</v>
      </c>
      <c r="Y77">
        <f t="shared" si="142"/>
        <v>1</v>
      </c>
      <c r="Z77">
        <f t="shared" si="109"/>
        <v>0</v>
      </c>
      <c r="AA77">
        <f t="shared" si="110"/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P77" t="s">
        <v>454</v>
      </c>
      <c r="AY77" s="5">
        <f t="shared" si="111"/>
        <v>20.400146343635623</v>
      </c>
      <c r="AZ77" s="5">
        <f t="shared" si="112"/>
        <v>27.714499377492761</v>
      </c>
      <c r="BA77" s="5">
        <f t="shared" si="113"/>
        <v>27.780814929882506</v>
      </c>
      <c r="BB77" s="5">
        <f t="shared" si="114"/>
        <v>3.3988516443869536</v>
      </c>
      <c r="BC77" s="5">
        <f t="shared" si="115"/>
        <v>20.932000430974163</v>
      </c>
      <c r="BD77" s="5"/>
      <c r="BE77" s="5">
        <f t="shared" si="136"/>
        <v>100.22631272637202</v>
      </c>
      <c r="BF77" s="2"/>
      <c r="BH77" s="2">
        <f t="array" ref="BH77">MIN(100,MAX(0,M77-AK77*5+AR$16*(W77*AQ$29+SUMPRODUCT($AB77:$AJ77,TRANSPOSE(AQ$30:AQ$38)))+AS$16*(W77*AQ$39+SUMPRODUCT($AB77:$AJ77,TRANSPOSE(AQ$40:AQ$48)))+AU$16*(W77*AQ$49+SUMPRODUCT($AB77:$AJ77,TRANSPOSE(AQ$50:AQ$58)))+AT$16*(W77*AQ$59+SUMPRODUCT($AB77:$AJ77,TRANSPOSE(AQ$60:AQ$68)))))</f>
        <v>20.400146343635623</v>
      </c>
      <c r="BI77" s="2">
        <f t="array" ref="BI77">MIN(100,MAX(0,N77-AL77*5+AQ$17*(X77*AR$29+SUMPRODUCT($AB77:$AJ77,TRANSPOSE(AR$30:AR$38)))+AS$17*(X77*AR$39+SUMPRODUCT($AB77:$AJ77,TRANSPOSE(AR$40:AR$48)))+AU$17*(X77*AR$49+SUMPRODUCT($AB77:$AJ77,TRANSPOSE(AR$50:AR$58)))+AT$17*(X77*AR$59+SUMPRODUCT($AB77:$AJ77,TRANSPOSE(AR$60:AR$68)))))</f>
        <v>27.714499377492761</v>
      </c>
      <c r="BJ77" s="2">
        <f t="array" ref="BJ77">MIN(100,MAX(0,O77-AM77*5+AQ$18*(Y77*AS$29+SUMPRODUCT($AB77:$AJ77,TRANSPOSE(AS$30:AS$38)))+AR$18*(Y77*AS$39+SUMPRODUCT($AB77:$AJ77,TRANSPOSE(AS$40:AS$48)))+AU$18*(Y77*AS$49+SUMPRODUCT($AB77:$AJ77,TRANSPOSE(AS$50:AS$58)))+AT$18*(Y77*AS$59+SUMPRODUCT($AB77:$AJ77,TRANSPOSE(AS$60:AS$68)))))</f>
        <v>27.780814929882506</v>
      </c>
      <c r="BK77" s="2">
        <f t="array" ref="BK77">MIN(100,MAX(0,P77+AQ$19*(Z77*AT$29+SUMPRODUCT($AB77:$AJ77,TRANSPOSE(AT$30:AT$38)))+AR$19*(Z77*AT$39+SUMPRODUCT($AB77:$AJ77,TRANSPOSE(AT$40:AT$48)))+AS$19*(Z77*AT$49+SUMPRODUCT($AB77:$AJ77,TRANSPOSE(AT$50:AT$58)))+AU$19*(Z77*AT$59+SUMPRODUCT($AB77:$AJ77,TRANSPOSE(AT$60:AT$68)))))</f>
        <v>3.3988516443869536</v>
      </c>
      <c r="BL77" s="2">
        <f t="array" ref="BL77">MIN(100,MAX(0,Q77-AN77*5+AQ$20*(AA77*AU$29+SUMPRODUCT($AB77:$AJ77,TRANSPOSE(AU$30:AU$38)))+AR$20*(AA77*AU$39+SUMPRODUCT($AB77:$AJ77,TRANSPOSE(AU$40:AU$48)))+AS$20*(AA77*AU$49+SUMPRODUCT($AB77:$AJ77,TRANSPOSE(AU$50:AU$58)))+AT$20*(AA77*AU$59+SUMPRODUCT($AB77:$AJ77,TRANSPOSE(AU$60:AU$68)))))</f>
        <v>20.943102640380079</v>
      </c>
      <c r="BM77" s="2"/>
      <c r="BN77" s="2"/>
      <c r="BP77">
        <f t="shared" si="116"/>
        <v>0</v>
      </c>
      <c r="BQ77">
        <f t="shared" si="117"/>
        <v>0</v>
      </c>
      <c r="BR77">
        <f t="shared" si="118"/>
        <v>1</v>
      </c>
      <c r="BS77">
        <f t="shared" si="119"/>
        <v>0</v>
      </c>
      <c r="BT77">
        <f t="shared" si="120"/>
        <v>0</v>
      </c>
      <c r="BV77" s="2"/>
      <c r="BW77" s="2">
        <f t="shared" si="137"/>
        <v>1</v>
      </c>
      <c r="BX77" s="2">
        <f t="shared" si="138"/>
        <v>0</v>
      </c>
      <c r="BY77" s="2">
        <f t="shared" si="139"/>
        <v>1</v>
      </c>
      <c r="BZ77" s="2">
        <f t="shared" si="140"/>
        <v>1</v>
      </c>
      <c r="CA77" s="2">
        <f t="shared" si="141"/>
        <v>1</v>
      </c>
      <c r="CD77">
        <f t="shared" si="121"/>
        <v>1</v>
      </c>
      <c r="CE77">
        <f t="shared" si="122"/>
        <v>1</v>
      </c>
      <c r="CF77">
        <f t="shared" si="123"/>
        <v>0</v>
      </c>
      <c r="CG77">
        <f t="shared" si="124"/>
        <v>1</v>
      </c>
      <c r="CH77">
        <f t="shared" si="125"/>
        <v>0</v>
      </c>
      <c r="CK77">
        <f t="shared" si="126"/>
        <v>0</v>
      </c>
      <c r="CL77">
        <f t="shared" si="127"/>
        <v>0</v>
      </c>
      <c r="CM77">
        <f t="shared" si="128"/>
        <v>1</v>
      </c>
      <c r="CN77">
        <f t="shared" si="129"/>
        <v>0</v>
      </c>
      <c r="CO77">
        <f t="shared" si="130"/>
        <v>1</v>
      </c>
      <c r="CS77" s="38">
        <f t="shared" si="131"/>
        <v>0</v>
      </c>
      <c r="CT77" s="38">
        <f t="shared" si="132"/>
        <v>1</v>
      </c>
      <c r="CU77" s="38">
        <f t="shared" si="133"/>
        <v>0</v>
      </c>
      <c r="CV77" s="38">
        <f t="shared" si="134"/>
        <v>0</v>
      </c>
      <c r="CW77" s="38">
        <f t="shared" si="135"/>
        <v>1</v>
      </c>
    </row>
    <row r="78" spans="1:101">
      <c r="A78" t="s">
        <v>465</v>
      </c>
      <c r="B78" t="s">
        <v>136</v>
      </c>
      <c r="C78" t="s">
        <v>518</v>
      </c>
      <c r="D78">
        <v>24077</v>
      </c>
      <c r="E78">
        <v>244</v>
      </c>
      <c r="F78">
        <v>24</v>
      </c>
      <c r="G78">
        <v>4772</v>
      </c>
      <c r="H78">
        <v>11013</v>
      </c>
      <c r="I78">
        <v>16625</v>
      </c>
      <c r="J78">
        <v>1117</v>
      </c>
      <c r="K78">
        <v>6423</v>
      </c>
      <c r="L78">
        <v>40073</v>
      </c>
      <c r="M78" s="3">
        <f t="shared" si="102"/>
        <v>11.908267411973149</v>
      </c>
      <c r="N78" s="3">
        <f t="shared" si="103"/>
        <v>27.482344720884388</v>
      </c>
      <c r="O78" s="3">
        <f t="shared" si="104"/>
        <v>41.486786614428667</v>
      </c>
      <c r="P78" s="3">
        <f t="shared" si="105"/>
        <v>2.7874129713273277</v>
      </c>
      <c r="Q78" s="3">
        <f t="shared" si="106"/>
        <v>16.028248446584982</v>
      </c>
      <c r="R78">
        <v>16.5</v>
      </c>
      <c r="S78">
        <v>14.2</v>
      </c>
      <c r="T78">
        <v>42.9</v>
      </c>
      <c r="U78">
        <v>2.1</v>
      </c>
      <c r="V78">
        <v>23.4</v>
      </c>
      <c r="W78">
        <f t="shared" si="107"/>
        <v>0</v>
      </c>
      <c r="X78">
        <f t="shared" si="108"/>
        <v>0</v>
      </c>
      <c r="Y78">
        <f t="shared" si="142"/>
        <v>1</v>
      </c>
      <c r="Z78">
        <f t="shared" si="109"/>
        <v>0</v>
      </c>
      <c r="AA78">
        <f t="shared" si="110"/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P78" t="s">
        <v>455</v>
      </c>
      <c r="AQ78" s="2">
        <f>SUMPRODUCT(AY$2:AY$79,$AH$2:$AH$79)/SUM($AH$2:$AH$79)</f>
        <v>21.19767141772023</v>
      </c>
      <c r="AR78" s="2">
        <f>SUMPRODUCT(AZ$2:AZ$79,$AH$2:$AH$79)/SUM($AH$2:$AH$79)</f>
        <v>44.483878152217521</v>
      </c>
      <c r="AS78" s="2">
        <f>SUMPRODUCT(BA$2:BA$79,$AH$2:$AH$79)/SUM($AH$2:$AH$79)</f>
        <v>22.689686320628837</v>
      </c>
      <c r="AT78" s="2">
        <f>SUMPRODUCT(BB$2:BB$79,$AH$2:$AH$79)/SUM($AH$2:$AH$79)</f>
        <v>3.504649542681805</v>
      </c>
      <c r="AU78" s="2">
        <f>SUMPRODUCT(BC$2:BC$79,$AH$2:$AH$79)/SUM($AH$2:$AH$79)</f>
        <v>7.0345292370341888</v>
      </c>
      <c r="AY78" s="5">
        <f t="shared" si="111"/>
        <v>14.053783384355047</v>
      </c>
      <c r="AZ78" s="5">
        <f t="shared" si="112"/>
        <v>41.244296405156945</v>
      </c>
      <c r="BA78" s="5">
        <f t="shared" si="113"/>
        <v>27.552677262913125</v>
      </c>
      <c r="BB78" s="5">
        <f t="shared" si="114"/>
        <v>3.3323494188393692</v>
      </c>
      <c r="BC78" s="5">
        <f t="shared" si="115"/>
        <v>13.717495400805849</v>
      </c>
      <c r="BD78" s="5"/>
      <c r="BE78" s="5">
        <f t="shared" si="136"/>
        <v>99.900601872070325</v>
      </c>
      <c r="BF78" s="2"/>
      <c r="BH78" s="2">
        <f t="array" ref="BH78">MIN(100,MAX(0,M78-AK78*5+AR$16*(W78*AQ$29+SUMPRODUCT($AB78:$AJ78,TRANSPOSE(AQ$30:AQ$38)))+AS$16*(W78*AQ$39+SUMPRODUCT($AB78:$AJ78,TRANSPOSE(AQ$40:AQ$48)))+AU$16*(W78*AQ$49+SUMPRODUCT($AB78:$AJ78,TRANSPOSE(AQ$50:AQ$58)))+AT$16*(W78*AQ$59+SUMPRODUCT($AB78:$AJ78,TRANSPOSE(AQ$60:AQ$68)))))</f>
        <v>14.053783384355047</v>
      </c>
      <c r="BI78" s="2">
        <f t="array" ref="BI78">MIN(100,MAX(0,N78-AL78*5+AQ$17*(X78*AR$29+SUMPRODUCT($AB78:$AJ78,TRANSPOSE(AR$30:AR$38)))+AS$17*(X78*AR$39+SUMPRODUCT($AB78:$AJ78,TRANSPOSE(AR$40:AR$48)))+AU$17*(X78*AR$49+SUMPRODUCT($AB78:$AJ78,TRANSPOSE(AR$50:AR$58)))+AT$17*(X78*AR$59+SUMPRODUCT($AB78:$AJ78,TRANSPOSE(AR$60:AR$68)))))</f>
        <v>41.244296405156945</v>
      </c>
      <c r="BJ78" s="2">
        <f t="array" ref="BJ78">MIN(100,MAX(0,O78-AM78*5+AQ$18*(Y78*AS$29+SUMPRODUCT($AB78:$AJ78,TRANSPOSE(AS$30:AS$38)))+AR$18*(Y78*AS$39+SUMPRODUCT($AB78:$AJ78,TRANSPOSE(AS$40:AS$48)))+AU$18*(Y78*AS$49+SUMPRODUCT($AB78:$AJ78,TRANSPOSE(AS$50:AS$58)))+AT$18*(Y78*AS$59+SUMPRODUCT($AB78:$AJ78,TRANSPOSE(AS$60:AS$68)))))</f>
        <v>27.552677262913125</v>
      </c>
      <c r="BK78" s="2">
        <f t="array" ref="BK78">MIN(100,MAX(0,P78+AQ$19*(Z78*AT$29+SUMPRODUCT($AB78:$AJ78,TRANSPOSE(AT$30:AT$38)))+AR$19*(Z78*AT$39+SUMPRODUCT($AB78:$AJ78,TRANSPOSE(AT$40:AT$48)))+AS$19*(Z78*AT$49+SUMPRODUCT($AB78:$AJ78,TRANSPOSE(AT$50:AT$58)))+AU$19*(Z78*AT$59+SUMPRODUCT($AB78:$AJ78,TRANSPOSE(AT$60:AT$68)))))</f>
        <v>3.3323494188393692</v>
      </c>
      <c r="BL78" s="2">
        <f t="array" ref="BL78">MIN(100,MAX(0,Q78-AN78*5+AQ$20*(AA78*AU$29+SUMPRODUCT($AB78:$AJ78,TRANSPOSE(AU$30:AU$38)))+AR$20*(AA78*AU$39+SUMPRODUCT($AB78:$AJ78,TRANSPOSE(AU$40:AU$48)))+AS$20*(AA78*AU$49+SUMPRODUCT($AB78:$AJ78,TRANSPOSE(AU$50:AU$58)))+AT$20*(AA78*AU$59+SUMPRODUCT($AB78:$AJ78,TRANSPOSE(AU$60:AU$68)))))</f>
        <v>13.717495400805849</v>
      </c>
      <c r="BM78" s="2"/>
      <c r="BN78" s="2"/>
      <c r="BP78">
        <f t="shared" si="116"/>
        <v>0</v>
      </c>
      <c r="BQ78">
        <f t="shared" si="117"/>
        <v>1</v>
      </c>
      <c r="BR78">
        <f t="shared" si="118"/>
        <v>0</v>
      </c>
      <c r="BS78">
        <f t="shared" si="119"/>
        <v>0</v>
      </c>
      <c r="BT78">
        <f t="shared" si="120"/>
        <v>0</v>
      </c>
      <c r="BV78" s="2"/>
      <c r="BW78" s="2">
        <f t="shared" si="137"/>
        <v>0</v>
      </c>
      <c r="BX78" s="2">
        <f t="shared" si="138"/>
        <v>1</v>
      </c>
      <c r="BY78" s="2">
        <f t="shared" si="139"/>
        <v>1</v>
      </c>
      <c r="BZ78" s="2">
        <f t="shared" si="140"/>
        <v>1</v>
      </c>
      <c r="CA78" s="2">
        <f t="shared" si="141"/>
        <v>0</v>
      </c>
      <c r="CD78">
        <f t="shared" si="121"/>
        <v>1</v>
      </c>
      <c r="CE78">
        <f t="shared" si="122"/>
        <v>1</v>
      </c>
      <c r="CF78">
        <f t="shared" si="123"/>
        <v>0</v>
      </c>
      <c r="CG78">
        <f t="shared" si="124"/>
        <v>1</v>
      </c>
      <c r="CH78">
        <f t="shared" si="125"/>
        <v>0</v>
      </c>
      <c r="CK78">
        <f t="shared" si="126"/>
        <v>0</v>
      </c>
      <c r="CL78">
        <f t="shared" si="127"/>
        <v>0</v>
      </c>
      <c r="CM78">
        <f t="shared" si="128"/>
        <v>1</v>
      </c>
      <c r="CN78">
        <f t="shared" si="129"/>
        <v>0</v>
      </c>
      <c r="CO78">
        <f t="shared" si="130"/>
        <v>1</v>
      </c>
      <c r="CS78" s="38">
        <f t="shared" si="131"/>
        <v>0</v>
      </c>
      <c r="CT78" s="38">
        <f t="shared" si="132"/>
        <v>0</v>
      </c>
      <c r="CU78" s="38">
        <f t="shared" si="133"/>
        <v>0</v>
      </c>
      <c r="CV78" s="38">
        <f t="shared" si="134"/>
        <v>0</v>
      </c>
      <c r="CW78" s="38">
        <f t="shared" si="135"/>
        <v>0</v>
      </c>
    </row>
    <row r="79" spans="1:101">
      <c r="A79" t="s">
        <v>465</v>
      </c>
      <c r="B79" t="s">
        <v>137</v>
      </c>
      <c r="C79" t="s">
        <v>137</v>
      </c>
      <c r="D79">
        <v>24078</v>
      </c>
      <c r="E79">
        <v>242</v>
      </c>
      <c r="F79">
        <v>24</v>
      </c>
      <c r="G79">
        <v>6021</v>
      </c>
      <c r="H79">
        <v>9597</v>
      </c>
      <c r="I79">
        <v>20140</v>
      </c>
      <c r="J79">
        <v>910</v>
      </c>
      <c r="K79">
        <v>10255</v>
      </c>
      <c r="L79">
        <v>47162</v>
      </c>
      <c r="M79" s="3">
        <f t="shared" si="102"/>
        <v>12.766634154616005</v>
      </c>
      <c r="N79" s="3">
        <f t="shared" si="103"/>
        <v>20.349009796022223</v>
      </c>
      <c r="O79" s="3">
        <f t="shared" si="104"/>
        <v>42.703871761163647</v>
      </c>
      <c r="P79" s="3">
        <f t="shared" si="105"/>
        <v>1.9295195284339088</v>
      </c>
      <c r="Q79" s="3">
        <f t="shared" si="106"/>
        <v>21.744200839659047</v>
      </c>
      <c r="R79">
        <v>16.5</v>
      </c>
      <c r="S79">
        <v>14.2</v>
      </c>
      <c r="T79">
        <v>42.9</v>
      </c>
      <c r="U79">
        <v>2.1</v>
      </c>
      <c r="V79">
        <v>23.4</v>
      </c>
      <c r="W79">
        <f t="shared" si="107"/>
        <v>0</v>
      </c>
      <c r="X79">
        <f t="shared" si="108"/>
        <v>0</v>
      </c>
      <c r="Y79">
        <f t="shared" si="142"/>
        <v>1</v>
      </c>
      <c r="Z79">
        <f t="shared" si="109"/>
        <v>0</v>
      </c>
      <c r="AA79">
        <f t="shared" si="110"/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P79" t="s">
        <v>456</v>
      </c>
      <c r="AY79" s="5">
        <f t="shared" si="111"/>
        <v>15.632351092829495</v>
      </c>
      <c r="AZ79" s="5">
        <f t="shared" si="112"/>
        <v>35.795550156994302</v>
      </c>
      <c r="BA79" s="5">
        <f t="shared" si="113"/>
        <v>26.770827656685935</v>
      </c>
      <c r="BB79" s="5">
        <f t="shared" si="114"/>
        <v>2.5235455428715459</v>
      </c>
      <c r="BC79" s="5">
        <f t="shared" si="115"/>
        <v>19.009458222541586</v>
      </c>
      <c r="BD79" s="5"/>
      <c r="BE79" s="5">
        <f t="shared" si="136"/>
        <v>99.731732671922856</v>
      </c>
      <c r="BF79" s="2"/>
      <c r="BH79" s="2">
        <f t="array" ref="BH79">MIN(100,MAX(0,M79-AK79*5+AR$16*(W79*AQ$29+SUMPRODUCT($AB79:$AJ79,TRANSPOSE(AQ$30:AQ$38)))+AS$16*(W79*AQ$39+SUMPRODUCT($AB79:$AJ79,TRANSPOSE(AQ$40:AQ$48)))+AU$16*(W79*AQ$49+SUMPRODUCT($AB79:$AJ79,TRANSPOSE(AQ$50:AQ$58)))+AT$16*(W79*AQ$59+SUMPRODUCT($AB79:$AJ79,TRANSPOSE(AQ$60:AQ$68)))))</f>
        <v>15.632351092829495</v>
      </c>
      <c r="BI79" s="2">
        <f t="array" ref="BI79">MIN(100,MAX(0,N79-AL79*5+AQ$17*(X79*AR$29+SUMPRODUCT($AB79:$AJ79,TRANSPOSE(AR$30:AR$38)))+AS$17*(X79*AR$39+SUMPRODUCT($AB79:$AJ79,TRANSPOSE(AR$40:AR$48)))+AU$17*(X79*AR$49+SUMPRODUCT($AB79:$AJ79,TRANSPOSE(AR$50:AR$58)))+AT$17*(X79*AR$59+SUMPRODUCT($AB79:$AJ79,TRANSPOSE(AR$60:AR$68)))))</f>
        <v>35.795550156994302</v>
      </c>
      <c r="BJ79" s="2">
        <f t="array" ref="BJ79">MIN(100,MAX(0,O79-AM79*5+AQ$18*(Y79*AS$29+SUMPRODUCT($AB79:$AJ79,TRANSPOSE(AS$30:AS$38)))+AR$18*(Y79*AS$39+SUMPRODUCT($AB79:$AJ79,TRANSPOSE(AS$40:AS$48)))+AU$18*(Y79*AS$49+SUMPRODUCT($AB79:$AJ79,TRANSPOSE(AS$50:AS$58)))+AT$18*(Y79*AS$59+SUMPRODUCT($AB79:$AJ79,TRANSPOSE(AS$60:AS$68)))))</f>
        <v>26.770827656685935</v>
      </c>
      <c r="BK79" s="2">
        <f t="array" ref="BK79">MIN(100,MAX(0,P79+AQ$19*(Z79*AT$29+SUMPRODUCT($AB79:$AJ79,TRANSPOSE(AT$30:AT$38)))+AR$19*(Z79*AT$39+SUMPRODUCT($AB79:$AJ79,TRANSPOSE(AT$40:AT$48)))+AS$19*(Z79*AT$49+SUMPRODUCT($AB79:$AJ79,TRANSPOSE(AT$50:AT$58)))+AU$19*(Z79*AT$59+SUMPRODUCT($AB79:$AJ79,TRANSPOSE(AT$60:AT$68)))))</f>
        <v>2.5235455428715459</v>
      </c>
      <c r="BL79" s="2">
        <f t="array" ref="BL79">MIN(100,MAX(0,Q79-AN79*5+AQ$20*(AA79*AU$29+SUMPRODUCT($AB79:$AJ79,TRANSPOSE(AU$30:AU$38)))+AR$20*(AA79*AU$39+SUMPRODUCT($AB79:$AJ79,TRANSPOSE(AU$40:AU$48)))+AS$20*(AA79*AU$49+SUMPRODUCT($AB79:$AJ79,TRANSPOSE(AU$50:AU$58)))+AT$20*(AA79*AU$59+SUMPRODUCT($AB79:$AJ79,TRANSPOSE(AU$60:AU$68)))))</f>
        <v>19.009458222541586</v>
      </c>
      <c r="BM79" s="2"/>
      <c r="BN79" s="2"/>
      <c r="BP79">
        <f t="shared" si="116"/>
        <v>0</v>
      </c>
      <c r="BQ79">
        <f t="shared" si="117"/>
        <v>1</v>
      </c>
      <c r="BR79">
        <f t="shared" si="118"/>
        <v>0</v>
      </c>
      <c r="BS79">
        <f t="shared" si="119"/>
        <v>0</v>
      </c>
      <c r="BT79">
        <f t="shared" si="120"/>
        <v>0</v>
      </c>
      <c r="BV79" s="2"/>
      <c r="BW79" s="2">
        <f t="shared" si="137"/>
        <v>0</v>
      </c>
      <c r="BX79" s="2">
        <f t="shared" si="138"/>
        <v>1</v>
      </c>
      <c r="BY79" s="2">
        <f t="shared" si="139"/>
        <v>0</v>
      </c>
      <c r="BZ79" s="2">
        <f t="shared" si="140"/>
        <v>0</v>
      </c>
      <c r="CA79" s="2">
        <f t="shared" si="141"/>
        <v>0</v>
      </c>
      <c r="CD79">
        <f t="shared" si="121"/>
        <v>1</v>
      </c>
      <c r="CE79">
        <f t="shared" si="122"/>
        <v>1</v>
      </c>
      <c r="CF79">
        <f t="shared" si="123"/>
        <v>0</v>
      </c>
      <c r="CG79">
        <f t="shared" si="124"/>
        <v>1</v>
      </c>
      <c r="CH79">
        <f t="shared" si="125"/>
        <v>0</v>
      </c>
      <c r="CK79">
        <f t="shared" si="126"/>
        <v>0</v>
      </c>
      <c r="CL79">
        <f t="shared" si="127"/>
        <v>0</v>
      </c>
      <c r="CM79">
        <f t="shared" si="128"/>
        <v>1</v>
      </c>
      <c r="CN79">
        <f t="shared" si="129"/>
        <v>0</v>
      </c>
      <c r="CO79">
        <f t="shared" si="130"/>
        <v>1</v>
      </c>
      <c r="CS79" s="38">
        <f t="shared" si="131"/>
        <v>0</v>
      </c>
      <c r="CT79" s="38">
        <f t="shared" si="132"/>
        <v>0</v>
      </c>
      <c r="CU79" s="38">
        <f t="shared" si="133"/>
        <v>0</v>
      </c>
      <c r="CV79" s="38">
        <f t="shared" si="134"/>
        <v>0</v>
      </c>
      <c r="CW79" s="38">
        <f t="shared" si="135"/>
        <v>0</v>
      </c>
    </row>
    <row r="80" spans="1:101">
      <c r="AB80">
        <f t="shared" ref="AB80:AJ80" si="143">SUM(AB2:AB79)</f>
        <v>13</v>
      </c>
      <c r="AC80">
        <f t="shared" si="143"/>
        <v>12</v>
      </c>
      <c r="AD80">
        <f t="shared" si="143"/>
        <v>10</v>
      </c>
      <c r="AE80">
        <f t="shared" si="143"/>
        <v>5</v>
      </c>
      <c r="AF80">
        <f t="shared" si="143"/>
        <v>5</v>
      </c>
      <c r="AG80">
        <f t="shared" si="143"/>
        <v>10</v>
      </c>
      <c r="AH80">
        <f t="shared" si="143"/>
        <v>9</v>
      </c>
      <c r="AI80">
        <f t="shared" si="143"/>
        <v>5</v>
      </c>
      <c r="AJ80">
        <f t="shared" si="143"/>
        <v>9</v>
      </c>
      <c r="AO80">
        <f>SUM(AB80:AJ80)</f>
        <v>78</v>
      </c>
      <c r="AP80" t="s">
        <v>457</v>
      </c>
      <c r="AQ80" s="2">
        <f>SUMPRODUCT(AY$2:AY$79,$AJ$2:$AJ$79)/SUM($AJ$2:$AJ$79)</f>
        <v>10.190471901536315</v>
      </c>
      <c r="AR80" s="2">
        <f>SUMPRODUCT(AZ$2:AZ$79,$AJ$2:$AJ$79)/SUM($AJ$2:$AJ$79)</f>
        <v>36.475785874915637</v>
      </c>
      <c r="AS80" s="2">
        <f>SUMPRODUCT(BA$2:BA$79,$AJ$2:$AJ$79)/SUM($AJ$2:$AJ$79)</f>
        <v>28.250625935471678</v>
      </c>
      <c r="AT80" s="2">
        <f>SUMPRODUCT(BB$2:BB$79,$AJ$2:$AJ$79)/SUM($AJ$2:$AJ$79)</f>
        <v>2.1539218529503761</v>
      </c>
      <c r="AU80" s="2">
        <f>SUMPRODUCT(BC$2:BC$79,$AJ$2:$AJ$79)/SUM($AJ$2:$AJ$79)</f>
        <v>21.49957565423755</v>
      </c>
    </row>
    <row r="81" spans="10:101">
      <c r="L81">
        <f>SUM(L2:L79)</f>
        <v>3801689</v>
      </c>
      <c r="M81" s="2">
        <f>AVERAGE(M2:M79)</f>
        <v>16.802599216229538</v>
      </c>
      <c r="N81" s="2">
        <f>AVERAGE(N2:N79)</f>
        <v>14.704091000334452</v>
      </c>
      <c r="O81" s="2">
        <f>AVERAGE(O2:O79)</f>
        <v>42.845320395647072</v>
      </c>
      <c r="P81" s="2">
        <f>AVERAGE(P2:P79)</f>
        <v>2.1145702949386576</v>
      </c>
      <c r="Q81" s="2">
        <f>AVERAGE(Q2:Q79)</f>
        <v>23.071770077505889</v>
      </c>
      <c r="V81" t="s">
        <v>443</v>
      </c>
      <c r="AB81" s="37">
        <f t="shared" ref="AB81:AJ81" si="144">AB80/$AO80</f>
        <v>0.16666666666666666</v>
      </c>
      <c r="AC81" s="37">
        <f t="shared" si="144"/>
        <v>0.15384615384615385</v>
      </c>
      <c r="AD81" s="37">
        <f t="shared" si="144"/>
        <v>0.12820512820512819</v>
      </c>
      <c r="AE81" s="37">
        <f t="shared" si="144"/>
        <v>6.4102564102564097E-2</v>
      </c>
      <c r="AF81" s="37">
        <f t="shared" si="144"/>
        <v>6.4102564102564097E-2</v>
      </c>
      <c r="AG81" s="37">
        <f t="shared" si="144"/>
        <v>0.12820512820512819</v>
      </c>
      <c r="AH81" s="37">
        <f t="shared" si="144"/>
        <v>0.11538461538461539</v>
      </c>
      <c r="AI81" s="37">
        <f t="shared" si="144"/>
        <v>6.4102564102564097E-2</v>
      </c>
      <c r="AJ81" s="37">
        <f t="shared" si="144"/>
        <v>0.11538461538461539</v>
      </c>
      <c r="AK81" s="37"/>
      <c r="AY81" s="2">
        <f>AVERAGE(AY2:AY79)</f>
        <v>19.502744818017398</v>
      </c>
      <c r="AZ81" s="2">
        <f>AVERAGE(AZ2:AZ79)</f>
        <v>29.793168293162037</v>
      </c>
      <c r="BA81" s="2">
        <f>AVERAGE(BA2:BA79)</f>
        <v>27.202102659708601</v>
      </c>
      <c r="BB81" s="2">
        <f>AVERAGE(BB2:BB79)</f>
        <v>2.6423708388716389</v>
      </c>
      <c r="BC81" s="2">
        <f>AVERAGE(BC2:BC79)</f>
        <v>20.016879893828008</v>
      </c>
      <c r="BD81" s="2"/>
      <c r="BE81" s="2">
        <f>SUM(AY81:BC81)</f>
        <v>99.157266503587678</v>
      </c>
      <c r="BF81" s="2"/>
      <c r="BG81" t="s">
        <v>443</v>
      </c>
      <c r="BH81" s="2">
        <f>AVERAGE(BH2:BH79)</f>
        <v>19.502744818017398</v>
      </c>
      <c r="BI81" s="2">
        <f>AVERAGE(BI2:BI79)</f>
        <v>29.793168293162037</v>
      </c>
      <c r="BJ81" s="2">
        <f>AVERAGE(BJ2:BJ79)</f>
        <v>27.202102659708601</v>
      </c>
      <c r="BK81" s="2">
        <f>AVERAGE(BK2:BK79)</f>
        <v>2.6423708388716389</v>
      </c>
      <c r="BL81" s="2">
        <f>AVERAGE(BL2:BL79)</f>
        <v>20.103663869013108</v>
      </c>
      <c r="BM81" s="2"/>
      <c r="BN81" s="2"/>
      <c r="BO81" t="s">
        <v>519</v>
      </c>
      <c r="BP81">
        <f>SUM(BP2:BP79)</f>
        <v>11</v>
      </c>
      <c r="BQ81">
        <f>SUM(BQ2:BQ79)</f>
        <v>26</v>
      </c>
      <c r="BR81">
        <f>SUM(BR2:BR79)</f>
        <v>33</v>
      </c>
      <c r="BS81">
        <f>SUM(BS2:BS79)</f>
        <v>0</v>
      </c>
      <c r="BT81">
        <f>SUM(BT2:BT79)</f>
        <v>8</v>
      </c>
      <c r="CS81" s="38">
        <f>SUM(CS2:CS79)</f>
        <v>6</v>
      </c>
      <c r="CT81" s="38">
        <f t="shared" ref="CT81:CW81" si="145">SUM(CT2:CT79)</f>
        <v>11</v>
      </c>
      <c r="CU81" s="38">
        <f t="shared" si="145"/>
        <v>12</v>
      </c>
      <c r="CV81" s="38">
        <f t="shared" si="145"/>
        <v>0</v>
      </c>
      <c r="CW81" s="38">
        <f t="shared" si="145"/>
        <v>26</v>
      </c>
    </row>
    <row r="82" spans="10:101">
      <c r="AP82" t="s">
        <v>520</v>
      </c>
      <c r="AQ82" s="2">
        <f>AVERAGE(AQ78,AQ80)</f>
        <v>15.694071659628271</v>
      </c>
      <c r="AR82" s="2">
        <f t="shared" ref="AR82:AU82" si="146">AVERAGE(AR78,AR80)</f>
        <v>40.479832013566579</v>
      </c>
      <c r="AS82" s="2">
        <f t="shared" si="146"/>
        <v>25.470156128050256</v>
      </c>
      <c r="AT82" s="2">
        <f t="shared" si="146"/>
        <v>2.8292856978160907</v>
      </c>
      <c r="AU82" s="2">
        <f t="shared" si="146"/>
        <v>14.267052445635869</v>
      </c>
      <c r="AX82" t="s">
        <v>443</v>
      </c>
    </row>
    <row r="84" spans="10:101">
      <c r="J84" t="s">
        <v>439</v>
      </c>
      <c r="R84" t="s">
        <v>521</v>
      </c>
      <c r="Z84" t="s">
        <v>515</v>
      </c>
      <c r="AA84" t="s">
        <v>4</v>
      </c>
      <c r="AH84" s="2">
        <f>SUMPRODUCT(AH$2:AH$79,$M$2:$M$79)/SUM(AH$2:AH$79)</f>
        <v>19.052155445338332</v>
      </c>
      <c r="AI84" s="2">
        <f t="shared" ref="AI84:AJ84" si="147">SUMPRODUCT(AI$2:AI$79,$M$2:$M$79)/SUM(AI$2:AI$79)</f>
        <v>13.771312504567408</v>
      </c>
      <c r="AJ84" s="2">
        <f t="shared" si="147"/>
        <v>8.0393178834746379</v>
      </c>
      <c r="AK84" s="2"/>
      <c r="AL84" s="2"/>
      <c r="AM84" s="2"/>
      <c r="AQ84" s="2"/>
      <c r="AR84" s="2"/>
      <c r="AS84" s="2"/>
      <c r="AU84" s="2"/>
    </row>
    <row r="85" spans="10:101">
      <c r="AA85" t="s">
        <v>5</v>
      </c>
      <c r="AH85" s="2">
        <f>SUMPRODUCT(AH$2:AH$79,$N$2:$N$79)/SUM(AH$2:AH$79)</f>
        <v>31.54190274187448</v>
      </c>
      <c r="AI85" s="2">
        <f t="shared" ref="AI85:AJ85" si="148">SUMPRODUCT(AI$2:AI$79,$N$2:$N$79)/SUM(AI$2:AI$79)</f>
        <v>13.825925812267178</v>
      </c>
      <c r="AJ85" s="2">
        <f t="shared" si="148"/>
        <v>24.498553839770977</v>
      </c>
      <c r="AK85" s="2"/>
      <c r="AL85" s="2"/>
      <c r="AM85" s="2"/>
      <c r="AQ85" s="2"/>
      <c r="AR85" s="2"/>
      <c r="AS85" s="2"/>
      <c r="AT85" s="2"/>
      <c r="AU85" s="2"/>
    </row>
    <row r="86" spans="10:101">
      <c r="J86" s="54" t="s">
        <v>73</v>
      </c>
      <c r="L86">
        <v>2011</v>
      </c>
      <c r="M86" s="2">
        <v>8.8000000000000007</v>
      </c>
      <c r="N86" s="2">
        <v>40.9</v>
      </c>
      <c r="O86" s="2">
        <v>32.299999999999997</v>
      </c>
      <c r="P86" s="2">
        <v>1.6</v>
      </c>
      <c r="Q86">
        <v>16.100000000000001</v>
      </c>
      <c r="AA86" t="s">
        <v>6</v>
      </c>
      <c r="AH86" s="2">
        <f>SUMPRODUCT(AH$2:AH$79,$O$2:$O$79)/SUM(AH$2:AH$79)</f>
        <v>36.623795672144375</v>
      </c>
      <c r="AI86" s="2">
        <f t="shared" ref="AI86" si="149">SUMPRODUCT(AI$2:AI$79,$O$2:$O$79)/SUM(AI$2:AI$79)</f>
        <v>52.885494286655806</v>
      </c>
      <c r="AJ86" s="2">
        <f>SUMPRODUCT(AJ$2:AJ$79,$O$2:$O$79)/SUM(AJ$2:AJ$79)</f>
        <v>41.033455391675965</v>
      </c>
      <c r="AK86" s="2"/>
      <c r="AL86" s="2"/>
      <c r="AM86" s="2"/>
      <c r="AP86" t="s">
        <v>425</v>
      </c>
      <c r="AQ86" s="2"/>
      <c r="AR86" s="2"/>
      <c r="AS86" s="2"/>
      <c r="AT86" s="2"/>
      <c r="AU86" s="2"/>
    </row>
    <row r="87" spans="10:101">
      <c r="L87" t="s">
        <v>522</v>
      </c>
      <c r="M87">
        <v>4.6500000000000004</v>
      </c>
      <c r="N87">
        <v>48.12</v>
      </c>
      <c r="O87">
        <v>31.44</v>
      </c>
      <c r="P87">
        <v>2.0099999999999998</v>
      </c>
      <c r="Q87">
        <v>13.02</v>
      </c>
      <c r="S87">
        <v>12</v>
      </c>
      <c r="T87">
        <v>35</v>
      </c>
      <c r="U87">
        <v>27</v>
      </c>
      <c r="V87">
        <v>5</v>
      </c>
      <c r="W87">
        <v>22</v>
      </c>
      <c r="AA87" t="s">
        <v>7</v>
      </c>
      <c r="AH87" s="2">
        <f>SUMPRODUCT(AH$2:AH$79,$P$2:$P$79)/SUM(AH$2:AH$79)</f>
        <v>2.959713095169763</v>
      </c>
      <c r="AI87" s="2">
        <f t="shared" ref="AI87:AJ87" si="150">SUMPRODUCT(AI$2:AI$79,$P$2:$P$79)/SUM(AI$2:AI$79)</f>
        <v>1.7709315525467404</v>
      </c>
      <c r="AJ87" s="2">
        <f t="shared" si="150"/>
        <v>1.6611648917895609</v>
      </c>
      <c r="AK87" s="2"/>
      <c r="AL87" s="2"/>
      <c r="AM87" s="2"/>
      <c r="AP87" t="s">
        <v>449</v>
      </c>
      <c r="AQ87" s="6"/>
      <c r="AR87" s="6"/>
      <c r="AS87" s="6"/>
      <c r="AT87" s="4"/>
      <c r="AU87" s="6"/>
    </row>
    <row r="88" spans="10:101">
      <c r="J88" s="53">
        <v>41579</v>
      </c>
      <c r="L88" t="s">
        <v>442</v>
      </c>
      <c r="M88" s="2">
        <f>M86+(S87-AQ$5)</f>
        <v>4.3000000000000007</v>
      </c>
      <c r="N88" s="2">
        <f>N86+(T87-AR$5)</f>
        <v>61.7</v>
      </c>
      <c r="O88" s="2">
        <f>O86+(U87-AS$5)</f>
        <v>16.399999999999999</v>
      </c>
      <c r="P88" s="2">
        <f>P86+(V87-AT$5)</f>
        <v>4.5</v>
      </c>
      <c r="Q88" s="2">
        <f>Q86+(W87-AU$5)</f>
        <v>14.700000000000003</v>
      </c>
      <c r="AA88" t="s">
        <v>8</v>
      </c>
      <c r="AH88" s="2">
        <f>SUMPRODUCT(AH$2:AH$79,$Q$2:$Q$79)/SUM(AH$2:AH$79)</f>
        <v>9.3470473484515875</v>
      </c>
      <c r="AI88" s="2">
        <f t="shared" ref="AI88:AJ88" si="151">SUMPRODUCT(AI$2:AI$79,$Q$2:$Q$79)/SUM(AI$2:AI$79)</f>
        <v>17.582820658267529</v>
      </c>
      <c r="AJ88" s="2">
        <f t="shared" si="151"/>
        <v>23.882511244164473</v>
      </c>
      <c r="AK88" s="2"/>
      <c r="AL88" s="2"/>
      <c r="AM88" s="2"/>
      <c r="AP88" t="s">
        <v>450</v>
      </c>
    </row>
    <row r="89" spans="10:101">
      <c r="L89" t="s">
        <v>443</v>
      </c>
      <c r="M89" s="2">
        <f>M86+0.5*(M87-M88)</f>
        <v>8.9750000000000014</v>
      </c>
      <c r="N89" s="2">
        <f t="shared" ref="N89:Q89" si="152">N86+0.5*(N87-N88)</f>
        <v>34.11</v>
      </c>
      <c r="O89" s="2">
        <f t="shared" si="152"/>
        <v>39.82</v>
      </c>
      <c r="P89" s="2">
        <f t="shared" si="152"/>
        <v>0.35499999999999998</v>
      </c>
      <c r="Q89" s="2">
        <f t="shared" si="152"/>
        <v>15.26</v>
      </c>
      <c r="AP89" t="s">
        <v>451</v>
      </c>
    </row>
    <row r="90" spans="10:101">
      <c r="AH90" t="s">
        <v>523</v>
      </c>
      <c r="AI90" s="56">
        <f>AVERAGE(AH84,AJ84)</f>
        <v>13.545736664406485</v>
      </c>
      <c r="AP90" t="s">
        <v>452</v>
      </c>
    </row>
    <row r="91" spans="10:101">
      <c r="L91" t="s">
        <v>524</v>
      </c>
      <c r="M91">
        <v>8.2135415292907457</v>
      </c>
      <c r="N91">
        <v>38.469654208319049</v>
      </c>
      <c r="O91">
        <v>32.360931606572947</v>
      </c>
      <c r="P91">
        <v>1.5561944451771159</v>
      </c>
      <c r="Q91">
        <v>19.022498879012474</v>
      </c>
      <c r="AI91" s="56">
        <f t="shared" ref="AI91:AI94" si="153">AVERAGE(AH85,AJ85)</f>
        <v>28.020228290822729</v>
      </c>
      <c r="AP91" t="s">
        <v>453</v>
      </c>
    </row>
    <row r="92" spans="10:101">
      <c r="AI92" s="56">
        <f t="shared" si="153"/>
        <v>38.82862553191017</v>
      </c>
      <c r="AP92" t="s">
        <v>454</v>
      </c>
    </row>
    <row r="93" spans="10:101">
      <c r="AI93" s="56">
        <f t="shared" si="153"/>
        <v>2.3104389934796621</v>
      </c>
      <c r="AP93" t="s">
        <v>455</v>
      </c>
      <c r="AQ93" s="38">
        <f>SUMPRODUCT(BP$2:BP$79,$AH$2:$AH$79)</f>
        <v>0</v>
      </c>
      <c r="AR93" s="38">
        <f>SUMPRODUCT(BQ$2:BQ$79,$AH$2:$AH$79)</f>
        <v>8</v>
      </c>
      <c r="AS93" s="38">
        <f>SUMPRODUCT(BR$2:BR$79,$AH$2:$AH$79)</f>
        <v>1</v>
      </c>
      <c r="AT93" s="38">
        <f>SUMPRODUCT(BS$2:BS$79,$AH$2:$AH$79)</f>
        <v>0</v>
      </c>
      <c r="AU93" s="38">
        <f>SUMPRODUCT(BT$2:BT$79,$AH$2:$AH$79)</f>
        <v>0</v>
      </c>
    </row>
    <row r="94" spans="10:101">
      <c r="AI94" s="56">
        <f t="shared" si="153"/>
        <v>16.614779296308029</v>
      </c>
      <c r="AP94" t="s">
        <v>456</v>
      </c>
      <c r="AQ94" s="38"/>
      <c r="AR94" s="38"/>
      <c r="AS94" s="38"/>
      <c r="AT94" s="38"/>
      <c r="AU94" s="38"/>
    </row>
    <row r="95" spans="10:101">
      <c r="AP95" t="s">
        <v>457</v>
      </c>
      <c r="AQ95" s="57">
        <f>SUMPRODUCT(BP$2:BP$79,$AJ$2:$AJ$79)</f>
        <v>0</v>
      </c>
      <c r="AR95" s="57">
        <f>SUMPRODUCT(BQ$2:BQ$79,$AJ$2:$AJ$79)</f>
        <v>5</v>
      </c>
      <c r="AS95" s="57">
        <f>SUMPRODUCT(BR$2:BR$79,$AJ$2:$AJ$79)</f>
        <v>4</v>
      </c>
      <c r="AT95" s="57">
        <f>SUMPRODUCT(BS$2:BS$79,$AJ$2:$AJ$79)</f>
        <v>0</v>
      </c>
      <c r="AU95" s="57">
        <f>SUMPRODUCT(BT$2:BT$79,$AJ$2:$AJ$79)</f>
        <v>0</v>
      </c>
    </row>
    <row r="102" spans="42:47">
      <c r="AP102" s="4" t="s">
        <v>525</v>
      </c>
      <c r="AQ102" s="6"/>
      <c r="AR102" s="6"/>
      <c r="AS102" s="6"/>
      <c r="AT102" s="6"/>
      <c r="AU102" s="6"/>
    </row>
    <row r="103" spans="42:47">
      <c r="AP103" s="4"/>
      <c r="AQ103" s="6"/>
      <c r="AR103" s="6"/>
      <c r="AS103" s="6"/>
      <c r="AT103" s="6"/>
      <c r="AU103" s="6"/>
    </row>
    <row r="104" spans="42:47">
      <c r="AQ104" t="s">
        <v>403</v>
      </c>
      <c r="AR104" t="s">
        <v>404</v>
      </c>
      <c r="AS104" t="s">
        <v>6</v>
      </c>
      <c r="AT104" t="s">
        <v>7</v>
      </c>
      <c r="AU104" t="s">
        <v>8</v>
      </c>
    </row>
    <row r="105" spans="42:47">
      <c r="AP105" t="s">
        <v>429</v>
      </c>
      <c r="AQ105">
        <v>-0.33259620000000001</v>
      </c>
      <c r="AR105">
        <v>-5.1240399999999998E-2</v>
      </c>
      <c r="AS105">
        <v>0</v>
      </c>
      <c r="AT105">
        <v>0</v>
      </c>
      <c r="AU105">
        <v>0.16025829999999999</v>
      </c>
    </row>
    <row r="106" spans="42:47">
      <c r="AP106" t="s">
        <v>449</v>
      </c>
      <c r="AQ106">
        <v>0.85294519999999996</v>
      </c>
      <c r="AR106">
        <v>0.86483429999999994</v>
      </c>
      <c r="AS106">
        <v>1.149837</v>
      </c>
      <c r="AT106">
        <v>1.0952409999999999</v>
      </c>
      <c r="AU106">
        <v>1.0259780000000001</v>
      </c>
    </row>
    <row r="107" spans="42:47">
      <c r="AP107" t="s">
        <v>450</v>
      </c>
      <c r="AQ107">
        <v>0.89121589999999995</v>
      </c>
      <c r="AR107">
        <v>0.94003049999999999</v>
      </c>
      <c r="AS107">
        <v>1.0563009999999999</v>
      </c>
      <c r="AT107">
        <v>1.065032</v>
      </c>
      <c r="AU107">
        <v>0.95036659999999995</v>
      </c>
    </row>
    <row r="108" spans="42:47">
      <c r="AP108" t="s">
        <v>451</v>
      </c>
      <c r="AQ108">
        <v>1.51549</v>
      </c>
      <c r="AR108">
        <v>1.1884440000000001</v>
      </c>
      <c r="AS108">
        <v>0.88221830000000001</v>
      </c>
      <c r="AT108">
        <v>0.66321149999999995</v>
      </c>
      <c r="AU108">
        <v>0.79816180000000003</v>
      </c>
    </row>
    <row r="109" spans="42:47">
      <c r="AP109" t="s">
        <v>452</v>
      </c>
      <c r="AQ109">
        <v>1.2307980000000001</v>
      </c>
      <c r="AR109">
        <v>1.1428689999999999</v>
      </c>
      <c r="AS109">
        <v>1.1064160000000001</v>
      </c>
      <c r="AT109">
        <v>0.80946949999999995</v>
      </c>
      <c r="AU109">
        <v>1.0350429999999999</v>
      </c>
    </row>
    <row r="110" spans="42:47">
      <c r="AP110" t="s">
        <v>453</v>
      </c>
      <c r="AQ110">
        <v>1.1734849999999999</v>
      </c>
      <c r="AR110">
        <v>1.0588599999999999</v>
      </c>
      <c r="AS110">
        <v>0.88093770000000005</v>
      </c>
      <c r="AT110">
        <v>0.8436768</v>
      </c>
      <c r="AU110">
        <v>0.89494430000000003</v>
      </c>
    </row>
    <row r="111" spans="42:47">
      <c r="AP111" t="s">
        <v>454</v>
      </c>
      <c r="AQ111">
        <v>1.1076859999999999</v>
      </c>
      <c r="AR111">
        <v>1.0702199999999999</v>
      </c>
      <c r="AS111">
        <v>1.058568</v>
      </c>
      <c r="AT111">
        <v>1.1080369999999999</v>
      </c>
      <c r="AU111">
        <v>0.8737935</v>
      </c>
    </row>
    <row r="112" spans="42:47">
      <c r="AP112" t="s">
        <v>455</v>
      </c>
      <c r="AQ112">
        <v>0.73418680000000003</v>
      </c>
      <c r="AR112">
        <v>1.0269649999999999</v>
      </c>
      <c r="AS112">
        <v>0.77634119999999995</v>
      </c>
      <c r="AT112">
        <v>1.2910539999999999</v>
      </c>
      <c r="AU112">
        <v>0.61195290000000002</v>
      </c>
    </row>
    <row r="113" spans="42:47">
      <c r="AP113" t="s">
        <v>456</v>
      </c>
      <c r="AQ113">
        <v>0.90022570000000002</v>
      </c>
      <c r="AR113">
        <v>1.0633859999999999</v>
      </c>
      <c r="AS113">
        <v>1.155975</v>
      </c>
      <c r="AT113">
        <v>0.92673559999999999</v>
      </c>
      <c r="AU113">
        <v>0.89352229999999999</v>
      </c>
    </row>
    <row r="114" spans="42:47">
      <c r="AP114" t="s">
        <v>457</v>
      </c>
      <c r="AQ114">
        <v>0.62086719999999995</v>
      </c>
      <c r="AR114">
        <v>0.80243039999999999</v>
      </c>
      <c r="AS114">
        <v>0.88270130000000002</v>
      </c>
      <c r="AT114">
        <v>0.97830510000000004</v>
      </c>
      <c r="AU114">
        <v>0.788578</v>
      </c>
    </row>
    <row r="115" spans="42:47">
      <c r="AP115" s="4"/>
      <c r="AQ115" s="4"/>
      <c r="AR115" s="4"/>
      <c r="AS115" s="4"/>
      <c r="AT115" s="4"/>
      <c r="AU115" s="4"/>
    </row>
    <row r="116" spans="42:47">
      <c r="AP116" s="4" t="s">
        <v>443</v>
      </c>
      <c r="AQ116" s="4">
        <f>AVERAGE(AQ106:AQ114)</f>
        <v>1.0029888666666666</v>
      </c>
      <c r="AR116" s="4">
        <f t="shared" ref="AR116:AU116" si="154">AVERAGE(AR106:AR114)</f>
        <v>1.0175599111111111</v>
      </c>
      <c r="AS116" s="4">
        <f t="shared" si="154"/>
        <v>0.99436616666666688</v>
      </c>
      <c r="AT116" s="4">
        <f t="shared" si="154"/>
        <v>0.97564027777777773</v>
      </c>
      <c r="AU116" s="4">
        <f t="shared" si="154"/>
        <v>0.87470448888888885</v>
      </c>
    </row>
    <row r="117" spans="42:47">
      <c r="AP117" s="4"/>
      <c r="AQ117" s="4"/>
      <c r="AR117" s="4"/>
      <c r="AS117" s="4"/>
      <c r="AT117" s="4"/>
      <c r="AU117" s="4"/>
    </row>
  </sheetData>
  <sortState ref="A3:AJ82">
    <sortCondition ref="B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79"/>
  <sheetViews>
    <sheetView zoomScale="80" zoomScaleNormal="80" workbookViewId="0">
      <pane xSplit="4" ySplit="1" topLeftCell="AT50" activePane="bottomRight" state="frozen"/>
      <selection pane="bottomLeft" activeCell="A2" sqref="A2"/>
      <selection pane="topRight" activeCell="D1" sqref="D1"/>
      <selection pane="bottomRight" activeCell="BB89" sqref="BB89"/>
    </sheetView>
  </sheetViews>
  <sheetFormatPr defaultRowHeight="15"/>
  <cols>
    <col min="2" max="2" width="32.7109375" customWidth="1"/>
    <col min="3" max="3" width="31" customWidth="1"/>
    <col min="20" max="20" width="9.140625" customWidth="1"/>
    <col min="41" max="41" width="12.42578125" customWidth="1"/>
  </cols>
  <sheetData>
    <row r="1" spans="1:71">
      <c r="A1" t="s">
        <v>373</v>
      </c>
      <c r="B1" t="s">
        <v>374</v>
      </c>
      <c r="C1" t="s">
        <v>375</v>
      </c>
      <c r="D1" t="s">
        <v>376</v>
      </c>
      <c r="E1" t="s">
        <v>444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  <c r="AE1" t="s">
        <v>533</v>
      </c>
      <c r="AF1" t="s">
        <v>534</v>
      </c>
      <c r="AG1" t="s">
        <v>535</v>
      </c>
      <c r="AH1" t="s">
        <v>536</v>
      </c>
      <c r="AI1" t="s">
        <v>537</v>
      </c>
      <c r="AJ1" t="s">
        <v>399</v>
      </c>
      <c r="AK1" t="s">
        <v>458</v>
      </c>
      <c r="AL1" t="s">
        <v>459</v>
      </c>
      <c r="AV1" t="s">
        <v>402</v>
      </c>
      <c r="AW1" t="s">
        <v>478</v>
      </c>
      <c r="AX1" t="s">
        <v>479</v>
      </c>
      <c r="AY1" t="s">
        <v>480</v>
      </c>
      <c r="AZ1" t="s">
        <v>481</v>
      </c>
      <c r="BA1" t="s">
        <v>405</v>
      </c>
      <c r="BC1" t="s">
        <v>406</v>
      </c>
      <c r="BD1" t="s">
        <v>478</v>
      </c>
      <c r="BE1" t="s">
        <v>479</v>
      </c>
      <c r="BF1" t="s">
        <v>480</v>
      </c>
      <c r="BG1" t="s">
        <v>481</v>
      </c>
      <c r="BI1" t="s">
        <v>538</v>
      </c>
      <c r="BJ1" t="s">
        <v>478</v>
      </c>
      <c r="BK1" t="s">
        <v>479</v>
      </c>
      <c r="BL1" t="s">
        <v>480</v>
      </c>
      <c r="BM1" t="s">
        <v>481</v>
      </c>
      <c r="BO1" t="s">
        <v>409</v>
      </c>
      <c r="BP1" t="s">
        <v>478</v>
      </c>
      <c r="BQ1" t="s">
        <v>479</v>
      </c>
      <c r="BR1" t="s">
        <v>480</v>
      </c>
      <c r="BS1" t="s">
        <v>481</v>
      </c>
    </row>
    <row r="2" spans="1:71">
      <c r="A2" t="s">
        <v>11</v>
      </c>
      <c r="B2" t="s">
        <v>139</v>
      </c>
      <c r="C2" t="s">
        <v>139</v>
      </c>
      <c r="D2">
        <v>35001</v>
      </c>
      <c r="E2">
        <v>358</v>
      </c>
      <c r="F2">
        <v>35</v>
      </c>
      <c r="G2">
        <v>19535</v>
      </c>
      <c r="H2">
        <v>16753</v>
      </c>
      <c r="I2">
        <v>6624</v>
      </c>
      <c r="J2">
        <v>1200</v>
      </c>
      <c r="K2">
        <v>44165</v>
      </c>
      <c r="L2" s="3">
        <f t="shared" ref="L2:L33" si="0">G2/$K2*100</f>
        <v>44.231857805954945</v>
      </c>
      <c r="M2" s="3">
        <f t="shared" ref="M2:M33" si="1">H2/$K2*100</f>
        <v>37.932752179327522</v>
      </c>
      <c r="N2" s="3">
        <f t="shared" ref="N2:N33" si="2">I2/$K2*100</f>
        <v>14.998301822710292</v>
      </c>
      <c r="O2" s="3">
        <f t="shared" ref="O2:O33" si="3">J2/$K2*100</f>
        <v>2.7170836635344728</v>
      </c>
      <c r="P2">
        <v>44.4</v>
      </c>
      <c r="Q2">
        <v>25.3</v>
      </c>
      <c r="R2">
        <v>25.6</v>
      </c>
      <c r="S2">
        <v>3.8</v>
      </c>
      <c r="T2">
        <f t="shared" ref="T2:T33" si="4">IF(L2=MAX($L2:$O2),1,0)</f>
        <v>1</v>
      </c>
      <c r="U2">
        <f t="shared" ref="U2:U33" si="5">IF(M2=MAX($L2:$O2),1,0)</f>
        <v>0</v>
      </c>
      <c r="V2">
        <f t="shared" ref="V2:V33" si="6">IF(N2=MAX($L2:$O2),1,0)</f>
        <v>0</v>
      </c>
      <c r="W2">
        <f t="shared" ref="W2:W33" si="7">IF(O2=MAX($L2:$O2),1,0)</f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f>AD2+AE2+AF2+AH2+AC2</f>
        <v>1</v>
      </c>
      <c r="AJ2">
        <v>0</v>
      </c>
      <c r="AK2">
        <v>0</v>
      </c>
      <c r="AL2">
        <v>0</v>
      </c>
      <c r="AW2" s="8">
        <f t="shared" ref="AW2:AW33" si="8">(1-BP2*AP$11-(1-BP2)*AP$13)*BD2+BP2*AP$11*(AP$6+AP$6/AP$10*(BD2-AP$6))+(1-BP2)*AP$13*(BD2+(AP$6-AP$12)/(100-AP$12)*(AP$6-BD2))</f>
        <v>32.864407173494854</v>
      </c>
      <c r="AX2" s="8">
        <f t="shared" ref="AX2:AX33" si="9">(1-BQ2*AQ$11-(1-BQ2)*AQ$13)*BE2+BQ2*AQ$11*(AQ$6+AQ$6/AQ$10*(BE2-AQ$6))+(1-BQ2)*AQ$13*(BE2+(AQ$6-AQ$12)/(100-AQ$12)*(AQ$6-BE2))</f>
        <v>57.366480551507038</v>
      </c>
      <c r="AY2" s="8">
        <f t="shared" ref="AY2:AY33" si="10">(1-BR2*AR$11-(1-BR2)*AR$13)*BF2+BR2*AR$11*(AR$6+AR$6/AR$10*(BF2-AR$6))+(1-BR2)*AR$13*(BF2+(AR$6-AR$12)/(100-AR$12)*(AR$6-BF2))</f>
        <v>7.8933316869617034</v>
      </c>
      <c r="AZ2" s="8">
        <f t="shared" ref="AZ2:AZ33" si="11">(1-BS2*AS$11-(1-BS2)*AS$13)*BG2+BS2*AS$11*(AS$6+AS$6/AS$10*(BG2-AS$6))+(1-BS2)*AS$13*(BG2+(AS$6-AS$12)/(100-AS$12)*(AS$6-BG2))</f>
        <v>2.2987875833970537</v>
      </c>
      <c r="BA2" s="8">
        <f>SUM(AW2:AZ2)</f>
        <v>100.42300699536065</v>
      </c>
      <c r="BD2" s="3">
        <f t="array" ref="BD2">MIN(100,MAX(0,L2-AJ2*5+AQ$16*(AP$27*T2+SUMPRODUCT($X2:$AH2,TRANSPOSE(AP$28:AP$38)))+AR$16*(AP$39*T2+SUMPRODUCT($X2:$AH2,TRANSPOSE(AP$40:AP$50)))+AS$16*(AP$51*T2+SUMPRODUCT($X2:$AH2,TRANSPOSE(AP$52:AP$62)))))</f>
        <v>32.864407173494854</v>
      </c>
      <c r="BE2" s="3">
        <f t="array" ref="BE2">MIN(100,MAX(0,M2-AK2*5+AP$17*(AQ$27*U2+SUMPRODUCT($X2:$AH2,TRANSPOSE(AQ$28:AQ$38)))+AR$17*(AQ$39*U2+SUMPRODUCT($X2:$AH2,TRANSPOSE(AQ$40:AQ$50)))+AS$17*(AQ$51*U2+SUMPRODUCT($X2:$AH2,TRANSPOSE(AQ$52:AQ$62)))))</f>
        <v>57.366480551507038</v>
      </c>
      <c r="BF2" s="3">
        <f t="array" ref="BF2">MIN(100,MAX(0,N2-AL2*5+AP$18*(AR$27*V2+SUMPRODUCT($X2:$AH2,TRANSPOSE(AR$28:AR$38)))+AQ$18*(AR$39*V2+SUMPRODUCT($X2:$AH2,TRANSPOSE(AR$40:AR$50)))+AS$18*(AR$51*V2+SUMPRODUCT($X2:$AH2,TRANSPOSE(AR$52:AR$62)))))</f>
        <v>7.8933316869617034</v>
      </c>
      <c r="BG2" s="3">
        <f t="array" ref="BG2">MIN(100,MAX(0,O2+AP$19*(AS$27*W2+SUMPRODUCT($X2:$AH2,TRANSPOSE(AS$28:AS$38)))+AQ$19*(AS$39*W2+SUMPRODUCT($X2:$AH2,TRANSPOSE(AS$40:AS$50)))+AR$19*(AS$51*W2+SUMPRODUCT($X2:$AH2,TRANSPOSE(AS$52:AS$62)))))</f>
        <v>2.2987875833970537</v>
      </c>
      <c r="BJ2">
        <f>IF(AW2=MAX($AW2:$AZ2),1,0)</f>
        <v>0</v>
      </c>
      <c r="BK2">
        <f>IF(AX2=MAX($AW2:$AZ2),1,0)</f>
        <v>1</v>
      </c>
      <c r="BL2">
        <f>IF(AY2=MAX($AW2:$AZ2),1,0)</f>
        <v>0</v>
      </c>
      <c r="BM2">
        <f>IF(AZ2=MAX($AW2:$AZ2),1,0)</f>
        <v>0</v>
      </c>
      <c r="BP2">
        <f t="shared" ref="BP2:BP33" si="12">IF(BD2&gt;AP$6,1,0)</f>
        <v>0</v>
      </c>
      <c r="BQ2">
        <f t="shared" ref="BQ2:BQ33" si="13">IF(BE2&gt;AQ$6,1,0)</f>
        <v>1</v>
      </c>
      <c r="BR2">
        <f t="shared" ref="BR2:BR33" si="14">IF(BF2&gt;AR$6,1,0)</f>
        <v>0</v>
      </c>
      <c r="BS2">
        <f t="shared" ref="BS2:BS33" si="15">IF(BG2&gt;AS$6,1,0)</f>
        <v>0</v>
      </c>
    </row>
    <row r="3" spans="1:71">
      <c r="A3" t="s">
        <v>11</v>
      </c>
      <c r="B3" t="s">
        <v>140</v>
      </c>
      <c r="C3" t="s">
        <v>539</v>
      </c>
      <c r="D3">
        <v>35002</v>
      </c>
      <c r="E3">
        <v>355</v>
      </c>
      <c r="F3">
        <v>35</v>
      </c>
      <c r="G3">
        <v>12734</v>
      </c>
      <c r="H3">
        <v>5660</v>
      </c>
      <c r="I3">
        <v>19561</v>
      </c>
      <c r="J3">
        <v>1208</v>
      </c>
      <c r="K3">
        <v>39174</v>
      </c>
      <c r="L3" s="3">
        <f t="shared" si="0"/>
        <v>32.506254148159492</v>
      </c>
      <c r="M3" s="3">
        <f t="shared" si="1"/>
        <v>14.448358605197326</v>
      </c>
      <c r="N3" s="3">
        <f t="shared" si="2"/>
        <v>49.933629448103332</v>
      </c>
      <c r="O3" s="3">
        <f t="shared" si="3"/>
        <v>3.0836779496604891</v>
      </c>
      <c r="P3">
        <v>44.4</v>
      </c>
      <c r="Q3">
        <v>25.3</v>
      </c>
      <c r="R3">
        <v>25.6</v>
      </c>
      <c r="S3">
        <v>3.8</v>
      </c>
      <c r="T3">
        <f t="shared" si="4"/>
        <v>0</v>
      </c>
      <c r="U3">
        <f t="shared" si="5"/>
        <v>0</v>
      </c>
      <c r="V3">
        <f t="shared" si="6"/>
        <v>1</v>
      </c>
      <c r="W3">
        <f t="shared" si="7"/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f t="shared" ref="AI3:AI66" si="16">AD3+AE3+AF3+AH3+AC3</f>
        <v>0</v>
      </c>
      <c r="AJ3">
        <v>0</v>
      </c>
      <c r="AK3">
        <v>0</v>
      </c>
      <c r="AL3">
        <v>0</v>
      </c>
      <c r="AW3" s="8">
        <f t="shared" si="8"/>
        <v>22.800357155222521</v>
      </c>
      <c r="AX3" s="8">
        <f t="shared" si="9"/>
        <v>32.144231678801184</v>
      </c>
      <c r="AY3" s="8">
        <f t="shared" si="10"/>
        <v>41.049075310505756</v>
      </c>
      <c r="AZ3" s="8">
        <f t="shared" si="11"/>
        <v>2.6841294474192665</v>
      </c>
      <c r="BA3" s="8">
        <f t="shared" ref="BA3:BA66" si="17">SUM(AW3:AZ3)</f>
        <v>98.677793591948728</v>
      </c>
      <c r="BD3" s="3">
        <f t="array" ref="BD3">MIN(100,MAX(0,L3-AJ3*5+AQ$16*(AP$27*T3+SUMPRODUCT($X3:$AH3,TRANSPOSE(AP$28:AP$38)))+AR$16*(AP$39*T3+SUMPRODUCT($X3:$AH3,TRANSPOSE(AP$40:AP$50)))+AS$16*(AP$51*T3+SUMPRODUCT($X3:$AH3,TRANSPOSE(AP$52:AP$62)))))</f>
        <v>22.800357155222521</v>
      </c>
      <c r="BE3" s="3">
        <f t="array" ref="BE3">MIN(100,MAX(0,M3-AK3*5+AP$17*(AQ$27*U3+SUMPRODUCT($X3:$AH3,TRANSPOSE(AQ$28:AQ$38)))+AR$17*(AQ$39*U3+SUMPRODUCT($X3:$AH3,TRANSPOSE(AQ$40:AQ$50)))+AS$17*(AQ$51*U3+SUMPRODUCT($X3:$AH3,TRANSPOSE(AQ$52:AQ$62)))))</f>
        <v>32.144231678801184</v>
      </c>
      <c r="BF3" s="3">
        <f t="array" ref="BF3">MIN(100,MAX(0,N3-AL3*5+AP$18*(AR$27*V3+SUMPRODUCT($X3:$AH3,TRANSPOSE(AR$28:AR$38)))+AQ$18*(AR$39*V3+SUMPRODUCT($X3:$AH3,TRANSPOSE(AR$40:AR$50)))+AS$18*(AR$51*V3+SUMPRODUCT($X3:$AH3,TRANSPOSE(AR$52:AR$62)))))</f>
        <v>41.049075310505756</v>
      </c>
      <c r="BG3" s="3">
        <f t="array" ref="BG3">MIN(100,MAX(0,O3+AP$19*(AS$27*W3+SUMPRODUCT($X3:$AH3,TRANSPOSE(AS$28:AS$38)))+AQ$19*(AS$39*W3+SUMPRODUCT($X3:$AH3,TRANSPOSE(AS$40:AS$50)))+AR$19*(AS$51*W3+SUMPRODUCT($X3:$AH3,TRANSPOSE(AS$52:AS$62)))))</f>
        <v>2.6841294474192665</v>
      </c>
      <c r="BJ3">
        <f t="shared" ref="BJ3:BJ66" si="18">IF(AW3=MAX($AW3:$AZ3),1,0)</f>
        <v>0</v>
      </c>
      <c r="BK3">
        <f t="shared" ref="BK3:BK66" si="19">IF(AX3=MAX($AW3:$AZ3),1,0)</f>
        <v>0</v>
      </c>
      <c r="BL3">
        <f t="shared" ref="BL3:BL66" si="20">IF(AY3=MAX($AW3:$AZ3),1,0)</f>
        <v>1</v>
      </c>
      <c r="BM3">
        <f t="shared" ref="BM3:BM66" si="21">IF(AZ3=MAX($AW3:$AZ3),1,0)</f>
        <v>0</v>
      </c>
      <c r="BP3">
        <f t="shared" si="12"/>
        <v>0</v>
      </c>
      <c r="BQ3">
        <f t="shared" si="13"/>
        <v>0</v>
      </c>
      <c r="BR3">
        <f t="shared" si="14"/>
        <v>1</v>
      </c>
      <c r="BS3">
        <f t="shared" si="15"/>
        <v>0</v>
      </c>
    </row>
    <row r="4" spans="1:71">
      <c r="A4" t="s">
        <v>11</v>
      </c>
      <c r="B4" t="s">
        <v>141</v>
      </c>
      <c r="C4" t="s">
        <v>540</v>
      </c>
      <c r="D4">
        <v>35003</v>
      </c>
      <c r="E4">
        <v>358</v>
      </c>
      <c r="F4">
        <v>35</v>
      </c>
      <c r="G4">
        <v>20221</v>
      </c>
      <c r="H4">
        <v>10941</v>
      </c>
      <c r="I4">
        <v>6263</v>
      </c>
      <c r="J4">
        <v>1363</v>
      </c>
      <c r="K4">
        <v>39259</v>
      </c>
      <c r="L4" s="3">
        <f t="shared" si="0"/>
        <v>51.50666089304363</v>
      </c>
      <c r="M4" s="3">
        <f t="shared" si="1"/>
        <v>27.868768944700577</v>
      </c>
      <c r="N4" s="3">
        <f t="shared" si="2"/>
        <v>15.953029878499198</v>
      </c>
      <c r="O4" s="3">
        <f t="shared" si="3"/>
        <v>3.4718153799128864</v>
      </c>
      <c r="P4">
        <v>44.4</v>
      </c>
      <c r="Q4">
        <v>25.3</v>
      </c>
      <c r="R4">
        <v>25.6</v>
      </c>
      <c r="S4">
        <v>3.8</v>
      </c>
      <c r="T4">
        <f t="shared" si="4"/>
        <v>1</v>
      </c>
      <c r="U4">
        <f t="shared" si="5"/>
        <v>0</v>
      </c>
      <c r="V4">
        <f t="shared" si="6"/>
        <v>0</v>
      </c>
      <c r="W4">
        <f t="shared" si="7"/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f t="shared" si="16"/>
        <v>1</v>
      </c>
      <c r="AJ4">
        <v>0</v>
      </c>
      <c r="AK4">
        <v>0</v>
      </c>
      <c r="AL4">
        <v>0</v>
      </c>
      <c r="AP4" t="s">
        <v>478</v>
      </c>
      <c r="AQ4" t="s">
        <v>479</v>
      </c>
      <c r="AR4" t="s">
        <v>480</v>
      </c>
      <c r="AS4" t="s">
        <v>481</v>
      </c>
      <c r="AW4" s="8">
        <f t="shared" si="8"/>
        <v>40.139210260583539</v>
      </c>
      <c r="AX4" s="8">
        <f t="shared" si="9"/>
        <v>47.302497316880093</v>
      </c>
      <c r="AY4" s="8">
        <f t="shared" si="10"/>
        <v>8.8480597427506087</v>
      </c>
      <c r="AZ4" s="8">
        <f t="shared" si="11"/>
        <v>3.0535192997754672</v>
      </c>
      <c r="BA4" s="8">
        <f t="shared" si="17"/>
        <v>99.343286619989712</v>
      </c>
      <c r="BD4" s="3">
        <f t="array" ref="BD4">MIN(100,MAX(0,L4-AJ4*5+AQ$16*(AP$27*T4+SUMPRODUCT($X4:$AH4,TRANSPOSE(AP$28:AP$38)))+AR$16*(AP$39*T4+SUMPRODUCT($X4:$AH4,TRANSPOSE(AP$40:AP$50)))+AS$16*(AP$51*T4+SUMPRODUCT($X4:$AH4,TRANSPOSE(AP$52:AP$62)))))</f>
        <v>40.139210260583539</v>
      </c>
      <c r="BE4" s="3">
        <f t="array" ref="BE4">MIN(100,MAX(0,M4-AK4*5+AP$17*(AQ$27*U4+SUMPRODUCT($X4:$AH4,TRANSPOSE(AQ$28:AQ$38)))+AR$17*(AQ$39*U4+SUMPRODUCT($X4:$AH4,TRANSPOSE(AQ$40:AQ$50)))+AS$17*(AQ$51*U4+SUMPRODUCT($X4:$AH4,TRANSPOSE(AQ$52:AQ$62)))))</f>
        <v>47.302497316880093</v>
      </c>
      <c r="BF4" s="3">
        <f t="array" ref="BF4">MIN(100,MAX(0,N4-AL4*5+AP$18*(AR$27*V4+SUMPRODUCT($X4:$AH4,TRANSPOSE(AR$28:AR$38)))+AQ$18*(AR$39*V4+SUMPRODUCT($X4:$AH4,TRANSPOSE(AR$40:AR$50)))+AS$18*(AR$51*V4+SUMPRODUCT($X4:$AH4,TRANSPOSE(AR$52:AR$62)))))</f>
        <v>8.8480597427506087</v>
      </c>
      <c r="BG4" s="3">
        <f t="array" ref="BG4">MIN(100,MAX(0,O4+AP$19*(AS$27*W4+SUMPRODUCT($X4:$AH4,TRANSPOSE(AS$28:AS$38)))+AQ$19*(AS$39*W4+SUMPRODUCT($X4:$AH4,TRANSPOSE(AS$40:AS$50)))+AR$19*(AS$51*W4+SUMPRODUCT($X4:$AH4,TRANSPOSE(AS$52:AS$62)))))</f>
        <v>3.0535192997754672</v>
      </c>
      <c r="BJ4">
        <f t="shared" si="18"/>
        <v>0</v>
      </c>
      <c r="BK4">
        <f t="shared" si="19"/>
        <v>1</v>
      </c>
      <c r="BL4">
        <f t="shared" si="20"/>
        <v>0</v>
      </c>
      <c r="BM4">
        <f t="shared" si="21"/>
        <v>0</v>
      </c>
      <c r="BP4">
        <f t="shared" si="12"/>
        <v>1</v>
      </c>
      <c r="BQ4">
        <f t="shared" si="13"/>
        <v>1</v>
      </c>
      <c r="BR4">
        <f t="shared" si="14"/>
        <v>0</v>
      </c>
      <c r="BS4">
        <f t="shared" si="15"/>
        <v>0</v>
      </c>
    </row>
    <row r="5" spans="1:71">
      <c r="A5" t="s">
        <v>11</v>
      </c>
      <c r="B5" t="s">
        <v>142</v>
      </c>
      <c r="C5" t="s">
        <v>541</v>
      </c>
      <c r="D5">
        <v>35004</v>
      </c>
      <c r="E5">
        <v>354</v>
      </c>
      <c r="F5">
        <v>35</v>
      </c>
      <c r="G5">
        <v>25226</v>
      </c>
      <c r="H5">
        <v>5154</v>
      </c>
      <c r="I5">
        <v>8345</v>
      </c>
      <c r="J5">
        <v>2190</v>
      </c>
      <c r="K5">
        <v>41174</v>
      </c>
      <c r="L5" s="3">
        <f t="shared" si="0"/>
        <v>61.266818866274832</v>
      </c>
      <c r="M5" s="3">
        <f t="shared" si="1"/>
        <v>12.517608199349104</v>
      </c>
      <c r="N5" s="3">
        <f t="shared" si="2"/>
        <v>20.267644630106378</v>
      </c>
      <c r="O5" s="3">
        <f t="shared" si="3"/>
        <v>5.3188905620051488</v>
      </c>
      <c r="P5">
        <v>44.4</v>
      </c>
      <c r="Q5">
        <v>25.3</v>
      </c>
      <c r="R5">
        <v>25.6</v>
      </c>
      <c r="S5">
        <v>3.8</v>
      </c>
      <c r="T5">
        <f t="shared" si="4"/>
        <v>1</v>
      </c>
      <c r="U5">
        <f t="shared" si="5"/>
        <v>0</v>
      </c>
      <c r="V5">
        <f t="shared" si="6"/>
        <v>0</v>
      </c>
      <c r="W5">
        <f t="shared" si="7"/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f t="shared" si="16"/>
        <v>0</v>
      </c>
      <c r="AJ5">
        <v>0</v>
      </c>
      <c r="AK5">
        <v>0</v>
      </c>
      <c r="AL5">
        <v>0</v>
      </c>
      <c r="AO5">
        <v>2011</v>
      </c>
      <c r="AP5">
        <v>44.4</v>
      </c>
      <c r="AQ5">
        <v>25.3</v>
      </c>
      <c r="AR5">
        <v>25.6</v>
      </c>
      <c r="AS5">
        <v>3.8</v>
      </c>
      <c r="AT5">
        <f>SUM(AP5:AS5)</f>
        <v>99.100000000000009</v>
      </c>
      <c r="AW5" s="8">
        <f t="shared" si="8"/>
        <v>50.597688608269351</v>
      </c>
      <c r="AX5" s="8">
        <f t="shared" si="9"/>
        <v>30.933138578919486</v>
      </c>
      <c r="AY5" s="8">
        <f t="shared" si="10"/>
        <v>13.466548198616326</v>
      </c>
      <c r="AZ5" s="8">
        <f t="shared" si="11"/>
        <v>4.8021496282460365</v>
      </c>
      <c r="BA5" s="8">
        <f t="shared" si="17"/>
        <v>99.799525014051198</v>
      </c>
      <c r="BD5" s="3">
        <f t="array" ref="BD5">MIN(100,MAX(0,L5-AJ5*5+AQ$16*(AP$27*T5+SUMPRODUCT($X5:$AH5,TRANSPOSE(AP$28:AP$38)))+AR$16*(AP$39*T5+SUMPRODUCT($X5:$AH5,TRANSPOSE(AP$40:AP$50)))+AS$16*(AP$51*T5+SUMPRODUCT($X5:$AH5,TRANSPOSE(AP$52:AP$62)))))</f>
        <v>50.597688608269351</v>
      </c>
      <c r="BE5" s="3">
        <f t="array" ref="BE5">MIN(100,MAX(0,M5-AK5*5+AP$17*(AQ$27*U5+SUMPRODUCT($X5:$AH5,TRANSPOSE(AQ$28:AQ$38)))+AR$17*(AQ$39*U5+SUMPRODUCT($X5:$AH5,TRANSPOSE(AQ$40:AQ$50)))+AS$17*(AQ$51*U5+SUMPRODUCT($X5:$AH5,TRANSPOSE(AQ$52:AQ$62)))))</f>
        <v>30.933138578919486</v>
      </c>
      <c r="BF5" s="3">
        <f t="array" ref="BF5">MIN(100,MAX(0,N5-AL5*5+AP$18*(AR$27*V5+SUMPRODUCT($X5:$AH5,TRANSPOSE(AR$28:AR$38)))+AQ$18*(AR$39*V5+SUMPRODUCT($X5:$AH5,TRANSPOSE(AR$40:AR$50)))+AS$18*(AR$51*V5+SUMPRODUCT($X5:$AH5,TRANSPOSE(AR$52:AR$62)))))</f>
        <v>13.466548198616326</v>
      </c>
      <c r="BG5" s="3">
        <f t="array" ref="BG5">MIN(100,MAX(0,O5+AP$19*(AS$27*W5+SUMPRODUCT($X5:$AH5,TRANSPOSE(AS$28:AS$38)))+AQ$19*(AS$39*W5+SUMPRODUCT($X5:$AH5,TRANSPOSE(AS$40:AS$50)))+AR$19*(AS$51*W5+SUMPRODUCT($X5:$AH5,TRANSPOSE(AS$52:AS$62)))))</f>
        <v>4.8881482068477098</v>
      </c>
      <c r="BJ5">
        <f t="shared" si="18"/>
        <v>1</v>
      </c>
      <c r="BK5">
        <f t="shared" si="19"/>
        <v>0</v>
      </c>
      <c r="BL5">
        <f t="shared" si="20"/>
        <v>0</v>
      </c>
      <c r="BM5">
        <f t="shared" si="21"/>
        <v>0</v>
      </c>
      <c r="BP5">
        <f t="shared" si="12"/>
        <v>1</v>
      </c>
      <c r="BQ5">
        <f t="shared" si="13"/>
        <v>0</v>
      </c>
      <c r="BR5">
        <f t="shared" si="14"/>
        <v>0</v>
      </c>
      <c r="BS5">
        <f t="shared" si="15"/>
        <v>1</v>
      </c>
    </row>
    <row r="6" spans="1:71">
      <c r="A6" t="s">
        <v>11</v>
      </c>
      <c r="B6" t="s">
        <v>143</v>
      </c>
      <c r="C6" t="s">
        <v>542</v>
      </c>
      <c r="D6">
        <v>35005</v>
      </c>
      <c r="E6">
        <v>3511</v>
      </c>
      <c r="F6">
        <v>35</v>
      </c>
      <c r="G6">
        <v>24476</v>
      </c>
      <c r="H6">
        <v>7599</v>
      </c>
      <c r="I6">
        <v>8983</v>
      </c>
      <c r="J6">
        <v>2732</v>
      </c>
      <c r="K6">
        <v>44871</v>
      </c>
      <c r="L6" s="3">
        <f t="shared" si="0"/>
        <v>54.547480555369845</v>
      </c>
      <c r="M6" s="3">
        <f t="shared" si="1"/>
        <v>16.935214280938691</v>
      </c>
      <c r="N6" s="3">
        <f t="shared" si="2"/>
        <v>20.019611775980032</v>
      </c>
      <c r="O6" s="3">
        <f t="shared" si="3"/>
        <v>6.0885649974370972</v>
      </c>
      <c r="P6">
        <v>44.4</v>
      </c>
      <c r="Q6">
        <v>25.3</v>
      </c>
      <c r="R6">
        <v>25.6</v>
      </c>
      <c r="S6">
        <v>3.8</v>
      </c>
      <c r="T6">
        <f t="shared" si="4"/>
        <v>1</v>
      </c>
      <c r="U6">
        <f t="shared" si="5"/>
        <v>0</v>
      </c>
      <c r="V6">
        <f t="shared" si="6"/>
        <v>0</v>
      </c>
      <c r="W6">
        <f t="shared" si="7"/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f t="shared" si="16"/>
        <v>0</v>
      </c>
      <c r="AJ6">
        <v>0</v>
      </c>
      <c r="AK6">
        <v>0</v>
      </c>
      <c r="AL6">
        <v>0</v>
      </c>
      <c r="AO6">
        <v>2015</v>
      </c>
      <c r="AP6">
        <f>projections!C6</f>
        <v>34.242686606575774</v>
      </c>
      <c r="AQ6">
        <f>projections!D6</f>
        <v>43.246223165186969</v>
      </c>
      <c r="AR6">
        <f>projections!E6</f>
        <v>18.719596598704921</v>
      </c>
      <c r="AS6">
        <f>projections!F6</f>
        <v>3.3929417202617134</v>
      </c>
      <c r="AT6">
        <f>SUM(AP6:AS6)</f>
        <v>99.601448090729377</v>
      </c>
      <c r="AW6" s="8">
        <f t="shared" si="8"/>
        <v>43.878350297364364</v>
      </c>
      <c r="AX6" s="8">
        <f t="shared" si="9"/>
        <v>35.350744660509072</v>
      </c>
      <c r="AY6" s="8">
        <f t="shared" si="10"/>
        <v>13.21851534448998</v>
      </c>
      <c r="AZ6" s="8">
        <f t="shared" si="11"/>
        <v>5.5275553235226855</v>
      </c>
      <c r="BA6" s="8">
        <f t="shared" si="17"/>
        <v>97.975165625886106</v>
      </c>
      <c r="BD6" s="3">
        <f t="array" ref="BD6">MIN(100,MAX(0,L6-AJ6*5+AQ$16*(AP$27*T6+SUMPRODUCT($X6:$AH6,TRANSPOSE(AP$28:AP$38)))+AR$16*(AP$39*T6+SUMPRODUCT($X6:$AH6,TRANSPOSE(AP$40:AP$50)))+AS$16*(AP$51*T6+SUMPRODUCT($X6:$AH6,TRANSPOSE(AP$52:AP$62)))))</f>
        <v>43.878350297364364</v>
      </c>
      <c r="BE6" s="3">
        <f t="array" ref="BE6">MIN(100,MAX(0,M6-AK6*5+AP$17*(AQ$27*U6+SUMPRODUCT($X6:$AH6,TRANSPOSE(AQ$28:AQ$38)))+AR$17*(AQ$39*U6+SUMPRODUCT($X6:$AH6,TRANSPOSE(AQ$40:AQ$50)))+AS$17*(AQ$51*U6+SUMPRODUCT($X6:$AH6,TRANSPOSE(AQ$52:AQ$62)))))</f>
        <v>35.350744660509072</v>
      </c>
      <c r="BF6" s="3">
        <f t="array" ref="BF6">MIN(100,MAX(0,N6-AL6*5+AP$18*(AR$27*V6+SUMPRODUCT($X6:$AH6,TRANSPOSE(AR$28:AR$38)))+AQ$18*(AR$39*V6+SUMPRODUCT($X6:$AH6,TRANSPOSE(AR$40:AR$50)))+AS$18*(AR$51*V6+SUMPRODUCT($X6:$AH6,TRANSPOSE(AR$52:AR$62)))))</f>
        <v>13.21851534448998</v>
      </c>
      <c r="BG6" s="3">
        <f t="array" ref="BG6">MIN(100,MAX(0,O6+AP$19*(AS$27*W6+SUMPRODUCT($X6:$AH6,TRANSPOSE(AS$28:AS$38)))+AQ$19*(AS$39*W6+SUMPRODUCT($X6:$AH6,TRANSPOSE(AS$40:AS$50)))+AR$19*(AS$51*W6+SUMPRODUCT($X6:$AH6,TRANSPOSE(AS$52:AS$62)))))</f>
        <v>5.6578226422796583</v>
      </c>
      <c r="BJ6">
        <f t="shared" si="18"/>
        <v>1</v>
      </c>
      <c r="BK6">
        <f t="shared" si="19"/>
        <v>0</v>
      </c>
      <c r="BL6">
        <f t="shared" si="20"/>
        <v>0</v>
      </c>
      <c r="BM6">
        <f t="shared" si="21"/>
        <v>0</v>
      </c>
      <c r="BP6">
        <f t="shared" si="12"/>
        <v>1</v>
      </c>
      <c r="BQ6">
        <f t="shared" si="13"/>
        <v>0</v>
      </c>
      <c r="BR6">
        <f t="shared" si="14"/>
        <v>0</v>
      </c>
      <c r="BS6">
        <f t="shared" si="15"/>
        <v>1</v>
      </c>
    </row>
    <row r="7" spans="1:71">
      <c r="A7" t="s">
        <v>11</v>
      </c>
      <c r="B7" t="s">
        <v>144</v>
      </c>
      <c r="C7" t="s">
        <v>144</v>
      </c>
      <c r="D7">
        <v>35006</v>
      </c>
      <c r="E7">
        <v>3510</v>
      </c>
      <c r="F7">
        <v>35</v>
      </c>
      <c r="G7">
        <v>25906</v>
      </c>
      <c r="H7">
        <v>10441</v>
      </c>
      <c r="I7">
        <v>11508</v>
      </c>
      <c r="J7">
        <v>1886</v>
      </c>
      <c r="K7">
        <v>50006</v>
      </c>
      <c r="L7" s="3">
        <f t="shared" si="0"/>
        <v>51.805783306003285</v>
      </c>
      <c r="M7" s="3">
        <f t="shared" si="1"/>
        <v>20.87949446066472</v>
      </c>
      <c r="N7" s="3">
        <f t="shared" si="2"/>
        <v>23.013238411390631</v>
      </c>
      <c r="O7" s="3">
        <f t="shared" si="3"/>
        <v>3.7715474143102825</v>
      </c>
      <c r="P7">
        <v>44.4</v>
      </c>
      <c r="Q7">
        <v>25.3</v>
      </c>
      <c r="R7">
        <v>25.6</v>
      </c>
      <c r="S7">
        <v>3.8</v>
      </c>
      <c r="T7">
        <f t="shared" si="4"/>
        <v>1</v>
      </c>
      <c r="U7">
        <f t="shared" si="5"/>
        <v>0</v>
      </c>
      <c r="V7">
        <f t="shared" si="6"/>
        <v>0</v>
      </c>
      <c r="W7">
        <f t="shared" si="7"/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f t="shared" si="16"/>
        <v>0</v>
      </c>
      <c r="AJ7">
        <v>0</v>
      </c>
      <c r="AK7">
        <v>0</v>
      </c>
      <c r="AL7">
        <v>0</v>
      </c>
      <c r="AO7" t="s">
        <v>415</v>
      </c>
      <c r="AP7">
        <f>AP6-AP5</f>
        <v>-10.157313393424225</v>
      </c>
      <c r="AQ7">
        <f>AQ6-AQ5</f>
        <v>17.946223165186968</v>
      </c>
      <c r="AR7">
        <f>AR6-AR5</f>
        <v>-6.8804034012950801</v>
      </c>
      <c r="AS7">
        <f>AS6-AS5</f>
        <v>-0.40705827973828645</v>
      </c>
      <c r="AW7" s="8">
        <f t="shared" si="8"/>
        <v>42.999027946353657</v>
      </c>
      <c r="AX7" s="8">
        <f t="shared" si="9"/>
        <v>36.336825085166957</v>
      </c>
      <c r="AY7" s="8">
        <f t="shared" si="10"/>
        <v>17.177424390863401</v>
      </c>
      <c r="AZ7" s="8">
        <f t="shared" si="11"/>
        <v>3.3886903571826421</v>
      </c>
      <c r="BA7" s="8">
        <f t="shared" si="17"/>
        <v>99.901967779566661</v>
      </c>
      <c r="BD7" s="3">
        <f t="array" ref="BD7">MIN(100,MAX(0,L7-AJ7*5+AQ$16*(AP$27*T7+SUMPRODUCT($X7:$AH7,TRANSPOSE(AP$28:AP$38)))+AR$16*(AP$39*T7+SUMPRODUCT($X7:$AH7,TRANSPOSE(AP$40:AP$50)))+AS$16*(AP$51*T7+SUMPRODUCT($X7:$AH7,TRANSPOSE(AP$52:AP$62)))))</f>
        <v>42.999027946353657</v>
      </c>
      <c r="BE7" s="3">
        <f t="array" ref="BE7">MIN(100,MAX(0,M7-AK7*5+AP$17*(AQ$27*U7+SUMPRODUCT($X7:$AH7,TRANSPOSE(AQ$28:AQ$38)))+AR$17*(AQ$39*U7+SUMPRODUCT($X7:$AH7,TRANSPOSE(AQ$40:AQ$50)))+AS$17*(AQ$51*U7+SUMPRODUCT($X7:$AH7,TRANSPOSE(AQ$52:AQ$62)))))</f>
        <v>36.336825085166957</v>
      </c>
      <c r="BF7" s="3">
        <f t="array" ref="BF7">MIN(100,MAX(0,N7-AL7*5+AP$18*(AR$27*V7+SUMPRODUCT($X7:$AH7,TRANSPOSE(AR$28:AR$38)))+AQ$18*(AR$39*V7+SUMPRODUCT($X7:$AH7,TRANSPOSE(AR$40:AR$50)))+AS$18*(AR$51*V7+SUMPRODUCT($X7:$AH7,TRANSPOSE(AR$52:AR$62)))))</f>
        <v>17.177424390863401</v>
      </c>
      <c r="BG7" s="3">
        <f t="array" ref="BG7">MIN(100,MAX(0,O7+AP$19*(AS$27*W7+SUMPRODUCT($X7:$AH7,TRANSPOSE(AS$28:AS$38)))+AQ$19*(AS$39*W7+SUMPRODUCT($X7:$AH7,TRANSPOSE(AS$40:AS$50)))+AR$19*(AS$51*W7+SUMPRODUCT($X7:$AH7,TRANSPOSE(AS$52:AS$62)))))</f>
        <v>3.3886903571826421</v>
      </c>
      <c r="BJ7">
        <f t="shared" si="18"/>
        <v>1</v>
      </c>
      <c r="BK7">
        <f t="shared" si="19"/>
        <v>0</v>
      </c>
      <c r="BL7">
        <f t="shared" si="20"/>
        <v>0</v>
      </c>
      <c r="BM7">
        <f t="shared" si="21"/>
        <v>0</v>
      </c>
      <c r="BP7">
        <f t="shared" si="12"/>
        <v>1</v>
      </c>
      <c r="BQ7">
        <f t="shared" si="13"/>
        <v>0</v>
      </c>
      <c r="BR7">
        <f t="shared" si="14"/>
        <v>0</v>
      </c>
      <c r="BS7">
        <f t="shared" si="15"/>
        <v>0</v>
      </c>
    </row>
    <row r="8" spans="1:71">
      <c r="A8" t="s">
        <v>11</v>
      </c>
      <c r="B8" t="s">
        <v>145</v>
      </c>
      <c r="C8" t="s">
        <v>543</v>
      </c>
      <c r="D8">
        <v>35007</v>
      </c>
      <c r="E8">
        <v>3510</v>
      </c>
      <c r="F8">
        <v>35</v>
      </c>
      <c r="G8">
        <v>11067</v>
      </c>
      <c r="H8">
        <v>14967</v>
      </c>
      <c r="I8">
        <v>20265</v>
      </c>
      <c r="J8">
        <v>2240</v>
      </c>
      <c r="K8">
        <v>48669</v>
      </c>
      <c r="L8" s="3">
        <f t="shared" si="0"/>
        <v>22.739320717499844</v>
      </c>
      <c r="M8" s="3">
        <f t="shared" si="1"/>
        <v>30.75263514762991</v>
      </c>
      <c r="N8" s="3">
        <f t="shared" si="2"/>
        <v>41.638414596560445</v>
      </c>
      <c r="O8" s="3">
        <f t="shared" si="3"/>
        <v>4.6025190573054715</v>
      </c>
      <c r="P8">
        <v>44.4</v>
      </c>
      <c r="Q8">
        <v>25.3</v>
      </c>
      <c r="R8">
        <v>25.6</v>
      </c>
      <c r="S8">
        <v>3.8</v>
      </c>
      <c r="T8">
        <f t="shared" si="4"/>
        <v>0</v>
      </c>
      <c r="U8">
        <f t="shared" si="5"/>
        <v>0</v>
      </c>
      <c r="V8">
        <f t="shared" si="6"/>
        <v>1</v>
      </c>
      <c r="W8">
        <f t="shared" si="7"/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f t="shared" si="16"/>
        <v>1</v>
      </c>
      <c r="AJ8">
        <v>0</v>
      </c>
      <c r="AK8">
        <v>0</v>
      </c>
      <c r="AL8">
        <v>0</v>
      </c>
      <c r="AO8" t="s">
        <v>470</v>
      </c>
      <c r="AP8">
        <f>IF(AP7&gt;0,AP7,0)</f>
        <v>0</v>
      </c>
      <c r="AQ8">
        <f>IF(AQ7&gt;0,AQ7,0)</f>
        <v>17.946223165186968</v>
      </c>
      <c r="AR8">
        <f>IF(AR7&gt;0,AR7,0)</f>
        <v>0</v>
      </c>
      <c r="AS8">
        <f>IF(AS7&gt;0,AS7,0)</f>
        <v>0</v>
      </c>
      <c r="AT8">
        <f>SUM(AP8:AS8)</f>
        <v>17.946223165186968</v>
      </c>
      <c r="AW8" s="8">
        <f t="shared" si="8"/>
        <v>11.584884182869949</v>
      </c>
      <c r="AX8" s="8">
        <f t="shared" si="9"/>
        <v>51.624706729155008</v>
      </c>
      <c r="AY8" s="8">
        <f t="shared" si="10"/>
        <v>31.174358588023544</v>
      </c>
      <c r="AZ8" s="8">
        <f t="shared" si="11"/>
        <v>4.100389054598347</v>
      </c>
      <c r="BA8" s="8">
        <f t="shared" si="17"/>
        <v>98.484338554646854</v>
      </c>
      <c r="BD8" s="3">
        <f t="array" ref="BD8">MIN(100,MAX(0,L8-AJ8*5+AQ$16*(AP$27*T8+SUMPRODUCT($X8:$AH8,TRANSPOSE(AP$28:AP$38)))+AR$16*(AP$39*T8+SUMPRODUCT($X8:$AH8,TRANSPOSE(AP$40:AP$50)))+AS$16*(AP$51*T8+SUMPRODUCT($X8:$AH8,TRANSPOSE(AP$52:AP$62)))))</f>
        <v>11.584884182869949</v>
      </c>
      <c r="BE8" s="3">
        <f t="array" ref="BE8">MIN(100,MAX(0,M8-AK8*5+AP$17*(AQ$27*U8+SUMPRODUCT($X8:$AH8,TRANSPOSE(AQ$28:AQ$38)))+AR$17*(AQ$39*U8+SUMPRODUCT($X8:$AH8,TRANSPOSE(AQ$40:AQ$50)))+AS$17*(AQ$51*U8+SUMPRODUCT($X8:$AH8,TRANSPOSE(AQ$52:AQ$62)))))</f>
        <v>51.624706729155008</v>
      </c>
      <c r="BF8" s="3">
        <f t="array" ref="BF8">MIN(100,MAX(0,N8-AL8*5+AP$18*(AR$27*V8+SUMPRODUCT($X8:$AH8,TRANSPOSE(AR$28:AR$38)))+AQ$18*(AR$39*V8+SUMPRODUCT($X8:$AH8,TRANSPOSE(AR$40:AR$50)))+AS$18*(AR$51*V8+SUMPRODUCT($X8:$AH8,TRANSPOSE(AR$52:AR$62)))))</f>
        <v>31.174358588023544</v>
      </c>
      <c r="BG8" s="3">
        <f t="array" ref="BG8">MIN(100,MAX(0,O8+AP$19*(AS$27*W8+SUMPRODUCT($X8:$AH8,TRANSPOSE(AS$28:AS$38)))+AQ$19*(AS$39*W8+SUMPRODUCT($X8:$AH8,TRANSPOSE(AS$40:AS$50)))+AR$19*(AS$51*W8+SUMPRODUCT($X8:$AH8,TRANSPOSE(AS$52:AS$62)))))</f>
        <v>4.1435618645462533</v>
      </c>
      <c r="BJ8">
        <f t="shared" si="18"/>
        <v>0</v>
      </c>
      <c r="BK8">
        <f t="shared" si="19"/>
        <v>1</v>
      </c>
      <c r="BL8">
        <f t="shared" si="20"/>
        <v>0</v>
      </c>
      <c r="BM8">
        <f t="shared" si="21"/>
        <v>0</v>
      </c>
      <c r="BP8">
        <f t="shared" si="12"/>
        <v>0</v>
      </c>
      <c r="BQ8">
        <f t="shared" si="13"/>
        <v>1</v>
      </c>
      <c r="BR8">
        <f t="shared" si="14"/>
        <v>1</v>
      </c>
      <c r="BS8">
        <f t="shared" si="15"/>
        <v>1</v>
      </c>
    </row>
    <row r="9" spans="1:71">
      <c r="A9" t="s">
        <v>11</v>
      </c>
      <c r="B9" t="s">
        <v>146</v>
      </c>
      <c r="C9" t="s">
        <v>146</v>
      </c>
      <c r="D9">
        <v>35008</v>
      </c>
      <c r="E9">
        <v>3510</v>
      </c>
      <c r="F9">
        <v>35</v>
      </c>
      <c r="G9">
        <v>16148</v>
      </c>
      <c r="H9">
        <v>8822</v>
      </c>
      <c r="I9">
        <v>8074</v>
      </c>
      <c r="J9">
        <v>1548</v>
      </c>
      <c r="K9">
        <v>34796</v>
      </c>
      <c r="L9" s="3">
        <f t="shared" si="0"/>
        <v>46.407633061271412</v>
      </c>
      <c r="M9" s="3">
        <f t="shared" si="1"/>
        <v>25.353488906770892</v>
      </c>
      <c r="N9" s="3">
        <f t="shared" si="2"/>
        <v>23.203816530635706</v>
      </c>
      <c r="O9" s="3">
        <f t="shared" si="3"/>
        <v>4.4487872169214855</v>
      </c>
      <c r="P9">
        <v>44.4</v>
      </c>
      <c r="Q9">
        <v>25.3</v>
      </c>
      <c r="R9">
        <v>25.6</v>
      </c>
      <c r="S9">
        <v>3.8</v>
      </c>
      <c r="T9">
        <f t="shared" si="4"/>
        <v>1</v>
      </c>
      <c r="U9">
        <f t="shared" si="5"/>
        <v>0</v>
      </c>
      <c r="V9">
        <f t="shared" si="6"/>
        <v>0</v>
      </c>
      <c r="W9">
        <f t="shared" si="7"/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f t="shared" si="16"/>
        <v>1</v>
      </c>
      <c r="AJ9">
        <v>0</v>
      </c>
      <c r="AK9">
        <v>0</v>
      </c>
      <c r="AL9">
        <v>0</v>
      </c>
      <c r="AO9" t="s">
        <v>472</v>
      </c>
      <c r="AP9">
        <f>IF(AP7&lt;0,AP7,0)</f>
        <v>-10.157313393424225</v>
      </c>
      <c r="AQ9">
        <f>IF(AQ7&lt;0,AQ7,0)</f>
        <v>0</v>
      </c>
      <c r="AR9">
        <f>IF(AR7&lt;0,AR7,0)</f>
        <v>-6.8804034012950801</v>
      </c>
      <c r="AS9">
        <f>IF(AS7&lt;0,AS7,0)</f>
        <v>-0.40705827973828645</v>
      </c>
      <c r="AT9" s="3">
        <f>SUM(AP9:AS9)</f>
        <v>-17.444775074457592</v>
      </c>
      <c r="AW9" s="8">
        <f t="shared" si="8"/>
        <v>35.506657046404328</v>
      </c>
      <c r="AX9" s="8">
        <f t="shared" si="9"/>
        <v>43.577460079528237</v>
      </c>
      <c r="AY9" s="8">
        <f t="shared" si="10"/>
        <v>16.784643035467461</v>
      </c>
      <c r="AZ9" s="8">
        <f t="shared" si="11"/>
        <v>4.016142814537444</v>
      </c>
      <c r="BA9" s="8">
        <f t="shared" si="17"/>
        <v>99.884902975937464</v>
      </c>
      <c r="BD9" s="3">
        <f t="array" ref="BD9">MIN(100,MAX(0,L9-AJ9*5+AQ$16*(AP$27*T9+SUMPRODUCT($X9:$AH9,TRANSPOSE(AP$28:AP$38)))+AR$16*(AP$39*T9+SUMPRODUCT($X9:$AH9,TRANSPOSE(AP$40:AP$50)))+AS$16*(AP$51*T9+SUMPRODUCT($X9:$AH9,TRANSPOSE(AP$52:AP$62)))))</f>
        <v>35.506657046404328</v>
      </c>
      <c r="BE9" s="3">
        <f t="array" ref="BE9">MIN(100,MAX(0,M9-AK9*5+AP$17*(AQ$27*U9+SUMPRODUCT($X9:$AH9,TRANSPOSE(AQ$28:AQ$38)))+AR$17*(AQ$39*U9+SUMPRODUCT($X9:$AH9,TRANSPOSE(AQ$40:AQ$50)))+AS$17*(AQ$51*U9+SUMPRODUCT($X9:$AH9,TRANSPOSE(AQ$52:AQ$62)))))</f>
        <v>43.577460079528237</v>
      </c>
      <c r="BF9" s="3">
        <f t="array" ref="BF9">MIN(100,MAX(0,N9-AL9*5+AP$18*(AR$27*V9+SUMPRODUCT($X9:$AH9,TRANSPOSE(AR$28:AR$38)))+AQ$18*(AR$39*V9+SUMPRODUCT($X9:$AH9,TRANSPOSE(AR$40:AR$50)))+AS$18*(AR$51*V9+SUMPRODUCT($X9:$AH9,TRANSPOSE(AR$52:AR$62)))))</f>
        <v>16.784643035467461</v>
      </c>
      <c r="BG9" s="3">
        <f t="array" ref="BG9">MIN(100,MAX(0,O9+AP$19*(AS$27*W9+SUMPRODUCT($X9:$AH9,TRANSPOSE(AS$28:AS$38)))+AQ$19*(AS$39*W9+SUMPRODUCT($X9:$AH9,TRANSPOSE(AS$40:AS$50)))+AR$19*(AS$51*W9+SUMPRODUCT($X9:$AH9,TRANSPOSE(AS$52:AS$62)))))</f>
        <v>4.0541743980866594</v>
      </c>
      <c r="BJ9">
        <f t="shared" si="18"/>
        <v>0</v>
      </c>
      <c r="BK9">
        <f t="shared" si="19"/>
        <v>1</v>
      </c>
      <c r="BL9">
        <f t="shared" si="20"/>
        <v>0</v>
      </c>
      <c r="BM9">
        <f t="shared" si="21"/>
        <v>0</v>
      </c>
      <c r="BP9">
        <f t="shared" si="12"/>
        <v>1</v>
      </c>
      <c r="BQ9">
        <f t="shared" si="13"/>
        <v>1</v>
      </c>
      <c r="BR9">
        <f t="shared" si="14"/>
        <v>0</v>
      </c>
      <c r="BS9">
        <f t="shared" si="15"/>
        <v>1</v>
      </c>
    </row>
    <row r="10" spans="1:71">
      <c r="A10" t="s">
        <v>11</v>
      </c>
      <c r="B10" t="s">
        <v>147</v>
      </c>
      <c r="C10" t="s">
        <v>147</v>
      </c>
      <c r="D10">
        <v>35009</v>
      </c>
      <c r="E10">
        <v>358</v>
      </c>
      <c r="F10">
        <v>35</v>
      </c>
      <c r="G10">
        <v>8439</v>
      </c>
      <c r="H10">
        <v>8774</v>
      </c>
      <c r="I10">
        <v>10775</v>
      </c>
      <c r="J10">
        <v>487</v>
      </c>
      <c r="K10">
        <v>28622</v>
      </c>
      <c r="L10" s="3">
        <f t="shared" si="0"/>
        <v>29.484312766403463</v>
      </c>
      <c r="M10" s="3">
        <f t="shared" si="1"/>
        <v>30.654741108238419</v>
      </c>
      <c r="N10" s="3">
        <f t="shared" si="2"/>
        <v>37.645866815736149</v>
      </c>
      <c r="O10" s="3">
        <f t="shared" si="3"/>
        <v>1.7014883655929007</v>
      </c>
      <c r="P10">
        <v>44.4</v>
      </c>
      <c r="Q10">
        <v>25.3</v>
      </c>
      <c r="R10">
        <v>25.6</v>
      </c>
      <c r="S10">
        <v>3.8</v>
      </c>
      <c r="T10">
        <f t="shared" si="4"/>
        <v>0</v>
      </c>
      <c r="U10">
        <f t="shared" si="5"/>
        <v>0</v>
      </c>
      <c r="V10">
        <f t="shared" si="6"/>
        <v>1</v>
      </c>
      <c r="W10">
        <f t="shared" si="7"/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f t="shared" si="16"/>
        <v>1</v>
      </c>
      <c r="AJ10">
        <v>0</v>
      </c>
      <c r="AK10">
        <v>0</v>
      </c>
      <c r="AL10">
        <v>0</v>
      </c>
      <c r="AO10" t="s">
        <v>417</v>
      </c>
      <c r="AP10">
        <f>0.9*31</f>
        <v>27.900000000000002</v>
      </c>
      <c r="AQ10">
        <f>25*0.9</f>
        <v>22.5</v>
      </c>
      <c r="AR10">
        <f>0.9*18</f>
        <v>16.2</v>
      </c>
      <c r="AS10">
        <f>0.9*4</f>
        <v>3.6</v>
      </c>
      <c r="AW10" s="8">
        <f t="shared" si="8"/>
        <v>25.583336751536379</v>
      </c>
      <c r="AX10" s="8">
        <f t="shared" si="9"/>
        <v>48.878712280995764</v>
      </c>
      <c r="AY10" s="8">
        <f t="shared" si="10"/>
        <v>23.438113879312063</v>
      </c>
      <c r="AZ10" s="8">
        <f t="shared" si="11"/>
        <v>1.3068755467580746</v>
      </c>
      <c r="BA10" s="8">
        <f t="shared" si="17"/>
        <v>99.207038458602284</v>
      </c>
      <c r="BD10" s="43">
        <f t="array" ref="BD10">MIN(100,MAX(0,L10+7-AJ10*5+AQ$16*(AP$27*T10+SUMPRODUCT($X10:$AH10,TRANSPOSE(AP$28:AP$38)))+AR$16*(AP$39*T10+SUMPRODUCT($X10:$AH10,TRANSPOSE(AP$40:AP$50)))+AS$16*(AP$51*T10+SUMPRODUCT($X10:$AH10,TRANSPOSE(AP$52:AP$62)))))</f>
        <v>25.583336751536379</v>
      </c>
      <c r="BE10" s="3">
        <f t="array" ref="BE10">MIN(100,MAX(0,M10-AK10*5+AP$17*(AQ$27*U10+SUMPRODUCT($X10:$AH10,TRANSPOSE(AQ$28:AQ$38)))+AR$17*(AQ$39*U10+SUMPRODUCT($X10:$AH10,TRANSPOSE(AQ$40:AQ$50)))+AS$17*(AQ$51*U10+SUMPRODUCT($X10:$AH10,TRANSPOSE(AQ$52:AQ$62)))))</f>
        <v>48.878712280995764</v>
      </c>
      <c r="BF10" s="43">
        <f t="array" ref="BF10">MIN(100,MAX(0,N10-6-AL10*5+AP$18*(AR$27*V10+SUMPRODUCT($X10:$AH10,TRANSPOSE(AR$28:AR$38)))+AQ$18*(AR$39*V10+SUMPRODUCT($X10:$AH10,TRANSPOSE(AR$40:AR$50)))+AS$18*(AR$51*V10+SUMPRODUCT($X10:$AH10,TRANSPOSE(AR$52:AR$62)))))</f>
        <v>23.438113879312063</v>
      </c>
      <c r="BG10" s="3">
        <f t="array" ref="BG10">MIN(100,MAX(0,O10+AP$19*(AS$27*W10+SUMPRODUCT($X10:$AH10,TRANSPOSE(AS$28:AS$38)))+AQ$19*(AS$39*W10+SUMPRODUCT($X10:$AH10,TRANSPOSE(AS$40:AS$50)))+AR$19*(AS$51*W10+SUMPRODUCT($X10:$AH10,TRANSPOSE(AS$52:AS$62)))))</f>
        <v>1.3068755467580746</v>
      </c>
      <c r="BJ10">
        <f t="shared" si="18"/>
        <v>0</v>
      </c>
      <c r="BK10">
        <f t="shared" si="19"/>
        <v>1</v>
      </c>
      <c r="BL10">
        <f t="shared" si="20"/>
        <v>0</v>
      </c>
      <c r="BM10">
        <f t="shared" si="21"/>
        <v>0</v>
      </c>
      <c r="BP10">
        <f t="shared" si="12"/>
        <v>0</v>
      </c>
      <c r="BQ10">
        <f t="shared" si="13"/>
        <v>1</v>
      </c>
      <c r="BR10">
        <f t="shared" si="14"/>
        <v>1</v>
      </c>
      <c r="BS10">
        <f t="shared" si="15"/>
        <v>0</v>
      </c>
    </row>
    <row r="11" spans="1:71">
      <c r="A11" t="s">
        <v>11</v>
      </c>
      <c r="B11" t="s">
        <v>148</v>
      </c>
      <c r="C11" t="s">
        <v>148</v>
      </c>
      <c r="D11">
        <v>35010</v>
      </c>
      <c r="E11">
        <v>357</v>
      </c>
      <c r="F11">
        <v>35</v>
      </c>
      <c r="G11">
        <v>19454</v>
      </c>
      <c r="H11">
        <v>11208</v>
      </c>
      <c r="I11">
        <v>7498</v>
      </c>
      <c r="J11">
        <v>1466</v>
      </c>
      <c r="K11">
        <v>39810</v>
      </c>
      <c r="L11" s="3">
        <f t="shared" si="0"/>
        <v>48.867118814368247</v>
      </c>
      <c r="M11" s="3">
        <f t="shared" si="1"/>
        <v>28.153730218538055</v>
      </c>
      <c r="N11" s="3">
        <f t="shared" si="2"/>
        <v>18.834463702587289</v>
      </c>
      <c r="O11" s="3">
        <f t="shared" si="3"/>
        <v>3.6824918362220549</v>
      </c>
      <c r="P11">
        <v>44.4</v>
      </c>
      <c r="Q11">
        <v>25.3</v>
      </c>
      <c r="R11">
        <v>25.6</v>
      </c>
      <c r="S11">
        <v>3.8</v>
      </c>
      <c r="T11">
        <f t="shared" si="4"/>
        <v>1</v>
      </c>
      <c r="U11">
        <f t="shared" si="5"/>
        <v>0</v>
      </c>
      <c r="V11">
        <f t="shared" si="6"/>
        <v>0</v>
      </c>
      <c r="W11">
        <f t="shared" si="7"/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f t="shared" si="16"/>
        <v>1</v>
      </c>
      <c r="AJ11">
        <v>0</v>
      </c>
      <c r="AK11">
        <v>0</v>
      </c>
      <c r="AL11">
        <v>0</v>
      </c>
      <c r="AO11" t="s">
        <v>419</v>
      </c>
      <c r="AP11">
        <f>IF(AP6&lt;AP10,1,0)</f>
        <v>0</v>
      </c>
      <c r="AQ11">
        <f>IF(AQ6&lt;AQ10,1,0)</f>
        <v>0</v>
      </c>
      <c r="AR11">
        <f>IF(AR6&lt;AR10,1,0)</f>
        <v>0</v>
      </c>
      <c r="AS11">
        <f>IF(AS6&lt;AS10,1,0)</f>
        <v>1</v>
      </c>
      <c r="AW11" s="8">
        <f t="shared" si="8"/>
        <v>37.966142799501164</v>
      </c>
      <c r="AX11" s="8">
        <f t="shared" si="9"/>
        <v>46.377701391295396</v>
      </c>
      <c r="AY11" s="8">
        <f t="shared" si="10"/>
        <v>12.415290207419044</v>
      </c>
      <c r="AZ11" s="8">
        <f t="shared" si="11"/>
        <v>3.2878790173872288</v>
      </c>
      <c r="BA11" s="8">
        <f t="shared" si="17"/>
        <v>100.04701341560283</v>
      </c>
      <c r="BD11" s="3">
        <f t="array" ref="BD11">MIN(100,MAX(0,L11-AJ11*5+AQ$16*(AP$27*T11+SUMPRODUCT($X11:$AH11,TRANSPOSE(AP$28:AP$38)))+AR$16*(AP$39*T11+SUMPRODUCT($X11:$AH11,TRANSPOSE(AP$40:AP$50)))+AS$16*(AP$51*T11+SUMPRODUCT($X11:$AH11,TRANSPOSE(AP$52:AP$62)))))</f>
        <v>37.966142799501164</v>
      </c>
      <c r="BE11" s="3">
        <f t="array" ref="BE11">MIN(100,MAX(0,M11-AK11*5+AP$17*(AQ$27*U11+SUMPRODUCT($X11:$AH11,TRANSPOSE(AQ$28:AQ$38)))+AR$17*(AQ$39*U11+SUMPRODUCT($X11:$AH11,TRANSPOSE(AQ$40:AQ$50)))+AS$17*(AQ$51*U11+SUMPRODUCT($X11:$AH11,TRANSPOSE(AQ$52:AQ$62)))))</f>
        <v>46.377701391295396</v>
      </c>
      <c r="BF11" s="3">
        <f t="array" ref="BF11">MIN(100,MAX(0,N11-AL11*5+AP$18*(AR$27*V11+SUMPRODUCT($X11:$AH11,TRANSPOSE(AR$28:AR$38)))+AQ$18*(AR$39*V11+SUMPRODUCT($X11:$AH11,TRANSPOSE(AR$40:AR$50)))+AS$18*(AR$51*V11+SUMPRODUCT($X11:$AH11,TRANSPOSE(AR$52:AR$62)))))</f>
        <v>12.415290207419044</v>
      </c>
      <c r="BG11" s="3">
        <f t="array" ref="BG11">MIN(100,MAX(0,O11+AP$19*(AS$27*W11+SUMPRODUCT($X11:$AH11,TRANSPOSE(AS$28:AS$38)))+AQ$19*(AS$39*W11+SUMPRODUCT($X11:$AH11,TRANSPOSE(AS$40:AS$50)))+AR$19*(AS$51*W11+SUMPRODUCT($X11:$AH11,TRANSPOSE(AS$52:AS$62)))))</f>
        <v>3.2878790173872288</v>
      </c>
      <c r="BJ11">
        <f t="shared" si="18"/>
        <v>0</v>
      </c>
      <c r="BK11">
        <f t="shared" si="19"/>
        <v>1</v>
      </c>
      <c r="BL11">
        <f t="shared" si="20"/>
        <v>0</v>
      </c>
      <c r="BM11">
        <f t="shared" si="21"/>
        <v>0</v>
      </c>
      <c r="BP11">
        <f t="shared" si="12"/>
        <v>1</v>
      </c>
      <c r="BQ11">
        <f t="shared" si="13"/>
        <v>1</v>
      </c>
      <c r="BR11">
        <f t="shared" si="14"/>
        <v>0</v>
      </c>
      <c r="BS11">
        <f t="shared" si="15"/>
        <v>0</v>
      </c>
    </row>
    <row r="12" spans="1:71">
      <c r="A12" t="s">
        <v>11</v>
      </c>
      <c r="B12" t="s">
        <v>149</v>
      </c>
      <c r="C12" t="s">
        <v>149</v>
      </c>
      <c r="D12">
        <v>35011</v>
      </c>
      <c r="E12">
        <v>357</v>
      </c>
      <c r="F12">
        <v>35</v>
      </c>
      <c r="G12">
        <v>16145</v>
      </c>
      <c r="H12">
        <v>12584</v>
      </c>
      <c r="I12">
        <v>5838</v>
      </c>
      <c r="J12">
        <v>805</v>
      </c>
      <c r="K12">
        <v>35558</v>
      </c>
      <c r="L12" s="3">
        <f t="shared" si="0"/>
        <v>45.404690927498734</v>
      </c>
      <c r="M12" s="3">
        <f t="shared" si="1"/>
        <v>35.390066932898364</v>
      </c>
      <c r="N12" s="3">
        <f t="shared" si="2"/>
        <v>16.418246245570618</v>
      </c>
      <c r="O12" s="3">
        <f t="shared" si="3"/>
        <v>2.2639068564036222</v>
      </c>
      <c r="P12">
        <v>44.4</v>
      </c>
      <c r="Q12">
        <v>25.3</v>
      </c>
      <c r="R12">
        <v>25.6</v>
      </c>
      <c r="S12">
        <v>3.8</v>
      </c>
      <c r="T12">
        <f t="shared" si="4"/>
        <v>1</v>
      </c>
      <c r="U12">
        <f t="shared" si="5"/>
        <v>0</v>
      </c>
      <c r="V12">
        <f t="shared" si="6"/>
        <v>0</v>
      </c>
      <c r="W12">
        <f t="shared" si="7"/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f t="shared" si="16"/>
        <v>1</v>
      </c>
      <c r="AJ12">
        <v>0</v>
      </c>
      <c r="AK12">
        <v>0</v>
      </c>
      <c r="AL12">
        <v>0</v>
      </c>
      <c r="AO12" t="s">
        <v>544</v>
      </c>
      <c r="AP12">
        <f>45*1.1</f>
        <v>49.500000000000007</v>
      </c>
      <c r="AQ12">
        <f>45*1.1</f>
        <v>49.500000000000007</v>
      </c>
      <c r="AR12">
        <f>1.1*26</f>
        <v>28.6</v>
      </c>
      <c r="AS12">
        <f>1.1*8</f>
        <v>8.8000000000000007</v>
      </c>
      <c r="AW12" s="8">
        <f t="shared" si="8"/>
        <v>34.503714912631651</v>
      </c>
      <c r="AX12" s="8">
        <f t="shared" si="9"/>
        <v>53.614038105655709</v>
      </c>
      <c r="AY12" s="8">
        <f t="shared" si="10"/>
        <v>9.9990727504023731</v>
      </c>
      <c r="AZ12" s="8">
        <f t="shared" si="11"/>
        <v>1.8692940375687961</v>
      </c>
      <c r="BA12" s="8">
        <f t="shared" si="17"/>
        <v>99.986119806258529</v>
      </c>
      <c r="BD12" s="3">
        <f t="array" ref="BD12">MIN(100,MAX(0,L12-AJ12*5+AQ$16*(AP$27*T12+SUMPRODUCT($X12:$AH12,TRANSPOSE(AP$28:AP$38)))+AR$16*(AP$39*T12+SUMPRODUCT($X12:$AH12,TRANSPOSE(AP$40:AP$50)))+AS$16*(AP$51*T12+SUMPRODUCT($X12:$AH12,TRANSPOSE(AP$52:AP$62)))))</f>
        <v>34.503714912631651</v>
      </c>
      <c r="BE12" s="3">
        <f t="array" ref="BE12">MIN(100,MAX(0,M12-AK12*5+AP$17*(AQ$27*U12+SUMPRODUCT($X12:$AH12,TRANSPOSE(AQ$28:AQ$38)))+AR$17*(AQ$39*U12+SUMPRODUCT($X12:$AH12,TRANSPOSE(AQ$40:AQ$50)))+AS$17*(AQ$51*U12+SUMPRODUCT($X12:$AH12,TRANSPOSE(AQ$52:AQ$62)))))</f>
        <v>53.614038105655709</v>
      </c>
      <c r="BF12" s="3">
        <f t="array" ref="BF12">MIN(100,MAX(0,N12-AL12*5+AP$18*(AR$27*V12+SUMPRODUCT($X12:$AH12,TRANSPOSE(AR$28:AR$38)))+AQ$18*(AR$39*V12+SUMPRODUCT($X12:$AH12,TRANSPOSE(AR$40:AR$50)))+AS$18*(AR$51*V12+SUMPRODUCT($X12:$AH12,TRANSPOSE(AR$52:AR$62)))))</f>
        <v>9.9990727504023731</v>
      </c>
      <c r="BG12" s="3">
        <f t="array" ref="BG12">MIN(100,MAX(0,O12+AP$19*(AS$27*W12+SUMPRODUCT($X12:$AH12,TRANSPOSE(AS$28:AS$38)))+AQ$19*(AS$39*W12+SUMPRODUCT($X12:$AH12,TRANSPOSE(AS$40:AS$50)))+AR$19*(AS$51*W12+SUMPRODUCT($X12:$AH12,TRANSPOSE(AS$52:AS$62)))))</f>
        <v>1.8692940375687961</v>
      </c>
      <c r="BJ12">
        <f t="shared" si="18"/>
        <v>0</v>
      </c>
      <c r="BK12">
        <f t="shared" si="19"/>
        <v>1</v>
      </c>
      <c r="BL12">
        <f t="shared" si="20"/>
        <v>0</v>
      </c>
      <c r="BM12">
        <f t="shared" si="21"/>
        <v>0</v>
      </c>
      <c r="BP12">
        <f t="shared" si="12"/>
        <v>1</v>
      </c>
      <c r="BQ12">
        <f t="shared" si="13"/>
        <v>1</v>
      </c>
      <c r="BR12">
        <f t="shared" si="14"/>
        <v>0</v>
      </c>
      <c r="BS12">
        <f t="shared" si="15"/>
        <v>0</v>
      </c>
    </row>
    <row r="13" spans="1:71">
      <c r="A13" t="s">
        <v>11</v>
      </c>
      <c r="B13" t="s">
        <v>150</v>
      </c>
      <c r="C13" t="s">
        <v>150</v>
      </c>
      <c r="D13">
        <v>35012</v>
      </c>
      <c r="E13">
        <v>352</v>
      </c>
      <c r="F13">
        <v>35</v>
      </c>
      <c r="G13">
        <v>11977</v>
      </c>
      <c r="H13">
        <v>10285</v>
      </c>
      <c r="I13">
        <v>5594</v>
      </c>
      <c r="J13">
        <v>449</v>
      </c>
      <c r="K13">
        <v>28505</v>
      </c>
      <c r="L13" s="3">
        <f t="shared" si="0"/>
        <v>42.017189966672511</v>
      </c>
      <c r="M13" s="3">
        <f t="shared" si="1"/>
        <v>36.081389229959655</v>
      </c>
      <c r="N13" s="3">
        <f t="shared" si="2"/>
        <v>19.624627258375725</v>
      </c>
      <c r="O13" s="3">
        <f t="shared" si="3"/>
        <v>1.5751622522364499</v>
      </c>
      <c r="P13">
        <v>44.4</v>
      </c>
      <c r="Q13">
        <v>25.3</v>
      </c>
      <c r="R13">
        <v>25.6</v>
      </c>
      <c r="S13">
        <v>3.8</v>
      </c>
      <c r="T13">
        <f t="shared" si="4"/>
        <v>1</v>
      </c>
      <c r="U13">
        <f t="shared" si="5"/>
        <v>0</v>
      </c>
      <c r="V13">
        <f t="shared" si="6"/>
        <v>0</v>
      </c>
      <c r="W13">
        <f t="shared" si="7"/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f t="shared" si="16"/>
        <v>1</v>
      </c>
      <c r="AJ13">
        <v>0</v>
      </c>
      <c r="AK13">
        <v>0</v>
      </c>
      <c r="AL13">
        <v>0</v>
      </c>
      <c r="AO13" t="s">
        <v>545</v>
      </c>
      <c r="AP13">
        <f>IF(AP6&gt;AP12,1,0)</f>
        <v>0</v>
      </c>
      <c r="AQ13">
        <f>IF(AQ6&gt;AQ12,1,0)</f>
        <v>0</v>
      </c>
      <c r="AR13">
        <f>IF(AR6&gt;AR12,1,0)</f>
        <v>0</v>
      </c>
      <c r="AS13">
        <f>IF(AS6&gt;AS12,1,0)</f>
        <v>0</v>
      </c>
      <c r="AW13" s="8">
        <f t="shared" si="8"/>
        <v>31.116213951805427</v>
      </c>
      <c r="AX13" s="8">
        <f t="shared" si="9"/>
        <v>54.305360402717</v>
      </c>
      <c r="AY13" s="8">
        <f t="shared" si="10"/>
        <v>13.20545376320748</v>
      </c>
      <c r="AZ13" s="8">
        <f t="shared" si="11"/>
        <v>1.1805494334016238</v>
      </c>
      <c r="BA13" s="8">
        <f t="shared" si="17"/>
        <v>99.80757755113153</v>
      </c>
      <c r="BD13" s="3">
        <f t="array" ref="BD13">MIN(100,MAX(0,L13-AJ13*5+AQ$16*(AP$27*T13+SUMPRODUCT($X13:$AH13,TRANSPOSE(AP$28:AP$38)))+AR$16*(AP$39*T13+SUMPRODUCT($X13:$AH13,TRANSPOSE(AP$40:AP$50)))+AS$16*(AP$51*T13+SUMPRODUCT($X13:$AH13,TRANSPOSE(AP$52:AP$62)))))</f>
        <v>31.116213951805427</v>
      </c>
      <c r="BE13" s="3">
        <f t="array" ref="BE13">MIN(100,MAX(0,M13-AK13*5+AP$17*(AQ$27*U13+SUMPRODUCT($X13:$AH13,TRANSPOSE(AQ$28:AQ$38)))+AR$17*(AQ$39*U13+SUMPRODUCT($X13:$AH13,TRANSPOSE(AQ$40:AQ$50)))+AS$17*(AQ$51*U13+SUMPRODUCT($X13:$AH13,TRANSPOSE(AQ$52:AQ$62)))))</f>
        <v>54.305360402717</v>
      </c>
      <c r="BF13" s="3">
        <f t="array" ref="BF13">MIN(100,MAX(0,N13-AL13*5+AP$18*(AR$27*V13+SUMPRODUCT($X13:$AH13,TRANSPOSE(AR$28:AR$38)))+AQ$18*(AR$39*V13+SUMPRODUCT($X13:$AH13,TRANSPOSE(AR$40:AR$50)))+AS$18*(AR$51*V13+SUMPRODUCT($X13:$AH13,TRANSPOSE(AR$52:AR$62)))))</f>
        <v>13.20545376320748</v>
      </c>
      <c r="BG13" s="3">
        <f t="array" ref="BG13">MIN(100,MAX(0,O13+AP$19*(AS$27*W13+SUMPRODUCT($X13:$AH13,TRANSPOSE(AS$28:AS$38)))+AQ$19*(AS$39*W13+SUMPRODUCT($X13:$AH13,TRANSPOSE(AS$40:AS$50)))+AR$19*(AS$51*W13+SUMPRODUCT($X13:$AH13,TRANSPOSE(AS$52:AS$62)))))</f>
        <v>1.1805494334016238</v>
      </c>
      <c r="BJ13">
        <f t="shared" si="18"/>
        <v>0</v>
      </c>
      <c r="BK13">
        <f t="shared" si="19"/>
        <v>1</v>
      </c>
      <c r="BL13">
        <f t="shared" si="20"/>
        <v>0</v>
      </c>
      <c r="BM13">
        <f t="shared" si="21"/>
        <v>0</v>
      </c>
      <c r="BP13">
        <f t="shared" si="12"/>
        <v>0</v>
      </c>
      <c r="BQ13">
        <f t="shared" si="13"/>
        <v>1</v>
      </c>
      <c r="BR13">
        <f t="shared" si="14"/>
        <v>0</v>
      </c>
      <c r="BS13">
        <f t="shared" si="15"/>
        <v>0</v>
      </c>
    </row>
    <row r="14" spans="1:71">
      <c r="A14" t="s">
        <v>11</v>
      </c>
      <c r="B14" t="s">
        <v>151</v>
      </c>
      <c r="C14" t="s">
        <v>546</v>
      </c>
      <c r="D14">
        <v>35013</v>
      </c>
      <c r="E14">
        <v>356</v>
      </c>
      <c r="F14">
        <v>35</v>
      </c>
      <c r="G14">
        <v>26668</v>
      </c>
      <c r="H14">
        <v>10411</v>
      </c>
      <c r="I14">
        <v>15946</v>
      </c>
      <c r="J14">
        <v>1765</v>
      </c>
      <c r="K14">
        <v>55085</v>
      </c>
      <c r="L14" s="3">
        <f t="shared" si="0"/>
        <v>48.412453480983935</v>
      </c>
      <c r="M14" s="3">
        <f t="shared" si="1"/>
        <v>18.899882000544611</v>
      </c>
      <c r="N14" s="3">
        <f t="shared" si="2"/>
        <v>28.947989470817824</v>
      </c>
      <c r="O14" s="3">
        <f t="shared" si="3"/>
        <v>3.2041390578197335</v>
      </c>
      <c r="P14">
        <v>44.4</v>
      </c>
      <c r="Q14">
        <v>25.3</v>
      </c>
      <c r="R14">
        <v>25.6</v>
      </c>
      <c r="S14">
        <v>3.8</v>
      </c>
      <c r="T14">
        <f t="shared" si="4"/>
        <v>1</v>
      </c>
      <c r="U14">
        <f t="shared" si="5"/>
        <v>0</v>
      </c>
      <c r="V14">
        <f t="shared" si="6"/>
        <v>0</v>
      </c>
      <c r="W14">
        <f t="shared" si="7"/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f t="shared" si="16"/>
        <v>0</v>
      </c>
      <c r="AJ14">
        <v>0</v>
      </c>
      <c r="AK14">
        <v>0</v>
      </c>
      <c r="AL14">
        <v>0</v>
      </c>
      <c r="AW14" s="8">
        <f t="shared" si="8"/>
        <v>38.088517995056968</v>
      </c>
      <c r="AX14" s="8">
        <f t="shared" si="9"/>
        <v>36.384871854007443</v>
      </c>
      <c r="AY14" s="8">
        <f t="shared" si="10"/>
        <v>22.675741829981686</v>
      </c>
      <c r="AZ14" s="8">
        <f t="shared" si="11"/>
        <v>2.8038927762753834</v>
      </c>
      <c r="BA14" s="8">
        <f t="shared" si="17"/>
        <v>99.953024455321483</v>
      </c>
      <c r="BD14" s="3">
        <f t="array" ref="BD14">MIN(100,MAX(0,L14-AJ14*5+AQ$16*(AP$27*T14+SUMPRODUCT($X14:$AH14,TRANSPOSE(AP$28:AP$38)))+AR$16*(AP$39*T14+SUMPRODUCT($X14:$AH14,TRANSPOSE(AP$40:AP$50)))+AS$16*(AP$51*T14+SUMPRODUCT($X14:$AH14,TRANSPOSE(AP$52:AP$62)))))</f>
        <v>38.088517995056968</v>
      </c>
      <c r="BE14" s="3">
        <f t="array" ref="BE14">MIN(100,MAX(0,M14-AK14*5+AP$17*(AQ$27*U14+SUMPRODUCT($X14:$AH14,TRANSPOSE(AQ$28:AQ$38)))+AR$17*(AQ$39*U14+SUMPRODUCT($X14:$AH14,TRANSPOSE(AQ$40:AQ$50)))+AS$17*(AQ$51*U14+SUMPRODUCT($X14:$AH14,TRANSPOSE(AQ$52:AQ$62)))))</f>
        <v>36.384871854007443</v>
      </c>
      <c r="BF14" s="3">
        <f t="array" ref="BF14">MIN(100,MAX(0,N14-AL14*5+AP$18*(AR$27*V14+SUMPRODUCT($X14:$AH14,TRANSPOSE(AR$28:AR$38)))+AQ$18*(AR$39*V14+SUMPRODUCT($X14:$AH14,TRANSPOSE(AR$40:AR$50)))+AS$18*(AR$51*V14+SUMPRODUCT($X14:$AH14,TRANSPOSE(AR$52:AR$62)))))</f>
        <v>22.675741829981686</v>
      </c>
      <c r="BG14" s="3">
        <f t="array" ref="BG14">MIN(100,MAX(0,O14+AP$19*(AS$27*W14+SUMPRODUCT($X14:$AH14,TRANSPOSE(AS$28:AS$38)))+AQ$19*(AS$39*W14+SUMPRODUCT($X14:$AH14,TRANSPOSE(AS$40:AS$50)))+AR$19*(AS$51*W14+SUMPRODUCT($X14:$AH14,TRANSPOSE(AS$52:AS$62)))))</f>
        <v>2.8038927762753834</v>
      </c>
      <c r="BJ14">
        <f t="shared" si="18"/>
        <v>1</v>
      </c>
      <c r="BK14">
        <f t="shared" si="19"/>
        <v>0</v>
      </c>
      <c r="BL14">
        <f t="shared" si="20"/>
        <v>0</v>
      </c>
      <c r="BM14">
        <f t="shared" si="21"/>
        <v>0</v>
      </c>
      <c r="BP14">
        <f t="shared" si="12"/>
        <v>1</v>
      </c>
      <c r="BQ14">
        <f t="shared" si="13"/>
        <v>0</v>
      </c>
      <c r="BR14">
        <f t="shared" si="14"/>
        <v>1</v>
      </c>
      <c r="BS14">
        <f t="shared" si="15"/>
        <v>0</v>
      </c>
    </row>
    <row r="15" spans="1:71">
      <c r="A15" t="s">
        <v>11</v>
      </c>
      <c r="B15" t="s">
        <v>152</v>
      </c>
      <c r="C15" t="s">
        <v>547</v>
      </c>
      <c r="D15">
        <v>35014</v>
      </c>
      <c r="E15">
        <v>353</v>
      </c>
      <c r="F15">
        <v>35</v>
      </c>
      <c r="G15">
        <v>28744</v>
      </c>
      <c r="H15">
        <v>8203</v>
      </c>
      <c r="I15">
        <v>9008</v>
      </c>
      <c r="J15">
        <v>5099</v>
      </c>
      <c r="K15">
        <v>51054</v>
      </c>
      <c r="L15" s="3">
        <f t="shared" si="0"/>
        <v>56.301171308810282</v>
      </c>
      <c r="M15" s="3">
        <f t="shared" si="1"/>
        <v>16.067301288831434</v>
      </c>
      <c r="N15" s="3">
        <f t="shared" si="2"/>
        <v>17.644063148822813</v>
      </c>
      <c r="O15" s="3">
        <f t="shared" si="3"/>
        <v>9.987464253535471</v>
      </c>
      <c r="P15">
        <v>44.4</v>
      </c>
      <c r="Q15">
        <v>25.3</v>
      </c>
      <c r="R15">
        <v>25.6</v>
      </c>
      <c r="S15">
        <v>3.8</v>
      </c>
      <c r="T15">
        <f t="shared" si="4"/>
        <v>1</v>
      </c>
      <c r="U15">
        <f t="shared" si="5"/>
        <v>0</v>
      </c>
      <c r="V15">
        <f t="shared" si="6"/>
        <v>0</v>
      </c>
      <c r="W15">
        <f t="shared" si="7"/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f t="shared" si="16"/>
        <v>0</v>
      </c>
      <c r="AJ15">
        <v>0</v>
      </c>
      <c r="AK15">
        <v>0</v>
      </c>
      <c r="AL15">
        <v>0</v>
      </c>
      <c r="AP15" t="s">
        <v>478</v>
      </c>
      <c r="AQ15" t="s">
        <v>479</v>
      </c>
      <c r="AR15" t="s">
        <v>480</v>
      </c>
      <c r="AS15" t="s">
        <v>481</v>
      </c>
      <c r="AT15" t="s">
        <v>405</v>
      </c>
      <c r="AW15" s="8">
        <f t="shared" si="8"/>
        <v>43.132041050804801</v>
      </c>
      <c r="AX15" s="8">
        <f t="shared" si="9"/>
        <v>37.482831668401815</v>
      </c>
      <c r="AY15" s="8">
        <f t="shared" si="10"/>
        <v>10.842966717332761</v>
      </c>
      <c r="AZ15" s="8">
        <f t="shared" si="11"/>
        <v>7.3172371314643812</v>
      </c>
      <c r="BA15" s="8">
        <f t="shared" si="17"/>
        <v>98.775076568003755</v>
      </c>
      <c r="BD15" s="43">
        <f t="array" ref="BD15">MIN(100,MAX(0,L15-2.5-AJ15*5+AQ$16*(AP$27*T15+SUMPRODUCT($X15:$AH15,TRANSPOSE(AP$28:AP$38)))+AR$16*(AP$39*T15+SUMPRODUCT($X15:$AH15,TRANSPOSE(AP$40:AP$50)))+AS$16*(AP$51*T15+SUMPRODUCT($X15:$AH15,TRANSPOSE(AP$52:AP$62)))))</f>
        <v>43.132041050804801</v>
      </c>
      <c r="BE15" s="43">
        <f t="array" ref="BE15">MIN(100,MAX(0,M15+3-AK15*5+AP$17*(AQ$27*U15+SUMPRODUCT($X15:$AH15,TRANSPOSE(AQ$28:AQ$38)))+AR$17*(AQ$39*U15+SUMPRODUCT($X15:$AH15,TRANSPOSE(AQ$40:AQ$50)))+AS$17*(AQ$51*U15+SUMPRODUCT($X15:$AH15,TRANSPOSE(AQ$52:AQ$62)))))</f>
        <v>37.482831668401815</v>
      </c>
      <c r="BF15" s="3">
        <f t="array" ref="BF15">MIN(100,MAX(0,N15-AL15*5+AP$18*(AR$27*V15+SUMPRODUCT($X15:$AH15,TRANSPOSE(AR$28:AR$38)))+AQ$18*(AR$39*V15+SUMPRODUCT($X15:$AH15,TRANSPOSE(AR$40:AR$50)))+AS$18*(AR$51*V15+SUMPRODUCT($X15:$AH15,TRANSPOSE(AR$52:AR$62)))))</f>
        <v>10.842966717332761</v>
      </c>
      <c r="BG15" s="43">
        <f t="array" ref="BG15">MIN(100,MAX(0,O15-2+AP$19*(AS$27*W15+SUMPRODUCT($X15:$AH15,TRANSPOSE(AS$28:AS$38)))+AQ$19*(AS$39*W15+SUMPRODUCT($X15:$AH15,TRANSPOSE(AS$40:AS$50)))+AR$19*(AS$51*W15+SUMPRODUCT($X15:$AH15,TRANSPOSE(AS$52:AS$62)))))</f>
        <v>7.556721898378032</v>
      </c>
      <c r="BJ15">
        <f t="shared" si="18"/>
        <v>1</v>
      </c>
      <c r="BK15">
        <f t="shared" si="19"/>
        <v>0</v>
      </c>
      <c r="BL15">
        <f t="shared" si="20"/>
        <v>0</v>
      </c>
      <c r="BM15">
        <f t="shared" si="21"/>
        <v>0</v>
      </c>
      <c r="BP15">
        <f t="shared" si="12"/>
        <v>1</v>
      </c>
      <c r="BQ15">
        <f t="shared" si="13"/>
        <v>0</v>
      </c>
      <c r="BR15">
        <f t="shared" si="14"/>
        <v>0</v>
      </c>
      <c r="BS15">
        <f t="shared" si="15"/>
        <v>1</v>
      </c>
    </row>
    <row r="16" spans="1:71">
      <c r="A16" t="s">
        <v>11</v>
      </c>
      <c r="B16" t="s">
        <v>153</v>
      </c>
      <c r="C16" t="s">
        <v>153</v>
      </c>
      <c r="D16">
        <v>35015</v>
      </c>
      <c r="E16">
        <v>3512</v>
      </c>
      <c r="F16">
        <v>35</v>
      </c>
      <c r="G16">
        <v>33162</v>
      </c>
      <c r="H16">
        <v>14235</v>
      </c>
      <c r="I16">
        <v>11549</v>
      </c>
      <c r="J16">
        <v>2166</v>
      </c>
      <c r="K16">
        <v>61252</v>
      </c>
      <c r="L16" s="3">
        <f t="shared" si="0"/>
        <v>54.140272970678502</v>
      </c>
      <c r="M16" s="3">
        <f t="shared" si="1"/>
        <v>23.240057467511267</v>
      </c>
      <c r="N16" s="3">
        <f t="shared" si="2"/>
        <v>18.854894534056029</v>
      </c>
      <c r="O16" s="3">
        <f t="shared" si="3"/>
        <v>3.5362110624959184</v>
      </c>
      <c r="P16">
        <v>44.4</v>
      </c>
      <c r="Q16">
        <v>25.3</v>
      </c>
      <c r="R16">
        <v>25.6</v>
      </c>
      <c r="S16">
        <v>3.8</v>
      </c>
      <c r="T16">
        <f t="shared" si="4"/>
        <v>1</v>
      </c>
      <c r="U16">
        <f t="shared" si="5"/>
        <v>0</v>
      </c>
      <c r="V16">
        <f t="shared" si="6"/>
        <v>0</v>
      </c>
      <c r="W16">
        <f t="shared" si="7"/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f t="shared" si="16"/>
        <v>1</v>
      </c>
      <c r="AJ16">
        <v>0</v>
      </c>
      <c r="AK16">
        <v>0</v>
      </c>
      <c r="AL16">
        <v>0</v>
      </c>
      <c r="AO16" t="s">
        <v>478</v>
      </c>
      <c r="AP16" s="6">
        <f>IF(OR($AT8=0,$AT9=0),$AP7/4,AP$9/$AT$9*$AP$8+AP$8/$AT$8*$AP$9)</f>
        <v>0</v>
      </c>
      <c r="AQ16" s="6">
        <f>IF(OR($AT8=0,$AT9=0),$AP7/4,AQ$9/$AT$9*$AP$8+AQ$8/$AT$8*$AP$9)</f>
        <v>-10.157313393424225</v>
      </c>
      <c r="AR16" s="6">
        <f>IF(OR($AT8=0,$AT9=0),$AP7/4,AR$9/$AT$9*$AP$8+AR$8/$AT$8*$AP$9)</f>
        <v>0</v>
      </c>
      <c r="AS16" s="6">
        <f>IF(OR($AT8=0,$AT9=0),$AP7/4,AS$9/$AT$9*$AP$8+AS$8/$AT$8*$AP$9)</f>
        <v>0</v>
      </c>
      <c r="AT16" s="2">
        <f>SUM(AP16:AS16)</f>
        <v>-10.157313393424225</v>
      </c>
      <c r="AW16" s="8">
        <f t="shared" si="8"/>
        <v>44.309428326360674</v>
      </c>
      <c r="AX16" s="8">
        <f t="shared" si="9"/>
        <v>40.144357552493979</v>
      </c>
      <c r="AY16" s="8">
        <f t="shared" si="10"/>
        <v>12.676747418378042</v>
      </c>
      <c r="AZ16" s="8">
        <f t="shared" si="11"/>
        <v>3.1132377199009942</v>
      </c>
      <c r="BA16" s="8">
        <f t="shared" si="17"/>
        <v>100.2437710171337</v>
      </c>
      <c r="BD16" s="3">
        <f t="array" ref="BD16">MIN(100,MAX(0,L16-AJ16*5+AQ$16*(AP$27*T16+SUMPRODUCT($X16:$AH16,TRANSPOSE(AP$28:AP$38)))+AR$16*(AP$39*T16+SUMPRODUCT($X16:$AH16,TRANSPOSE(AP$40:AP$50)))+AS$16*(AP$51*T16+SUMPRODUCT($X16:$AH16,TRANSPOSE(AP$52:AP$62)))))</f>
        <v>44.309428326360674</v>
      </c>
      <c r="BE16" s="3">
        <f t="array" ref="BE16">MIN(100,MAX(0,M16-AK16*5+AP$17*(AQ$27*U16+SUMPRODUCT($X16:$AH16,TRANSPOSE(AQ$28:AQ$38)))+AR$17*(AQ$39*U16+SUMPRODUCT($X16:$AH16,TRANSPOSE(AQ$40:AQ$50)))+AS$17*(AQ$51*U16+SUMPRODUCT($X16:$AH16,TRANSPOSE(AQ$52:AQ$62)))))</f>
        <v>40.144357552493979</v>
      </c>
      <c r="BF16" s="3">
        <f t="array" ref="BF16">MIN(100,MAX(0,N16-AL16*5+AP$18*(AR$27*V16+SUMPRODUCT($X16:$AH16,TRANSPOSE(AR$28:AR$38)))+AQ$18*(AR$39*V16+SUMPRODUCT($X16:$AH16,TRANSPOSE(AR$40:AR$50)))+AS$18*(AR$51*V16+SUMPRODUCT($X16:$AH16,TRANSPOSE(AR$52:AR$62)))))</f>
        <v>12.676747418378042</v>
      </c>
      <c r="BG16" s="3">
        <f t="array" ref="BG16">MIN(100,MAX(0,O16+AP$19*(AS$27*W16+SUMPRODUCT($X16:$AH16,TRANSPOSE(AS$28:AS$38)))+AQ$19*(AS$39*W16+SUMPRODUCT($X16:$AH16,TRANSPOSE(AS$40:AS$50)))+AR$19*(AS$51*W16+SUMPRODUCT($X16:$AH16,TRANSPOSE(AS$52:AS$62)))))</f>
        <v>3.1132377199009942</v>
      </c>
      <c r="BJ16">
        <f t="shared" si="18"/>
        <v>1</v>
      </c>
      <c r="BK16">
        <f t="shared" si="19"/>
        <v>0</v>
      </c>
      <c r="BL16">
        <f t="shared" si="20"/>
        <v>0</v>
      </c>
      <c r="BM16">
        <f t="shared" si="21"/>
        <v>0</v>
      </c>
      <c r="BP16">
        <f t="shared" si="12"/>
        <v>1</v>
      </c>
      <c r="BQ16">
        <f t="shared" si="13"/>
        <v>0</v>
      </c>
      <c r="BR16">
        <f t="shared" si="14"/>
        <v>0</v>
      </c>
      <c r="BS16">
        <f t="shared" si="15"/>
        <v>0</v>
      </c>
    </row>
    <row r="17" spans="1:71">
      <c r="A17" t="s">
        <v>11</v>
      </c>
      <c r="B17" t="s">
        <v>154</v>
      </c>
      <c r="C17" t="s">
        <v>154</v>
      </c>
      <c r="D17">
        <v>35016</v>
      </c>
      <c r="E17">
        <v>3511</v>
      </c>
      <c r="F17">
        <v>35</v>
      </c>
      <c r="G17">
        <v>23644</v>
      </c>
      <c r="H17">
        <v>6923</v>
      </c>
      <c r="I17">
        <v>12512</v>
      </c>
      <c r="J17">
        <v>1615</v>
      </c>
      <c r="K17">
        <v>44828</v>
      </c>
      <c r="L17" s="3">
        <f t="shared" si="0"/>
        <v>52.743820826269292</v>
      </c>
      <c r="M17" s="3">
        <f t="shared" si="1"/>
        <v>15.443472829481575</v>
      </c>
      <c r="N17" s="3">
        <f t="shared" si="2"/>
        <v>27.911126974212547</v>
      </c>
      <c r="O17" s="3">
        <f t="shared" si="3"/>
        <v>3.602659052377978</v>
      </c>
      <c r="P17">
        <v>44.4</v>
      </c>
      <c r="Q17">
        <v>25.3</v>
      </c>
      <c r="R17">
        <v>25.6</v>
      </c>
      <c r="S17">
        <v>3.8</v>
      </c>
      <c r="T17">
        <f t="shared" si="4"/>
        <v>1</v>
      </c>
      <c r="U17">
        <f t="shared" si="5"/>
        <v>0</v>
      </c>
      <c r="V17">
        <f t="shared" si="6"/>
        <v>0</v>
      </c>
      <c r="W17">
        <f t="shared" si="7"/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f t="shared" si="16"/>
        <v>1</v>
      </c>
      <c r="AJ17">
        <v>0</v>
      </c>
      <c r="AK17">
        <v>0</v>
      </c>
      <c r="AL17">
        <v>0</v>
      </c>
      <c r="AO17" t="s">
        <v>479</v>
      </c>
      <c r="AP17" s="6">
        <f>IF(OR($AT8=0,$AT9=0),$AQ7/4,AP$9/$AT$9*$AQ$8+AP$8/$AT$8*$AQ$9)</f>
        <v>10.449284220582102</v>
      </c>
      <c r="AQ17" s="6">
        <f>IF(OR($AT8=0,$AT9=0),$AQ7/4,AQ$9/$AT$9*$AQ$8+AQ$8/$AT$8*$AQ$9)</f>
        <v>0</v>
      </c>
      <c r="AR17" s="6">
        <f>IF(OR($AT8=0,$AT9=0),$AQ7/4,AR$9/$AT$9*$AQ$8+AR$8/$AT$8*$AQ$9)</f>
        <v>7.0781798205553663</v>
      </c>
      <c r="AS17" s="6">
        <f>IF(OR($AT8=0,$AT9=0),$AQ7/4,AS$9/$AT$9*$AQ$8+AS$8/$AT$8*$AQ$9)</f>
        <v>0.41875912404949889</v>
      </c>
      <c r="AT17" s="2">
        <f>SUM(AP17:AS17)</f>
        <v>17.946223165186968</v>
      </c>
      <c r="AW17" s="8">
        <f t="shared" si="8"/>
        <v>42.912976181951464</v>
      </c>
      <c r="AX17" s="8">
        <f t="shared" si="9"/>
        <v>32.347772914464286</v>
      </c>
      <c r="AY17" s="8">
        <f t="shared" si="10"/>
        <v>21.732979858534559</v>
      </c>
      <c r="AZ17" s="8">
        <f t="shared" si="11"/>
        <v>3.1796857097830538</v>
      </c>
      <c r="BA17" s="8">
        <f t="shared" si="17"/>
        <v>100.17341466473337</v>
      </c>
      <c r="BD17" s="3">
        <f t="array" ref="BD17">MIN(100,MAX(0,L17-AJ17*5+AQ$16*(AP$27*T17+SUMPRODUCT($X17:$AH17,TRANSPOSE(AP$28:AP$38)))+AR$16*(AP$39*T17+SUMPRODUCT($X17:$AH17,TRANSPOSE(AP$40:AP$50)))+AS$16*(AP$51*T17+SUMPRODUCT($X17:$AH17,TRANSPOSE(AP$52:AP$62)))))</f>
        <v>42.912976181951464</v>
      </c>
      <c r="BE17" s="3">
        <f t="array" ref="BE17">MIN(100,MAX(0,M17-AK17*5+AP$17*(AQ$27*U17+SUMPRODUCT($X17:$AH17,TRANSPOSE(AQ$28:AQ$38)))+AR$17*(AQ$39*U17+SUMPRODUCT($X17:$AH17,TRANSPOSE(AQ$40:AQ$50)))+AS$17*(AQ$51*U17+SUMPRODUCT($X17:$AH17,TRANSPOSE(AQ$52:AQ$62)))))</f>
        <v>32.347772914464286</v>
      </c>
      <c r="BF17" s="3">
        <f t="array" ref="BF17">MIN(100,MAX(0,N17-AL17*5+AP$18*(AR$27*V17+SUMPRODUCT($X17:$AH17,TRANSPOSE(AR$28:AR$38)))+AQ$18*(AR$39*V17+SUMPRODUCT($X17:$AH17,TRANSPOSE(AR$40:AR$50)))+AS$18*(AR$51*V17+SUMPRODUCT($X17:$AH17,TRANSPOSE(AR$52:AR$62)))))</f>
        <v>21.732979858534559</v>
      </c>
      <c r="BG17" s="3">
        <f t="array" ref="BG17">MIN(100,MAX(0,O17+AP$19*(AS$27*W17+SUMPRODUCT($X17:$AH17,TRANSPOSE(AS$28:AS$38)))+AQ$19*(AS$39*W17+SUMPRODUCT($X17:$AH17,TRANSPOSE(AS$40:AS$50)))+AR$19*(AS$51*W17+SUMPRODUCT($X17:$AH17,TRANSPOSE(AS$52:AS$62)))))</f>
        <v>3.1796857097830538</v>
      </c>
      <c r="BJ17">
        <f t="shared" si="18"/>
        <v>1</v>
      </c>
      <c r="BK17">
        <f t="shared" si="19"/>
        <v>0</v>
      </c>
      <c r="BL17">
        <f t="shared" si="20"/>
        <v>0</v>
      </c>
      <c r="BM17">
        <f t="shared" si="21"/>
        <v>0</v>
      </c>
      <c r="BP17">
        <f t="shared" si="12"/>
        <v>1</v>
      </c>
      <c r="BQ17">
        <f t="shared" si="13"/>
        <v>0</v>
      </c>
      <c r="BR17">
        <f t="shared" si="14"/>
        <v>1</v>
      </c>
      <c r="BS17">
        <f t="shared" si="15"/>
        <v>0</v>
      </c>
    </row>
    <row r="18" spans="1:71" s="4" customFormat="1">
      <c r="A18" s="4" t="s">
        <v>11</v>
      </c>
      <c r="B18" s="4" t="s">
        <v>155</v>
      </c>
      <c r="C18" s="4" t="s">
        <v>548</v>
      </c>
      <c r="D18" s="4">
        <v>35088</v>
      </c>
      <c r="E18" s="4">
        <v>353</v>
      </c>
      <c r="F18" s="4">
        <v>35</v>
      </c>
      <c r="G18" s="4">
        <v>28928</v>
      </c>
      <c r="H18" s="4">
        <v>9786</v>
      </c>
      <c r="I18" s="4">
        <v>6262</v>
      </c>
      <c r="J18" s="4">
        <v>1932</v>
      </c>
      <c r="K18" s="4">
        <v>46909</v>
      </c>
      <c r="L18" s="49">
        <f t="shared" si="0"/>
        <v>61.668336566543736</v>
      </c>
      <c r="M18" s="49">
        <f t="shared" si="1"/>
        <v>20.861668336566545</v>
      </c>
      <c r="N18" s="49">
        <f t="shared" si="2"/>
        <v>13.349250676842397</v>
      </c>
      <c r="O18" s="49">
        <f t="shared" si="3"/>
        <v>4.1186126329702191</v>
      </c>
      <c r="P18" s="4">
        <v>44.4</v>
      </c>
      <c r="Q18" s="4">
        <v>25.3</v>
      </c>
      <c r="R18" s="4">
        <v>25.6</v>
      </c>
      <c r="S18" s="4">
        <v>3.8</v>
      </c>
      <c r="T18" s="4">
        <f t="shared" si="4"/>
        <v>1</v>
      </c>
      <c r="U18" s="4">
        <f t="shared" si="5"/>
        <v>0</v>
      </c>
      <c r="V18" s="4">
        <f t="shared" si="6"/>
        <v>0</v>
      </c>
      <c r="W18" s="4">
        <f t="shared" si="7"/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>
        <f t="shared" si="16"/>
        <v>0</v>
      </c>
      <c r="AJ18">
        <v>0</v>
      </c>
      <c r="AK18">
        <v>0</v>
      </c>
      <c r="AL18">
        <v>0</v>
      </c>
      <c r="AO18" s="4" t="s">
        <v>480</v>
      </c>
      <c r="AP18" s="6">
        <f>IF(OR($AT8=0,$AT9=0),$AR7/4,AP$9/$AT$9*$AR$8+AP$8/$AT$8*$AR$9)</f>
        <v>0</v>
      </c>
      <c r="AQ18" s="6">
        <f>IF(OR($AT8=0,$AT9=0),$AR7/4,AQ$9/$AT$9*$AR$8+AQ$8/$AT$8*$AR$9)</f>
        <v>-6.8804034012950801</v>
      </c>
      <c r="AR18" s="6">
        <f>IF(OR($AT8=0,$AT9=0),$AR7/4,AR$9/$AT$9*$AR$8+AR$8/$AT$8*$AR$9)</f>
        <v>0</v>
      </c>
      <c r="AS18" s="6">
        <f>IF(OR($AT8=0,$AT9=0),$AR7/4,AS$9/$AT$9*$AR$8+AS$8/$AT$8*$AR$9)</f>
        <v>0</v>
      </c>
      <c r="AT18" s="6">
        <f>SUM(AP18:AS18)</f>
        <v>-6.8804034012950801</v>
      </c>
      <c r="AW18" s="52">
        <f t="shared" si="8"/>
        <v>53.410973020911655</v>
      </c>
      <c r="AX18" s="52">
        <f t="shared" si="9"/>
        <v>35.802954268287728</v>
      </c>
      <c r="AY18" s="52">
        <f t="shared" si="10"/>
        <v>7.4376648377777244</v>
      </c>
      <c r="AZ18" s="52">
        <f t="shared" si="11"/>
        <v>3.742432986380698</v>
      </c>
      <c r="BA18" s="52">
        <f t="shared" si="17"/>
        <v>100.3940251133578</v>
      </c>
      <c r="BD18" s="3">
        <f t="array" ref="BD18">MIN(100,MAX(0,L18-AJ18*5+AQ$16*(AP$27*T18+SUMPRODUCT($X18:$AH18,TRANSPOSE(AP$28:AP$38)))+AR$16*(AP$39*T18+SUMPRODUCT($X18:$AH18,TRANSPOSE(AP$40:AP$50)))+AS$16*(AP$51*T18+SUMPRODUCT($X18:$AH18,TRANSPOSE(AP$52:AP$62)))))</f>
        <v>53.410973020911655</v>
      </c>
      <c r="BE18" s="3">
        <f t="array" ref="BE18">MIN(100,MAX(0,M18-AK18*5+AP$17*(AQ$27*U18+SUMPRODUCT($X18:$AH18,TRANSPOSE(AQ$28:AQ$38)))+AR$17*(AQ$39*U18+SUMPRODUCT($X18:$AH18,TRANSPOSE(AQ$40:AQ$50)))+AS$17*(AQ$51*U18+SUMPRODUCT($X18:$AH18,TRANSPOSE(AQ$52:AQ$62)))))</f>
        <v>35.802954268287728</v>
      </c>
      <c r="BF18" s="3">
        <f t="array" ref="BF18">MIN(100,MAX(0,N18-AL18*5+AP$18*(AR$27*V18+SUMPRODUCT($X18:$AH18,TRANSPOSE(AR$28:AR$38)))+AQ$18*(AR$39*V18+SUMPRODUCT($X18:$AH18,TRANSPOSE(AR$40:AR$50)))+AS$18*(AR$51*V18+SUMPRODUCT($X18:$AH18,TRANSPOSE(AR$52:AR$62)))))</f>
        <v>7.4376648377777244</v>
      </c>
      <c r="BG18" s="49">
        <f t="array" ref="BG18">MIN(100,MAX(0,O18+AP$19*(AS$27*W18+SUMPRODUCT($X18:$AH18,TRANSPOSE(AS$28:AS$38)))+AQ$19*(AS$39*W18+SUMPRODUCT($X18:$AH18,TRANSPOSE(AS$40:AS$50)))+AR$19*(AS$51*W18+SUMPRODUCT($X18:$AH18,TRANSPOSE(AS$52:AS$62)))))</f>
        <v>3.763761104076917</v>
      </c>
      <c r="BJ18" s="4">
        <f t="shared" si="18"/>
        <v>1</v>
      </c>
      <c r="BK18" s="4">
        <f t="shared" si="19"/>
        <v>0</v>
      </c>
      <c r="BL18" s="4">
        <f t="shared" si="20"/>
        <v>0</v>
      </c>
      <c r="BM18" s="4">
        <f t="shared" si="21"/>
        <v>0</v>
      </c>
      <c r="BP18" s="4">
        <f t="shared" si="12"/>
        <v>1</v>
      </c>
      <c r="BQ18" s="4">
        <f t="shared" si="13"/>
        <v>0</v>
      </c>
      <c r="BR18" s="4">
        <f t="shared" si="14"/>
        <v>0</v>
      </c>
      <c r="BS18" s="4">
        <f t="shared" si="15"/>
        <v>1</v>
      </c>
    </row>
    <row r="19" spans="1:71">
      <c r="A19" t="s">
        <v>11</v>
      </c>
      <c r="B19" t="s">
        <v>156</v>
      </c>
      <c r="C19" t="s">
        <v>549</v>
      </c>
      <c r="D19">
        <v>35017</v>
      </c>
      <c r="E19">
        <v>3511</v>
      </c>
      <c r="F19">
        <v>35</v>
      </c>
      <c r="G19">
        <v>24672</v>
      </c>
      <c r="H19">
        <v>7553</v>
      </c>
      <c r="I19">
        <v>12595</v>
      </c>
      <c r="J19">
        <v>1551</v>
      </c>
      <c r="K19">
        <v>46375</v>
      </c>
      <c r="L19" s="3">
        <f t="shared" si="0"/>
        <v>53.201078167115902</v>
      </c>
      <c r="M19" s="3">
        <f t="shared" si="1"/>
        <v>16.286792452830191</v>
      </c>
      <c r="N19" s="3">
        <f t="shared" si="2"/>
        <v>27.159029649595688</v>
      </c>
      <c r="O19" s="3">
        <f t="shared" si="3"/>
        <v>3.3444743935309975</v>
      </c>
      <c r="P19">
        <v>44.4</v>
      </c>
      <c r="Q19">
        <v>25.3</v>
      </c>
      <c r="R19">
        <v>25.6</v>
      </c>
      <c r="S19">
        <v>3.8</v>
      </c>
      <c r="T19">
        <f t="shared" si="4"/>
        <v>1</v>
      </c>
      <c r="U19">
        <f t="shared" si="5"/>
        <v>0</v>
      </c>
      <c r="V19">
        <f t="shared" si="6"/>
        <v>0</v>
      </c>
      <c r="W19">
        <f t="shared" si="7"/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f t="shared" si="16"/>
        <v>0</v>
      </c>
      <c r="AJ19">
        <v>0</v>
      </c>
      <c r="AK19">
        <v>0</v>
      </c>
      <c r="AL19">
        <v>0</v>
      </c>
      <c r="AO19" t="s">
        <v>481</v>
      </c>
      <c r="AP19" s="6">
        <f>IF(OR($AT8=0,$AT9=0),$AS7/4,AP$9/$AT$9*$AS$8+AP$8/$AT$8*$AS$9)</f>
        <v>0</v>
      </c>
      <c r="AQ19" s="6">
        <f>IF(OR($AT8=0,$AT9=0),$AS7/4,AQ$9/$AT$9*$AS$8+AQ$8/$AT$8*$AS$9)</f>
        <v>-0.40705827973828645</v>
      </c>
      <c r="AR19" s="6">
        <f>IF(OR($AT8=0,$AT9=0),$AS7/4,AR$9/$AT$9*$AS$8+AR$8/$AT$8*$AS$9)</f>
        <v>0</v>
      </c>
      <c r="AS19" s="6">
        <f>IF(OR($AT8=0,$AT9=0),$AS7/4,AS$9/$AT$9*$AS$8+AS$8/$AT$8*$AS$9)</f>
        <v>0</v>
      </c>
      <c r="AT19" s="2">
        <f>SUM(AP19:AS19)</f>
        <v>-0.40705827973828645</v>
      </c>
      <c r="AW19" s="8">
        <f t="shared" si="8"/>
        <v>43.00069928850057</v>
      </c>
      <c r="AX19" s="8">
        <f t="shared" si="9"/>
        <v>34.115037219195166</v>
      </c>
      <c r="AY19" s="8">
        <f t="shared" si="10"/>
        <v>20.431974271167483</v>
      </c>
      <c r="AZ19" s="8">
        <f t="shared" si="11"/>
        <v>2.9418154572097244</v>
      </c>
      <c r="BA19" s="8">
        <f t="shared" si="17"/>
        <v>100.48952623607296</v>
      </c>
      <c r="BD19" s="3">
        <f t="array" ref="BD19">MIN(100,MAX(0,L19-AJ19*5+AQ$16*(AP$27*T19+SUMPRODUCT($X19:$AH19,TRANSPOSE(AP$28:AP$38)))+AR$16*(AP$39*T19+SUMPRODUCT($X19:$AH19,TRANSPOSE(AP$40:AP$50)))+AS$16*(AP$51*T19+SUMPRODUCT($X19:$AH19,TRANSPOSE(AP$52:AP$62)))))</f>
        <v>43.00069928850057</v>
      </c>
      <c r="BE19" s="3">
        <f t="array" ref="BE19">MIN(100,MAX(0,M19-AK19*5+AP$17*(AQ$27*U19+SUMPRODUCT($X19:$AH19,TRANSPOSE(AQ$28:AQ$38)))+AR$17*(AQ$39*U19+SUMPRODUCT($X19:$AH19,TRANSPOSE(AQ$40:AQ$50)))+AS$17*(AQ$51*U19+SUMPRODUCT($X19:$AH19,TRANSPOSE(AQ$52:AQ$62)))))</f>
        <v>34.115037219195166</v>
      </c>
      <c r="BF19" s="3">
        <f t="array" ref="BF19">MIN(100,MAX(0,N19-AL19*5+AP$18*(AR$27*V19+SUMPRODUCT($X19:$AH19,TRANSPOSE(AR$28:AR$38)))+AQ$18*(AR$39*V19+SUMPRODUCT($X19:$AH19,TRANSPOSE(AR$40:AR$50)))+AS$18*(AR$51*V19+SUMPRODUCT($X19:$AH19,TRANSPOSE(AR$52:AR$62)))))</f>
        <v>20.431974271167483</v>
      </c>
      <c r="BG19" s="3">
        <f t="array" ref="BG19">MIN(100,MAX(0,O19+AP$19*(AS$27*W19+SUMPRODUCT($X19:$AH19,TRANSPOSE(AS$28:AS$38)))+AQ$19*(AS$39*W19+SUMPRODUCT($X19:$AH19,TRANSPOSE(AS$40:AS$50)))+AR$19*(AS$51*W19+SUMPRODUCT($X19:$AH19,TRANSPOSE(AS$52:AS$62)))))</f>
        <v>2.9418154572097244</v>
      </c>
      <c r="BJ19">
        <f t="shared" si="18"/>
        <v>1</v>
      </c>
      <c r="BK19">
        <f t="shared" si="19"/>
        <v>0</v>
      </c>
      <c r="BL19">
        <f t="shared" si="20"/>
        <v>0</v>
      </c>
      <c r="BM19">
        <f t="shared" si="21"/>
        <v>0</v>
      </c>
      <c r="BP19">
        <f t="shared" si="12"/>
        <v>1</v>
      </c>
      <c r="BQ19">
        <f t="shared" si="13"/>
        <v>0</v>
      </c>
      <c r="BR19">
        <f t="shared" si="14"/>
        <v>1</v>
      </c>
      <c r="BS19">
        <f t="shared" si="15"/>
        <v>0</v>
      </c>
    </row>
    <row r="20" spans="1:71">
      <c r="A20" t="s">
        <v>11</v>
      </c>
      <c r="B20" t="s">
        <v>157</v>
      </c>
      <c r="C20" t="s">
        <v>157</v>
      </c>
      <c r="D20">
        <v>35018</v>
      </c>
      <c r="E20">
        <v>354</v>
      </c>
      <c r="F20">
        <v>35</v>
      </c>
      <c r="G20">
        <v>5553</v>
      </c>
      <c r="H20">
        <v>10897</v>
      </c>
      <c r="I20">
        <v>20984</v>
      </c>
      <c r="J20">
        <v>1335</v>
      </c>
      <c r="K20">
        <v>39063</v>
      </c>
      <c r="L20" s="3">
        <f t="shared" si="0"/>
        <v>14.215498041625066</v>
      </c>
      <c r="M20" s="3">
        <f t="shared" si="1"/>
        <v>27.895962931674472</v>
      </c>
      <c r="N20" s="3">
        <f t="shared" si="2"/>
        <v>53.71835240508922</v>
      </c>
      <c r="O20" s="3">
        <f t="shared" si="3"/>
        <v>3.4175562552799326</v>
      </c>
      <c r="P20">
        <v>44.4</v>
      </c>
      <c r="Q20">
        <v>25.3</v>
      </c>
      <c r="R20">
        <v>25.6</v>
      </c>
      <c r="S20">
        <v>3.8</v>
      </c>
      <c r="T20">
        <f t="shared" si="4"/>
        <v>0</v>
      </c>
      <c r="U20">
        <f t="shared" si="5"/>
        <v>0</v>
      </c>
      <c r="V20">
        <f t="shared" si="6"/>
        <v>1</v>
      </c>
      <c r="W20">
        <f t="shared" si="7"/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f t="shared" si="16"/>
        <v>1</v>
      </c>
      <c r="AJ20">
        <v>0</v>
      </c>
      <c r="AK20">
        <v>0</v>
      </c>
      <c r="AL20">
        <v>0</v>
      </c>
      <c r="AW20" s="8">
        <f t="shared" si="8"/>
        <v>4.2979658061510584</v>
      </c>
      <c r="AX20" s="8">
        <f t="shared" si="9"/>
        <v>46.15018887136187</v>
      </c>
      <c r="AY20" s="8">
        <f t="shared" si="10"/>
        <v>44.515797718969566</v>
      </c>
      <c r="AZ20" s="8">
        <f t="shared" si="11"/>
        <v>3.0048920096189184</v>
      </c>
      <c r="BA20" s="8">
        <f t="shared" si="17"/>
        <v>97.968844406101411</v>
      </c>
      <c r="BD20" s="3">
        <f t="array" ref="BD20">MIN(100,MAX(0,L20-AJ20*5+AQ$16*(AP$27*T20+SUMPRODUCT($X20:$AH20,TRANSPOSE(AP$28:AP$38)))+AR$16*(AP$39*T20+SUMPRODUCT($X20:$AH20,TRANSPOSE(AP$40:AP$50)))+AS$16*(AP$51*T20+SUMPRODUCT($X20:$AH20,TRANSPOSE(AP$52:AP$62)))))</f>
        <v>4.2979658061510584</v>
      </c>
      <c r="BE20" s="3">
        <f t="array" ref="BE20">MIN(100,MAX(0,M20-AK20*5+AP$17*(AQ$27*U20+SUMPRODUCT($X20:$AH20,TRANSPOSE(AQ$28:AQ$38)))+AR$17*(AQ$39*U20+SUMPRODUCT($X20:$AH20,TRANSPOSE(AQ$40:AQ$50)))+AS$17*(AQ$51*U20+SUMPRODUCT($X20:$AH20,TRANSPOSE(AQ$52:AQ$62)))))</f>
        <v>46.15018887136187</v>
      </c>
      <c r="BF20" s="3">
        <f t="array" ref="BF20">MIN(100,MAX(0,N20-AL20*5+AP$18*(AR$27*V20+SUMPRODUCT($X20:$AH20,TRANSPOSE(AR$28:AR$38)))+AQ$18*(AR$39*V20+SUMPRODUCT($X20:$AH20,TRANSPOSE(AR$40:AR$50)))+AS$18*(AR$51*V20+SUMPRODUCT($X20:$AH20,TRANSPOSE(AR$52:AR$62)))))</f>
        <v>44.515797718969566</v>
      </c>
      <c r="BG20" s="3">
        <f t="array" ref="BG20">MIN(100,MAX(0,O20+AP$19*(AS$27*W20+SUMPRODUCT($X20:$AH20,TRANSPOSE(AS$28:AS$38)))+AQ$19*(AS$39*W20+SUMPRODUCT($X20:$AH20,TRANSPOSE(AS$40:AS$50)))+AR$19*(AS$51*W20+SUMPRODUCT($X20:$AH20,TRANSPOSE(AS$52:AS$62)))))</f>
        <v>3.0048920096189184</v>
      </c>
      <c r="BJ20">
        <f t="shared" si="18"/>
        <v>0</v>
      </c>
      <c r="BK20">
        <f t="shared" si="19"/>
        <v>1</v>
      </c>
      <c r="BL20">
        <f t="shared" si="20"/>
        <v>0</v>
      </c>
      <c r="BM20">
        <f t="shared" si="21"/>
        <v>0</v>
      </c>
      <c r="BP20">
        <f t="shared" si="12"/>
        <v>0</v>
      </c>
      <c r="BQ20">
        <f t="shared" si="13"/>
        <v>1</v>
      </c>
      <c r="BR20">
        <f t="shared" si="14"/>
        <v>1</v>
      </c>
      <c r="BS20">
        <f t="shared" si="15"/>
        <v>0</v>
      </c>
    </row>
    <row r="21" spans="1:71">
      <c r="A21" t="s">
        <v>11</v>
      </c>
      <c r="B21" t="s">
        <v>158</v>
      </c>
      <c r="C21" t="s">
        <v>158</v>
      </c>
      <c r="D21">
        <v>35019</v>
      </c>
      <c r="E21">
        <v>3512</v>
      </c>
      <c r="F21">
        <v>35</v>
      </c>
      <c r="G21">
        <v>12794</v>
      </c>
      <c r="H21">
        <v>13503</v>
      </c>
      <c r="I21">
        <v>7694</v>
      </c>
      <c r="J21">
        <v>994</v>
      </c>
      <c r="K21">
        <v>35172</v>
      </c>
      <c r="L21" s="3">
        <f t="shared" si="0"/>
        <v>36.375525986580229</v>
      </c>
      <c r="M21" s="3">
        <f t="shared" si="1"/>
        <v>38.391334015694298</v>
      </c>
      <c r="N21" s="3">
        <f t="shared" si="2"/>
        <v>21.875355396337994</v>
      </c>
      <c r="O21" s="3">
        <f t="shared" si="3"/>
        <v>2.8261116797452521</v>
      </c>
      <c r="P21">
        <v>44.4</v>
      </c>
      <c r="Q21">
        <v>25.3</v>
      </c>
      <c r="R21">
        <v>25.6</v>
      </c>
      <c r="S21">
        <v>3.8</v>
      </c>
      <c r="T21">
        <f t="shared" si="4"/>
        <v>0</v>
      </c>
      <c r="U21">
        <f t="shared" si="5"/>
        <v>1</v>
      </c>
      <c r="V21">
        <f t="shared" si="6"/>
        <v>0</v>
      </c>
      <c r="W21">
        <f t="shared" si="7"/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f t="shared" si="16"/>
        <v>1</v>
      </c>
      <c r="AJ21">
        <v>0</v>
      </c>
      <c r="AK21">
        <v>0</v>
      </c>
      <c r="AL21">
        <v>0</v>
      </c>
      <c r="AO21" t="s">
        <v>3</v>
      </c>
      <c r="AP21" s="3">
        <f>AW124</f>
        <v>33.598494867222946</v>
      </c>
      <c r="AQ21" s="3">
        <f>AX124</f>
        <v>43.320330513873763</v>
      </c>
      <c r="AR21" s="3">
        <f>AY124</f>
        <v>18.798416916070675</v>
      </c>
      <c r="AS21" s="3">
        <f>AZ124</f>
        <v>3.1487058452711802</v>
      </c>
      <c r="AW21" s="8">
        <f t="shared" si="8"/>
        <v>25.221089451950334</v>
      </c>
      <c r="AX21" s="8">
        <f t="shared" si="9"/>
        <v>57.849397549321885</v>
      </c>
      <c r="AY21" s="8">
        <f t="shared" si="10"/>
        <v>13.199878829056933</v>
      </c>
      <c r="AZ21" s="8">
        <f t="shared" si="11"/>
        <v>2.3671544869860335</v>
      </c>
      <c r="BA21" s="8">
        <f t="shared" si="17"/>
        <v>98.637520317315193</v>
      </c>
      <c r="BD21" s="3">
        <f t="array" ref="BD21">MIN(100,MAX(0,L21-AJ21*5+AQ$16*(AP$27*T21+SUMPRODUCT($X21:$AH21,TRANSPOSE(AP$28:AP$38)))+AR$16*(AP$39*T21+SUMPRODUCT($X21:$AH21,TRANSPOSE(AP$40:AP$50)))+AS$16*(AP$51*T21+SUMPRODUCT($X21:$AH21,TRANSPOSE(AP$52:AP$62)))))</f>
        <v>25.221089451950334</v>
      </c>
      <c r="BE21" s="3">
        <f t="array" ref="BE21">MIN(100,MAX(0,M21-AK21*5+AP$17*(AQ$27*U21+SUMPRODUCT($X21:$AH21,TRANSPOSE(AQ$28:AQ$38)))+AR$17*(AQ$39*U21+SUMPRODUCT($X21:$AH21,TRANSPOSE(AQ$40:AQ$50)))+AS$17*(AQ$51*U21+SUMPRODUCT($X21:$AH21,TRANSPOSE(AQ$52:AQ$62)))))</f>
        <v>57.849397549321885</v>
      </c>
      <c r="BF21" s="3">
        <f t="array" ref="BF21">MIN(100,MAX(0,N21-AL21*5+AP$18*(AR$27*V21+SUMPRODUCT($X21:$AH21,TRANSPOSE(AR$28:AR$38)))+AQ$18*(AR$39*V21+SUMPRODUCT($X21:$AH21,TRANSPOSE(AR$40:AR$50)))+AS$18*(AR$51*V21+SUMPRODUCT($X21:$AH21,TRANSPOSE(AR$52:AR$62)))))</f>
        <v>13.199878829056933</v>
      </c>
      <c r="BG21" s="3">
        <f t="array" ref="BG21">MIN(100,MAX(0,O21+AP$19*(AS$27*W21+SUMPRODUCT($X21:$AH21,TRANSPOSE(AS$28:AS$38)))+AQ$19*(AS$39*W21+SUMPRODUCT($X21:$AH21,TRANSPOSE(AS$40:AS$50)))+AR$19*(AS$51*W21+SUMPRODUCT($X21:$AH21,TRANSPOSE(AS$52:AS$62)))))</f>
        <v>2.3671544869860335</v>
      </c>
      <c r="BJ21">
        <f t="shared" si="18"/>
        <v>0</v>
      </c>
      <c r="BK21">
        <f t="shared" si="19"/>
        <v>1</v>
      </c>
      <c r="BL21">
        <f t="shared" si="20"/>
        <v>0</v>
      </c>
      <c r="BM21">
        <f t="shared" si="21"/>
        <v>0</v>
      </c>
      <c r="BP21">
        <f t="shared" si="12"/>
        <v>0</v>
      </c>
      <c r="BQ21">
        <f t="shared" si="13"/>
        <v>1</v>
      </c>
      <c r="BR21">
        <f t="shared" si="14"/>
        <v>0</v>
      </c>
      <c r="BS21">
        <f t="shared" si="15"/>
        <v>0</v>
      </c>
    </row>
    <row r="22" spans="1:71">
      <c r="A22" t="s">
        <v>11</v>
      </c>
      <c r="B22" t="s">
        <v>159</v>
      </c>
      <c r="C22" t="s">
        <v>159</v>
      </c>
      <c r="D22">
        <v>35020</v>
      </c>
      <c r="E22">
        <v>356</v>
      </c>
      <c r="F22">
        <v>35</v>
      </c>
      <c r="G22">
        <v>15801</v>
      </c>
      <c r="H22">
        <v>14625</v>
      </c>
      <c r="I22">
        <v>8129</v>
      </c>
      <c r="J22">
        <v>516</v>
      </c>
      <c r="K22">
        <v>39214</v>
      </c>
      <c r="L22" s="3">
        <f t="shared" si="0"/>
        <v>40.294282654154131</v>
      </c>
      <c r="M22" s="3">
        <f t="shared" si="1"/>
        <v>37.295353700209112</v>
      </c>
      <c r="N22" s="3">
        <f t="shared" si="2"/>
        <v>20.729841383179476</v>
      </c>
      <c r="O22" s="3">
        <f t="shared" si="3"/>
        <v>1.3158565818330188</v>
      </c>
      <c r="P22">
        <v>44.4</v>
      </c>
      <c r="Q22">
        <v>25.3</v>
      </c>
      <c r="R22">
        <v>25.6</v>
      </c>
      <c r="S22">
        <v>3.8</v>
      </c>
      <c r="T22">
        <f t="shared" si="4"/>
        <v>1</v>
      </c>
      <c r="U22">
        <f t="shared" si="5"/>
        <v>0</v>
      </c>
      <c r="V22">
        <f t="shared" si="6"/>
        <v>0</v>
      </c>
      <c r="W22">
        <f t="shared" si="7"/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f t="shared" si="16"/>
        <v>1</v>
      </c>
      <c r="AJ22">
        <v>0</v>
      </c>
      <c r="AK22">
        <v>0</v>
      </c>
      <c r="AL22">
        <v>0</v>
      </c>
      <c r="AO22" t="s">
        <v>425</v>
      </c>
      <c r="AP22">
        <f>BJ124</f>
        <v>42</v>
      </c>
      <c r="AQ22">
        <f>BK124</f>
        <v>64</v>
      </c>
      <c r="AR22">
        <f>BL124</f>
        <v>15</v>
      </c>
      <c r="AS22">
        <f>BM124</f>
        <v>0</v>
      </c>
      <c r="AW22" s="8">
        <f t="shared" si="8"/>
        <v>29.139846119524236</v>
      </c>
      <c r="AX22" s="8">
        <f t="shared" si="9"/>
        <v>58.167425281734211</v>
      </c>
      <c r="AY22" s="8">
        <f t="shared" si="10"/>
        <v>12.054364815898415</v>
      </c>
      <c r="AZ22" s="8">
        <f t="shared" si="11"/>
        <v>0.85689938907380014</v>
      </c>
      <c r="BA22" s="8">
        <f t="shared" si="17"/>
        <v>100.21853560623066</v>
      </c>
      <c r="BD22" s="3">
        <f t="array" ref="BD22">MIN(100,MAX(0,L22-AJ22*5+AQ$16*(AP$27*T22+SUMPRODUCT($X22:$AH22,TRANSPOSE(AP$28:AP$38)))+AR$16*(AP$39*T22+SUMPRODUCT($X22:$AH22,TRANSPOSE(AP$40:AP$50)))+AS$16*(AP$51*T22+SUMPRODUCT($X22:$AH22,TRANSPOSE(AP$52:AP$62)))))</f>
        <v>29.139846119524236</v>
      </c>
      <c r="BE22" s="3">
        <f t="array" ref="BE22">MIN(100,MAX(0,M22-AK22*5+AP$17*(AQ$27*U22+SUMPRODUCT($X22:$AH22,TRANSPOSE(AQ$28:AQ$38)))+AR$17*(AQ$39*U22+SUMPRODUCT($X22:$AH22,TRANSPOSE(AQ$40:AQ$50)))+AS$17*(AQ$51*U22+SUMPRODUCT($X22:$AH22,TRANSPOSE(AQ$52:AQ$62)))))</f>
        <v>58.167425281734211</v>
      </c>
      <c r="BF22" s="3">
        <f t="array" ref="BF22">MIN(100,MAX(0,N22-AL22*5+AP$18*(AR$27*V22+SUMPRODUCT($X22:$AH22,TRANSPOSE(AR$28:AR$38)))+AQ$18*(AR$39*V22+SUMPRODUCT($X22:$AH22,TRANSPOSE(AR$40:AR$50)))+AS$18*(AR$51*V22+SUMPRODUCT($X22:$AH22,TRANSPOSE(AR$52:AR$62)))))</f>
        <v>12.054364815898415</v>
      </c>
      <c r="BG22" s="3">
        <f t="array" ref="BG22">MIN(100,MAX(0,O22+AP$19*(AS$27*W22+SUMPRODUCT($X22:$AH22,TRANSPOSE(AS$28:AS$38)))+AQ$19*(AS$39*W22+SUMPRODUCT($X22:$AH22,TRANSPOSE(AS$40:AS$50)))+AR$19*(AS$51*W22+SUMPRODUCT($X22:$AH22,TRANSPOSE(AS$52:AS$62)))))</f>
        <v>0.85689938907380014</v>
      </c>
      <c r="BJ22">
        <f t="shared" si="18"/>
        <v>0</v>
      </c>
      <c r="BK22">
        <f t="shared" si="19"/>
        <v>1</v>
      </c>
      <c r="BL22">
        <f t="shared" si="20"/>
        <v>0</v>
      </c>
      <c r="BM22">
        <f t="shared" si="21"/>
        <v>0</v>
      </c>
      <c r="BP22">
        <f t="shared" si="12"/>
        <v>0</v>
      </c>
      <c r="BQ22">
        <f t="shared" si="13"/>
        <v>1</v>
      </c>
      <c r="BR22">
        <f t="shared" si="14"/>
        <v>0</v>
      </c>
      <c r="BS22">
        <f t="shared" si="15"/>
        <v>0</v>
      </c>
    </row>
    <row r="23" spans="1:71">
      <c r="A23" t="s">
        <v>11</v>
      </c>
      <c r="B23" t="s">
        <v>160</v>
      </c>
      <c r="C23" t="s">
        <v>160</v>
      </c>
      <c r="D23">
        <v>35021</v>
      </c>
      <c r="E23">
        <v>356</v>
      </c>
      <c r="F23">
        <v>35</v>
      </c>
      <c r="G23">
        <v>19893</v>
      </c>
      <c r="H23">
        <v>18805</v>
      </c>
      <c r="I23">
        <v>4871</v>
      </c>
      <c r="J23">
        <v>1616</v>
      </c>
      <c r="K23">
        <v>45325</v>
      </c>
      <c r="L23" s="3">
        <f t="shared" si="0"/>
        <v>43.889685603971316</v>
      </c>
      <c r="M23" s="3">
        <f t="shared" si="1"/>
        <v>41.489244346387203</v>
      </c>
      <c r="N23" s="3">
        <f t="shared" si="2"/>
        <v>10.746828461114175</v>
      </c>
      <c r="O23" s="3">
        <f t="shared" si="3"/>
        <v>3.5653612796469938</v>
      </c>
      <c r="P23">
        <v>44.4</v>
      </c>
      <c r="Q23">
        <v>25.3</v>
      </c>
      <c r="R23">
        <v>25.6</v>
      </c>
      <c r="S23">
        <v>3.8</v>
      </c>
      <c r="T23">
        <f t="shared" si="4"/>
        <v>1</v>
      </c>
      <c r="U23">
        <f t="shared" si="5"/>
        <v>0</v>
      </c>
      <c r="V23">
        <f t="shared" si="6"/>
        <v>0</v>
      </c>
      <c r="W23">
        <f t="shared" si="7"/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f t="shared" si="16"/>
        <v>1</v>
      </c>
      <c r="AJ23">
        <v>0</v>
      </c>
      <c r="AK23">
        <v>0</v>
      </c>
      <c r="AL23">
        <v>0</v>
      </c>
      <c r="AW23" s="8">
        <f t="shared" si="8"/>
        <v>32.735249069341421</v>
      </c>
      <c r="AX23" s="8">
        <f t="shared" si="9"/>
        <v>62.361315927912301</v>
      </c>
      <c r="AY23" s="8">
        <f t="shared" si="10"/>
        <v>2.0713518938331141</v>
      </c>
      <c r="AZ23" s="8">
        <f t="shared" si="11"/>
        <v>3.1064040868877751</v>
      </c>
      <c r="BA23" s="8">
        <f t="shared" si="17"/>
        <v>100.27432097797461</v>
      </c>
      <c r="BD23" s="3">
        <f t="array" ref="BD23">MIN(100,MAX(0,L23-AJ23*5+AQ$16*(AP$27*T23+SUMPRODUCT($X23:$AH23,TRANSPOSE(AP$28:AP$38)))+AR$16*(AP$39*T23+SUMPRODUCT($X23:$AH23,TRANSPOSE(AP$40:AP$50)))+AS$16*(AP$51*T23+SUMPRODUCT($X23:$AH23,TRANSPOSE(AP$52:AP$62)))))</f>
        <v>32.735249069341421</v>
      </c>
      <c r="BE23" s="3">
        <f t="array" ref="BE23">MIN(100,MAX(0,M23-AK23*5+AP$17*(AQ$27*U23+SUMPRODUCT($X23:$AH23,TRANSPOSE(AQ$28:AQ$38)))+AR$17*(AQ$39*U23+SUMPRODUCT($X23:$AH23,TRANSPOSE(AQ$40:AQ$50)))+AS$17*(AQ$51*U23+SUMPRODUCT($X23:$AH23,TRANSPOSE(AQ$52:AQ$62)))))</f>
        <v>62.361315927912301</v>
      </c>
      <c r="BF23" s="3">
        <f t="array" ref="BF23">MIN(100,MAX(0,N23-AL23*5+AP$18*(AR$27*V23+SUMPRODUCT($X23:$AH23,TRANSPOSE(AR$28:AR$38)))+AQ$18*(AR$39*V23+SUMPRODUCT($X23:$AH23,TRANSPOSE(AR$40:AR$50)))+AS$18*(AR$51*V23+SUMPRODUCT($X23:$AH23,TRANSPOSE(AR$52:AR$62)))))</f>
        <v>2.0713518938331141</v>
      </c>
      <c r="BG23" s="3">
        <f t="array" ref="BG23">MIN(100,MAX(0,O23+AP$19*(AS$27*W23+SUMPRODUCT($X23:$AH23,TRANSPOSE(AS$28:AS$38)))+AQ$19*(AS$39*W23+SUMPRODUCT($X23:$AH23,TRANSPOSE(AS$40:AS$50)))+AR$19*(AS$51*W23+SUMPRODUCT($X23:$AH23,TRANSPOSE(AS$52:AS$62)))))</f>
        <v>3.1064040868877751</v>
      </c>
      <c r="BJ23">
        <f t="shared" si="18"/>
        <v>0</v>
      </c>
      <c r="BK23">
        <f t="shared" si="19"/>
        <v>1</v>
      </c>
      <c r="BL23">
        <f t="shared" si="20"/>
        <v>0</v>
      </c>
      <c r="BM23">
        <f t="shared" si="21"/>
        <v>0</v>
      </c>
      <c r="BP23">
        <f t="shared" si="12"/>
        <v>0</v>
      </c>
      <c r="BQ23">
        <f t="shared" si="13"/>
        <v>1</v>
      </c>
      <c r="BR23">
        <f t="shared" si="14"/>
        <v>0</v>
      </c>
      <c r="BS23">
        <f t="shared" si="15"/>
        <v>0</v>
      </c>
    </row>
    <row r="24" spans="1:71">
      <c r="A24" t="s">
        <v>11</v>
      </c>
      <c r="B24" t="s">
        <v>161</v>
      </c>
      <c r="C24" t="s">
        <v>550</v>
      </c>
      <c r="D24">
        <v>35022</v>
      </c>
      <c r="E24">
        <v>3512</v>
      </c>
      <c r="F24">
        <v>35</v>
      </c>
      <c r="G24">
        <v>28651</v>
      </c>
      <c r="H24">
        <v>6362</v>
      </c>
      <c r="I24">
        <v>6409</v>
      </c>
      <c r="J24">
        <v>7132</v>
      </c>
      <c r="K24">
        <v>48554</v>
      </c>
      <c r="L24" s="3">
        <f t="shared" si="0"/>
        <v>59.008526588952506</v>
      </c>
      <c r="M24" s="3">
        <f t="shared" si="1"/>
        <v>13.102936936194753</v>
      </c>
      <c r="N24" s="3">
        <f t="shared" si="2"/>
        <v>13.199736375993739</v>
      </c>
      <c r="O24" s="3">
        <f t="shared" si="3"/>
        <v>14.688800098859003</v>
      </c>
      <c r="P24">
        <v>44.4</v>
      </c>
      <c r="Q24">
        <v>25.3</v>
      </c>
      <c r="R24">
        <v>25.6</v>
      </c>
      <c r="S24">
        <v>3.8</v>
      </c>
      <c r="T24">
        <f t="shared" si="4"/>
        <v>1</v>
      </c>
      <c r="U24">
        <f t="shared" si="5"/>
        <v>0</v>
      </c>
      <c r="V24">
        <f t="shared" si="6"/>
        <v>0</v>
      </c>
      <c r="W24">
        <f t="shared" si="7"/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f t="shared" si="16"/>
        <v>0</v>
      </c>
      <c r="AJ24">
        <v>0</v>
      </c>
      <c r="AK24">
        <v>0</v>
      </c>
      <c r="AL24">
        <v>0</v>
      </c>
      <c r="AW24" s="8">
        <f t="shared" si="8"/>
        <v>48.339396330947025</v>
      </c>
      <c r="AX24" s="8">
        <f t="shared" si="9"/>
        <v>31.51846731576514</v>
      </c>
      <c r="AY24" s="8">
        <f t="shared" si="10"/>
        <v>6.3986399445036861</v>
      </c>
      <c r="AZ24" s="8">
        <f t="shared" si="11"/>
        <v>13.633137678987577</v>
      </c>
      <c r="BA24" s="8">
        <f t="shared" si="17"/>
        <v>99.889641270203427</v>
      </c>
      <c r="BD24" s="3">
        <f t="array" ref="BD24">MIN(100,MAX(0,L24-AJ24*5+AQ$16*(AP$27*T24+SUMPRODUCT($X24:$AH24,TRANSPOSE(AP$28:AP$38)))+AR$16*(AP$39*T24+SUMPRODUCT($X24:$AH24,TRANSPOSE(AP$40:AP$50)))+AS$16*(AP$51*T24+SUMPRODUCT($X24:$AH24,TRANSPOSE(AP$52:AP$62)))))</f>
        <v>48.339396330947025</v>
      </c>
      <c r="BE24" s="3">
        <f t="array" ref="BE24">MIN(100,MAX(0,M24-AK24*5+AP$17*(AQ$27*U24+SUMPRODUCT($X24:$AH24,TRANSPOSE(AQ$28:AQ$38)))+AR$17*(AQ$39*U24+SUMPRODUCT($X24:$AH24,TRANSPOSE(AQ$40:AQ$50)))+AS$17*(AQ$51*U24+SUMPRODUCT($X24:$AH24,TRANSPOSE(AQ$52:AQ$62)))))</f>
        <v>31.51846731576514</v>
      </c>
      <c r="BF24" s="3">
        <f t="array" ref="BF24">MIN(100,MAX(0,N24-AL24*5+AP$18*(AR$27*V24+SUMPRODUCT($X24:$AH24,TRANSPOSE(AR$28:AR$38)))+AQ$18*(AR$39*V24+SUMPRODUCT($X24:$AH24,TRANSPOSE(AR$40:AR$50)))+AS$18*(AR$51*V24+SUMPRODUCT($X24:$AH24,TRANSPOSE(AR$52:AR$62)))))</f>
        <v>6.3986399445036861</v>
      </c>
      <c r="BG24" s="3">
        <f t="array" ref="BG24">MIN(100,MAX(0,O24+AP$19*(AS$27*W24+SUMPRODUCT($X24:$AH24,TRANSPOSE(AS$28:AS$38)))+AQ$19*(AS$39*W24+SUMPRODUCT($X24:$AH24,TRANSPOSE(AS$40:AS$50)))+AR$19*(AS$51*W24+SUMPRODUCT($X24:$AH24,TRANSPOSE(AS$52:AS$62)))))</f>
        <v>14.258057743701563</v>
      </c>
      <c r="BJ24">
        <f t="shared" si="18"/>
        <v>1</v>
      </c>
      <c r="BK24">
        <f t="shared" si="19"/>
        <v>0</v>
      </c>
      <c r="BL24">
        <f t="shared" si="20"/>
        <v>0</v>
      </c>
      <c r="BM24">
        <f t="shared" si="21"/>
        <v>0</v>
      </c>
      <c r="BP24">
        <f t="shared" si="12"/>
        <v>1</v>
      </c>
      <c r="BQ24">
        <f t="shared" si="13"/>
        <v>0</v>
      </c>
      <c r="BR24">
        <f t="shared" si="14"/>
        <v>0</v>
      </c>
      <c r="BS24">
        <f t="shared" si="15"/>
        <v>1</v>
      </c>
    </row>
    <row r="25" spans="1:71">
      <c r="A25" t="s">
        <v>11</v>
      </c>
      <c r="B25" t="s">
        <v>162</v>
      </c>
      <c r="C25" t="s">
        <v>162</v>
      </c>
      <c r="D25">
        <v>35023</v>
      </c>
      <c r="E25">
        <v>3512</v>
      </c>
      <c r="F25">
        <v>35</v>
      </c>
      <c r="G25">
        <v>27900</v>
      </c>
      <c r="H25">
        <v>7857</v>
      </c>
      <c r="I25">
        <v>12011</v>
      </c>
      <c r="J25">
        <v>2307</v>
      </c>
      <c r="K25">
        <v>50575</v>
      </c>
      <c r="L25" s="3">
        <f t="shared" si="0"/>
        <v>55.165595650024713</v>
      </c>
      <c r="M25" s="3">
        <f t="shared" si="1"/>
        <v>15.535343549184381</v>
      </c>
      <c r="N25" s="3">
        <f t="shared" si="2"/>
        <v>23.748887790410279</v>
      </c>
      <c r="O25" s="3">
        <f t="shared" si="3"/>
        <v>4.5615422639644088</v>
      </c>
      <c r="P25">
        <v>44.4</v>
      </c>
      <c r="Q25">
        <v>25.3</v>
      </c>
      <c r="R25">
        <v>25.6</v>
      </c>
      <c r="S25">
        <v>3.8</v>
      </c>
      <c r="T25">
        <f t="shared" si="4"/>
        <v>1</v>
      </c>
      <c r="U25">
        <f t="shared" si="5"/>
        <v>0</v>
      </c>
      <c r="V25">
        <f t="shared" si="6"/>
        <v>0</v>
      </c>
      <c r="W25">
        <f t="shared" si="7"/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f t="shared" si="16"/>
        <v>0</v>
      </c>
      <c r="AJ25">
        <v>0</v>
      </c>
      <c r="AK25">
        <v>0</v>
      </c>
      <c r="AL25">
        <v>0</v>
      </c>
      <c r="AO25" t="s">
        <v>551</v>
      </c>
      <c r="AW25" s="8">
        <f t="shared" si="8"/>
        <v>46.358840290375085</v>
      </c>
      <c r="AX25" s="8">
        <f t="shared" si="9"/>
        <v>30.99267417368662</v>
      </c>
      <c r="AY25" s="8">
        <f t="shared" si="10"/>
        <v>17.913073769883049</v>
      </c>
      <c r="AZ25" s="8">
        <f t="shared" si="11"/>
        <v>4.1334922361018256</v>
      </c>
      <c r="BA25" s="8">
        <f t="shared" si="17"/>
        <v>99.39808047004658</v>
      </c>
      <c r="BD25" s="3">
        <f t="array" ref="BD25">MIN(100,MAX(0,L25-AJ25*5+AQ$16*(AP$27*T25+SUMPRODUCT($X25:$AH25,TRANSPOSE(AP$28:AP$38)))+AR$16*(AP$39*T25+SUMPRODUCT($X25:$AH25,TRANSPOSE(AP$40:AP$50)))+AS$16*(AP$51*T25+SUMPRODUCT($X25:$AH25,TRANSPOSE(AP$52:AP$62)))))</f>
        <v>46.358840290375085</v>
      </c>
      <c r="BE25" s="3">
        <f t="array" ref="BE25">MIN(100,MAX(0,M25-AK25*5+AP$17*(AQ$27*U25+SUMPRODUCT($X25:$AH25,TRANSPOSE(AQ$28:AQ$38)))+AR$17*(AQ$39*U25+SUMPRODUCT($X25:$AH25,TRANSPOSE(AQ$40:AQ$50)))+AS$17*(AQ$51*U25+SUMPRODUCT($X25:$AH25,TRANSPOSE(AQ$52:AQ$62)))))</f>
        <v>30.99267417368662</v>
      </c>
      <c r="BF25" s="3">
        <f t="array" ref="BF25">MIN(100,MAX(0,N25-AL25*5+AP$18*(AR$27*V25+SUMPRODUCT($X25:$AH25,TRANSPOSE(AR$28:AR$38)))+AQ$18*(AR$39*V25+SUMPRODUCT($X25:$AH25,TRANSPOSE(AR$40:AR$50)))+AS$18*(AR$51*V25+SUMPRODUCT($X25:$AH25,TRANSPOSE(AR$52:AR$62)))))</f>
        <v>17.913073769883049</v>
      </c>
      <c r="BG25" s="3">
        <f t="array" ref="BG25">MIN(100,MAX(0,O25+AP$19*(AS$27*W25+SUMPRODUCT($X25:$AH25,TRANSPOSE(AS$28:AS$38)))+AQ$19*(AS$39*W25+SUMPRODUCT($X25:$AH25,TRANSPOSE(AS$40:AS$50)))+AR$19*(AS$51*W25+SUMPRODUCT($X25:$AH25,TRANSPOSE(AS$52:AS$62)))))</f>
        <v>4.1786852068367688</v>
      </c>
      <c r="BJ25">
        <f t="shared" si="18"/>
        <v>1</v>
      </c>
      <c r="BK25">
        <f t="shared" si="19"/>
        <v>0</v>
      </c>
      <c r="BL25">
        <f t="shared" si="20"/>
        <v>0</v>
      </c>
      <c r="BM25">
        <f t="shared" si="21"/>
        <v>0</v>
      </c>
      <c r="BP25">
        <f t="shared" si="12"/>
        <v>1</v>
      </c>
      <c r="BQ25">
        <f t="shared" si="13"/>
        <v>0</v>
      </c>
      <c r="BR25">
        <f t="shared" si="14"/>
        <v>0</v>
      </c>
      <c r="BS25">
        <f t="shared" si="15"/>
        <v>1</v>
      </c>
    </row>
    <row r="26" spans="1:71">
      <c r="A26" t="s">
        <v>11</v>
      </c>
      <c r="B26" t="s">
        <v>163</v>
      </c>
      <c r="C26" t="s">
        <v>552</v>
      </c>
      <c r="D26">
        <v>35024</v>
      </c>
      <c r="E26">
        <v>3512</v>
      </c>
      <c r="F26">
        <v>35</v>
      </c>
      <c r="G26">
        <v>22652</v>
      </c>
      <c r="H26">
        <v>18590</v>
      </c>
      <c r="I26">
        <v>5613</v>
      </c>
      <c r="J26">
        <v>1534</v>
      </c>
      <c r="K26">
        <v>48389</v>
      </c>
      <c r="L26" s="3">
        <f t="shared" si="0"/>
        <v>46.812292049846036</v>
      </c>
      <c r="M26" s="3">
        <f t="shared" si="1"/>
        <v>38.417822232325527</v>
      </c>
      <c r="N26" s="3">
        <f t="shared" si="2"/>
        <v>11.599743743412759</v>
      </c>
      <c r="O26" s="3">
        <f t="shared" si="3"/>
        <v>3.1701419744156731</v>
      </c>
      <c r="P26">
        <v>44.4</v>
      </c>
      <c r="Q26">
        <v>25.3</v>
      </c>
      <c r="R26">
        <v>25.6</v>
      </c>
      <c r="T26">
        <f t="shared" si="4"/>
        <v>1</v>
      </c>
      <c r="U26">
        <f t="shared" si="5"/>
        <v>0</v>
      </c>
      <c r="V26">
        <f t="shared" si="6"/>
        <v>0</v>
      </c>
      <c r="W26">
        <f t="shared" si="7"/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f t="shared" si="16"/>
        <v>1</v>
      </c>
      <c r="AJ26">
        <v>0</v>
      </c>
      <c r="AK26">
        <v>0</v>
      </c>
      <c r="AL26">
        <v>0</v>
      </c>
      <c r="AP26" t="s">
        <v>478</v>
      </c>
      <c r="AQ26" t="s">
        <v>479</v>
      </c>
      <c r="AR26" t="s">
        <v>480</v>
      </c>
      <c r="AS26" t="s">
        <v>481</v>
      </c>
      <c r="AW26" s="8">
        <f t="shared" si="8"/>
        <v>36.89475981437203</v>
      </c>
      <c r="AX26" s="8">
        <f t="shared" si="9"/>
        <v>51.672048172012929</v>
      </c>
      <c r="AY26" s="8">
        <f t="shared" si="10"/>
        <v>10.185768498548946</v>
      </c>
      <c r="AZ26" s="8">
        <f t="shared" si="11"/>
        <v>2.757477728754659</v>
      </c>
      <c r="BA26" s="8">
        <f t="shared" si="17"/>
        <v>101.51005421368858</v>
      </c>
      <c r="BD26" s="3">
        <f t="array" ref="BD26">MIN(100,MAX(0,L26-AJ26*5+AQ$16*(AP$27*T26+SUMPRODUCT($X26:$AH26,TRANSPOSE(AP$28:AP$38)))+AR$16*(AP$39*T26+SUMPRODUCT($X26:$AH26,TRANSPOSE(AP$40:AP$50)))+AS$16*(AP$51*T26+SUMPRODUCT($X26:$AH26,TRANSPOSE(AP$52:AP$62)))))</f>
        <v>36.89475981437203</v>
      </c>
      <c r="BE26" s="43">
        <f t="array" ref="BE26">MIN(100,MAX(0,M26-5-AK26*5+AP$17*(AQ$27*U26+SUMPRODUCT($X26:$AH26,TRANSPOSE(AQ$28:AQ$38)))+AR$17*(AQ$39*U26+SUMPRODUCT($X26:$AH26,TRANSPOSE(AQ$40:AQ$50)))+AS$17*(AQ$51*U26+SUMPRODUCT($X26:$AH26,TRANSPOSE(AQ$52:AQ$62)))))</f>
        <v>51.672048172012929</v>
      </c>
      <c r="BF26" s="43">
        <f t="array" ref="BF26">MIN(100,MAX(0,N26+6-AL26*5+AP$18*(AR$27*V26+SUMPRODUCT($X26:$AH26,TRANSPOSE(AR$28:AR$38)))+AQ$18*(AR$39*V26+SUMPRODUCT($X26:$AH26,TRANSPOSE(AR$40:AR$50)))+AS$18*(AR$51*V26+SUMPRODUCT($X26:$AH26,TRANSPOSE(AR$52:AR$62)))))</f>
        <v>10.185768498548946</v>
      </c>
      <c r="BG26" s="3">
        <f t="array" ref="BG26">MIN(100,MAX(0,O26+AP$19*(AS$27*W26+SUMPRODUCT($X26:$AH26,TRANSPOSE(AS$28:AS$38)))+AQ$19*(AS$39*W26+SUMPRODUCT($X26:$AH26,TRANSPOSE(AS$40:AS$50)))+AR$19*(AS$51*W26+SUMPRODUCT($X26:$AH26,TRANSPOSE(AS$52:AS$62)))))</f>
        <v>2.757477728754659</v>
      </c>
      <c r="BJ26">
        <f t="shared" si="18"/>
        <v>0</v>
      </c>
      <c r="BK26">
        <f t="shared" si="19"/>
        <v>1</v>
      </c>
      <c r="BL26">
        <f t="shared" si="20"/>
        <v>0</v>
      </c>
      <c r="BM26">
        <f t="shared" si="21"/>
        <v>0</v>
      </c>
      <c r="BP26">
        <f t="shared" si="12"/>
        <v>1</v>
      </c>
      <c r="BQ26">
        <f t="shared" si="13"/>
        <v>1</v>
      </c>
      <c r="BR26">
        <f t="shared" si="14"/>
        <v>0</v>
      </c>
      <c r="BS26">
        <f t="shared" si="15"/>
        <v>0</v>
      </c>
    </row>
    <row r="27" spans="1:71">
      <c r="A27" t="s">
        <v>11</v>
      </c>
      <c r="B27" t="s">
        <v>164</v>
      </c>
      <c r="C27" t="s">
        <v>553</v>
      </c>
      <c r="D27">
        <v>35025</v>
      </c>
      <c r="E27">
        <v>353</v>
      </c>
      <c r="F27">
        <v>35</v>
      </c>
      <c r="G27">
        <v>28387</v>
      </c>
      <c r="H27">
        <v>6559</v>
      </c>
      <c r="I27">
        <v>11774</v>
      </c>
      <c r="J27">
        <v>1478</v>
      </c>
      <c r="K27">
        <v>48898</v>
      </c>
      <c r="L27" s="3">
        <f t="shared" si="0"/>
        <v>58.053499120618433</v>
      </c>
      <c r="M27" s="3">
        <f t="shared" si="1"/>
        <v>13.41363654955213</v>
      </c>
      <c r="N27" s="3">
        <f t="shared" si="2"/>
        <v>24.078694425129861</v>
      </c>
      <c r="O27" s="3">
        <f t="shared" si="3"/>
        <v>3.022618512004581</v>
      </c>
      <c r="P27">
        <v>44.4</v>
      </c>
      <c r="Q27">
        <v>25.3</v>
      </c>
      <c r="R27">
        <v>25.6</v>
      </c>
      <c r="S27">
        <v>3.8</v>
      </c>
      <c r="T27" s="54">
        <v>0</v>
      </c>
      <c r="U27">
        <f t="shared" si="5"/>
        <v>0</v>
      </c>
      <c r="V27">
        <f t="shared" si="6"/>
        <v>0</v>
      </c>
      <c r="W27">
        <f t="shared" si="7"/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f t="shared" si="16"/>
        <v>0</v>
      </c>
      <c r="AJ27">
        <v>1</v>
      </c>
      <c r="AK27">
        <v>0</v>
      </c>
      <c r="AL27">
        <v>0</v>
      </c>
      <c r="AO27" t="s">
        <v>429</v>
      </c>
      <c r="AP27" s="25">
        <f>AP130</f>
        <v>0</v>
      </c>
      <c r="AQ27" s="42">
        <f t="shared" ref="AQ27:AS27" si="22">AQ130</f>
        <v>-7.8791399999999998E-2</v>
      </c>
      <c r="AR27" s="42">
        <f t="shared" si="22"/>
        <v>0.25995269999999998</v>
      </c>
      <c r="AS27" s="42">
        <f t="shared" si="22"/>
        <v>0</v>
      </c>
      <c r="AW27" s="8">
        <f t="shared" si="8"/>
        <v>42.853120242003101</v>
      </c>
      <c r="AX27" s="8">
        <f t="shared" si="9"/>
        <v>31.241881315917102</v>
      </c>
      <c r="AY27" s="8">
        <f t="shared" si="10"/>
        <v>17.351639046701656</v>
      </c>
      <c r="AZ27" s="8">
        <f t="shared" si="11"/>
        <v>2.6199595756833078</v>
      </c>
      <c r="BA27" s="8">
        <f t="shared" si="17"/>
        <v>94.066600180305159</v>
      </c>
      <c r="BD27" s="3">
        <f t="array" ref="BD27">MIN(100,MAX(0,L27-AJ27*5+AQ$16*(AP$27*T27+SUMPRODUCT($X27:$AH27,TRANSPOSE(AP$28:AP$38)))+AR$16*(AP$39*T27+SUMPRODUCT($X27:$AH27,TRANSPOSE(AP$40:AP$50)))+AS$16*(AP$51*T27+SUMPRODUCT($X27:$AH27,TRANSPOSE(AP$52:AP$62)))))</f>
        <v>42.853120242003101</v>
      </c>
      <c r="BE27" s="3">
        <f t="array" ref="BE27">MIN(100,MAX(0,M27-AK27*5+AP$17*(AQ$27*U27+SUMPRODUCT($X27:$AH27,TRANSPOSE(AQ$28:AQ$38)))+AR$17*(AQ$39*U27+SUMPRODUCT($X27:$AH27,TRANSPOSE(AQ$40:AQ$50)))+AS$17*(AQ$51*U27+SUMPRODUCT($X27:$AH27,TRANSPOSE(AQ$52:AQ$62)))))</f>
        <v>31.241881315917102</v>
      </c>
      <c r="BF27" s="3">
        <f t="array" ref="BF27">MIN(100,MAX(0,N27-AL27*5+AP$18*(AR$27*V27+SUMPRODUCT($X27:$AH27,TRANSPOSE(AR$28:AR$38)))+AQ$18*(AR$39*V27+SUMPRODUCT($X27:$AH27,TRANSPOSE(AR$40:AR$50)))+AS$18*(AR$51*V27+SUMPRODUCT($X27:$AH27,TRANSPOSE(AR$52:AR$62)))))</f>
        <v>17.351639046701656</v>
      </c>
      <c r="BG27" s="3">
        <f t="array" ref="BG27">MIN(100,MAX(0,O27+AP$19*(AS$27*W27+SUMPRODUCT($X27:$AH27,TRANSPOSE(AS$28:AS$38)))+AQ$19*(AS$39*W27+SUMPRODUCT($X27:$AH27,TRANSPOSE(AS$40:AS$50)))+AR$19*(AS$51*W27+SUMPRODUCT($X27:$AH27,TRANSPOSE(AS$52:AS$62)))))</f>
        <v>2.6199595756833078</v>
      </c>
      <c r="BJ27">
        <f t="shared" si="18"/>
        <v>1</v>
      </c>
      <c r="BK27">
        <f t="shared" si="19"/>
        <v>0</v>
      </c>
      <c r="BL27">
        <f t="shared" si="20"/>
        <v>0</v>
      </c>
      <c r="BM27">
        <f t="shared" si="21"/>
        <v>0</v>
      </c>
      <c r="BP27">
        <f t="shared" si="12"/>
        <v>1</v>
      </c>
      <c r="BQ27">
        <f t="shared" si="13"/>
        <v>0</v>
      </c>
      <c r="BR27">
        <f t="shared" si="14"/>
        <v>0</v>
      </c>
      <c r="BS27">
        <f t="shared" si="15"/>
        <v>0</v>
      </c>
    </row>
    <row r="28" spans="1:71">
      <c r="A28" t="s">
        <v>11</v>
      </c>
      <c r="B28" t="s">
        <v>165</v>
      </c>
      <c r="C28" t="s">
        <v>165</v>
      </c>
      <c r="D28">
        <v>35026</v>
      </c>
      <c r="E28">
        <v>354</v>
      </c>
      <c r="F28">
        <v>35</v>
      </c>
      <c r="G28">
        <v>24239</v>
      </c>
      <c r="H28">
        <v>7162</v>
      </c>
      <c r="I28">
        <v>17528</v>
      </c>
      <c r="J28">
        <v>1217</v>
      </c>
      <c r="K28">
        <v>50219</v>
      </c>
      <c r="L28" s="3">
        <f t="shared" si="0"/>
        <v>48.266592325613814</v>
      </c>
      <c r="M28" s="3">
        <f t="shared" si="1"/>
        <v>14.261534478982057</v>
      </c>
      <c r="N28" s="3">
        <f t="shared" si="2"/>
        <v>34.903124315498118</v>
      </c>
      <c r="O28" s="3">
        <f t="shared" si="3"/>
        <v>2.423385571198152</v>
      </c>
      <c r="P28">
        <v>44.4</v>
      </c>
      <c r="Q28">
        <v>25.3</v>
      </c>
      <c r="R28">
        <v>25.6</v>
      </c>
      <c r="S28">
        <v>3.8</v>
      </c>
      <c r="T28">
        <f t="shared" si="4"/>
        <v>1</v>
      </c>
      <c r="U28">
        <f t="shared" si="5"/>
        <v>0</v>
      </c>
      <c r="V28">
        <f t="shared" si="6"/>
        <v>0</v>
      </c>
      <c r="W28">
        <f t="shared" si="7"/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f t="shared" si="16"/>
        <v>0</v>
      </c>
      <c r="AJ28">
        <v>0</v>
      </c>
      <c r="AK28">
        <v>0</v>
      </c>
      <c r="AL28">
        <v>0</v>
      </c>
      <c r="AO28" t="s">
        <v>554</v>
      </c>
      <c r="AP28" s="25">
        <f>AVERAGE(AP131,AQ131)</f>
        <v>0.95555750000000006</v>
      </c>
      <c r="AQ28" s="24">
        <f>AP28</f>
        <v>0.95555750000000006</v>
      </c>
      <c r="AR28" s="24">
        <f>AP40</f>
        <v>0.88861870000000009</v>
      </c>
      <c r="AS28" s="24">
        <f>AP52</f>
        <v>0.8388386000000001</v>
      </c>
      <c r="AW28" s="8">
        <f t="shared" si="8"/>
        <v>38.066213446998475</v>
      </c>
      <c r="AX28" s="8">
        <f t="shared" si="9"/>
        <v>32.089779245347025</v>
      </c>
      <c r="AY28" s="8">
        <f t="shared" si="10"/>
        <v>28.176068937069914</v>
      </c>
      <c r="AZ28" s="8">
        <f t="shared" si="11"/>
        <v>2.0207266348768789</v>
      </c>
      <c r="BA28" s="8">
        <f t="shared" si="17"/>
        <v>100.3527882642923</v>
      </c>
      <c r="BD28" s="3">
        <f t="array" ref="BD28">MIN(100,MAX(0,L28-AJ28*5+AQ$16*(AP$27*T28+SUMPRODUCT($X28:$AH28,TRANSPOSE(AP$28:AP$38)))+AR$16*(AP$39*T28+SUMPRODUCT($X28:$AH28,TRANSPOSE(AP$40:AP$50)))+AS$16*(AP$51*T28+SUMPRODUCT($X28:$AH28,TRANSPOSE(AP$52:AP$62)))))</f>
        <v>38.066213446998475</v>
      </c>
      <c r="BE28" s="3">
        <f t="array" ref="BE28">MIN(100,MAX(0,M28-AK28*5+AP$17*(AQ$27*U28+SUMPRODUCT($X28:$AH28,TRANSPOSE(AQ$28:AQ$38)))+AR$17*(AQ$39*U28+SUMPRODUCT($X28:$AH28,TRANSPOSE(AQ$40:AQ$50)))+AS$17*(AQ$51*U28+SUMPRODUCT($X28:$AH28,TRANSPOSE(AQ$52:AQ$62)))))</f>
        <v>32.089779245347025</v>
      </c>
      <c r="BF28" s="3">
        <f t="array" ref="BF28">MIN(100,MAX(0,N28-AL28*5+AP$18*(AR$27*V28+SUMPRODUCT($X28:$AH28,TRANSPOSE(AR$28:AR$38)))+AQ$18*(AR$39*V28+SUMPRODUCT($X28:$AH28,TRANSPOSE(AR$40:AR$50)))+AS$18*(AR$51*V28+SUMPRODUCT($X28:$AH28,TRANSPOSE(AR$52:AR$62)))))</f>
        <v>28.176068937069914</v>
      </c>
      <c r="BG28" s="3">
        <f t="array" ref="BG28">MIN(100,MAX(0,O28+AP$19*(AS$27*W28+SUMPRODUCT($X28:$AH28,TRANSPOSE(AS$28:AS$38)))+AQ$19*(AS$39*W28+SUMPRODUCT($X28:$AH28,TRANSPOSE(AS$40:AS$50)))+AR$19*(AS$51*W28+SUMPRODUCT($X28:$AH28,TRANSPOSE(AS$52:AS$62)))))</f>
        <v>2.0207266348768789</v>
      </c>
      <c r="BJ28">
        <f t="shared" si="18"/>
        <v>1</v>
      </c>
      <c r="BK28">
        <f t="shared" si="19"/>
        <v>0</v>
      </c>
      <c r="BL28">
        <f t="shared" si="20"/>
        <v>0</v>
      </c>
      <c r="BM28">
        <f t="shared" si="21"/>
        <v>0</v>
      </c>
      <c r="BP28">
        <f t="shared" si="12"/>
        <v>1</v>
      </c>
      <c r="BQ28">
        <f t="shared" si="13"/>
        <v>0</v>
      </c>
      <c r="BR28">
        <f t="shared" si="14"/>
        <v>1</v>
      </c>
      <c r="BS28">
        <f t="shared" si="15"/>
        <v>0</v>
      </c>
    </row>
    <row r="29" spans="1:71">
      <c r="A29" t="s">
        <v>11</v>
      </c>
      <c r="B29" t="s">
        <v>166</v>
      </c>
      <c r="C29" t="s">
        <v>166</v>
      </c>
      <c r="D29">
        <v>35027</v>
      </c>
      <c r="E29">
        <v>357</v>
      </c>
      <c r="F29">
        <v>35</v>
      </c>
      <c r="G29">
        <v>22306</v>
      </c>
      <c r="H29">
        <v>21616</v>
      </c>
      <c r="I29">
        <v>7792</v>
      </c>
      <c r="J29">
        <v>1431</v>
      </c>
      <c r="K29">
        <v>53291</v>
      </c>
      <c r="L29" s="3">
        <f t="shared" si="0"/>
        <v>41.856973973091137</v>
      </c>
      <c r="M29" s="3">
        <f t="shared" si="1"/>
        <v>40.562196243268097</v>
      </c>
      <c r="N29" s="3">
        <f t="shared" si="2"/>
        <v>14.621605899682875</v>
      </c>
      <c r="O29" s="3">
        <f t="shared" si="3"/>
        <v>2.6852564222851889</v>
      </c>
      <c r="P29">
        <v>44.4</v>
      </c>
      <c r="Q29">
        <v>25.3</v>
      </c>
      <c r="R29">
        <v>25.6</v>
      </c>
      <c r="S29">
        <v>3.8</v>
      </c>
      <c r="T29">
        <f t="shared" si="4"/>
        <v>1</v>
      </c>
      <c r="U29">
        <f t="shared" si="5"/>
        <v>0</v>
      </c>
      <c r="V29">
        <f t="shared" si="6"/>
        <v>0</v>
      </c>
      <c r="W29">
        <f t="shared" si="7"/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f t="shared" si="16"/>
        <v>1</v>
      </c>
      <c r="AJ29">
        <v>0</v>
      </c>
      <c r="AK29">
        <v>0</v>
      </c>
      <c r="AL29">
        <v>0</v>
      </c>
      <c r="AO29" t="s">
        <v>527</v>
      </c>
      <c r="AP29" s="25">
        <f t="shared" ref="AP29:AP38" si="23">AVERAGE(AP132,AQ132)</f>
        <v>0.81294759999999999</v>
      </c>
      <c r="AQ29" s="24">
        <f t="shared" ref="AQ29:AQ38" si="24">AP29</f>
        <v>0.81294759999999999</v>
      </c>
      <c r="AR29" s="24">
        <f t="shared" ref="AR29:AR38" si="25">AP41</f>
        <v>0.96196585000000001</v>
      </c>
      <c r="AS29" s="24">
        <f t="shared" ref="AS29:AS38" si="26">AP53</f>
        <v>0.97452035000000004</v>
      </c>
      <c r="AW29" s="8">
        <f t="shared" si="8"/>
        <v>37.43944173761713</v>
      </c>
      <c r="AX29" s="8">
        <f t="shared" si="9"/>
        <v>54.816422182955499</v>
      </c>
      <c r="AY29" s="8">
        <f t="shared" si="10"/>
        <v>7.2076306548190621</v>
      </c>
      <c r="AZ29" s="8">
        <f t="shared" si="11"/>
        <v>2.2725921766241748</v>
      </c>
      <c r="BA29" s="8">
        <f t="shared" si="17"/>
        <v>101.73608675201586</v>
      </c>
      <c r="BD29" s="43">
        <f t="array" ref="BD29">MIN(100,MAX(0,L29+5.5-AJ29*5+AQ$16*(AP$27*T29+SUMPRODUCT($X29:$AH29,TRANSPOSE(AP$28:AP$38)))+AR$16*(AP$39*T29+SUMPRODUCT($X29:$AH29,TRANSPOSE(AP$40:AP$50)))+AS$16*(AP$51*T29+SUMPRODUCT($X29:$AH29,TRANSPOSE(AP$52:AP$62)))))</f>
        <v>37.43944173761713</v>
      </c>
      <c r="BE29" s="43">
        <f t="array" ref="BE29">MIN(100,MAX(0,M29-4-AK29*5+AP$17*(AQ$27*U29+SUMPRODUCT($X29:$AH29,TRANSPOSE(AQ$28:AQ$38)))+AR$17*(AQ$39*U29+SUMPRODUCT($X29:$AH29,TRANSPOSE(AQ$40:AQ$50)))+AS$17*(AQ$51*U29+SUMPRODUCT($X29:$AH29,TRANSPOSE(AQ$52:AQ$62)))))</f>
        <v>54.816422182955499</v>
      </c>
      <c r="BF29" s="3">
        <f t="array" ref="BF29">MIN(100,MAX(0,N29-AL29*5+AP$18*(AR$27*V29+SUMPRODUCT($X29:$AH29,TRANSPOSE(AR$28:AR$38)))+AQ$18*(AR$39*V29+SUMPRODUCT($X29:$AH29,TRANSPOSE(AR$40:AR$50)))+AS$18*(AR$51*V29+SUMPRODUCT($X29:$AH29,TRANSPOSE(AR$52:AR$62)))))</f>
        <v>7.2076306548190621</v>
      </c>
      <c r="BG29" s="3">
        <f t="array" ref="BG29">MIN(100,MAX(0,O29+AP$19*(AS$27*W29+SUMPRODUCT($X29:$AH29,TRANSPOSE(AS$28:AS$38)))+AQ$19*(AS$39*W29+SUMPRODUCT($X29:$AH29,TRANSPOSE(AS$40:AS$50)))+AR$19*(AS$51*W29+SUMPRODUCT($X29:$AH29,TRANSPOSE(AS$52:AS$62)))))</f>
        <v>2.2725921766241748</v>
      </c>
      <c r="BJ29">
        <f t="shared" si="18"/>
        <v>0</v>
      </c>
      <c r="BK29">
        <f t="shared" si="19"/>
        <v>1</v>
      </c>
      <c r="BL29">
        <f t="shared" si="20"/>
        <v>0</v>
      </c>
      <c r="BM29">
        <f t="shared" si="21"/>
        <v>0</v>
      </c>
      <c r="BP29">
        <f t="shared" si="12"/>
        <v>1</v>
      </c>
      <c r="BQ29">
        <f t="shared" si="13"/>
        <v>1</v>
      </c>
      <c r="BR29">
        <f t="shared" si="14"/>
        <v>0</v>
      </c>
      <c r="BS29">
        <f t="shared" si="15"/>
        <v>0</v>
      </c>
    </row>
    <row r="30" spans="1:71">
      <c r="A30" t="s">
        <v>11</v>
      </c>
      <c r="B30" t="s">
        <v>167</v>
      </c>
      <c r="C30" t="s">
        <v>167</v>
      </c>
      <c r="D30">
        <v>35029</v>
      </c>
      <c r="E30">
        <v>353</v>
      </c>
      <c r="F30">
        <v>35</v>
      </c>
      <c r="G30">
        <v>11208</v>
      </c>
      <c r="H30">
        <v>14929</v>
      </c>
      <c r="I30">
        <v>8283</v>
      </c>
      <c r="J30">
        <v>59</v>
      </c>
      <c r="K30">
        <v>35072</v>
      </c>
      <c r="L30" s="3">
        <f t="shared" si="0"/>
        <v>31.957116788321166</v>
      </c>
      <c r="M30" s="3">
        <f t="shared" si="1"/>
        <v>42.566719890510953</v>
      </c>
      <c r="N30" s="3">
        <f t="shared" si="2"/>
        <v>23.617130474452555</v>
      </c>
      <c r="O30" s="3">
        <f t="shared" si="3"/>
        <v>0.16822536496350363</v>
      </c>
      <c r="P30">
        <v>44.4</v>
      </c>
      <c r="Q30">
        <v>25.3</v>
      </c>
      <c r="R30">
        <v>25.6</v>
      </c>
      <c r="S30">
        <v>3.8</v>
      </c>
      <c r="T30">
        <f t="shared" si="4"/>
        <v>0</v>
      </c>
      <c r="U30">
        <f t="shared" si="5"/>
        <v>1</v>
      </c>
      <c r="V30">
        <f t="shared" si="6"/>
        <v>0</v>
      </c>
      <c r="W30">
        <f t="shared" si="7"/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f t="shared" si="16"/>
        <v>1</v>
      </c>
      <c r="AJ30">
        <v>0</v>
      </c>
      <c r="AK30">
        <v>0</v>
      </c>
      <c r="AL30">
        <v>0</v>
      </c>
      <c r="AO30" t="s">
        <v>528</v>
      </c>
      <c r="AP30" s="25">
        <f t="shared" si="23"/>
        <v>0.86703589999999997</v>
      </c>
      <c r="AQ30" s="24">
        <f t="shared" si="24"/>
        <v>0.86703589999999997</v>
      </c>
      <c r="AR30" s="24">
        <f t="shared" si="25"/>
        <v>0.92008485000000007</v>
      </c>
      <c r="AS30" s="24">
        <f t="shared" si="26"/>
        <v>1.0124518500000002</v>
      </c>
      <c r="AW30" s="8">
        <f t="shared" si="8"/>
        <v>22.03958455284716</v>
      </c>
      <c r="AX30" s="8">
        <f t="shared" si="9"/>
        <v>59.406937782300837</v>
      </c>
      <c r="AY30" s="8">
        <f t="shared" si="10"/>
        <v>16.203155229588742</v>
      </c>
      <c r="AZ30" s="8">
        <f t="shared" si="11"/>
        <v>0</v>
      </c>
      <c r="BA30" s="8">
        <f t="shared" si="17"/>
        <v>97.649677564736734</v>
      </c>
      <c r="BD30" s="3">
        <f t="array" ref="BD30">MIN(100,MAX(0,L30-AJ30*5+AQ$16*(AP$27*T30+SUMPRODUCT($X30:$AH30,TRANSPOSE(AP$28:AP$38)))+AR$16*(AP$39*T30+SUMPRODUCT($X30:$AH30,TRANSPOSE(AP$40:AP$50)))+AS$16*(AP$51*T30+SUMPRODUCT($X30:$AH30,TRANSPOSE(AP$52:AP$62)))))</f>
        <v>22.03958455284716</v>
      </c>
      <c r="BE30" s="3">
        <f t="array" ref="BE30">MIN(100,MAX(0,M30-AK30*5+AP$17*(AQ$27*U30+SUMPRODUCT($X30:$AH30,TRANSPOSE(AQ$28:AQ$38)))+AR$17*(AQ$39*U30+SUMPRODUCT($X30:$AH30,TRANSPOSE(AQ$40:AQ$50)))+AS$17*(AQ$51*U30+SUMPRODUCT($X30:$AH30,TRANSPOSE(AQ$52:AQ$62)))))</f>
        <v>59.406937782300837</v>
      </c>
      <c r="BF30" s="3">
        <f t="array" ref="BF30">MIN(100,MAX(0,N30-AL30*5+AP$18*(AR$27*V30+SUMPRODUCT($X30:$AH30,TRANSPOSE(AR$28:AR$38)))+AQ$18*(AR$39*V30+SUMPRODUCT($X30:$AH30,TRANSPOSE(AR$40:AR$50)))+AS$18*(AR$51*V30+SUMPRODUCT($X30:$AH30,TRANSPOSE(AR$52:AR$62)))))</f>
        <v>16.203155229588742</v>
      </c>
      <c r="BG30" s="3">
        <f t="array" ref="BG30">MIN(100,MAX(0,O30+AP$19*(AS$27*W30+SUMPRODUCT($X30:$AH30,TRANSPOSE(AS$28:AS$38)))+AQ$19*(AS$39*W30+SUMPRODUCT($X30:$AH30,TRANSPOSE(AS$40:AS$50)))+AR$19*(AS$51*W30+SUMPRODUCT($X30:$AH30,TRANSPOSE(AS$52:AS$62)))))</f>
        <v>0</v>
      </c>
      <c r="BJ30">
        <f t="shared" si="18"/>
        <v>0</v>
      </c>
      <c r="BK30">
        <f t="shared" si="19"/>
        <v>1</v>
      </c>
      <c r="BL30">
        <f t="shared" si="20"/>
        <v>0</v>
      </c>
      <c r="BM30">
        <f t="shared" si="21"/>
        <v>0</v>
      </c>
      <c r="BP30">
        <f t="shared" si="12"/>
        <v>0</v>
      </c>
      <c r="BQ30">
        <f t="shared" si="13"/>
        <v>1</v>
      </c>
      <c r="BR30">
        <f t="shared" si="14"/>
        <v>0</v>
      </c>
      <c r="BS30">
        <f t="shared" si="15"/>
        <v>0</v>
      </c>
    </row>
    <row r="31" spans="1:71">
      <c r="A31" t="s">
        <v>11</v>
      </c>
      <c r="B31" t="s">
        <v>168</v>
      </c>
      <c r="C31" t="s">
        <v>555</v>
      </c>
      <c r="D31">
        <v>35028</v>
      </c>
      <c r="E31">
        <v>356</v>
      </c>
      <c r="F31">
        <v>35</v>
      </c>
      <c r="G31">
        <v>20484</v>
      </c>
      <c r="H31">
        <v>17867</v>
      </c>
      <c r="I31">
        <v>10336</v>
      </c>
      <c r="J31">
        <v>2046</v>
      </c>
      <c r="K31">
        <v>50915</v>
      </c>
      <c r="L31" s="3">
        <f t="shared" si="0"/>
        <v>40.231758813709121</v>
      </c>
      <c r="M31" s="3">
        <f t="shared" si="1"/>
        <v>35.091819699499169</v>
      </c>
      <c r="N31" s="3">
        <f t="shared" si="2"/>
        <v>20.300500834724541</v>
      </c>
      <c r="O31" s="3">
        <f t="shared" si="3"/>
        <v>4.0184621427869978</v>
      </c>
      <c r="P31">
        <v>44.4</v>
      </c>
      <c r="Q31">
        <v>25.3</v>
      </c>
      <c r="R31">
        <v>25.6</v>
      </c>
      <c r="S31">
        <v>3.8</v>
      </c>
      <c r="T31">
        <f t="shared" si="4"/>
        <v>1</v>
      </c>
      <c r="U31">
        <f t="shared" si="5"/>
        <v>0</v>
      </c>
      <c r="V31">
        <f t="shared" si="6"/>
        <v>0</v>
      </c>
      <c r="W31">
        <f t="shared" si="7"/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f t="shared" si="16"/>
        <v>1</v>
      </c>
      <c r="AJ31">
        <v>0</v>
      </c>
      <c r="AK31">
        <v>1</v>
      </c>
      <c r="AL31">
        <v>0</v>
      </c>
      <c r="AO31" t="s">
        <v>529</v>
      </c>
      <c r="AP31" s="25">
        <f t="shared" si="23"/>
        <v>1.050389</v>
      </c>
      <c r="AQ31" s="24">
        <f t="shared" si="24"/>
        <v>1.050389</v>
      </c>
      <c r="AR31" s="24">
        <f t="shared" si="25"/>
        <v>1.0113315</v>
      </c>
      <c r="AS31" s="24">
        <f t="shared" si="26"/>
        <v>1.0810415</v>
      </c>
      <c r="AW31" s="8">
        <f t="shared" si="8"/>
        <v>30.314226578235115</v>
      </c>
      <c r="AX31" s="8">
        <f t="shared" si="9"/>
        <v>48.346045639186563</v>
      </c>
      <c r="AY31" s="8">
        <f t="shared" si="10"/>
        <v>12.886525589860728</v>
      </c>
      <c r="AZ31" s="8">
        <f t="shared" si="11"/>
        <v>3.5935552210667656</v>
      </c>
      <c r="BA31" s="8">
        <f t="shared" si="17"/>
        <v>95.140353028349168</v>
      </c>
      <c r="BD31" s="3">
        <f t="array" ref="BD31">MIN(100,MAX(0,L31-AJ31*5+AQ$16*(AP$27*T31+SUMPRODUCT($X31:$AH31,TRANSPOSE(AP$28:AP$38)))+AR$16*(AP$39*T31+SUMPRODUCT($X31:$AH31,TRANSPOSE(AP$40:AP$50)))+AS$16*(AP$51*T31+SUMPRODUCT($X31:$AH31,TRANSPOSE(AP$52:AP$62)))))</f>
        <v>30.314226578235115</v>
      </c>
      <c r="BE31" s="3">
        <f t="array" ref="BE31">MIN(100,MAX(0,M31-AK31*5+AP$17*(AQ$27*U31+SUMPRODUCT($X31:$AH31,TRANSPOSE(AQ$28:AQ$38)))+AR$17*(AQ$39*U31+SUMPRODUCT($X31:$AH31,TRANSPOSE(AQ$40:AQ$50)))+AS$17*(AQ$51*U31+SUMPRODUCT($X31:$AH31,TRANSPOSE(AQ$52:AQ$62)))))</f>
        <v>48.346045639186563</v>
      </c>
      <c r="BF31" s="3">
        <f t="array" ref="BF31">MIN(100,MAX(0,N31-AL31*5+AP$18*(AR$27*V31+SUMPRODUCT($X31:$AH31,TRANSPOSE(AR$28:AR$38)))+AQ$18*(AR$39*V31+SUMPRODUCT($X31:$AH31,TRANSPOSE(AR$40:AR$50)))+AS$18*(AR$51*V31+SUMPRODUCT($X31:$AH31,TRANSPOSE(AR$52:AR$62)))))</f>
        <v>12.886525589860728</v>
      </c>
      <c r="BG31" s="3">
        <f t="array" ref="BG31">MIN(100,MAX(0,O31+AP$19*(AS$27*W31+SUMPRODUCT($X31:$AH31,TRANSPOSE(AS$28:AS$38)))+AQ$19*(AS$39*W31+SUMPRODUCT($X31:$AH31,TRANSPOSE(AS$40:AS$50)))+AR$19*(AS$51*W31+SUMPRODUCT($X31:$AH31,TRANSPOSE(AS$52:AS$62)))))</f>
        <v>3.6057978971259836</v>
      </c>
      <c r="BJ31">
        <f t="shared" si="18"/>
        <v>0</v>
      </c>
      <c r="BK31">
        <f t="shared" si="19"/>
        <v>1</v>
      </c>
      <c r="BL31">
        <f t="shared" si="20"/>
        <v>0</v>
      </c>
      <c r="BM31">
        <f t="shared" si="21"/>
        <v>0</v>
      </c>
      <c r="BP31">
        <f t="shared" si="12"/>
        <v>0</v>
      </c>
      <c r="BQ31">
        <f t="shared" si="13"/>
        <v>1</v>
      </c>
      <c r="BR31">
        <f t="shared" si="14"/>
        <v>0</v>
      </c>
      <c r="BS31">
        <f t="shared" si="15"/>
        <v>1</v>
      </c>
    </row>
    <row r="32" spans="1:71">
      <c r="A32" t="s">
        <v>11</v>
      </c>
      <c r="B32" t="s">
        <v>169</v>
      </c>
      <c r="C32" t="s">
        <v>556</v>
      </c>
      <c r="D32">
        <v>35030</v>
      </c>
      <c r="E32">
        <v>357</v>
      </c>
      <c r="F32">
        <v>35</v>
      </c>
      <c r="G32">
        <v>25143</v>
      </c>
      <c r="H32">
        <v>7671</v>
      </c>
      <c r="I32">
        <v>10344</v>
      </c>
      <c r="J32">
        <v>1890</v>
      </c>
      <c r="K32">
        <v>45384</v>
      </c>
      <c r="L32" s="3">
        <f t="shared" si="0"/>
        <v>55.400581702802754</v>
      </c>
      <c r="M32" s="3">
        <f t="shared" si="1"/>
        <v>16.902432575356954</v>
      </c>
      <c r="N32" s="3">
        <f t="shared" si="2"/>
        <v>22.792173453199364</v>
      </c>
      <c r="O32" s="3">
        <f t="shared" si="3"/>
        <v>4.1644632469592811</v>
      </c>
      <c r="P32">
        <v>44.4</v>
      </c>
      <c r="Q32">
        <v>25.3</v>
      </c>
      <c r="R32">
        <v>25.6</v>
      </c>
      <c r="S32">
        <v>3.8</v>
      </c>
      <c r="T32">
        <f t="shared" si="4"/>
        <v>1</v>
      </c>
      <c r="U32">
        <f t="shared" si="5"/>
        <v>0</v>
      </c>
      <c r="V32">
        <f t="shared" si="6"/>
        <v>0</v>
      </c>
      <c r="W32">
        <f t="shared" si="7"/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f t="shared" si="16"/>
        <v>0</v>
      </c>
      <c r="AJ32">
        <v>0</v>
      </c>
      <c r="AK32">
        <v>0</v>
      </c>
      <c r="AL32">
        <v>0</v>
      </c>
      <c r="AO32" t="s">
        <v>530</v>
      </c>
      <c r="AP32" s="25">
        <f t="shared" si="23"/>
        <v>1.00423985</v>
      </c>
      <c r="AQ32" s="24">
        <f t="shared" si="24"/>
        <v>1.00423985</v>
      </c>
      <c r="AR32" s="24">
        <f t="shared" si="25"/>
        <v>1.0365454999999999</v>
      </c>
      <c r="AS32" s="24">
        <f t="shared" si="26"/>
        <v>1.0480255000000001</v>
      </c>
      <c r="AW32" s="8">
        <f t="shared" si="8"/>
        <v>45.076646216875787</v>
      </c>
      <c r="AX32" s="8">
        <f t="shared" si="9"/>
        <v>34.387422428819782</v>
      </c>
      <c r="AY32" s="8">
        <f t="shared" si="10"/>
        <v>16.519925812363226</v>
      </c>
      <c r="AZ32" s="8">
        <f t="shared" si="11"/>
        <v>3.7428626283119208</v>
      </c>
      <c r="BA32" s="8">
        <f t="shared" si="17"/>
        <v>99.726857086370714</v>
      </c>
      <c r="BD32" s="3">
        <f t="array" ref="BD32">MIN(100,MAX(0,L32-AJ32*5+AQ$16*(AP$27*T32+SUMPRODUCT($X32:$AH32,TRANSPOSE(AP$28:AP$38)))+AR$16*(AP$39*T32+SUMPRODUCT($X32:$AH32,TRANSPOSE(AP$40:AP$50)))+AS$16*(AP$51*T32+SUMPRODUCT($X32:$AH32,TRANSPOSE(AP$52:AP$62)))))</f>
        <v>45.076646216875787</v>
      </c>
      <c r="BE32" s="3">
        <f t="array" ref="BE32">MIN(100,MAX(0,M32-AK32*5+AP$17*(AQ$27*U32+SUMPRODUCT($X32:$AH32,TRANSPOSE(AQ$28:AQ$38)))+AR$17*(AQ$39*U32+SUMPRODUCT($X32:$AH32,TRANSPOSE(AQ$40:AQ$50)))+AS$17*(AQ$51*U32+SUMPRODUCT($X32:$AH32,TRANSPOSE(AQ$52:AQ$62)))))</f>
        <v>34.387422428819782</v>
      </c>
      <c r="BF32" s="3">
        <f t="array" ref="BF32">MIN(100,MAX(0,N32-AL32*5+AP$18*(AR$27*V32+SUMPRODUCT($X32:$AH32,TRANSPOSE(AR$28:AR$38)))+AQ$18*(AR$39*V32+SUMPRODUCT($X32:$AH32,TRANSPOSE(AR$40:AR$50)))+AS$18*(AR$51*V32+SUMPRODUCT($X32:$AH32,TRANSPOSE(AR$52:AR$62)))))</f>
        <v>16.519925812363226</v>
      </c>
      <c r="BG32" s="3">
        <f t="array" ref="BG32">MIN(100,MAX(0,O32+AP$19*(AS$27*W32+SUMPRODUCT($X32:$AH32,TRANSPOSE(AS$28:AS$38)))+AQ$19*(AS$39*W32+SUMPRODUCT($X32:$AH32,TRANSPOSE(AS$40:AS$50)))+AR$19*(AS$51*W32+SUMPRODUCT($X32:$AH32,TRANSPOSE(AS$52:AS$62)))))</f>
        <v>3.7642169654149309</v>
      </c>
      <c r="BJ32">
        <f t="shared" si="18"/>
        <v>1</v>
      </c>
      <c r="BK32">
        <f t="shared" si="19"/>
        <v>0</v>
      </c>
      <c r="BL32">
        <f t="shared" si="20"/>
        <v>0</v>
      </c>
      <c r="BM32">
        <f t="shared" si="21"/>
        <v>0</v>
      </c>
      <c r="BP32">
        <f t="shared" si="12"/>
        <v>1</v>
      </c>
      <c r="BQ32">
        <f t="shared" si="13"/>
        <v>0</v>
      </c>
      <c r="BR32">
        <f t="shared" si="14"/>
        <v>0</v>
      </c>
      <c r="BS32">
        <f t="shared" si="15"/>
        <v>1</v>
      </c>
    </row>
    <row r="33" spans="1:71">
      <c r="A33" t="s">
        <v>11</v>
      </c>
      <c r="B33" t="s">
        <v>170</v>
      </c>
      <c r="C33" t="s">
        <v>557</v>
      </c>
      <c r="D33">
        <v>35031</v>
      </c>
      <c r="E33">
        <v>358</v>
      </c>
      <c r="F33">
        <v>35</v>
      </c>
      <c r="G33">
        <v>26802</v>
      </c>
      <c r="H33">
        <v>16801</v>
      </c>
      <c r="I33">
        <v>9149</v>
      </c>
      <c r="J33">
        <v>1966</v>
      </c>
      <c r="K33">
        <v>54905</v>
      </c>
      <c r="L33" s="3">
        <f t="shared" si="0"/>
        <v>48.815226299972679</v>
      </c>
      <c r="M33" s="3">
        <f t="shared" si="1"/>
        <v>30.600127492942352</v>
      </c>
      <c r="N33" s="3">
        <f t="shared" si="2"/>
        <v>16.663327565795466</v>
      </c>
      <c r="O33" s="3">
        <f t="shared" si="3"/>
        <v>3.5807303524269187</v>
      </c>
      <c r="P33">
        <v>44.4</v>
      </c>
      <c r="Q33">
        <v>25.3</v>
      </c>
      <c r="R33">
        <v>25.6</v>
      </c>
      <c r="T33">
        <f t="shared" si="4"/>
        <v>1</v>
      </c>
      <c r="U33">
        <f t="shared" si="5"/>
        <v>0</v>
      </c>
      <c r="V33">
        <f t="shared" si="6"/>
        <v>0</v>
      </c>
      <c r="W33">
        <f t="shared" si="7"/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f t="shared" si="16"/>
        <v>0</v>
      </c>
      <c r="AJ33">
        <v>0</v>
      </c>
      <c r="AK33">
        <v>0</v>
      </c>
      <c r="AL33">
        <v>0</v>
      </c>
      <c r="AO33" t="s">
        <v>531</v>
      </c>
      <c r="AP33" s="25">
        <f t="shared" si="23"/>
        <v>0.96785874999999999</v>
      </c>
      <c r="AQ33" s="24">
        <f t="shared" si="24"/>
        <v>0.96785874999999999</v>
      </c>
      <c r="AR33" s="24">
        <f t="shared" si="25"/>
        <v>0.9847201000000001</v>
      </c>
      <c r="AS33" s="24">
        <f t="shared" si="26"/>
        <v>1.1258840000000001</v>
      </c>
      <c r="AW33" s="8">
        <f t="shared" si="8"/>
        <v>40.008470940323051</v>
      </c>
      <c r="AX33" s="8">
        <f t="shared" si="9"/>
        <v>46.05745811744459</v>
      </c>
      <c r="AY33" s="8">
        <f t="shared" si="10"/>
        <v>10.827513545268236</v>
      </c>
      <c r="AZ33" s="8">
        <f t="shared" si="11"/>
        <v>3.1978732952992783</v>
      </c>
      <c r="BA33" s="8">
        <f t="shared" si="17"/>
        <v>100.09131589833515</v>
      </c>
      <c r="BD33" s="3">
        <f t="array" ref="BD33">MIN(100,MAX(0,L33-AJ33*5+AQ$16*(AP$27*T33+SUMPRODUCT($X33:$AH33,TRANSPOSE(AP$28:AP$38)))+AR$16*(AP$39*T33+SUMPRODUCT($X33:$AH33,TRANSPOSE(AP$40:AP$50)))+AS$16*(AP$51*T33+SUMPRODUCT($X33:$AH33,TRANSPOSE(AP$52:AP$62)))))</f>
        <v>40.008470940323051</v>
      </c>
      <c r="BE33" s="3">
        <f t="array" ref="BE33">MIN(100,MAX(0,M33-AK33*5+AP$17*(AQ$27*U33+SUMPRODUCT($X33:$AH33,TRANSPOSE(AQ$28:AQ$38)))+AR$17*(AQ$39*U33+SUMPRODUCT($X33:$AH33,TRANSPOSE(AQ$40:AQ$50)))+AS$17*(AQ$51*U33+SUMPRODUCT($X33:$AH33,TRANSPOSE(AQ$52:AQ$62)))))</f>
        <v>46.05745811744459</v>
      </c>
      <c r="BF33" s="3">
        <f t="array" ref="BF33">MIN(100,MAX(0,N33-AL33*5+AP$18*(AR$27*V33+SUMPRODUCT($X33:$AH33,TRANSPOSE(AR$28:AR$38)))+AQ$18*(AR$39*V33+SUMPRODUCT($X33:$AH33,TRANSPOSE(AR$40:AR$50)))+AS$18*(AR$51*V33+SUMPRODUCT($X33:$AH33,TRANSPOSE(AR$52:AR$62)))))</f>
        <v>10.827513545268236</v>
      </c>
      <c r="BG33" s="3">
        <f t="array" ref="BG33">MIN(100,MAX(0,O33+AP$19*(AS$27*W33+SUMPRODUCT($X33:$AH33,TRANSPOSE(AS$28:AS$38)))+AQ$19*(AS$39*W33+SUMPRODUCT($X33:$AH33,TRANSPOSE(AS$40:AS$50)))+AR$19*(AS$51*W33+SUMPRODUCT($X33:$AH33,TRANSPOSE(AS$52:AS$62)))))</f>
        <v>3.1978732952992783</v>
      </c>
      <c r="BJ33">
        <f t="shared" si="18"/>
        <v>0</v>
      </c>
      <c r="BK33">
        <f t="shared" si="19"/>
        <v>1</v>
      </c>
      <c r="BL33">
        <f t="shared" si="20"/>
        <v>0</v>
      </c>
      <c r="BM33">
        <f t="shared" si="21"/>
        <v>0</v>
      </c>
      <c r="BP33">
        <f t="shared" si="12"/>
        <v>1</v>
      </c>
      <c r="BQ33">
        <f t="shared" si="13"/>
        <v>1</v>
      </c>
      <c r="BR33">
        <f t="shared" si="14"/>
        <v>0</v>
      </c>
      <c r="BS33">
        <f t="shared" si="15"/>
        <v>0</v>
      </c>
    </row>
    <row r="34" spans="1:71">
      <c r="A34" t="s">
        <v>11</v>
      </c>
      <c r="B34" t="s">
        <v>171</v>
      </c>
      <c r="C34" t="s">
        <v>171</v>
      </c>
      <c r="D34">
        <v>35032</v>
      </c>
      <c r="E34">
        <v>358</v>
      </c>
      <c r="F34">
        <v>35</v>
      </c>
      <c r="G34">
        <v>19460</v>
      </c>
      <c r="H34">
        <v>25643</v>
      </c>
      <c r="I34">
        <v>9906</v>
      </c>
      <c r="J34">
        <v>3628</v>
      </c>
      <c r="K34">
        <v>59220</v>
      </c>
      <c r="L34" s="3">
        <f t="shared" ref="L34:L65" si="27">G34/$K34*100</f>
        <v>32.860520094562645</v>
      </c>
      <c r="M34" s="3">
        <f t="shared" ref="M34:M65" si="28">H34/$K34*100</f>
        <v>43.301249577845326</v>
      </c>
      <c r="N34" s="3">
        <f t="shared" ref="N34:N65" si="29">I34/$K34*100</f>
        <v>16.727456940222897</v>
      </c>
      <c r="O34" s="3">
        <f t="shared" ref="O34:O65" si="30">J34/$K34*100</f>
        <v>6.1263086795001689</v>
      </c>
      <c r="P34">
        <v>44.4</v>
      </c>
      <c r="Q34">
        <v>25.3</v>
      </c>
      <c r="R34">
        <v>25.6</v>
      </c>
      <c r="S34">
        <v>3.8</v>
      </c>
      <c r="T34">
        <f t="shared" ref="T34:T65" si="31">IF(L34=MAX($L34:$O34),1,0)</f>
        <v>0</v>
      </c>
      <c r="U34" s="54">
        <v>0</v>
      </c>
      <c r="V34">
        <f t="shared" ref="V34:V65" si="32">IF(N34=MAX($L34:$O34),1,0)</f>
        <v>0</v>
      </c>
      <c r="W34">
        <f t="shared" ref="W34:W65" si="33">IF(O34=MAX($L34:$O34),1,0)</f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f t="shared" si="16"/>
        <v>1</v>
      </c>
      <c r="AJ34">
        <v>0</v>
      </c>
      <c r="AK34">
        <v>0</v>
      </c>
      <c r="AL34">
        <v>0</v>
      </c>
      <c r="AO34" t="s">
        <v>532</v>
      </c>
      <c r="AP34" s="25">
        <f t="shared" si="23"/>
        <v>1.1191395</v>
      </c>
      <c r="AQ34" s="24">
        <f t="shared" si="24"/>
        <v>1.1191395</v>
      </c>
      <c r="AR34" s="24">
        <f t="shared" si="25"/>
        <v>1.0630451000000001</v>
      </c>
      <c r="AS34" s="24">
        <f t="shared" si="26"/>
        <v>1.05801385</v>
      </c>
      <c r="AW34" s="8">
        <f t="shared" ref="AW34:AW65" si="34">(1-BP34*AP$11-(1-BP34)*AP$13)*BD34+BP34*AP$11*(AP$6+AP$6/AP$10*(BD34-AP$6))+(1-BP34)*AP$13*(BD34+(AP$6-AP$12)/(100-AP$12)*(AP$6-BD34))</f>
        <v>23.029675450244817</v>
      </c>
      <c r="AX34" s="8">
        <f t="shared" ref="AX34:AX65" si="35">(1-BQ34*AQ$11-(1-BQ34)*AQ$13)*BE34+BQ34*AQ$11*(AQ$6+AQ$6/AQ$10*(BE34-AQ$6))+(1-BQ34)*AQ$13*(BE34+(AQ$6-AQ$12)/(100-AQ$12)*(AQ$6-BE34))</f>
        <v>60.205549662828041</v>
      </c>
      <c r="AY34" s="8">
        <f t="shared" ref="AY34:AY65" si="36">(1-BR34*AR$11-(1-BR34)*AR$13)*BF34+BR34*AR$11*(AR$6+AR$6/AR$10*(BF34-AR$6))+(1-BR34)*AR$13*(BF34+(AR$6-AR$12)/(100-AR$12)*(AR$6-BF34))</f>
        <v>10.54930982454491</v>
      </c>
      <c r="AZ34" s="8">
        <f t="shared" ref="AZ34:AZ65" si="37">(1-BS34*AS$11-(1-BS34)*AS$13)*BG34+BS34*AS$11*(AS$6+AS$6/AS$10*(BG34-AS$6))+(1-BS34)*AS$13*(BG34+(AS$6-AS$12)/(100-AS$12)*(AS$6-BG34))</f>
        <v>5.5704503014106539</v>
      </c>
      <c r="BA34" s="8">
        <f t="shared" si="17"/>
        <v>99.354985239028423</v>
      </c>
      <c r="BD34" s="3">
        <f t="array" ref="BD34">MIN(100,MAX(0,L34-AJ34*5+AQ$16*(AP$27*T34+SUMPRODUCT($X34:$AH34,TRANSPOSE(AP$28:AP$38)))+AR$16*(AP$39*T34+SUMPRODUCT($X34:$AH34,TRANSPOSE(AP$40:AP$50)))+AS$16*(AP$51*T34+SUMPRODUCT($X34:$AH34,TRANSPOSE(AP$52:AP$62)))))</f>
        <v>23.029675450244817</v>
      </c>
      <c r="BE34" s="3">
        <f t="array" ref="BE34">MIN(100,MAX(0,M34-AK34*5+AP$17*(AQ$27*U34+SUMPRODUCT($X34:$AH34,TRANSPOSE(AQ$28:AQ$38)))+AR$17*(AQ$39*U34+SUMPRODUCT($X34:$AH34,TRANSPOSE(AQ$40:AQ$50)))+AS$17*(AQ$51*U34+SUMPRODUCT($X34:$AH34,TRANSPOSE(AQ$52:AQ$62)))))</f>
        <v>60.205549662828041</v>
      </c>
      <c r="BF34" s="3">
        <f t="array" ref="BF34">MIN(100,MAX(0,N34-AL34*5+AP$18*(AR$27*V34+SUMPRODUCT($X34:$AH34,TRANSPOSE(AR$28:AR$38)))+AQ$18*(AR$39*V34+SUMPRODUCT($X34:$AH34,TRANSPOSE(AR$40:AR$50)))+AS$18*(AR$51*V34+SUMPRODUCT($X34:$AH34,TRANSPOSE(AR$52:AR$62)))))</f>
        <v>10.54930982454491</v>
      </c>
      <c r="BG34" s="3">
        <f t="array" ref="BG34">MIN(100,MAX(0,O34+AP$19*(AS$27*W34+SUMPRODUCT($X34:$AH34,TRANSPOSE(AS$28:AS$38)))+AQ$19*(AS$39*W34+SUMPRODUCT($X34:$AH34,TRANSPOSE(AS$40:AS$50)))+AR$19*(AS$51*W34+SUMPRODUCT($X34:$AH34,TRANSPOSE(AS$52:AS$62)))))</f>
        <v>5.7033353369052451</v>
      </c>
      <c r="BJ34">
        <f t="shared" si="18"/>
        <v>0</v>
      </c>
      <c r="BK34">
        <f t="shared" si="19"/>
        <v>1</v>
      </c>
      <c r="BL34">
        <f t="shared" si="20"/>
        <v>0</v>
      </c>
      <c r="BM34">
        <f t="shared" si="21"/>
        <v>0</v>
      </c>
      <c r="BP34">
        <f t="shared" ref="BP34:BP65" si="38">IF(BD34&gt;AP$6,1,0)</f>
        <v>0</v>
      </c>
      <c r="BQ34">
        <f t="shared" ref="BQ34:BQ65" si="39">IF(BE34&gt;AQ$6,1,0)</f>
        <v>1</v>
      </c>
      <c r="BR34">
        <f t="shared" ref="BR34:BR65" si="40">IF(BF34&gt;AR$6,1,0)</f>
        <v>0</v>
      </c>
      <c r="BS34">
        <f t="shared" ref="BS34:BS65" si="41">IF(BG34&gt;AS$6,1,0)</f>
        <v>1</v>
      </c>
    </row>
    <row r="35" spans="1:71">
      <c r="A35" t="s">
        <v>11</v>
      </c>
      <c r="B35" t="s">
        <v>172</v>
      </c>
      <c r="C35" t="s">
        <v>558</v>
      </c>
      <c r="D35">
        <v>35033</v>
      </c>
      <c r="E35">
        <v>358</v>
      </c>
      <c r="F35">
        <v>35</v>
      </c>
      <c r="G35">
        <v>25655</v>
      </c>
      <c r="H35">
        <v>12549</v>
      </c>
      <c r="I35">
        <v>10062</v>
      </c>
      <c r="J35">
        <v>1665</v>
      </c>
      <c r="K35">
        <v>50366</v>
      </c>
      <c r="L35" s="3">
        <f t="shared" si="27"/>
        <v>50.937140134217529</v>
      </c>
      <c r="M35" s="3">
        <f t="shared" si="28"/>
        <v>24.915617678592703</v>
      </c>
      <c r="N35" s="3">
        <f t="shared" si="29"/>
        <v>19.977762776476194</v>
      </c>
      <c r="O35" s="3">
        <f t="shared" si="30"/>
        <v>3.3058015327800496</v>
      </c>
      <c r="P35">
        <v>44.4</v>
      </c>
      <c r="Q35">
        <v>25.3</v>
      </c>
      <c r="R35">
        <v>25.6</v>
      </c>
      <c r="S35">
        <v>3.8</v>
      </c>
      <c r="T35">
        <f t="shared" si="31"/>
        <v>1</v>
      </c>
      <c r="U35">
        <f t="shared" ref="U35:U65" si="42">IF(M35=MAX($L35:$O35),1,0)</f>
        <v>0</v>
      </c>
      <c r="V35">
        <f t="shared" si="32"/>
        <v>0</v>
      </c>
      <c r="W35">
        <f t="shared" si="33"/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f t="shared" si="16"/>
        <v>0</v>
      </c>
      <c r="AJ35">
        <v>0</v>
      </c>
      <c r="AK35">
        <v>0</v>
      </c>
      <c r="AL35">
        <v>0</v>
      </c>
      <c r="AO35" t="s">
        <v>533</v>
      </c>
      <c r="AP35" s="25">
        <f t="shared" si="23"/>
        <v>1.0732145</v>
      </c>
      <c r="AQ35" s="24">
        <f t="shared" si="24"/>
        <v>1.0732145</v>
      </c>
      <c r="AR35" s="24">
        <f t="shared" si="25"/>
        <v>0.9067172</v>
      </c>
      <c r="AS35" s="24">
        <f t="shared" si="26"/>
        <v>0.94317834999999994</v>
      </c>
      <c r="AW35" s="8">
        <f t="shared" si="34"/>
        <v>40.73676125560219</v>
      </c>
      <c r="AX35" s="8">
        <f t="shared" si="35"/>
        <v>42.743862444957678</v>
      </c>
      <c r="AY35" s="8">
        <f t="shared" si="36"/>
        <v>13.250707398047988</v>
      </c>
      <c r="AZ35" s="8">
        <f t="shared" si="37"/>
        <v>2.9031425964587765</v>
      </c>
      <c r="BA35" s="8">
        <f t="shared" si="17"/>
        <v>99.634473695066646</v>
      </c>
      <c r="BD35" s="3">
        <f t="array" ref="BD35">MIN(100,MAX(0,L35-AJ35*5+AQ$16*(AP$27*T35+SUMPRODUCT($X35:$AH35,TRANSPOSE(AP$28:AP$38)))+AR$16*(AP$39*T35+SUMPRODUCT($X35:$AH35,TRANSPOSE(AP$40:AP$50)))+AS$16*(AP$51*T35+SUMPRODUCT($X35:$AH35,TRANSPOSE(AP$52:AP$62)))))</f>
        <v>40.73676125560219</v>
      </c>
      <c r="BE35" s="3">
        <f t="array" ref="BE35">MIN(100,MAX(0,M35-AK35*5+AP$17*(AQ$27*U35+SUMPRODUCT($X35:$AH35,TRANSPOSE(AQ$28:AQ$38)))+AR$17*(AQ$39*U35+SUMPRODUCT($X35:$AH35,TRANSPOSE(AQ$40:AQ$50)))+AS$17*(AQ$51*U35+SUMPRODUCT($X35:$AH35,TRANSPOSE(AQ$52:AQ$62)))))</f>
        <v>42.743862444957678</v>
      </c>
      <c r="BF35" s="3">
        <f t="array" ref="BF35">MIN(100,MAX(0,N35-AL35*5+AP$18*(AR$27*V35+SUMPRODUCT($X35:$AH35,TRANSPOSE(AR$28:AR$38)))+AQ$18*(AR$39*V35+SUMPRODUCT($X35:$AH35,TRANSPOSE(AR$40:AR$50)))+AS$18*(AR$51*V35+SUMPRODUCT($X35:$AH35,TRANSPOSE(AR$52:AR$62)))))</f>
        <v>13.250707398047988</v>
      </c>
      <c r="BG35" s="3">
        <f t="array" ref="BG35">MIN(100,MAX(0,O35+AP$19*(AS$27*W35+SUMPRODUCT($X35:$AH35,TRANSPOSE(AS$28:AS$38)))+AQ$19*(AS$39*W35+SUMPRODUCT($X35:$AH35,TRANSPOSE(AS$40:AS$50)))+AR$19*(AS$51*W35+SUMPRODUCT($X35:$AH35,TRANSPOSE(AS$52:AS$62)))))</f>
        <v>2.9031425964587765</v>
      </c>
      <c r="BJ35">
        <f t="shared" si="18"/>
        <v>0</v>
      </c>
      <c r="BK35">
        <f t="shared" si="19"/>
        <v>1</v>
      </c>
      <c r="BL35">
        <f t="shared" si="20"/>
        <v>0</v>
      </c>
      <c r="BM35">
        <f t="shared" si="21"/>
        <v>0</v>
      </c>
      <c r="BP35">
        <f t="shared" si="38"/>
        <v>1</v>
      </c>
      <c r="BQ35">
        <f t="shared" si="39"/>
        <v>0</v>
      </c>
      <c r="BR35">
        <f t="shared" si="40"/>
        <v>0</v>
      </c>
      <c r="BS35">
        <f t="shared" si="41"/>
        <v>0</v>
      </c>
    </row>
    <row r="36" spans="1:71">
      <c r="A36" t="s">
        <v>11</v>
      </c>
      <c r="B36" t="s">
        <v>173</v>
      </c>
      <c r="C36" t="s">
        <v>559</v>
      </c>
      <c r="D36">
        <v>35034</v>
      </c>
      <c r="E36">
        <v>354</v>
      </c>
      <c r="F36">
        <v>35</v>
      </c>
      <c r="G36">
        <v>32842</v>
      </c>
      <c r="H36">
        <v>7030</v>
      </c>
      <c r="I36">
        <v>12069</v>
      </c>
      <c r="J36">
        <v>2760</v>
      </c>
      <c r="K36">
        <v>54702</v>
      </c>
      <c r="L36" s="3">
        <f t="shared" si="27"/>
        <v>60.038024203868233</v>
      </c>
      <c r="M36" s="3">
        <f t="shared" si="28"/>
        <v>12.851449672772478</v>
      </c>
      <c r="N36" s="3">
        <f t="shared" si="29"/>
        <v>22.063178677196447</v>
      </c>
      <c r="O36" s="3">
        <f t="shared" si="30"/>
        <v>5.045519359438412</v>
      </c>
      <c r="P36">
        <v>44.4</v>
      </c>
      <c r="Q36">
        <v>25.3</v>
      </c>
      <c r="R36">
        <v>25.6</v>
      </c>
      <c r="S36">
        <v>3.8</v>
      </c>
      <c r="T36" s="54">
        <v>0</v>
      </c>
      <c r="U36">
        <f t="shared" si="42"/>
        <v>0</v>
      </c>
      <c r="V36">
        <f t="shared" si="32"/>
        <v>0</v>
      </c>
      <c r="W36">
        <f t="shared" si="33"/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f t="shared" si="16"/>
        <v>0</v>
      </c>
      <c r="AJ36">
        <v>1</v>
      </c>
      <c r="AK36">
        <v>0</v>
      </c>
      <c r="AL36">
        <v>0</v>
      </c>
      <c r="AO36" t="s">
        <v>534</v>
      </c>
      <c r="AP36" s="25">
        <f t="shared" si="23"/>
        <v>1.098168</v>
      </c>
      <c r="AQ36" s="24">
        <f t="shared" si="24"/>
        <v>1.098168</v>
      </c>
      <c r="AR36" s="24">
        <f t="shared" si="25"/>
        <v>1.1200705</v>
      </c>
      <c r="AS36" s="24">
        <f t="shared" si="26"/>
        <v>0.98667149999999992</v>
      </c>
      <c r="AW36" s="8">
        <f t="shared" si="34"/>
        <v>46.231268844218604</v>
      </c>
      <c r="AX36" s="8">
        <f t="shared" si="35"/>
        <v>28.308780297274716</v>
      </c>
      <c r="AY36" s="8">
        <f t="shared" si="36"/>
        <v>16.227364656669216</v>
      </c>
      <c r="AZ36" s="8">
        <f t="shared" si="37"/>
        <v>4.5896328135698345</v>
      </c>
      <c r="BA36" s="8">
        <f t="shared" si="17"/>
        <v>95.357046611732358</v>
      </c>
      <c r="BD36" s="3">
        <f t="array" ref="BD36">MIN(100,MAX(0,L36-AJ36*5+AQ$16*(AP$27*T36+SUMPRODUCT($X36:$AH36,TRANSPOSE(AP$28:AP$38)))+AR$16*(AP$39*T36+SUMPRODUCT($X36:$AH36,TRANSPOSE(AP$40:AP$50)))+AS$16*(AP$51*T36+SUMPRODUCT($X36:$AH36,TRANSPOSE(AP$52:AP$62)))))</f>
        <v>46.231268844218604</v>
      </c>
      <c r="BE36" s="3">
        <f t="array" ref="BE36">MIN(100,MAX(0,M36-AK36*5+AP$17*(AQ$27*U36+SUMPRODUCT($X36:$AH36,TRANSPOSE(AQ$28:AQ$38)))+AR$17*(AQ$39*U36+SUMPRODUCT($X36:$AH36,TRANSPOSE(AQ$40:AQ$50)))+AS$17*(AQ$51*U36+SUMPRODUCT($X36:$AH36,TRANSPOSE(AQ$52:AQ$62)))))</f>
        <v>28.308780297274716</v>
      </c>
      <c r="BF36" s="3">
        <f t="array" ref="BF36">MIN(100,MAX(0,N36-AL36*5+AP$18*(AR$27*V36+SUMPRODUCT($X36:$AH36,TRANSPOSE(AR$28:AR$38)))+AQ$18*(AR$39*V36+SUMPRODUCT($X36:$AH36,TRANSPOSE(AR$40:AR$50)))+AS$18*(AR$51*V36+SUMPRODUCT($X36:$AH36,TRANSPOSE(AR$52:AR$62)))))</f>
        <v>16.227364656669216</v>
      </c>
      <c r="BG36" s="3">
        <f t="array" ref="BG36">MIN(100,MAX(0,O36+AP$19*(AS$27*W36+SUMPRODUCT($X36:$AH36,TRANSPOSE(AS$28:AS$38)))+AQ$19*(AS$39*W36+SUMPRODUCT($X36:$AH36,TRANSPOSE(AS$40:AS$50)))+AR$19*(AS$51*W36+SUMPRODUCT($X36:$AH36,TRANSPOSE(AS$52:AS$62)))))</f>
        <v>4.6626623023107721</v>
      </c>
      <c r="BJ36">
        <f t="shared" si="18"/>
        <v>1</v>
      </c>
      <c r="BK36">
        <f t="shared" si="19"/>
        <v>0</v>
      </c>
      <c r="BL36">
        <f t="shared" si="20"/>
        <v>0</v>
      </c>
      <c r="BM36">
        <f t="shared" si="21"/>
        <v>0</v>
      </c>
      <c r="BP36">
        <f t="shared" si="38"/>
        <v>1</v>
      </c>
      <c r="BQ36">
        <f t="shared" si="39"/>
        <v>0</v>
      </c>
      <c r="BR36">
        <f t="shared" si="40"/>
        <v>0</v>
      </c>
      <c r="BS36">
        <f t="shared" si="41"/>
        <v>1</v>
      </c>
    </row>
    <row r="37" spans="1:71">
      <c r="A37" t="s">
        <v>11</v>
      </c>
      <c r="B37" t="s">
        <v>174</v>
      </c>
      <c r="C37" t="s">
        <v>174</v>
      </c>
      <c r="D37">
        <v>35035</v>
      </c>
      <c r="E37">
        <v>355</v>
      </c>
      <c r="F37">
        <v>35</v>
      </c>
      <c r="G37">
        <v>8076</v>
      </c>
      <c r="H37">
        <v>4509</v>
      </c>
      <c r="I37">
        <v>20741</v>
      </c>
      <c r="J37">
        <v>172</v>
      </c>
      <c r="K37">
        <v>34424</v>
      </c>
      <c r="L37" s="3">
        <f t="shared" si="27"/>
        <v>23.460376481524516</v>
      </c>
      <c r="M37" s="3">
        <f t="shared" si="28"/>
        <v>13.098419707181035</v>
      </c>
      <c r="N37" s="3">
        <f t="shared" si="29"/>
        <v>60.251568673018831</v>
      </c>
      <c r="O37" s="3">
        <f t="shared" si="30"/>
        <v>0.49965140599581692</v>
      </c>
      <c r="P37">
        <v>44.4</v>
      </c>
      <c r="Q37">
        <v>25.3</v>
      </c>
      <c r="R37">
        <v>25.6</v>
      </c>
      <c r="S37">
        <v>3.8</v>
      </c>
      <c r="T37">
        <f t="shared" si="31"/>
        <v>0</v>
      </c>
      <c r="U37">
        <f t="shared" si="42"/>
        <v>0</v>
      </c>
      <c r="V37">
        <f t="shared" si="32"/>
        <v>1</v>
      </c>
      <c r="W37">
        <f t="shared" si="33"/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f t="shared" si="16"/>
        <v>0</v>
      </c>
      <c r="AJ37">
        <v>0</v>
      </c>
      <c r="AK37">
        <v>0</v>
      </c>
      <c r="AL37">
        <v>0</v>
      </c>
      <c r="AO37" t="s">
        <v>535</v>
      </c>
      <c r="AP37" s="25">
        <f t="shared" si="23"/>
        <v>1.0164041500000001</v>
      </c>
      <c r="AQ37" s="24">
        <f t="shared" si="24"/>
        <v>1.0164041500000001</v>
      </c>
      <c r="AR37" s="24">
        <f t="shared" si="25"/>
        <v>0.89095360000000001</v>
      </c>
      <c r="AS37" s="24">
        <f t="shared" si="26"/>
        <v>0.96260845000000006</v>
      </c>
      <c r="AW37" s="8">
        <f t="shared" si="34"/>
        <v>13.136440995597551</v>
      </c>
      <c r="AX37" s="8">
        <f t="shared" si="35"/>
        <v>30.583409560643865</v>
      </c>
      <c r="AY37" s="8">
        <f t="shared" si="36"/>
        <v>52.190741590926855</v>
      </c>
      <c r="AZ37" s="8">
        <f t="shared" si="37"/>
        <v>9.9405124451466764E-2</v>
      </c>
      <c r="BA37" s="8">
        <f t="shared" si="17"/>
        <v>96.009997271619739</v>
      </c>
      <c r="BD37" s="3">
        <f t="array" ref="BD37">MIN(100,MAX(0,L37-AJ37*5+AQ$16*(AP$27*T37+SUMPRODUCT($X37:$AH37,TRANSPOSE(AP$28:AP$38)))+AR$16*(AP$39*T37+SUMPRODUCT($X37:$AH37,TRANSPOSE(AP$40:AP$50)))+AS$16*(AP$51*T37+SUMPRODUCT($X37:$AH37,TRANSPOSE(AP$52:AP$62)))))</f>
        <v>13.136440995597551</v>
      </c>
      <c r="BE37" s="3">
        <f t="array" ref="BE37">MIN(100,MAX(0,M37-AK37*5+AP$17*(AQ$27*U37+SUMPRODUCT($X37:$AH37,TRANSPOSE(AQ$28:AQ$38)))+AR$17*(AQ$39*U37+SUMPRODUCT($X37:$AH37,TRANSPOSE(AQ$40:AQ$50)))+AS$17*(AQ$51*U37+SUMPRODUCT($X37:$AH37,TRANSPOSE(AQ$52:AQ$62)))))</f>
        <v>30.583409560643865</v>
      </c>
      <c r="BF37" s="3">
        <f t="array" ref="BF37">MIN(100,MAX(0,N37-AL37*5+AP$18*(AR$27*V37+SUMPRODUCT($X37:$AH37,TRANSPOSE(AR$28:AR$38)))+AQ$18*(AR$39*V37+SUMPRODUCT($X37:$AH37,TRANSPOSE(AR$40:AR$50)))+AS$18*(AR$51*V37+SUMPRODUCT($X37:$AH37,TRANSPOSE(AR$52:AR$62)))))</f>
        <v>52.190741590926855</v>
      </c>
      <c r="BG37" s="3">
        <f t="array" ref="BG37">MIN(100,MAX(0,O37+AP$19*(AS$27*W37+SUMPRODUCT($X37:$AH37,TRANSPOSE(AS$28:AS$38)))+AQ$19*(AS$39*W37+SUMPRODUCT($X37:$AH37,TRANSPOSE(AS$40:AS$50)))+AR$19*(AS$51*W37+SUMPRODUCT($X37:$AH37,TRANSPOSE(AS$52:AS$62)))))</f>
        <v>9.9405124451466764E-2</v>
      </c>
      <c r="BJ37">
        <f t="shared" si="18"/>
        <v>0</v>
      </c>
      <c r="BK37">
        <f t="shared" si="19"/>
        <v>0</v>
      </c>
      <c r="BL37">
        <f t="shared" si="20"/>
        <v>1</v>
      </c>
      <c r="BM37">
        <f t="shared" si="21"/>
        <v>0</v>
      </c>
      <c r="BP37">
        <f t="shared" si="38"/>
        <v>0</v>
      </c>
      <c r="BQ37">
        <f t="shared" si="39"/>
        <v>0</v>
      </c>
      <c r="BR37">
        <f t="shared" si="40"/>
        <v>1</v>
      </c>
      <c r="BS37">
        <f t="shared" si="41"/>
        <v>0</v>
      </c>
    </row>
    <row r="38" spans="1:71">
      <c r="A38" t="s">
        <v>11</v>
      </c>
      <c r="B38" t="s">
        <v>175</v>
      </c>
      <c r="C38" t="s">
        <v>560</v>
      </c>
      <c r="D38">
        <v>35036</v>
      </c>
      <c r="E38">
        <v>353</v>
      </c>
      <c r="F38">
        <v>35</v>
      </c>
      <c r="G38">
        <v>16557</v>
      </c>
      <c r="H38">
        <v>6089</v>
      </c>
      <c r="I38">
        <v>19848</v>
      </c>
      <c r="J38">
        <v>1278</v>
      </c>
      <c r="K38">
        <v>44847</v>
      </c>
      <c r="L38" s="3">
        <f t="shared" si="27"/>
        <v>36.91885744865877</v>
      </c>
      <c r="M38" s="3">
        <f t="shared" si="28"/>
        <v>13.577273842174503</v>
      </c>
      <c r="N38" s="3">
        <f t="shared" si="29"/>
        <v>44.257140945882668</v>
      </c>
      <c r="O38" s="3">
        <f t="shared" si="30"/>
        <v>2.8496889424041743</v>
      </c>
      <c r="P38">
        <v>44.4</v>
      </c>
      <c r="Q38">
        <v>25.3</v>
      </c>
      <c r="R38">
        <v>25.6</v>
      </c>
      <c r="S38">
        <v>3.8</v>
      </c>
      <c r="T38">
        <f t="shared" si="31"/>
        <v>0</v>
      </c>
      <c r="U38">
        <f t="shared" si="42"/>
        <v>0</v>
      </c>
      <c r="V38">
        <f t="shared" si="32"/>
        <v>1</v>
      </c>
      <c r="W38">
        <f t="shared" si="33"/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f t="shared" si="16"/>
        <v>0</v>
      </c>
      <c r="AJ38">
        <v>0</v>
      </c>
      <c r="AK38">
        <v>0</v>
      </c>
      <c r="AL38">
        <v>0</v>
      </c>
      <c r="AO38" t="s">
        <v>536</v>
      </c>
      <c r="AP38" s="25">
        <f t="shared" si="23"/>
        <v>0.97639324999999999</v>
      </c>
      <c r="AQ38" s="24">
        <f t="shared" si="24"/>
        <v>0.97639324999999999</v>
      </c>
      <c r="AR38" s="24">
        <f t="shared" si="25"/>
        <v>1.0027107499999999</v>
      </c>
      <c r="AS38" s="24">
        <f t="shared" si="26"/>
        <v>0.93893314999999999</v>
      </c>
      <c r="AW38" s="8">
        <f t="shared" si="34"/>
        <v>26.594921962731803</v>
      </c>
      <c r="AX38" s="8">
        <f t="shared" si="35"/>
        <v>31.062263695637334</v>
      </c>
      <c r="AY38" s="8">
        <f t="shared" si="36"/>
        <v>36.196313863790692</v>
      </c>
      <c r="AZ38" s="8">
        <f t="shared" si="37"/>
        <v>2.4494426608598241</v>
      </c>
      <c r="BA38" s="8">
        <f t="shared" si="17"/>
        <v>96.302942183019667</v>
      </c>
      <c r="BD38" s="3">
        <f t="array" ref="BD38">MIN(100,MAX(0,L38-AJ38*5+AQ$16*(AP$27*T38+SUMPRODUCT($X38:$AH38,TRANSPOSE(AP$28:AP$38)))+AR$16*(AP$39*T38+SUMPRODUCT($X38:$AH38,TRANSPOSE(AP$40:AP$50)))+AS$16*(AP$51*T38+SUMPRODUCT($X38:$AH38,TRANSPOSE(AP$52:AP$62)))))</f>
        <v>26.594921962731803</v>
      </c>
      <c r="BE38" s="3">
        <f t="array" ref="BE38">MIN(100,MAX(0,M38-AK38*5+AP$17*(AQ$27*U38+SUMPRODUCT($X38:$AH38,TRANSPOSE(AQ$28:AQ$38)))+AR$17*(AQ$39*U38+SUMPRODUCT($X38:$AH38,TRANSPOSE(AQ$40:AQ$50)))+AS$17*(AQ$51*U38+SUMPRODUCT($X38:$AH38,TRANSPOSE(AQ$52:AQ$62)))))</f>
        <v>31.062263695637334</v>
      </c>
      <c r="BF38" s="3">
        <f t="array" ref="BF38">MIN(100,MAX(0,N38-AL38*5+AP$18*(AR$27*V38+SUMPRODUCT($X38:$AH38,TRANSPOSE(AR$28:AR$38)))+AQ$18*(AR$39*V38+SUMPRODUCT($X38:$AH38,TRANSPOSE(AR$40:AR$50)))+AS$18*(AR$51*V38+SUMPRODUCT($X38:$AH38,TRANSPOSE(AR$52:AR$62)))))</f>
        <v>36.196313863790692</v>
      </c>
      <c r="BG38" s="3">
        <f t="array" ref="BG38">MIN(100,MAX(0,O38+AP$19*(AS$27*W38+SUMPRODUCT($X38:$AH38,TRANSPOSE(AS$28:AS$38)))+AQ$19*(AS$39*W38+SUMPRODUCT($X38:$AH38,TRANSPOSE(AS$40:AS$50)))+AR$19*(AS$51*W38+SUMPRODUCT($X38:$AH38,TRANSPOSE(AS$52:AS$62)))))</f>
        <v>2.4494426608598241</v>
      </c>
      <c r="BJ38">
        <f t="shared" si="18"/>
        <v>0</v>
      </c>
      <c r="BK38">
        <f t="shared" si="19"/>
        <v>0</v>
      </c>
      <c r="BL38">
        <f t="shared" si="20"/>
        <v>1</v>
      </c>
      <c r="BM38">
        <f t="shared" si="21"/>
        <v>0</v>
      </c>
      <c r="BP38">
        <f t="shared" si="38"/>
        <v>0</v>
      </c>
      <c r="BQ38">
        <f t="shared" si="39"/>
        <v>0</v>
      </c>
      <c r="BR38">
        <f t="shared" si="40"/>
        <v>1</v>
      </c>
      <c r="BS38">
        <f t="shared" si="41"/>
        <v>0</v>
      </c>
    </row>
    <row r="39" spans="1:71">
      <c r="A39" t="s">
        <v>11</v>
      </c>
      <c r="B39" t="s">
        <v>176</v>
      </c>
      <c r="C39" t="s">
        <v>176</v>
      </c>
      <c r="D39">
        <v>35037</v>
      </c>
      <c r="E39">
        <v>357</v>
      </c>
      <c r="F39">
        <v>35</v>
      </c>
      <c r="G39">
        <v>14534</v>
      </c>
      <c r="H39">
        <v>7040</v>
      </c>
      <c r="I39">
        <v>21806</v>
      </c>
      <c r="J39">
        <v>1271</v>
      </c>
      <c r="K39">
        <v>45009</v>
      </c>
      <c r="L39" s="3">
        <f t="shared" si="27"/>
        <v>32.291319513875003</v>
      </c>
      <c r="M39" s="3">
        <f t="shared" si="28"/>
        <v>15.641316181208204</v>
      </c>
      <c r="N39" s="3">
        <f t="shared" si="29"/>
        <v>48.448088160145744</v>
      </c>
      <c r="O39" s="3">
        <f t="shared" si="30"/>
        <v>2.8238796685107421</v>
      </c>
      <c r="P39">
        <v>44.4</v>
      </c>
      <c r="Q39">
        <v>25.3</v>
      </c>
      <c r="R39">
        <v>25.6</v>
      </c>
      <c r="S39">
        <v>3.8</v>
      </c>
      <c r="T39">
        <f t="shared" si="31"/>
        <v>0</v>
      </c>
      <c r="U39">
        <f t="shared" si="42"/>
        <v>0</v>
      </c>
      <c r="V39" s="54">
        <v>0</v>
      </c>
      <c r="W39">
        <f t="shared" si="33"/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f t="shared" si="16"/>
        <v>0</v>
      </c>
      <c r="AJ39">
        <v>0</v>
      </c>
      <c r="AK39">
        <v>0</v>
      </c>
      <c r="AL39">
        <v>1</v>
      </c>
      <c r="AO39" t="s">
        <v>429</v>
      </c>
      <c r="AP39" s="7">
        <f>AP27</f>
        <v>0</v>
      </c>
      <c r="AQ39" s="7">
        <f t="shared" ref="AQ39:AS39" si="43">AQ27</f>
        <v>-7.8791399999999998E-2</v>
      </c>
      <c r="AR39" s="25">
        <f t="shared" si="43"/>
        <v>0.25995269999999998</v>
      </c>
      <c r="AS39" s="25">
        <f t="shared" si="43"/>
        <v>0</v>
      </c>
      <c r="AW39" s="8">
        <f t="shared" si="34"/>
        <v>21.967384027948036</v>
      </c>
      <c r="AX39" s="8">
        <f t="shared" si="35"/>
        <v>33.126306034671032</v>
      </c>
      <c r="AY39" s="8">
        <f t="shared" si="36"/>
        <v>37.175840519309602</v>
      </c>
      <c r="AZ39" s="8">
        <f t="shared" si="37"/>
        <v>2.423633386966392</v>
      </c>
      <c r="BA39" s="8">
        <f t="shared" si="17"/>
        <v>94.693163968895064</v>
      </c>
      <c r="BD39" s="3">
        <f t="array" ref="BD39">MIN(100,MAX(0,L39-AJ39*5+AQ$16*(AP$27*T39+SUMPRODUCT($X39:$AH39,TRANSPOSE(AP$28:AP$38)))+AR$16*(AP$39*T39+SUMPRODUCT($X39:$AH39,TRANSPOSE(AP$40:AP$50)))+AS$16*(AP$51*T39+SUMPRODUCT($X39:$AH39,TRANSPOSE(AP$52:AP$62)))))</f>
        <v>21.967384027948036</v>
      </c>
      <c r="BE39" s="3">
        <f t="array" ref="BE39">MIN(100,MAX(0,M39-AK39*5+AP$17*(AQ$27*U39+SUMPRODUCT($X39:$AH39,TRANSPOSE(AQ$28:AQ$38)))+AR$17*(AQ$39*U39+SUMPRODUCT($X39:$AH39,TRANSPOSE(AQ$40:AQ$50)))+AS$17*(AQ$51*U39+SUMPRODUCT($X39:$AH39,TRANSPOSE(AQ$52:AQ$62)))))</f>
        <v>33.126306034671032</v>
      </c>
      <c r="BF39" s="3">
        <f t="array" ref="BF39">MIN(100,MAX(0,N39-AL39*5+AP$18*(AR$27*V39+SUMPRODUCT($X39:$AH39,TRANSPOSE(AR$28:AR$38)))+AQ$18*(AR$39*V39+SUMPRODUCT($X39:$AH39,TRANSPOSE(AR$40:AR$50)))+AS$18*(AR$51*V39+SUMPRODUCT($X39:$AH39,TRANSPOSE(AR$52:AR$62)))))</f>
        <v>37.175840519309602</v>
      </c>
      <c r="BG39" s="3">
        <f t="array" ref="BG39">MIN(100,MAX(0,O39+AP$19*(AS$27*W39+SUMPRODUCT($X39:$AH39,TRANSPOSE(AS$28:AS$38)))+AQ$19*(AS$39*W39+SUMPRODUCT($X39:$AH39,TRANSPOSE(AS$40:AS$50)))+AR$19*(AS$51*W39+SUMPRODUCT($X39:$AH39,TRANSPOSE(AS$52:AS$62)))))</f>
        <v>2.423633386966392</v>
      </c>
      <c r="BJ39">
        <f t="shared" si="18"/>
        <v>0</v>
      </c>
      <c r="BK39">
        <f t="shared" si="19"/>
        <v>0</v>
      </c>
      <c r="BL39">
        <f t="shared" si="20"/>
        <v>1</v>
      </c>
      <c r="BM39">
        <f t="shared" si="21"/>
        <v>0</v>
      </c>
      <c r="BP39">
        <f t="shared" si="38"/>
        <v>0</v>
      </c>
      <c r="BQ39">
        <f t="shared" si="39"/>
        <v>0</v>
      </c>
      <c r="BR39">
        <f t="shared" si="40"/>
        <v>1</v>
      </c>
      <c r="BS39">
        <f t="shared" si="41"/>
        <v>0</v>
      </c>
    </row>
    <row r="40" spans="1:71">
      <c r="A40" t="s">
        <v>11</v>
      </c>
      <c r="B40" t="s">
        <v>177</v>
      </c>
      <c r="C40" t="s">
        <v>561</v>
      </c>
      <c r="D40">
        <v>35038</v>
      </c>
      <c r="E40">
        <v>357</v>
      </c>
      <c r="F40">
        <v>35</v>
      </c>
      <c r="G40">
        <v>22557</v>
      </c>
      <c r="H40">
        <v>13257</v>
      </c>
      <c r="I40">
        <v>14996</v>
      </c>
      <c r="J40">
        <v>1986</v>
      </c>
      <c r="K40">
        <v>53205</v>
      </c>
      <c r="L40" s="3">
        <f t="shared" si="27"/>
        <v>42.39639131660558</v>
      </c>
      <c r="M40" s="3">
        <f t="shared" si="28"/>
        <v>24.916831124894276</v>
      </c>
      <c r="N40" s="3">
        <f t="shared" si="29"/>
        <v>28.185320928484163</v>
      </c>
      <c r="O40" s="3">
        <f t="shared" si="30"/>
        <v>3.7327318861009302</v>
      </c>
      <c r="P40">
        <v>44.4</v>
      </c>
      <c r="Q40">
        <v>25.3</v>
      </c>
      <c r="R40">
        <v>25.6</v>
      </c>
      <c r="S40">
        <v>3.8</v>
      </c>
      <c r="T40">
        <f t="shared" si="31"/>
        <v>1</v>
      </c>
      <c r="U40">
        <f t="shared" si="42"/>
        <v>0</v>
      </c>
      <c r="V40">
        <f t="shared" si="32"/>
        <v>0</v>
      </c>
      <c r="W40">
        <f t="shared" si="33"/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f t="shared" si="16"/>
        <v>0</v>
      </c>
      <c r="AJ40">
        <v>0</v>
      </c>
      <c r="AK40">
        <v>0</v>
      </c>
      <c r="AL40">
        <v>0</v>
      </c>
      <c r="AO40" t="s">
        <v>554</v>
      </c>
      <c r="AP40" s="7">
        <f>AVERAGE(AP131,AR131)</f>
        <v>0.88861870000000009</v>
      </c>
      <c r="AQ40" s="7">
        <f>AVERAGE(AQ131,AR131)</f>
        <v>1.0313312000000001</v>
      </c>
      <c r="AR40" s="25">
        <f>AQ40</f>
        <v>1.0313312000000001</v>
      </c>
      <c r="AS40" s="25">
        <f>AQ52</f>
        <v>0.98155110000000012</v>
      </c>
      <c r="AW40" s="8">
        <f t="shared" si="34"/>
        <v>29.072455830678614</v>
      </c>
      <c r="AX40" s="8">
        <f t="shared" si="35"/>
        <v>47.401820978357108</v>
      </c>
      <c r="AY40" s="8">
        <f t="shared" si="36"/>
        <v>17.913073287648025</v>
      </c>
      <c r="AZ40" s="8">
        <f t="shared" si="37"/>
        <v>3.33248560455658</v>
      </c>
      <c r="BA40" s="8">
        <f t="shared" si="17"/>
        <v>97.719835701240328</v>
      </c>
      <c r="BD40" s="43">
        <f t="array" ref="BD40">MIN(100,MAX(0,L40-3-AJ40*5+AQ$16*(AP$27*T40+SUMPRODUCT($X40:$AH40,TRANSPOSE(AP$28:AP$38)))+AR$16*(AP$39*T40+SUMPRODUCT($X40:$AH40,TRANSPOSE(AP$40:AP$50)))+AS$16*(AP$51*T40+SUMPRODUCT($X40:$AH40,TRANSPOSE(AP$52:AP$62)))))</f>
        <v>29.072455830678614</v>
      </c>
      <c r="BE40" s="43">
        <f t="array" ref="BE40">MIN(100,MAX(0,M40+5-AK40*5+AP$17*(AQ$27*U40+SUMPRODUCT($X40:$AH40,TRANSPOSE(AQ$28:AQ$38)))+AR$17*(AQ$39*U40+SUMPRODUCT($X40:$AH40,TRANSPOSE(AQ$40:AQ$50)))+AS$17*(AQ$51*U40+SUMPRODUCT($X40:$AH40,TRANSPOSE(AQ$52:AQ$62)))))</f>
        <v>47.401820978357108</v>
      </c>
      <c r="BF40" s="43">
        <f t="array" ref="BF40">MIN(100,MAX(0,N40-4-AL40*5+AP$18*(AR$27*V40+SUMPRODUCT($X40:$AH40,TRANSPOSE(AR$28:AR$38)))+AQ$18*(AR$39*V40+SUMPRODUCT($X40:$AH40,TRANSPOSE(AR$40:AR$50)))+AS$18*(AR$51*V40+SUMPRODUCT($X40:$AH40,TRANSPOSE(AR$52:AR$62)))))</f>
        <v>17.913073287648025</v>
      </c>
      <c r="BG40" s="3">
        <f t="array" ref="BG40">MIN(100,MAX(0,O40+AP$19*(AS$27*W40+SUMPRODUCT($X40:$AH40,TRANSPOSE(AS$28:AS$38)))+AQ$19*(AS$39*W40+SUMPRODUCT($X40:$AH40,TRANSPOSE(AS$40:AS$50)))+AR$19*(AS$51*W40+SUMPRODUCT($X40:$AH40,TRANSPOSE(AS$52:AS$62)))))</f>
        <v>3.33248560455658</v>
      </c>
      <c r="BJ40">
        <f t="shared" si="18"/>
        <v>0</v>
      </c>
      <c r="BK40">
        <f t="shared" si="19"/>
        <v>1</v>
      </c>
      <c r="BL40">
        <f t="shared" si="20"/>
        <v>0</v>
      </c>
      <c r="BM40">
        <f t="shared" si="21"/>
        <v>0</v>
      </c>
      <c r="BP40">
        <f t="shared" si="38"/>
        <v>0</v>
      </c>
      <c r="BQ40">
        <f t="shared" si="39"/>
        <v>1</v>
      </c>
      <c r="BR40">
        <f t="shared" si="40"/>
        <v>0</v>
      </c>
      <c r="BS40">
        <f t="shared" si="41"/>
        <v>0</v>
      </c>
    </row>
    <row r="41" spans="1:71">
      <c r="A41" t="s">
        <v>11</v>
      </c>
      <c r="B41" t="s">
        <v>178</v>
      </c>
      <c r="C41" t="s">
        <v>562</v>
      </c>
      <c r="D41">
        <v>35039</v>
      </c>
      <c r="E41">
        <v>357</v>
      </c>
      <c r="F41">
        <v>35</v>
      </c>
      <c r="G41">
        <v>23628</v>
      </c>
      <c r="H41">
        <v>7353</v>
      </c>
      <c r="I41">
        <v>10333</v>
      </c>
      <c r="J41">
        <v>1476</v>
      </c>
      <c r="K41">
        <v>43075</v>
      </c>
      <c r="L41" s="3">
        <f t="shared" si="27"/>
        <v>54.853163087637846</v>
      </c>
      <c r="M41" s="3">
        <f t="shared" si="28"/>
        <v>17.070226349390598</v>
      </c>
      <c r="N41" s="3">
        <f t="shared" si="29"/>
        <v>23.988392338943704</v>
      </c>
      <c r="O41" s="3">
        <f t="shared" si="30"/>
        <v>3.4265815438189207</v>
      </c>
      <c r="P41">
        <v>44.4</v>
      </c>
      <c r="Q41">
        <v>25.3</v>
      </c>
      <c r="R41">
        <v>25.6</v>
      </c>
      <c r="S41">
        <v>3.8</v>
      </c>
      <c r="T41">
        <f t="shared" si="31"/>
        <v>1</v>
      </c>
      <c r="U41">
        <f t="shared" si="42"/>
        <v>0</v>
      </c>
      <c r="V41">
        <f t="shared" si="32"/>
        <v>0</v>
      </c>
      <c r="W41">
        <f t="shared" si="33"/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f t="shared" si="16"/>
        <v>0</v>
      </c>
      <c r="AJ41">
        <v>0</v>
      </c>
      <c r="AK41">
        <v>0</v>
      </c>
      <c r="AL41">
        <v>0</v>
      </c>
      <c r="AO41" t="s">
        <v>527</v>
      </c>
      <c r="AP41" s="7">
        <f t="shared" ref="AP41:AP50" si="44">AVERAGE(AP132,AR132)</f>
        <v>0.96196585000000001</v>
      </c>
      <c r="AQ41" s="7">
        <f t="shared" ref="AQ41:AQ50" si="45">AVERAGE(AQ132,AR132)</f>
        <v>0.85919175000000003</v>
      </c>
      <c r="AR41" s="25">
        <f t="shared" ref="AR41:AR50" si="46">AQ41</f>
        <v>0.85919175000000003</v>
      </c>
      <c r="AS41" s="25">
        <f t="shared" ref="AS41:AS50" si="47">AQ53</f>
        <v>0.87174625000000006</v>
      </c>
      <c r="AW41" s="8">
        <f t="shared" si="34"/>
        <v>46.046407727988218</v>
      </c>
      <c r="AX41" s="8">
        <f t="shared" si="35"/>
        <v>32.527556973892835</v>
      </c>
      <c r="AY41" s="8">
        <f t="shared" si="36"/>
        <v>18.152578318416474</v>
      </c>
      <c r="AZ41" s="8">
        <f t="shared" si="37"/>
        <v>3.0437244866912803</v>
      </c>
      <c r="BA41" s="8">
        <f t="shared" si="17"/>
        <v>99.770267506988802</v>
      </c>
      <c r="BD41" s="3">
        <f t="array" ref="BD41">MIN(100,MAX(0,L41-AJ41*5+AQ$16*(AP$27*T41+SUMPRODUCT($X41:$AH41,TRANSPOSE(AP$28:AP$38)))+AR$16*(AP$39*T41+SUMPRODUCT($X41:$AH41,TRANSPOSE(AP$40:AP$50)))+AS$16*(AP$51*T41+SUMPRODUCT($X41:$AH41,TRANSPOSE(AP$52:AP$62)))))</f>
        <v>46.046407727988218</v>
      </c>
      <c r="BE41" s="3">
        <f t="array" ref="BE41">MIN(100,MAX(0,M41-AK41*5+AP$17*(AQ$27*U41+SUMPRODUCT($X41:$AH41,TRANSPOSE(AQ$28:AQ$38)))+AR$17*(AQ$39*U41+SUMPRODUCT($X41:$AH41,TRANSPOSE(AQ$40:AQ$50)))+AS$17*(AQ$51*U41+SUMPRODUCT($X41:$AH41,TRANSPOSE(AQ$52:AQ$62)))))</f>
        <v>32.527556973892835</v>
      </c>
      <c r="BF41" s="3">
        <f t="array" ref="BF41">MIN(100,MAX(0,N41-AL41*5+AP$18*(AR$27*V41+SUMPRODUCT($X41:$AH41,TRANSPOSE(AR$28:AR$38)))+AQ$18*(AR$39*V41+SUMPRODUCT($X41:$AH41,TRANSPOSE(AR$40:AR$50)))+AS$18*(AR$51*V41+SUMPRODUCT($X41:$AH41,TRANSPOSE(AR$52:AR$62)))))</f>
        <v>18.152578318416474</v>
      </c>
      <c r="BG41" s="3">
        <f t="array" ref="BG41">MIN(100,MAX(0,O41+AP$19*(AS$27*W41+SUMPRODUCT($X41:$AH41,TRANSPOSE(AS$28:AS$38)))+AQ$19*(AS$39*W41+SUMPRODUCT($X41:$AH41,TRANSPOSE(AS$40:AS$50)))+AR$19*(AS$51*W41+SUMPRODUCT($X41:$AH41,TRANSPOSE(AS$52:AS$62)))))</f>
        <v>3.0437244866912803</v>
      </c>
      <c r="BJ41">
        <f t="shared" si="18"/>
        <v>1</v>
      </c>
      <c r="BK41">
        <f t="shared" si="19"/>
        <v>0</v>
      </c>
      <c r="BL41">
        <f t="shared" si="20"/>
        <v>0</v>
      </c>
      <c r="BM41">
        <f t="shared" si="21"/>
        <v>0</v>
      </c>
      <c r="BP41">
        <f t="shared" si="38"/>
        <v>1</v>
      </c>
      <c r="BQ41">
        <f t="shared" si="39"/>
        <v>0</v>
      </c>
      <c r="BR41">
        <f t="shared" si="40"/>
        <v>0</v>
      </c>
      <c r="BS41">
        <f t="shared" si="41"/>
        <v>0</v>
      </c>
    </row>
    <row r="42" spans="1:71">
      <c r="A42" t="s">
        <v>11</v>
      </c>
      <c r="B42" t="s">
        <v>179</v>
      </c>
      <c r="C42" t="s">
        <v>563</v>
      </c>
      <c r="D42">
        <v>35121</v>
      </c>
      <c r="E42">
        <v>3512</v>
      </c>
      <c r="F42">
        <v>35</v>
      </c>
      <c r="G42">
        <v>6122</v>
      </c>
      <c r="H42">
        <v>13030</v>
      </c>
      <c r="I42">
        <v>7721</v>
      </c>
      <c r="J42">
        <v>450</v>
      </c>
      <c r="K42">
        <v>27724</v>
      </c>
      <c r="L42" s="3">
        <f t="shared" si="27"/>
        <v>22.081950656470926</v>
      </c>
      <c r="M42" s="3">
        <f t="shared" si="28"/>
        <v>46.99899004472659</v>
      </c>
      <c r="N42" s="3">
        <f t="shared" si="29"/>
        <v>27.849516664262016</v>
      </c>
      <c r="O42" s="3">
        <f t="shared" si="30"/>
        <v>1.6231424036935509</v>
      </c>
      <c r="P42">
        <v>44.4</v>
      </c>
      <c r="Q42">
        <v>25.3</v>
      </c>
      <c r="R42">
        <v>25.6</v>
      </c>
      <c r="S42">
        <v>3.8</v>
      </c>
      <c r="T42">
        <f t="shared" si="31"/>
        <v>0</v>
      </c>
      <c r="U42">
        <f t="shared" si="42"/>
        <v>1</v>
      </c>
      <c r="V42">
        <f t="shared" si="32"/>
        <v>0</v>
      </c>
      <c r="W42">
        <f t="shared" si="33"/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f t="shared" si="16"/>
        <v>1</v>
      </c>
      <c r="AJ42">
        <v>0</v>
      </c>
      <c r="AK42">
        <v>0</v>
      </c>
      <c r="AL42">
        <v>0</v>
      </c>
      <c r="AO42" t="s">
        <v>528</v>
      </c>
      <c r="AP42" s="7">
        <f t="shared" si="44"/>
        <v>0.92008485000000007</v>
      </c>
      <c r="AQ42" s="7">
        <f t="shared" si="45"/>
        <v>0.84817904999999993</v>
      </c>
      <c r="AR42" s="25">
        <f t="shared" si="46"/>
        <v>0.84817904999999993</v>
      </c>
      <c r="AS42" s="25">
        <f t="shared" si="47"/>
        <v>0.94054605000000002</v>
      </c>
      <c r="AW42" s="8">
        <f t="shared" si="34"/>
        <v>12.164418420996919</v>
      </c>
      <c r="AX42" s="8">
        <f t="shared" si="35"/>
        <v>63.839207936516473</v>
      </c>
      <c r="AY42" s="8">
        <f t="shared" si="36"/>
        <v>20.435541419398202</v>
      </c>
      <c r="AZ42" s="8">
        <f t="shared" si="37"/>
        <v>1.2104781580325368</v>
      </c>
      <c r="BA42" s="8">
        <f t="shared" si="17"/>
        <v>97.649645934944147</v>
      </c>
      <c r="BD42" s="3">
        <f t="array" ref="BD42">MIN(100,MAX(0,L42-AJ42*5+AQ$16*(AP$27*T42+SUMPRODUCT($X42:$AH42,TRANSPOSE(AP$28:AP$38)))+AR$16*(AP$39*T42+SUMPRODUCT($X42:$AH42,TRANSPOSE(AP$40:AP$50)))+AS$16*(AP$51*T42+SUMPRODUCT($X42:$AH42,TRANSPOSE(AP$52:AP$62)))))</f>
        <v>12.164418420996919</v>
      </c>
      <c r="BE42" s="3">
        <f t="array" ref="BE42">MIN(100,MAX(0,M42-AK42*5+AP$17*(AQ$27*U42+SUMPRODUCT($X42:$AH42,TRANSPOSE(AQ$28:AQ$38)))+AR$17*(AQ$39*U42+SUMPRODUCT($X42:$AH42,TRANSPOSE(AQ$40:AQ$50)))+AS$17*(AQ$51*U42+SUMPRODUCT($X42:$AH42,TRANSPOSE(AQ$52:AQ$62)))))</f>
        <v>63.839207936516473</v>
      </c>
      <c r="BF42" s="3">
        <f t="array" ref="BF42">MIN(100,MAX(0,N42-AL42*5+AP$18*(AR$27*V42+SUMPRODUCT($X42:$AH42,TRANSPOSE(AR$28:AR$38)))+AQ$18*(AR$39*V42+SUMPRODUCT($X42:$AH42,TRANSPOSE(AR$40:AR$50)))+AS$18*(AR$51*V42+SUMPRODUCT($X42:$AH42,TRANSPOSE(AR$52:AR$62)))))</f>
        <v>20.435541419398202</v>
      </c>
      <c r="BG42" s="3">
        <f t="array" ref="BG42">MIN(100,MAX(0,O42+AP$19*(AS$27*W42+SUMPRODUCT($X42:$AH42,TRANSPOSE(AS$28:AS$38)))+AQ$19*(AS$39*W42+SUMPRODUCT($X42:$AH42,TRANSPOSE(AS$40:AS$50)))+AR$19*(AS$51*W42+SUMPRODUCT($X42:$AH42,TRANSPOSE(AS$52:AS$62)))))</f>
        <v>1.2104781580325368</v>
      </c>
      <c r="BJ42">
        <f t="shared" si="18"/>
        <v>0</v>
      </c>
      <c r="BK42">
        <f t="shared" si="19"/>
        <v>1</v>
      </c>
      <c r="BL42">
        <f t="shared" si="20"/>
        <v>0</v>
      </c>
      <c r="BM42">
        <f t="shared" si="21"/>
        <v>0</v>
      </c>
      <c r="BP42">
        <f t="shared" si="38"/>
        <v>0</v>
      </c>
      <c r="BQ42">
        <f t="shared" si="39"/>
        <v>1</v>
      </c>
      <c r="BR42">
        <f t="shared" si="40"/>
        <v>1</v>
      </c>
      <c r="BS42">
        <f t="shared" si="41"/>
        <v>0</v>
      </c>
    </row>
    <row r="43" spans="1:71">
      <c r="A43" t="s">
        <v>11</v>
      </c>
      <c r="B43" t="s">
        <v>180</v>
      </c>
      <c r="C43" t="s">
        <v>564</v>
      </c>
      <c r="D43">
        <v>35040</v>
      </c>
      <c r="E43">
        <v>353</v>
      </c>
      <c r="F43">
        <v>35</v>
      </c>
      <c r="G43">
        <v>29255</v>
      </c>
      <c r="H43">
        <v>8784</v>
      </c>
      <c r="I43">
        <v>13493</v>
      </c>
      <c r="J43">
        <v>1455</v>
      </c>
      <c r="K43">
        <v>53241</v>
      </c>
      <c r="L43" s="3">
        <f t="shared" si="27"/>
        <v>54.948254165023194</v>
      </c>
      <c r="M43" s="3">
        <f t="shared" si="28"/>
        <v>16.498563137431681</v>
      </c>
      <c r="N43" s="3">
        <f t="shared" si="29"/>
        <v>25.343250502432333</v>
      </c>
      <c r="O43" s="3">
        <f t="shared" si="30"/>
        <v>2.7328562573956159</v>
      </c>
      <c r="P43">
        <v>44.4</v>
      </c>
      <c r="Q43">
        <v>25.3</v>
      </c>
      <c r="R43">
        <v>25.6</v>
      </c>
      <c r="S43">
        <v>3.8</v>
      </c>
      <c r="T43">
        <f t="shared" si="31"/>
        <v>1</v>
      </c>
      <c r="U43">
        <f t="shared" si="42"/>
        <v>0</v>
      </c>
      <c r="V43">
        <f t="shared" si="32"/>
        <v>0</v>
      </c>
      <c r="W43">
        <f t="shared" si="33"/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f t="shared" si="16"/>
        <v>0</v>
      </c>
      <c r="AJ43">
        <v>0</v>
      </c>
      <c r="AK43">
        <v>0</v>
      </c>
      <c r="AL43">
        <v>0</v>
      </c>
      <c r="AO43" t="s">
        <v>529</v>
      </c>
      <c r="AP43" s="7">
        <f t="shared" si="44"/>
        <v>1.0113315</v>
      </c>
      <c r="AQ43" s="7">
        <f t="shared" si="45"/>
        <v>0.9884735</v>
      </c>
      <c r="AR43" s="25">
        <f t="shared" si="46"/>
        <v>0.9884735</v>
      </c>
      <c r="AS43" s="25">
        <f t="shared" si="47"/>
        <v>1.0581834999999999</v>
      </c>
      <c r="AW43" s="8">
        <f t="shared" si="34"/>
        <v>44.279123907017713</v>
      </c>
      <c r="AX43" s="8">
        <f t="shared" si="35"/>
        <v>34.914093517002058</v>
      </c>
      <c r="AY43" s="8">
        <f t="shared" si="36"/>
        <v>18.542154070942281</v>
      </c>
      <c r="AZ43" s="8">
        <f t="shared" si="37"/>
        <v>2.3021139022381769</v>
      </c>
      <c r="BA43" s="8">
        <f t="shared" si="17"/>
        <v>100.03748539720021</v>
      </c>
      <c r="BD43" s="3">
        <f t="array" ref="BD43">MIN(100,MAX(0,L43-AJ43*5+AQ$16*(AP$27*T43+SUMPRODUCT($X43:$AH43,TRANSPOSE(AP$28:AP$38)))+AR$16*(AP$39*T43+SUMPRODUCT($X43:$AH43,TRANSPOSE(AP$40:AP$50)))+AS$16*(AP$51*T43+SUMPRODUCT($X43:$AH43,TRANSPOSE(AP$52:AP$62)))))</f>
        <v>44.279123907017713</v>
      </c>
      <c r="BE43" s="3">
        <f t="array" ref="BE43">MIN(100,MAX(0,M43-AK43*5+AP$17*(AQ$27*U43+SUMPRODUCT($X43:$AH43,TRANSPOSE(AQ$28:AQ$38)))+AR$17*(AQ$39*U43+SUMPRODUCT($X43:$AH43,TRANSPOSE(AQ$40:AQ$50)))+AS$17*(AQ$51*U43+SUMPRODUCT($X43:$AH43,TRANSPOSE(AQ$52:AQ$62)))))</f>
        <v>34.914093517002058</v>
      </c>
      <c r="BF43" s="3">
        <f t="array" ref="BF43">MIN(100,MAX(0,N43-AL43*5+AP$18*(AR$27*V43+SUMPRODUCT($X43:$AH43,TRANSPOSE(AR$28:AR$38)))+AQ$18*(AR$39*V43+SUMPRODUCT($X43:$AH43,TRANSPOSE(AR$40:AR$50)))+AS$18*(AR$51*V43+SUMPRODUCT($X43:$AH43,TRANSPOSE(AR$52:AR$62)))))</f>
        <v>18.542154070942281</v>
      </c>
      <c r="BG43" s="3">
        <f t="array" ref="BG43">MIN(100,MAX(0,O43+AP$19*(AS$27*W43+SUMPRODUCT($X43:$AH43,TRANSPOSE(AS$28:AS$38)))+AQ$19*(AS$39*W43+SUMPRODUCT($X43:$AH43,TRANSPOSE(AS$40:AS$50)))+AR$19*(AS$51*W43+SUMPRODUCT($X43:$AH43,TRANSPOSE(AS$52:AS$62)))))</f>
        <v>2.3021139022381769</v>
      </c>
      <c r="BJ43">
        <f t="shared" si="18"/>
        <v>1</v>
      </c>
      <c r="BK43">
        <f t="shared" si="19"/>
        <v>0</v>
      </c>
      <c r="BL43">
        <f t="shared" si="20"/>
        <v>0</v>
      </c>
      <c r="BM43">
        <f t="shared" si="21"/>
        <v>0</v>
      </c>
      <c r="BP43">
        <f t="shared" si="38"/>
        <v>1</v>
      </c>
      <c r="BQ43">
        <f t="shared" si="39"/>
        <v>0</v>
      </c>
      <c r="BR43">
        <f t="shared" si="40"/>
        <v>0</v>
      </c>
      <c r="BS43">
        <f t="shared" si="41"/>
        <v>0</v>
      </c>
    </row>
    <row r="44" spans="1:71">
      <c r="A44" t="s">
        <v>11</v>
      </c>
      <c r="B44" t="s">
        <v>181</v>
      </c>
      <c r="C44" t="s">
        <v>565</v>
      </c>
      <c r="D44">
        <v>35041</v>
      </c>
      <c r="E44">
        <v>353</v>
      </c>
      <c r="F44">
        <v>35</v>
      </c>
      <c r="G44">
        <v>27285</v>
      </c>
      <c r="H44">
        <v>13445</v>
      </c>
      <c r="I44">
        <v>7766</v>
      </c>
      <c r="J44">
        <v>2307</v>
      </c>
      <c r="K44">
        <v>50803</v>
      </c>
      <c r="L44" s="3">
        <f t="shared" si="27"/>
        <v>53.707458220971205</v>
      </c>
      <c r="M44" s="3">
        <f t="shared" si="28"/>
        <v>26.464972540991671</v>
      </c>
      <c r="N44" s="3">
        <f t="shared" si="29"/>
        <v>15.286498828809322</v>
      </c>
      <c r="O44" s="3">
        <f t="shared" si="30"/>
        <v>4.5410704092278014</v>
      </c>
      <c r="P44">
        <v>44.4</v>
      </c>
      <c r="Q44">
        <v>25.3</v>
      </c>
      <c r="R44">
        <v>25.6</v>
      </c>
      <c r="S44">
        <v>3.8</v>
      </c>
      <c r="T44" s="54">
        <v>0</v>
      </c>
      <c r="U44">
        <f t="shared" si="42"/>
        <v>0</v>
      </c>
      <c r="V44">
        <f t="shared" si="32"/>
        <v>0</v>
      </c>
      <c r="W44">
        <f t="shared" si="33"/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f t="shared" si="16"/>
        <v>0</v>
      </c>
      <c r="AJ44">
        <v>0</v>
      </c>
      <c r="AK44">
        <v>0</v>
      </c>
      <c r="AL44">
        <v>0</v>
      </c>
      <c r="AO44" t="s">
        <v>530</v>
      </c>
      <c r="AP44" s="7">
        <f t="shared" si="44"/>
        <v>1.0365454999999999</v>
      </c>
      <c r="AQ44" s="7">
        <f t="shared" si="45"/>
        <v>0.97771235000000001</v>
      </c>
      <c r="AR44" s="25">
        <f t="shared" si="46"/>
        <v>0.97771235000000001</v>
      </c>
      <c r="AS44" s="25">
        <f t="shared" si="47"/>
        <v>0.98919234999999994</v>
      </c>
      <c r="AW44" s="8">
        <f t="shared" si="34"/>
        <v>42.950094675339123</v>
      </c>
      <c r="AX44" s="8">
        <f t="shared" si="35"/>
        <v>46.40625847271285</v>
      </c>
      <c r="AY44" s="8">
        <f t="shared" si="36"/>
        <v>9.374912989744649</v>
      </c>
      <c r="AZ44" s="8">
        <f t="shared" si="37"/>
        <v>4.1405926014121812</v>
      </c>
      <c r="BA44" s="8">
        <f t="shared" si="17"/>
        <v>102.87185873920879</v>
      </c>
      <c r="BD44" s="43">
        <f t="array" ref="BD44">MIN(100,MAX(0,L44-2.5-AJ44*5+AQ$16*(AP$27*T44+SUMPRODUCT($X44:$AH44,TRANSPOSE(AP$28:AP$38)))+AR$16*(AP$39*T44+SUMPRODUCT($X44:$AH44,TRANSPOSE(AP$40:AP$50)))+AS$16*(AP$51*T44+SUMPRODUCT($X44:$AH44,TRANSPOSE(AP$52:AP$62)))))</f>
        <v>42.950094675339123</v>
      </c>
      <c r="BE44" s="43">
        <f t="array" ref="BE44">MIN(100,MAX(0,M44+5-AK44*5+AP$17*(AQ$27*U44+SUMPRODUCT($X44:$AH44,TRANSPOSE(AQ$28:AQ$38)))+AR$17*(AQ$39*U44+SUMPRODUCT($X44:$AH44,TRANSPOSE(AQ$40:AQ$50)))+AS$17*(AQ$51*U44+SUMPRODUCT($X44:$AH44,TRANSPOSE(AQ$52:AQ$62)))))</f>
        <v>46.40625847271285</v>
      </c>
      <c r="BF44" s="3">
        <f t="array" ref="BF44">MIN(100,MAX(0,N44-AL44*5+AP$18*(AR$27*V44+SUMPRODUCT($X44:$AH44,TRANSPOSE(AR$28:AR$38)))+AQ$18*(AR$39*V44+SUMPRODUCT($X44:$AH44,TRANSPOSE(AR$40:AR$50)))+AS$18*(AR$51*V44+SUMPRODUCT($X44:$AH44,TRANSPOSE(AR$52:AR$62)))))</f>
        <v>9.374912989744649</v>
      </c>
      <c r="BG44" s="3">
        <f t="array" ref="BG44">MIN(100,MAX(0,O44+AP$19*(AS$27*W44+SUMPRODUCT($X44:$AH44,TRANSPOSE(AS$28:AS$38)))+AQ$19*(AS$39*W44+SUMPRODUCT($X44:$AH44,TRANSPOSE(AS$40:AS$50)))+AR$19*(AS$51*W44+SUMPRODUCT($X44:$AH44,TRANSPOSE(AS$52:AS$62)))))</f>
        <v>4.1862188803344988</v>
      </c>
      <c r="BJ44">
        <f t="shared" si="18"/>
        <v>0</v>
      </c>
      <c r="BK44">
        <f t="shared" si="19"/>
        <v>1</v>
      </c>
      <c r="BL44">
        <f t="shared" si="20"/>
        <v>0</v>
      </c>
      <c r="BM44">
        <f t="shared" si="21"/>
        <v>0</v>
      </c>
      <c r="BP44">
        <f t="shared" si="38"/>
        <v>1</v>
      </c>
      <c r="BQ44">
        <f t="shared" si="39"/>
        <v>1</v>
      </c>
      <c r="BR44">
        <f t="shared" si="40"/>
        <v>0</v>
      </c>
      <c r="BS44">
        <f t="shared" si="41"/>
        <v>1</v>
      </c>
    </row>
    <row r="45" spans="1:71">
      <c r="A45" t="s">
        <v>11</v>
      </c>
      <c r="B45" t="s">
        <v>182</v>
      </c>
      <c r="C45" t="s">
        <v>182</v>
      </c>
      <c r="D45">
        <v>35042</v>
      </c>
      <c r="E45">
        <v>356</v>
      </c>
      <c r="F45">
        <v>35</v>
      </c>
      <c r="G45">
        <v>11567</v>
      </c>
      <c r="H45">
        <v>5381</v>
      </c>
      <c r="I45">
        <v>6855</v>
      </c>
      <c r="J45">
        <v>636</v>
      </c>
      <c r="K45">
        <v>24586</v>
      </c>
      <c r="L45" s="3">
        <f t="shared" si="27"/>
        <v>47.04709997559587</v>
      </c>
      <c r="M45" s="3">
        <f t="shared" si="28"/>
        <v>21.88643943707801</v>
      </c>
      <c r="N45" s="3">
        <f t="shared" si="29"/>
        <v>27.881721304807616</v>
      </c>
      <c r="O45" s="3">
        <f t="shared" si="30"/>
        <v>2.5868380379077522</v>
      </c>
      <c r="P45">
        <v>44.4</v>
      </c>
      <c r="Q45">
        <v>25.3</v>
      </c>
      <c r="R45">
        <v>25.6</v>
      </c>
      <c r="S45">
        <v>3.8</v>
      </c>
      <c r="T45">
        <f t="shared" si="31"/>
        <v>1</v>
      </c>
      <c r="U45">
        <f t="shared" si="42"/>
        <v>0</v>
      </c>
      <c r="V45">
        <f t="shared" si="32"/>
        <v>0</v>
      </c>
      <c r="W45">
        <f t="shared" si="33"/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f t="shared" si="16"/>
        <v>0</v>
      </c>
      <c r="AJ45">
        <v>0</v>
      </c>
      <c r="AK45">
        <v>0</v>
      </c>
      <c r="AL45">
        <v>0</v>
      </c>
      <c r="AO45" t="s">
        <v>531</v>
      </c>
      <c r="AP45" s="7">
        <f t="shared" si="44"/>
        <v>0.9847201000000001</v>
      </c>
      <c r="AQ45" s="7">
        <f t="shared" si="45"/>
        <v>0.89793385000000003</v>
      </c>
      <c r="AR45" s="25">
        <f t="shared" si="46"/>
        <v>0.89793385000000003</v>
      </c>
      <c r="AS45" s="25">
        <f t="shared" si="47"/>
        <v>1.03909775</v>
      </c>
      <c r="AW45" s="8">
        <f t="shared" si="34"/>
        <v>37.341202982658899</v>
      </c>
      <c r="AX45" s="8">
        <f t="shared" si="35"/>
        <v>39.582312510681867</v>
      </c>
      <c r="AY45" s="8">
        <f t="shared" si="36"/>
        <v>20.785746608465878</v>
      </c>
      <c r="AZ45" s="8">
        <f t="shared" si="37"/>
        <v>2.1872895356665296</v>
      </c>
      <c r="BA45" s="8">
        <f t="shared" si="17"/>
        <v>99.896551637473181</v>
      </c>
      <c r="BD45" s="3">
        <f t="array" ref="BD45">MIN(100,MAX(0,L45-AJ45*5+AQ$16*(AP$27*T45+SUMPRODUCT($X45:$AH45,TRANSPOSE(AP$28:AP$38)))+AR$16*(AP$39*T45+SUMPRODUCT($X45:$AH45,TRANSPOSE(AP$40:AP$50)))+AS$16*(AP$51*T45+SUMPRODUCT($X45:$AH45,TRANSPOSE(AP$52:AP$62)))))</f>
        <v>37.341202982658899</v>
      </c>
      <c r="BE45" s="3">
        <f t="array" ref="BE45">MIN(100,MAX(0,M45-AK45*5+AP$17*(AQ$27*U45+SUMPRODUCT($X45:$AH45,TRANSPOSE(AQ$28:AQ$38)))+AR$17*(AQ$39*U45+SUMPRODUCT($X45:$AH45,TRANSPOSE(AQ$40:AQ$50)))+AS$17*(AQ$51*U45+SUMPRODUCT($X45:$AH45,TRANSPOSE(AQ$52:AQ$62)))))</f>
        <v>39.582312510681867</v>
      </c>
      <c r="BF45" s="3">
        <f t="array" ref="BF45">MIN(100,MAX(0,N45-AL45*5+AP$18*(AR$27*V45+SUMPRODUCT($X45:$AH45,TRANSPOSE(AR$28:AR$38)))+AQ$18*(AR$39*V45+SUMPRODUCT($X45:$AH45,TRANSPOSE(AR$40:AR$50)))+AS$18*(AR$51*V45+SUMPRODUCT($X45:$AH45,TRANSPOSE(AR$52:AR$62)))))</f>
        <v>20.785746608465878</v>
      </c>
      <c r="BG45" s="3">
        <f t="array" ref="BG45">MIN(100,MAX(0,O45+AP$19*(AS$27*W45+SUMPRODUCT($X45:$AH45,TRANSPOSE(AS$28:AS$38)))+AQ$19*(AS$39*W45+SUMPRODUCT($X45:$AH45,TRANSPOSE(AS$40:AS$50)))+AR$19*(AS$51*W45+SUMPRODUCT($X45:$AH45,TRANSPOSE(AS$52:AS$62)))))</f>
        <v>2.1872895356665296</v>
      </c>
      <c r="BJ45">
        <f t="shared" si="18"/>
        <v>0</v>
      </c>
      <c r="BK45">
        <f t="shared" si="19"/>
        <v>1</v>
      </c>
      <c r="BL45">
        <f t="shared" si="20"/>
        <v>0</v>
      </c>
      <c r="BM45">
        <f t="shared" si="21"/>
        <v>0</v>
      </c>
      <c r="BP45">
        <f t="shared" si="38"/>
        <v>1</v>
      </c>
      <c r="BQ45">
        <f t="shared" si="39"/>
        <v>0</v>
      </c>
      <c r="BR45">
        <f t="shared" si="40"/>
        <v>1</v>
      </c>
      <c r="BS45">
        <f t="shared" si="41"/>
        <v>0</v>
      </c>
    </row>
    <row r="46" spans="1:71">
      <c r="A46" t="s">
        <v>11</v>
      </c>
      <c r="B46" t="s">
        <v>183</v>
      </c>
      <c r="C46" t="s">
        <v>183</v>
      </c>
      <c r="D46">
        <v>35044</v>
      </c>
      <c r="E46">
        <v>356</v>
      </c>
      <c r="F46">
        <v>35</v>
      </c>
      <c r="G46">
        <v>19289</v>
      </c>
      <c r="H46">
        <v>22666</v>
      </c>
      <c r="I46">
        <v>12243</v>
      </c>
      <c r="J46">
        <v>2438</v>
      </c>
      <c r="K46">
        <v>56635</v>
      </c>
      <c r="L46" s="3">
        <f t="shared" si="27"/>
        <v>34.058444424825637</v>
      </c>
      <c r="M46" s="3">
        <f t="shared" si="28"/>
        <v>40.021188311115033</v>
      </c>
      <c r="N46" s="3">
        <f t="shared" si="29"/>
        <v>21.61737441511433</v>
      </c>
      <c r="O46" s="3">
        <f t="shared" si="30"/>
        <v>4.3047585415379181</v>
      </c>
      <c r="P46">
        <v>44.4</v>
      </c>
      <c r="Q46">
        <v>25.3</v>
      </c>
      <c r="R46">
        <v>25.6</v>
      </c>
      <c r="S46">
        <v>3.8</v>
      </c>
      <c r="T46">
        <f t="shared" si="31"/>
        <v>0</v>
      </c>
      <c r="U46" s="54">
        <v>0</v>
      </c>
      <c r="V46">
        <f t="shared" si="32"/>
        <v>0</v>
      </c>
      <c r="W46">
        <f t="shared" si="33"/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f t="shared" si="16"/>
        <v>0</v>
      </c>
      <c r="AJ46">
        <v>0</v>
      </c>
      <c r="AK46">
        <v>0</v>
      </c>
      <c r="AL46">
        <v>0</v>
      </c>
      <c r="AO46" t="s">
        <v>532</v>
      </c>
      <c r="AP46" s="7">
        <f t="shared" si="44"/>
        <v>1.0630451000000001</v>
      </c>
      <c r="AQ46" s="7">
        <f t="shared" si="45"/>
        <v>1.0326385999999999</v>
      </c>
      <c r="AR46" s="25">
        <f t="shared" si="46"/>
        <v>1.0326385999999999</v>
      </c>
      <c r="AS46" s="25">
        <f t="shared" si="47"/>
        <v>1.02760735</v>
      </c>
      <c r="AW46" s="8">
        <f t="shared" si="34"/>
        <v>25.251689065176009</v>
      </c>
      <c r="AX46" s="8">
        <f t="shared" si="35"/>
        <v>55.478518935617274</v>
      </c>
      <c r="AY46" s="8">
        <f t="shared" si="36"/>
        <v>15.7815603945871</v>
      </c>
      <c r="AZ46" s="8">
        <f t="shared" si="37"/>
        <v>3.891477734739341</v>
      </c>
      <c r="BA46" s="8">
        <f t="shared" si="17"/>
        <v>100.40324613011973</v>
      </c>
      <c r="BD46" s="3">
        <f t="array" ref="BD46">MIN(100,MAX(0,L46-AJ46*5+AQ$16*(AP$27*T46+SUMPRODUCT($X46:$AH46,TRANSPOSE(AP$28:AP$38)))+AR$16*(AP$39*T46+SUMPRODUCT($X46:$AH46,TRANSPOSE(AP$40:AP$50)))+AS$16*(AP$51*T46+SUMPRODUCT($X46:$AH46,TRANSPOSE(AP$52:AP$62)))))</f>
        <v>25.251689065176009</v>
      </c>
      <c r="BE46" s="3">
        <f t="array" ref="BE46">MIN(100,MAX(0,M46-AK46*5+AP$17*(AQ$27*U46+SUMPRODUCT($X46:$AH46,TRANSPOSE(AQ$28:AQ$38)))+AR$17*(AQ$39*U46+SUMPRODUCT($X46:$AH46,TRANSPOSE(AQ$40:AQ$50)))+AS$17*(AQ$51*U46+SUMPRODUCT($X46:$AH46,TRANSPOSE(AQ$52:AQ$62)))))</f>
        <v>55.478518935617274</v>
      </c>
      <c r="BF46" s="3">
        <f t="array" ref="BF46">MIN(100,MAX(0,N46-AL46*5+AP$18*(AR$27*V46+SUMPRODUCT($X46:$AH46,TRANSPOSE(AR$28:AR$38)))+AQ$18*(AR$39*V46+SUMPRODUCT($X46:$AH46,TRANSPOSE(AR$40:AR$50)))+AS$18*(AR$51*V46+SUMPRODUCT($X46:$AH46,TRANSPOSE(AR$52:AR$62)))))</f>
        <v>15.7815603945871</v>
      </c>
      <c r="BG46" s="3">
        <f t="array" ref="BG46">MIN(100,MAX(0,O46+AP$19*(AS$27*W46+SUMPRODUCT($X46:$AH46,TRANSPOSE(AS$28:AS$38)))+AQ$19*(AS$39*W46+SUMPRODUCT($X46:$AH46,TRANSPOSE(AS$40:AS$50)))+AR$19*(AS$51*W46+SUMPRODUCT($X46:$AH46,TRANSPOSE(AS$52:AS$62)))))</f>
        <v>3.9219014844102777</v>
      </c>
      <c r="BJ46">
        <f t="shared" si="18"/>
        <v>0</v>
      </c>
      <c r="BK46">
        <f t="shared" si="19"/>
        <v>1</v>
      </c>
      <c r="BL46">
        <f t="shared" si="20"/>
        <v>0</v>
      </c>
      <c r="BM46">
        <f t="shared" si="21"/>
        <v>0</v>
      </c>
      <c r="BP46">
        <f t="shared" si="38"/>
        <v>0</v>
      </c>
      <c r="BQ46">
        <f t="shared" si="39"/>
        <v>1</v>
      </c>
      <c r="BR46">
        <f t="shared" si="40"/>
        <v>0</v>
      </c>
      <c r="BS46">
        <f t="shared" si="41"/>
        <v>1</v>
      </c>
    </row>
    <row r="47" spans="1:71">
      <c r="A47" t="s">
        <v>11</v>
      </c>
      <c r="B47" t="s">
        <v>184</v>
      </c>
      <c r="C47" t="s">
        <v>566</v>
      </c>
      <c r="D47">
        <v>35043</v>
      </c>
      <c r="E47">
        <v>356</v>
      </c>
      <c r="F47">
        <v>35</v>
      </c>
      <c r="G47">
        <v>22172</v>
      </c>
      <c r="H47">
        <v>10676</v>
      </c>
      <c r="I47">
        <v>4778</v>
      </c>
      <c r="J47">
        <v>1063</v>
      </c>
      <c r="K47">
        <v>38816</v>
      </c>
      <c r="L47" s="3">
        <f t="shared" si="27"/>
        <v>57.120774938169831</v>
      </c>
      <c r="M47" s="3">
        <f t="shared" si="28"/>
        <v>27.504122011541632</v>
      </c>
      <c r="N47" s="3">
        <f t="shared" si="29"/>
        <v>12.309356966199505</v>
      </c>
      <c r="O47" s="3">
        <f t="shared" si="30"/>
        <v>2.7385614179719702</v>
      </c>
      <c r="P47">
        <v>44.4</v>
      </c>
      <c r="Q47">
        <v>25.3</v>
      </c>
      <c r="R47">
        <v>25.6</v>
      </c>
      <c r="S47">
        <v>3.8</v>
      </c>
      <c r="T47">
        <f t="shared" si="31"/>
        <v>1</v>
      </c>
      <c r="U47">
        <f t="shared" si="42"/>
        <v>0</v>
      </c>
      <c r="V47">
        <f t="shared" si="32"/>
        <v>0</v>
      </c>
      <c r="W47">
        <f t="shared" si="33"/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f t="shared" si="16"/>
        <v>1</v>
      </c>
      <c r="AJ47">
        <v>0</v>
      </c>
      <c r="AK47">
        <v>0</v>
      </c>
      <c r="AL47">
        <v>0</v>
      </c>
      <c r="AO47" t="s">
        <v>533</v>
      </c>
      <c r="AP47" s="7">
        <f t="shared" si="44"/>
        <v>0.9067172</v>
      </c>
      <c r="AQ47" s="7">
        <f t="shared" si="45"/>
        <v>0.93296469999999998</v>
      </c>
      <c r="AR47" s="25">
        <f t="shared" si="46"/>
        <v>0.93296469999999998</v>
      </c>
      <c r="AS47" s="25">
        <f t="shared" si="47"/>
        <v>0.96942584999999992</v>
      </c>
      <c r="AW47" s="8">
        <f t="shared" si="34"/>
        <v>46.219798923302747</v>
      </c>
      <c r="AX47" s="8">
        <f t="shared" si="35"/>
        <v>45.728093184298977</v>
      </c>
      <c r="AY47" s="8">
        <f t="shared" si="36"/>
        <v>5.8901834710312615</v>
      </c>
      <c r="AZ47" s="8">
        <f t="shared" si="37"/>
        <v>2.343948599137144</v>
      </c>
      <c r="BA47" s="8">
        <f t="shared" si="17"/>
        <v>100.18202417777013</v>
      </c>
      <c r="BD47" s="3">
        <f t="array" ref="BD47">MIN(100,MAX(0,L47-AJ47*5+AQ$16*(AP$27*T47+SUMPRODUCT($X47:$AH47,TRANSPOSE(AP$28:AP$38)))+AR$16*(AP$39*T47+SUMPRODUCT($X47:$AH47,TRANSPOSE(AP$40:AP$50)))+AS$16*(AP$51*T47+SUMPRODUCT($X47:$AH47,TRANSPOSE(AP$52:AP$62)))))</f>
        <v>46.219798923302747</v>
      </c>
      <c r="BE47" s="3">
        <f t="array" ref="BE47">MIN(100,MAX(0,M47-AK47*5+AP$17*(AQ$27*U47+SUMPRODUCT($X47:$AH47,TRANSPOSE(AQ$28:AQ$38)))+AR$17*(AQ$39*U47+SUMPRODUCT($X47:$AH47,TRANSPOSE(AQ$40:AQ$50)))+AS$17*(AQ$51*U47+SUMPRODUCT($X47:$AH47,TRANSPOSE(AQ$52:AQ$62)))))</f>
        <v>45.728093184298977</v>
      </c>
      <c r="BF47" s="3">
        <f t="array" ref="BF47">MIN(100,MAX(0,N47-AL47*5+AP$18*(AR$27*V47+SUMPRODUCT($X47:$AH47,TRANSPOSE(AR$28:AR$38)))+AQ$18*(AR$39*V47+SUMPRODUCT($X47:$AH47,TRANSPOSE(AR$40:AR$50)))+AS$18*(AR$51*V47+SUMPRODUCT($X47:$AH47,TRANSPOSE(AR$52:AR$62)))))</f>
        <v>5.8901834710312615</v>
      </c>
      <c r="BG47" s="3">
        <f t="array" ref="BG47">MIN(100,MAX(0,O47+AP$19*(AS$27*W47+SUMPRODUCT($X47:$AH47,TRANSPOSE(AS$28:AS$38)))+AQ$19*(AS$39*W47+SUMPRODUCT($X47:$AH47,TRANSPOSE(AS$40:AS$50)))+AR$19*(AS$51*W47+SUMPRODUCT($X47:$AH47,TRANSPOSE(AS$52:AS$62)))))</f>
        <v>2.343948599137144</v>
      </c>
      <c r="BJ47">
        <f t="shared" si="18"/>
        <v>1</v>
      </c>
      <c r="BK47">
        <f t="shared" si="19"/>
        <v>0</v>
      </c>
      <c r="BL47">
        <f t="shared" si="20"/>
        <v>0</v>
      </c>
      <c r="BM47">
        <f t="shared" si="21"/>
        <v>0</v>
      </c>
      <c r="BP47">
        <f t="shared" si="38"/>
        <v>1</v>
      </c>
      <c r="BQ47">
        <f t="shared" si="39"/>
        <v>1</v>
      </c>
      <c r="BR47">
        <f t="shared" si="40"/>
        <v>0</v>
      </c>
      <c r="BS47">
        <f t="shared" si="41"/>
        <v>0</v>
      </c>
    </row>
    <row r="48" spans="1:71">
      <c r="A48" t="s">
        <v>11</v>
      </c>
      <c r="B48" t="s">
        <v>185</v>
      </c>
      <c r="C48" t="s">
        <v>185</v>
      </c>
      <c r="D48">
        <v>35045</v>
      </c>
      <c r="E48">
        <v>358</v>
      </c>
      <c r="F48">
        <v>35</v>
      </c>
      <c r="G48">
        <v>18967</v>
      </c>
      <c r="H48">
        <v>15175</v>
      </c>
      <c r="I48">
        <v>10305</v>
      </c>
      <c r="J48">
        <v>2152</v>
      </c>
      <c r="K48">
        <v>46995</v>
      </c>
      <c r="L48" s="3">
        <f t="shared" si="27"/>
        <v>40.359612724757952</v>
      </c>
      <c r="M48" s="3">
        <f t="shared" si="28"/>
        <v>32.2906692201298</v>
      </c>
      <c r="N48" s="3">
        <f t="shared" si="29"/>
        <v>21.927864666453878</v>
      </c>
      <c r="O48" s="3">
        <f t="shared" si="30"/>
        <v>4.5792105543142885</v>
      </c>
      <c r="P48">
        <v>44.4</v>
      </c>
      <c r="Q48">
        <v>25.3</v>
      </c>
      <c r="R48">
        <v>25.6</v>
      </c>
      <c r="S48">
        <v>3.8</v>
      </c>
      <c r="T48">
        <f t="shared" si="31"/>
        <v>1</v>
      </c>
      <c r="U48">
        <f t="shared" si="42"/>
        <v>0</v>
      </c>
      <c r="V48">
        <f t="shared" si="32"/>
        <v>0</v>
      </c>
      <c r="W48">
        <f t="shared" si="33"/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f t="shared" si="16"/>
        <v>1</v>
      </c>
      <c r="AJ48">
        <v>0</v>
      </c>
      <c r="AK48">
        <v>0</v>
      </c>
      <c r="AL48">
        <v>0</v>
      </c>
      <c r="AO48" t="s">
        <v>534</v>
      </c>
      <c r="AP48" s="7">
        <f t="shared" si="44"/>
        <v>1.1200705</v>
      </c>
      <c r="AQ48" s="7">
        <f t="shared" si="45"/>
        <v>1.2608964999999999</v>
      </c>
      <c r="AR48" s="25">
        <f t="shared" si="46"/>
        <v>1.2608964999999999</v>
      </c>
      <c r="AS48" s="25">
        <f t="shared" si="47"/>
        <v>1.1274975</v>
      </c>
      <c r="AW48" s="8">
        <f t="shared" si="34"/>
        <v>30.528768080440123</v>
      </c>
      <c r="AX48" s="8">
        <f t="shared" si="35"/>
        <v>41.694969305112515</v>
      </c>
      <c r="AY48" s="8">
        <f t="shared" si="36"/>
        <v>23.749717550775891</v>
      </c>
      <c r="AZ48" s="8">
        <f t="shared" si="37"/>
        <v>4.1123353641101392</v>
      </c>
      <c r="BA48" s="8">
        <f t="shared" si="17"/>
        <v>100.08579030043866</v>
      </c>
      <c r="BD48" s="3">
        <f t="array" ref="BD48">MIN(100,MAX(0,L48-AJ48*5+AQ$16*(AP$27*T48+SUMPRODUCT($X48:$AH48,TRANSPOSE(AP$28:AP$38)))+AR$16*(AP$39*T48+SUMPRODUCT($X48:$AH48,TRANSPOSE(AP$40:AP$50)))+AS$16*(AP$51*T48+SUMPRODUCT($X48:$AH48,TRANSPOSE(AP$52:AP$62)))))</f>
        <v>30.528768080440123</v>
      </c>
      <c r="BE48" s="43">
        <f t="array" ref="BE48">MIN(100,MAX(0,M48-7.5-AK48*5+AP$17*(AQ$27*U48+SUMPRODUCT($X48:$AH48,TRANSPOSE(AQ$28:AQ$38)))+AR$17*(AQ$39*U48+SUMPRODUCT($X48:$AH48,TRANSPOSE(AQ$40:AQ$50)))+AS$17*(AQ$51*U48+SUMPRODUCT($X48:$AH48,TRANSPOSE(AQ$52:AQ$62)))))</f>
        <v>41.694969305112515</v>
      </c>
      <c r="BF48" s="43">
        <f t="array" ref="BF48">MIN(100,MAX(0,N48+8-AL48*5+AP$18*(AR$27*V48+SUMPRODUCT($X48:$AH48,TRANSPOSE(AR$28:AR$38)))+AQ$18*(AR$39*V48+SUMPRODUCT($X48:$AH48,TRANSPOSE(AR$40:AR$50)))+AS$18*(AR$51*V48+SUMPRODUCT($X48:$AH48,TRANSPOSE(AR$52:AR$62)))))</f>
        <v>23.749717550775891</v>
      </c>
      <c r="BG48" s="3">
        <f t="array" ref="BG48">MIN(100,MAX(0,O48+AP$19*(AS$27*W48+SUMPRODUCT($X48:$AH48,TRANSPOSE(AS$28:AS$38)))+AQ$19*(AS$39*W48+SUMPRODUCT($X48:$AH48,TRANSPOSE(AS$40:AS$50)))+AR$19*(AS$51*W48+SUMPRODUCT($X48:$AH48,TRANSPOSE(AS$52:AS$62)))))</f>
        <v>4.1562372117193647</v>
      </c>
      <c r="BJ48">
        <f t="shared" si="18"/>
        <v>0</v>
      </c>
      <c r="BK48">
        <f t="shared" si="19"/>
        <v>1</v>
      </c>
      <c r="BL48">
        <f t="shared" si="20"/>
        <v>0</v>
      </c>
      <c r="BM48">
        <f t="shared" si="21"/>
        <v>0</v>
      </c>
      <c r="BP48">
        <f t="shared" si="38"/>
        <v>0</v>
      </c>
      <c r="BQ48">
        <f t="shared" si="39"/>
        <v>0</v>
      </c>
      <c r="BR48">
        <f t="shared" si="40"/>
        <v>1</v>
      </c>
      <c r="BS48">
        <f t="shared" si="41"/>
        <v>1</v>
      </c>
    </row>
    <row r="49" spans="1:71">
      <c r="A49" t="s">
        <v>11</v>
      </c>
      <c r="B49" t="s">
        <v>186</v>
      </c>
      <c r="C49" t="s">
        <v>567</v>
      </c>
      <c r="D49">
        <v>35047</v>
      </c>
      <c r="E49">
        <v>3510</v>
      </c>
      <c r="F49">
        <v>35</v>
      </c>
      <c r="G49">
        <v>20304</v>
      </c>
      <c r="H49">
        <v>7506</v>
      </c>
      <c r="I49">
        <v>10219</v>
      </c>
      <c r="J49">
        <v>1587</v>
      </c>
      <c r="K49">
        <v>39663</v>
      </c>
      <c r="L49" s="3">
        <f t="shared" si="27"/>
        <v>51.191286589516679</v>
      </c>
      <c r="M49" s="3">
        <f t="shared" si="28"/>
        <v>18.924438393464943</v>
      </c>
      <c r="N49" s="3">
        <f t="shared" si="29"/>
        <v>25.764566472531076</v>
      </c>
      <c r="O49" s="3">
        <f t="shared" si="30"/>
        <v>4.0012101959004616</v>
      </c>
      <c r="P49">
        <v>44.4</v>
      </c>
      <c r="Q49">
        <v>25.3</v>
      </c>
      <c r="R49">
        <v>25.6</v>
      </c>
      <c r="S49">
        <v>3.8</v>
      </c>
      <c r="T49">
        <f t="shared" si="31"/>
        <v>1</v>
      </c>
      <c r="U49">
        <f t="shared" si="42"/>
        <v>0</v>
      </c>
      <c r="V49">
        <f t="shared" si="32"/>
        <v>0</v>
      </c>
      <c r="W49">
        <f t="shared" si="33"/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f t="shared" si="16"/>
        <v>1</v>
      </c>
      <c r="AJ49">
        <v>0</v>
      </c>
      <c r="AK49">
        <v>0</v>
      </c>
      <c r="AL49">
        <v>0</v>
      </c>
      <c r="AO49" t="s">
        <v>535</v>
      </c>
      <c r="AP49" s="7">
        <f t="shared" si="44"/>
        <v>0.89095360000000001</v>
      </c>
      <c r="AQ49" s="7">
        <f t="shared" si="45"/>
        <v>0.91161044999999996</v>
      </c>
      <c r="AR49" s="25">
        <f t="shared" si="46"/>
        <v>0.91161044999999996</v>
      </c>
      <c r="AS49" s="25">
        <f t="shared" si="47"/>
        <v>0.98326530000000001</v>
      </c>
      <c r="AW49" s="8">
        <f t="shared" si="34"/>
        <v>41.360441945198851</v>
      </c>
      <c r="AX49" s="8">
        <f t="shared" si="35"/>
        <v>35.828738478447654</v>
      </c>
      <c r="AY49" s="8">
        <f t="shared" si="36"/>
        <v>19.586419356853089</v>
      </c>
      <c r="AZ49" s="8">
        <f t="shared" si="37"/>
        <v>3.5675793834466676</v>
      </c>
      <c r="BA49" s="8">
        <f t="shared" si="17"/>
        <v>100.34317916394626</v>
      </c>
      <c r="BD49" s="3">
        <f t="array" ref="BD49">MIN(100,MAX(0,L49-AJ49*5+AQ$16*(AP$27*T49+SUMPRODUCT($X49:$AH49,TRANSPOSE(AP$28:AP$38)))+AR$16*(AP$39*T49+SUMPRODUCT($X49:$AH49,TRANSPOSE(AP$40:AP$50)))+AS$16*(AP$51*T49+SUMPRODUCT($X49:$AH49,TRANSPOSE(AP$52:AP$62)))))</f>
        <v>41.360441945198851</v>
      </c>
      <c r="BE49" s="3">
        <f t="array" ref="BE49">MIN(100,MAX(0,M49-AK49*5+AP$17*(AQ$27*U49+SUMPRODUCT($X49:$AH49,TRANSPOSE(AQ$28:AQ$38)))+AR$17*(AQ$39*U49+SUMPRODUCT($X49:$AH49,TRANSPOSE(AQ$40:AQ$50)))+AS$17*(AQ$51*U49+SUMPRODUCT($X49:$AH49,TRANSPOSE(AQ$52:AQ$62)))))</f>
        <v>35.828738478447654</v>
      </c>
      <c r="BF49" s="3">
        <f t="array" ref="BF49">MIN(100,MAX(0,N49-AL49*5+AP$18*(AR$27*V49+SUMPRODUCT($X49:$AH49,TRANSPOSE(AR$28:AR$38)))+AQ$18*(AR$39*V49+SUMPRODUCT($X49:$AH49,TRANSPOSE(AR$40:AR$50)))+AS$18*(AR$51*V49+SUMPRODUCT($X49:$AH49,TRANSPOSE(AR$52:AR$62)))))</f>
        <v>19.586419356853089</v>
      </c>
      <c r="BG49" s="3">
        <f t="array" ref="BG49">MIN(100,MAX(0,O49+AP$19*(AS$27*W49+SUMPRODUCT($X49:$AH49,TRANSPOSE(AS$28:AS$38)))+AQ$19*(AS$39*W49+SUMPRODUCT($X49:$AH49,TRANSPOSE(AS$40:AS$50)))+AR$19*(AS$51*W49+SUMPRODUCT($X49:$AH49,TRANSPOSE(AS$52:AS$62)))))</f>
        <v>3.5782368533055373</v>
      </c>
      <c r="BJ49">
        <f t="shared" si="18"/>
        <v>1</v>
      </c>
      <c r="BK49">
        <f t="shared" si="19"/>
        <v>0</v>
      </c>
      <c r="BL49">
        <f t="shared" si="20"/>
        <v>0</v>
      </c>
      <c r="BM49">
        <f t="shared" si="21"/>
        <v>0</v>
      </c>
      <c r="BP49">
        <f t="shared" si="38"/>
        <v>1</v>
      </c>
      <c r="BQ49">
        <f t="shared" si="39"/>
        <v>0</v>
      </c>
      <c r="BR49">
        <f t="shared" si="40"/>
        <v>1</v>
      </c>
      <c r="BS49">
        <f t="shared" si="41"/>
        <v>1</v>
      </c>
    </row>
    <row r="50" spans="1:71">
      <c r="A50" t="s">
        <v>11</v>
      </c>
      <c r="B50" t="s">
        <v>187</v>
      </c>
      <c r="C50" t="s">
        <v>568</v>
      </c>
      <c r="D50">
        <v>35046</v>
      </c>
      <c r="E50">
        <v>356</v>
      </c>
      <c r="F50">
        <v>35</v>
      </c>
      <c r="G50">
        <v>21914</v>
      </c>
      <c r="H50">
        <v>9454</v>
      </c>
      <c r="I50">
        <v>7350</v>
      </c>
      <c r="J50">
        <v>1469</v>
      </c>
      <c r="K50">
        <v>40274</v>
      </c>
      <c r="L50" s="3">
        <f t="shared" si="27"/>
        <v>54.412275910016383</v>
      </c>
      <c r="M50" s="3">
        <f t="shared" si="28"/>
        <v>23.474201718230123</v>
      </c>
      <c r="N50" s="3">
        <f t="shared" si="29"/>
        <v>18.249987585042462</v>
      </c>
      <c r="O50" s="3">
        <f t="shared" si="30"/>
        <v>3.6475145255003225</v>
      </c>
      <c r="P50">
        <v>44.4</v>
      </c>
      <c r="Q50">
        <v>25.3</v>
      </c>
      <c r="R50">
        <v>25.6</v>
      </c>
      <c r="S50">
        <v>3.8</v>
      </c>
      <c r="T50">
        <f t="shared" si="31"/>
        <v>1</v>
      </c>
      <c r="U50">
        <f t="shared" si="42"/>
        <v>0</v>
      </c>
      <c r="V50">
        <f t="shared" si="32"/>
        <v>0</v>
      </c>
      <c r="W50">
        <f t="shared" si="33"/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f t="shared" si="16"/>
        <v>1</v>
      </c>
      <c r="AJ50">
        <v>0</v>
      </c>
      <c r="AK50">
        <v>0</v>
      </c>
      <c r="AL50">
        <v>0</v>
      </c>
      <c r="AO50" t="s">
        <v>536</v>
      </c>
      <c r="AP50" s="7">
        <f t="shared" si="44"/>
        <v>1.0027107499999999</v>
      </c>
      <c r="AQ50" s="7">
        <f t="shared" si="45"/>
        <v>1.0775494999999999</v>
      </c>
      <c r="AR50" s="25">
        <f t="shared" si="46"/>
        <v>1.0775494999999999</v>
      </c>
      <c r="AS50" s="25">
        <f t="shared" si="47"/>
        <v>1.0137719000000001</v>
      </c>
      <c r="AW50" s="8">
        <f t="shared" si="34"/>
        <v>44.581431265698555</v>
      </c>
      <c r="AX50" s="8">
        <f t="shared" si="35"/>
        <v>40.378501803212835</v>
      </c>
      <c r="AY50" s="8">
        <f t="shared" si="36"/>
        <v>12.071840469364474</v>
      </c>
      <c r="AZ50" s="8">
        <f t="shared" si="37"/>
        <v>3.2245411829053983</v>
      </c>
      <c r="BA50" s="8">
        <f t="shared" si="17"/>
        <v>100.25631472118127</v>
      </c>
      <c r="BD50" s="3">
        <f t="array" ref="BD50">MIN(100,MAX(0,L50-AJ50*5+AQ$16*(AP$27*T50+SUMPRODUCT($X50:$AH50,TRANSPOSE(AP$28:AP$38)))+AR$16*(AP$39*T50+SUMPRODUCT($X50:$AH50,TRANSPOSE(AP$40:AP$50)))+AS$16*(AP$51*T50+SUMPRODUCT($X50:$AH50,TRANSPOSE(AP$52:AP$62)))))</f>
        <v>44.581431265698555</v>
      </c>
      <c r="BE50" s="3">
        <f t="array" ref="BE50">MIN(100,MAX(0,M50-AK50*5+AP$17*(AQ$27*U50+SUMPRODUCT($X50:$AH50,TRANSPOSE(AQ$28:AQ$38)))+AR$17*(AQ$39*U50+SUMPRODUCT($X50:$AH50,TRANSPOSE(AQ$40:AQ$50)))+AS$17*(AQ$51*U50+SUMPRODUCT($X50:$AH50,TRANSPOSE(AQ$52:AQ$62)))))</f>
        <v>40.378501803212835</v>
      </c>
      <c r="BF50" s="3">
        <f t="array" ref="BF50">MIN(100,MAX(0,N50-AL50*5+AP$18*(AR$27*V50+SUMPRODUCT($X50:$AH50,TRANSPOSE(AR$28:AR$38)))+AQ$18*(AR$39*V50+SUMPRODUCT($X50:$AH50,TRANSPOSE(AR$40:AR$50)))+AS$18*(AR$51*V50+SUMPRODUCT($X50:$AH50,TRANSPOSE(AR$52:AR$62)))))</f>
        <v>12.071840469364474</v>
      </c>
      <c r="BG50" s="3">
        <f t="array" ref="BG50">MIN(100,MAX(0,O50+AP$19*(AS$27*W50+SUMPRODUCT($X50:$AH50,TRANSPOSE(AS$28:AS$38)))+AQ$19*(AS$39*W50+SUMPRODUCT($X50:$AH50,TRANSPOSE(AS$40:AS$50)))+AR$19*(AS$51*W50+SUMPRODUCT($X50:$AH50,TRANSPOSE(AS$52:AS$62)))))</f>
        <v>3.2245411829053983</v>
      </c>
      <c r="BJ50">
        <f t="shared" si="18"/>
        <v>1</v>
      </c>
      <c r="BK50">
        <f t="shared" si="19"/>
        <v>0</v>
      </c>
      <c r="BL50">
        <f t="shared" si="20"/>
        <v>0</v>
      </c>
      <c r="BM50">
        <f t="shared" si="21"/>
        <v>0</v>
      </c>
      <c r="BP50">
        <f t="shared" si="38"/>
        <v>1</v>
      </c>
      <c r="BQ50">
        <f t="shared" si="39"/>
        <v>0</v>
      </c>
      <c r="BR50">
        <f t="shared" si="40"/>
        <v>0</v>
      </c>
      <c r="BS50">
        <f t="shared" si="41"/>
        <v>0</v>
      </c>
    </row>
    <row r="51" spans="1:71">
      <c r="A51" t="s">
        <v>11</v>
      </c>
      <c r="B51" t="s">
        <v>188</v>
      </c>
      <c r="C51" t="s">
        <v>569</v>
      </c>
      <c r="D51">
        <v>35048</v>
      </c>
      <c r="E51">
        <v>3510</v>
      </c>
      <c r="F51">
        <v>35</v>
      </c>
      <c r="G51">
        <v>29322</v>
      </c>
      <c r="H51">
        <v>7186</v>
      </c>
      <c r="I51">
        <v>12163</v>
      </c>
      <c r="J51">
        <v>1693</v>
      </c>
      <c r="K51">
        <v>50777</v>
      </c>
      <c r="L51" s="3">
        <f t="shared" si="27"/>
        <v>57.74661756306989</v>
      </c>
      <c r="M51" s="3">
        <f t="shared" si="28"/>
        <v>14.152076727652283</v>
      </c>
      <c r="N51" s="3">
        <f t="shared" si="29"/>
        <v>23.953758591488274</v>
      </c>
      <c r="O51" s="3">
        <f t="shared" si="30"/>
        <v>3.33418673809008</v>
      </c>
      <c r="P51">
        <v>44.4</v>
      </c>
      <c r="Q51">
        <v>25.3</v>
      </c>
      <c r="R51">
        <v>25.6</v>
      </c>
      <c r="S51">
        <v>3.8</v>
      </c>
      <c r="T51">
        <f t="shared" si="31"/>
        <v>1</v>
      </c>
      <c r="U51">
        <f t="shared" si="42"/>
        <v>0</v>
      </c>
      <c r="V51">
        <f t="shared" si="32"/>
        <v>0</v>
      </c>
      <c r="W51">
        <f t="shared" si="33"/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f t="shared" si="16"/>
        <v>0</v>
      </c>
      <c r="AJ51">
        <v>0</v>
      </c>
      <c r="AK51">
        <v>0</v>
      </c>
      <c r="AL51">
        <v>0</v>
      </c>
      <c r="AO51" t="s">
        <v>429</v>
      </c>
      <c r="AP51" s="27">
        <f>AP27</f>
        <v>0</v>
      </c>
      <c r="AQ51" s="27">
        <f t="shared" ref="AQ51:AS51" si="48">AQ27</f>
        <v>-7.8791399999999998E-2</v>
      </c>
      <c r="AR51" s="27">
        <f t="shared" si="48"/>
        <v>0.25995269999999998</v>
      </c>
      <c r="AS51" s="7">
        <f t="shared" si="48"/>
        <v>0</v>
      </c>
      <c r="AW51" s="8">
        <f t="shared" si="34"/>
        <v>47.546238684454551</v>
      </c>
      <c r="AX51" s="8">
        <f t="shared" si="35"/>
        <v>31.980321494017254</v>
      </c>
      <c r="AY51" s="8">
        <f t="shared" si="36"/>
        <v>17.22670321306007</v>
      </c>
      <c r="AZ51" s="8">
        <f t="shared" si="37"/>
        <v>2.9315278017688069</v>
      </c>
      <c r="BA51" s="8">
        <f t="shared" si="17"/>
        <v>99.684791193300683</v>
      </c>
      <c r="BD51" s="3">
        <f t="array" ref="BD51">MIN(100,MAX(0,L51-AJ51*5+AQ$16*(AP$27*T51+SUMPRODUCT($X51:$AH51,TRANSPOSE(AP$28:AP$38)))+AR$16*(AP$39*T51+SUMPRODUCT($X51:$AH51,TRANSPOSE(AP$40:AP$50)))+AS$16*(AP$51*T51+SUMPRODUCT($X51:$AH51,TRANSPOSE(AP$52:AP$62)))))</f>
        <v>47.546238684454551</v>
      </c>
      <c r="BE51" s="3">
        <f t="array" ref="BE51">MIN(100,MAX(0,M51-AK51*5+AP$17*(AQ$27*U51+SUMPRODUCT($X51:$AH51,TRANSPOSE(AQ$28:AQ$38)))+AR$17*(AQ$39*U51+SUMPRODUCT($X51:$AH51,TRANSPOSE(AQ$40:AQ$50)))+AS$17*(AQ$51*U51+SUMPRODUCT($X51:$AH51,TRANSPOSE(AQ$52:AQ$62)))))</f>
        <v>31.980321494017254</v>
      </c>
      <c r="BF51" s="3">
        <f t="array" ref="BF51">MIN(100,MAX(0,N51-AL51*5+AP$18*(AR$27*V51+SUMPRODUCT($X51:$AH51,TRANSPOSE(AR$28:AR$38)))+AQ$18*(AR$39*V51+SUMPRODUCT($X51:$AH51,TRANSPOSE(AR$40:AR$50)))+AS$18*(AR$51*V51+SUMPRODUCT($X51:$AH51,TRANSPOSE(AR$52:AR$62)))))</f>
        <v>17.22670321306007</v>
      </c>
      <c r="BG51" s="3">
        <f t="array" ref="BG51">MIN(100,MAX(0,O51+AP$19*(AS$27*W51+SUMPRODUCT($X51:$AH51,TRANSPOSE(AS$28:AS$38)))+AQ$19*(AS$39*W51+SUMPRODUCT($X51:$AH51,TRANSPOSE(AS$40:AS$50)))+AR$19*(AS$51*W51+SUMPRODUCT($X51:$AH51,TRANSPOSE(AS$52:AS$62)))))</f>
        <v>2.9315278017688069</v>
      </c>
      <c r="BJ51">
        <f t="shared" si="18"/>
        <v>1</v>
      </c>
      <c r="BK51">
        <f t="shared" si="19"/>
        <v>0</v>
      </c>
      <c r="BL51">
        <f t="shared" si="20"/>
        <v>0</v>
      </c>
      <c r="BM51">
        <f t="shared" si="21"/>
        <v>0</v>
      </c>
      <c r="BP51">
        <f t="shared" si="38"/>
        <v>1</v>
      </c>
      <c r="BQ51">
        <f t="shared" si="39"/>
        <v>0</v>
      </c>
      <c r="BR51">
        <f t="shared" si="40"/>
        <v>0</v>
      </c>
      <c r="BS51">
        <f t="shared" si="41"/>
        <v>0</v>
      </c>
    </row>
    <row r="52" spans="1:71">
      <c r="A52" t="s">
        <v>11</v>
      </c>
      <c r="B52" t="s">
        <v>189</v>
      </c>
      <c r="C52" t="s">
        <v>570</v>
      </c>
      <c r="D52">
        <v>35049</v>
      </c>
      <c r="E52">
        <v>3510</v>
      </c>
      <c r="F52">
        <v>35</v>
      </c>
      <c r="G52">
        <v>30149</v>
      </c>
      <c r="H52">
        <v>8217</v>
      </c>
      <c r="I52">
        <v>9090</v>
      </c>
      <c r="J52">
        <v>2449</v>
      </c>
      <c r="K52">
        <v>50179</v>
      </c>
      <c r="L52" s="3">
        <f t="shared" si="27"/>
        <v>60.082903206520655</v>
      </c>
      <c r="M52" s="3">
        <f t="shared" si="28"/>
        <v>16.375376153370933</v>
      </c>
      <c r="N52" s="3">
        <f t="shared" si="29"/>
        <v>18.115147770979892</v>
      </c>
      <c r="O52" s="3">
        <f t="shared" si="30"/>
        <v>4.8805277107953531</v>
      </c>
      <c r="P52">
        <v>44.4</v>
      </c>
      <c r="Q52">
        <v>25.3</v>
      </c>
      <c r="R52">
        <v>25.6</v>
      </c>
      <c r="S52">
        <v>3.8</v>
      </c>
      <c r="T52">
        <f t="shared" si="31"/>
        <v>1</v>
      </c>
      <c r="U52">
        <f t="shared" si="42"/>
        <v>0</v>
      </c>
      <c r="V52">
        <f t="shared" si="32"/>
        <v>0</v>
      </c>
      <c r="W52">
        <f t="shared" si="33"/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f t="shared" si="16"/>
        <v>0</v>
      </c>
      <c r="AJ52">
        <v>0</v>
      </c>
      <c r="AK52">
        <v>0</v>
      </c>
      <c r="AL52">
        <v>0</v>
      </c>
      <c r="AO52" t="s">
        <v>554</v>
      </c>
      <c r="AP52" s="27">
        <f>AVERAGE(AP131,AS131)</f>
        <v>0.8388386000000001</v>
      </c>
      <c r="AQ52" s="27">
        <f>AVERAGE(AQ131,AS131)</f>
        <v>0.98155110000000012</v>
      </c>
      <c r="AR52" s="27">
        <f>AVERAGE(AR131,AS131)</f>
        <v>0.91461230000000004</v>
      </c>
      <c r="AS52" s="7">
        <f>AR52</f>
        <v>0.91461230000000004</v>
      </c>
      <c r="AW52" s="8">
        <f t="shared" si="34"/>
        <v>51.276147846871027</v>
      </c>
      <c r="AX52" s="8">
        <f t="shared" si="35"/>
        <v>31.83270677787317</v>
      </c>
      <c r="AY52" s="8">
        <f t="shared" si="36"/>
        <v>12.279333750452661</v>
      </c>
      <c r="AZ52" s="8">
        <f t="shared" si="37"/>
        <v>4.4341308557432244</v>
      </c>
      <c r="BA52" s="8">
        <f t="shared" si="17"/>
        <v>99.822319230940082</v>
      </c>
      <c r="BD52" s="3">
        <f t="array" ref="BD52">MIN(100,MAX(0,L52-AJ52*5+AQ$16*(AP$27*T52+SUMPRODUCT($X52:$AH52,TRANSPOSE(AP$28:AP$38)))+AR$16*(AP$39*T52+SUMPRODUCT($X52:$AH52,TRANSPOSE(AP$40:AP$50)))+AS$16*(AP$51*T52+SUMPRODUCT($X52:$AH52,TRANSPOSE(AP$52:AP$62)))))</f>
        <v>51.276147846871027</v>
      </c>
      <c r="BE52" s="3">
        <f t="array" ref="BE52">MIN(100,MAX(0,M52-AK52*5+AP$17*(AQ$27*U52+SUMPRODUCT($X52:$AH52,TRANSPOSE(AQ$28:AQ$38)))+AR$17*(AQ$39*U52+SUMPRODUCT($X52:$AH52,TRANSPOSE(AQ$40:AQ$50)))+AS$17*(AQ$51*U52+SUMPRODUCT($X52:$AH52,TRANSPOSE(AQ$52:AQ$62)))))</f>
        <v>31.83270677787317</v>
      </c>
      <c r="BF52" s="3">
        <f t="array" ref="BF52">MIN(100,MAX(0,N52-AL52*5+AP$18*(AR$27*V52+SUMPRODUCT($X52:$AH52,TRANSPOSE(AR$28:AR$38)))+AQ$18*(AR$39*V52+SUMPRODUCT($X52:$AH52,TRANSPOSE(AR$40:AR$50)))+AS$18*(AR$51*V52+SUMPRODUCT($X52:$AH52,TRANSPOSE(AR$52:AR$62)))))</f>
        <v>12.279333750452661</v>
      </c>
      <c r="BG52" s="3">
        <f t="array" ref="BG52">MIN(100,MAX(0,O52+AP$19*(AS$27*W52+SUMPRODUCT($X52:$AH52,TRANSPOSE(AS$28:AS$38)))+AQ$19*(AS$39*W52+SUMPRODUCT($X52:$AH52,TRANSPOSE(AS$40:AS$50)))+AR$19*(AS$51*W52+SUMPRODUCT($X52:$AH52,TRANSPOSE(AS$52:AS$62)))))</f>
        <v>4.4976706536677131</v>
      </c>
      <c r="BJ52">
        <f t="shared" si="18"/>
        <v>1</v>
      </c>
      <c r="BK52">
        <f t="shared" si="19"/>
        <v>0</v>
      </c>
      <c r="BL52">
        <f t="shared" si="20"/>
        <v>0</v>
      </c>
      <c r="BM52">
        <f t="shared" si="21"/>
        <v>0</v>
      </c>
      <c r="BP52">
        <f t="shared" si="38"/>
        <v>1</v>
      </c>
      <c r="BQ52">
        <f t="shared" si="39"/>
        <v>0</v>
      </c>
      <c r="BR52">
        <f t="shared" si="40"/>
        <v>0</v>
      </c>
      <c r="BS52">
        <f t="shared" si="41"/>
        <v>1</v>
      </c>
    </row>
    <row r="53" spans="1:71">
      <c r="A53" t="s">
        <v>11</v>
      </c>
      <c r="B53" t="s">
        <v>190</v>
      </c>
      <c r="C53" t="s">
        <v>571</v>
      </c>
      <c r="D53">
        <v>35050</v>
      </c>
      <c r="E53">
        <v>3510</v>
      </c>
      <c r="F53">
        <v>35</v>
      </c>
      <c r="G53">
        <v>29989</v>
      </c>
      <c r="H53">
        <v>7839</v>
      </c>
      <c r="I53">
        <v>9032</v>
      </c>
      <c r="J53">
        <v>2460</v>
      </c>
      <c r="K53">
        <v>49320</v>
      </c>
      <c r="L53" s="3">
        <f t="shared" si="27"/>
        <v>60.804947283049472</v>
      </c>
      <c r="M53" s="3">
        <f t="shared" si="28"/>
        <v>15.894160583941606</v>
      </c>
      <c r="N53" s="3">
        <f t="shared" si="29"/>
        <v>18.313057583130576</v>
      </c>
      <c r="O53" s="3">
        <f t="shared" si="30"/>
        <v>4.9878345498783458</v>
      </c>
      <c r="P53">
        <v>44.4</v>
      </c>
      <c r="Q53">
        <v>25.3</v>
      </c>
      <c r="R53">
        <v>25.6</v>
      </c>
      <c r="S53">
        <v>3.8</v>
      </c>
      <c r="T53">
        <f t="shared" si="31"/>
        <v>1</v>
      </c>
      <c r="U53">
        <f t="shared" si="42"/>
        <v>0</v>
      </c>
      <c r="V53">
        <f t="shared" si="32"/>
        <v>0</v>
      </c>
      <c r="W53">
        <f t="shared" si="33"/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f t="shared" si="16"/>
        <v>0</v>
      </c>
      <c r="AJ53">
        <v>0</v>
      </c>
      <c r="AK53">
        <v>0</v>
      </c>
      <c r="AL53">
        <v>0</v>
      </c>
      <c r="AO53" t="s">
        <v>527</v>
      </c>
      <c r="AP53" s="27">
        <f t="shared" ref="AP53:AP62" si="49">AVERAGE(AP132,AS132)</f>
        <v>0.97452035000000004</v>
      </c>
      <c r="AQ53" s="27">
        <f t="shared" ref="AQ53:AQ62" si="50">AVERAGE(AQ132,AS132)</f>
        <v>0.87174625000000006</v>
      </c>
      <c r="AR53" s="27">
        <f t="shared" ref="AR53:AR62" si="51">AVERAGE(AR132,AS132)</f>
        <v>1.0207645000000001</v>
      </c>
      <c r="AS53" s="7">
        <f t="shared" ref="AS53:AS62" si="52">AR53</f>
        <v>1.0207645000000001</v>
      </c>
      <c r="AW53" s="8">
        <f t="shared" si="34"/>
        <v>51.998191923399844</v>
      </c>
      <c r="AX53" s="8">
        <f t="shared" si="35"/>
        <v>31.351491208443846</v>
      </c>
      <c r="AY53" s="8">
        <f t="shared" si="36"/>
        <v>12.477243562603345</v>
      </c>
      <c r="AZ53" s="8">
        <f t="shared" si="37"/>
        <v>4.5352658144082518</v>
      </c>
      <c r="BA53" s="8">
        <f t="shared" si="17"/>
        <v>100.36219250885529</v>
      </c>
      <c r="BD53" s="3">
        <f t="array" ref="BD53">MIN(100,MAX(0,L53-AJ53*5+AQ$16*(AP$27*T53+SUMPRODUCT($X53:$AH53,TRANSPOSE(AP$28:AP$38)))+AR$16*(AP$39*T53+SUMPRODUCT($X53:$AH53,TRANSPOSE(AP$40:AP$50)))+AS$16*(AP$51*T53+SUMPRODUCT($X53:$AH53,TRANSPOSE(AP$52:AP$62)))))</f>
        <v>51.998191923399844</v>
      </c>
      <c r="BE53" s="3">
        <f t="array" ref="BE53">MIN(100,MAX(0,M53-AK53*5+AP$17*(AQ$27*U53+SUMPRODUCT($X53:$AH53,TRANSPOSE(AQ$28:AQ$38)))+AR$17*(AQ$39*U53+SUMPRODUCT($X53:$AH53,TRANSPOSE(AQ$40:AQ$50)))+AS$17*(AQ$51*U53+SUMPRODUCT($X53:$AH53,TRANSPOSE(AQ$52:AQ$62)))))</f>
        <v>31.351491208443846</v>
      </c>
      <c r="BF53" s="3">
        <f t="array" ref="BF53">MIN(100,MAX(0,N53-AL53*5+AP$18*(AR$27*V53+SUMPRODUCT($X53:$AH53,TRANSPOSE(AR$28:AR$38)))+AQ$18*(AR$39*V53+SUMPRODUCT($X53:$AH53,TRANSPOSE(AR$40:AR$50)))+AS$18*(AR$51*V53+SUMPRODUCT($X53:$AH53,TRANSPOSE(AR$52:AR$62)))))</f>
        <v>12.477243562603345</v>
      </c>
      <c r="BG53" s="3">
        <f t="array" ref="BG53">MIN(100,MAX(0,O53+AP$19*(AS$27*W53+SUMPRODUCT($X53:$AH53,TRANSPOSE(AS$28:AS$38)))+AQ$19*(AS$39*W53+SUMPRODUCT($X53:$AH53,TRANSPOSE(AS$40:AS$50)))+AR$19*(AS$51*W53+SUMPRODUCT($X53:$AH53,TRANSPOSE(AS$52:AS$62)))))</f>
        <v>4.6049774927507059</v>
      </c>
      <c r="BJ53">
        <f t="shared" si="18"/>
        <v>1</v>
      </c>
      <c r="BK53">
        <f t="shared" si="19"/>
        <v>0</v>
      </c>
      <c r="BL53">
        <f t="shared" si="20"/>
        <v>0</v>
      </c>
      <c r="BM53">
        <f t="shared" si="21"/>
        <v>0</v>
      </c>
      <c r="BP53">
        <f t="shared" si="38"/>
        <v>1</v>
      </c>
      <c r="BQ53">
        <f t="shared" si="39"/>
        <v>0</v>
      </c>
      <c r="BR53">
        <f t="shared" si="40"/>
        <v>0</v>
      </c>
      <c r="BS53">
        <f t="shared" si="41"/>
        <v>1</v>
      </c>
    </row>
    <row r="54" spans="1:71">
      <c r="A54" t="s">
        <v>11</v>
      </c>
      <c r="B54" t="s">
        <v>191</v>
      </c>
      <c r="C54" t="s">
        <v>191</v>
      </c>
      <c r="D54">
        <v>35052</v>
      </c>
      <c r="E54">
        <v>352</v>
      </c>
      <c r="F54">
        <v>35</v>
      </c>
      <c r="G54">
        <v>19803</v>
      </c>
      <c r="H54">
        <v>18297</v>
      </c>
      <c r="I54">
        <v>12974</v>
      </c>
      <c r="J54">
        <v>2158</v>
      </c>
      <c r="K54">
        <v>53443</v>
      </c>
      <c r="L54" s="3">
        <f t="shared" si="27"/>
        <v>37.054431824560744</v>
      </c>
      <c r="M54" s="3">
        <f t="shared" si="28"/>
        <v>34.236476245719736</v>
      </c>
      <c r="N54" s="3">
        <f t="shared" si="29"/>
        <v>24.276331792751154</v>
      </c>
      <c r="O54" s="3">
        <f t="shared" si="30"/>
        <v>4.0379469715397711</v>
      </c>
      <c r="P54">
        <v>44.4</v>
      </c>
      <c r="Q54">
        <v>25.3</v>
      </c>
      <c r="R54">
        <v>25.6</v>
      </c>
      <c r="S54">
        <v>3.8</v>
      </c>
      <c r="T54">
        <f t="shared" si="31"/>
        <v>1</v>
      </c>
      <c r="U54">
        <f t="shared" si="42"/>
        <v>0</v>
      </c>
      <c r="V54">
        <f t="shared" si="32"/>
        <v>0</v>
      </c>
      <c r="W54">
        <f t="shared" si="33"/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f t="shared" si="16"/>
        <v>0</v>
      </c>
      <c r="AJ54">
        <v>0</v>
      </c>
      <c r="AK54">
        <v>0</v>
      </c>
      <c r="AL54">
        <v>0</v>
      </c>
      <c r="AO54" t="s">
        <v>528</v>
      </c>
      <c r="AP54" s="27">
        <f t="shared" si="49"/>
        <v>1.0124518500000002</v>
      </c>
      <c r="AQ54" s="27">
        <f t="shared" si="50"/>
        <v>0.94054605000000002</v>
      </c>
      <c r="AR54" s="27">
        <f t="shared" si="51"/>
        <v>0.99359500000000001</v>
      </c>
      <c r="AS54" s="7">
        <f t="shared" si="52"/>
        <v>0.99359500000000001</v>
      </c>
      <c r="AW54" s="8">
        <f t="shared" si="34"/>
        <v>32.354052945945412</v>
      </c>
      <c r="AX54" s="8">
        <f t="shared" si="35"/>
        <v>46.564721012084711</v>
      </c>
      <c r="AY54" s="8">
        <f t="shared" si="36"/>
        <v>17.549276414322946</v>
      </c>
      <c r="AZ54" s="8">
        <f t="shared" si="37"/>
        <v>3.6213491988085358</v>
      </c>
      <c r="BA54" s="8">
        <f t="shared" si="17"/>
        <v>100.08939957116161</v>
      </c>
      <c r="BD54" s="43">
        <f t="array" ref="BD54">MIN(100,MAX(0,L54+5.5-AJ54*5+AQ$16*(AP$27*T54+SUMPRODUCT($X54:$AH54,TRANSPOSE(AP$28:AP$38)))+AR$16*(AP$39*T54+SUMPRODUCT($X54:$AH54,TRANSPOSE(AP$40:AP$50)))+AS$16*(AP$51*T54+SUMPRODUCT($X54:$AH54,TRANSPOSE(AP$52:AP$62)))))</f>
        <v>32.354052945945412</v>
      </c>
      <c r="BE54" s="43">
        <f t="array" ref="BE54">MIN(100,MAX(0,M54-5.5-AK54*5+AP$17*(AQ$27*U54+SUMPRODUCT($X54:$AH54,TRANSPOSE(AQ$28:AQ$38)))+AR$17*(AQ$39*U54+SUMPRODUCT($X54:$AH54,TRANSPOSE(AQ$40:AQ$50)))+AS$17*(AQ$51*U54+SUMPRODUCT($X54:$AH54,TRANSPOSE(AQ$52:AQ$62)))))</f>
        <v>46.564721012084711</v>
      </c>
      <c r="BF54" s="3">
        <f t="array" ref="BF54">MIN(100,MAX(0,N54-AL54*5+AP$18*(AR$27*V54+SUMPRODUCT($X54:$AH54,TRANSPOSE(AR$28:AR$38)))+AQ$18*(AR$39*V54+SUMPRODUCT($X54:$AH54,TRANSPOSE(AR$40:AR$50)))+AS$18*(AR$51*V54+SUMPRODUCT($X54:$AH54,TRANSPOSE(AR$52:AR$62)))))</f>
        <v>17.549276414322946</v>
      </c>
      <c r="BG54" s="3">
        <f t="array" ref="BG54">MIN(100,MAX(0,O54+AP$19*(AS$27*W54+SUMPRODUCT($X54:$AH54,TRANSPOSE(AS$28:AS$38)))+AQ$19*(AS$39*W54+SUMPRODUCT($X54:$AH54,TRANSPOSE(AS$40:AS$50)))+AR$19*(AS$51*W54+SUMPRODUCT($X54:$AH54,TRANSPOSE(AS$52:AS$62)))))</f>
        <v>3.6352880352184984</v>
      </c>
      <c r="BJ54">
        <f t="shared" si="18"/>
        <v>0</v>
      </c>
      <c r="BK54">
        <f t="shared" si="19"/>
        <v>1</v>
      </c>
      <c r="BL54">
        <f t="shared" si="20"/>
        <v>0</v>
      </c>
      <c r="BM54">
        <f t="shared" si="21"/>
        <v>0</v>
      </c>
      <c r="BP54">
        <f t="shared" si="38"/>
        <v>0</v>
      </c>
      <c r="BQ54">
        <f t="shared" si="39"/>
        <v>1</v>
      </c>
      <c r="BR54">
        <f t="shared" si="40"/>
        <v>0</v>
      </c>
      <c r="BS54">
        <f t="shared" si="41"/>
        <v>1</v>
      </c>
    </row>
    <row r="55" spans="1:71">
      <c r="A55" t="s">
        <v>11</v>
      </c>
      <c r="B55" t="s">
        <v>192</v>
      </c>
      <c r="C55" t="s">
        <v>192</v>
      </c>
      <c r="D55">
        <v>35053</v>
      </c>
      <c r="E55">
        <v>358</v>
      </c>
      <c r="F55">
        <v>35</v>
      </c>
      <c r="G55">
        <v>26296</v>
      </c>
      <c r="H55">
        <v>15595</v>
      </c>
      <c r="I55">
        <v>14830</v>
      </c>
      <c r="J55">
        <v>1563</v>
      </c>
      <c r="K55">
        <v>58342</v>
      </c>
      <c r="L55" s="3">
        <f t="shared" si="27"/>
        <v>45.072160707552023</v>
      </c>
      <c r="M55" s="3">
        <f t="shared" si="28"/>
        <v>26.73031435329608</v>
      </c>
      <c r="N55" s="3">
        <f t="shared" si="29"/>
        <v>25.419080593740357</v>
      </c>
      <c r="O55" s="3">
        <f t="shared" si="30"/>
        <v>2.6790305440334579</v>
      </c>
      <c r="P55">
        <v>44.4</v>
      </c>
      <c r="Q55">
        <v>25.3</v>
      </c>
      <c r="R55">
        <v>25.6</v>
      </c>
      <c r="S55">
        <v>3.8</v>
      </c>
      <c r="T55">
        <f t="shared" si="31"/>
        <v>1</v>
      </c>
      <c r="U55">
        <f t="shared" si="42"/>
        <v>0</v>
      </c>
      <c r="V55">
        <f t="shared" si="32"/>
        <v>0</v>
      </c>
      <c r="W55">
        <f t="shared" si="33"/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f t="shared" si="16"/>
        <v>0</v>
      </c>
      <c r="AJ55">
        <v>0</v>
      </c>
      <c r="AK55">
        <v>0</v>
      </c>
      <c r="AL55">
        <v>0</v>
      </c>
      <c r="AO55" t="s">
        <v>529</v>
      </c>
      <c r="AP55" s="27">
        <f t="shared" si="49"/>
        <v>1.0810415</v>
      </c>
      <c r="AQ55" s="27">
        <f t="shared" si="50"/>
        <v>1.0581834999999999</v>
      </c>
      <c r="AR55" s="27">
        <f t="shared" si="51"/>
        <v>1.019126</v>
      </c>
      <c r="AS55" s="7">
        <f t="shared" si="52"/>
        <v>1.019126</v>
      </c>
      <c r="AW55" s="8">
        <f t="shared" si="34"/>
        <v>34.87178182893669</v>
      </c>
      <c r="AX55" s="8">
        <f t="shared" si="35"/>
        <v>44.558559119661048</v>
      </c>
      <c r="AY55" s="8">
        <f t="shared" si="36"/>
        <v>18.69202521531215</v>
      </c>
      <c r="AZ55" s="8">
        <f t="shared" si="37"/>
        <v>2.2763716077121847</v>
      </c>
      <c r="BA55" s="8">
        <f t="shared" si="17"/>
        <v>100.39873777162208</v>
      </c>
      <c r="BD55" s="3">
        <f t="array" ref="BD55">MIN(100,MAX(0,L55-AJ55*5+AQ$16*(AP$27*T55+SUMPRODUCT($X55:$AH55,TRANSPOSE(AP$28:AP$38)))+AR$16*(AP$39*T55+SUMPRODUCT($X55:$AH55,TRANSPOSE(AP$40:AP$50)))+AS$16*(AP$51*T55+SUMPRODUCT($X55:$AH55,TRANSPOSE(AP$52:AP$62)))))</f>
        <v>34.87178182893669</v>
      </c>
      <c r="BE55" s="3">
        <f t="array" ref="BE55">MIN(100,MAX(0,M55-AK55*5+AP$17*(AQ$27*U55+SUMPRODUCT($X55:$AH55,TRANSPOSE(AQ$28:AQ$38)))+AR$17*(AQ$39*U55+SUMPRODUCT($X55:$AH55,TRANSPOSE(AQ$40:AQ$50)))+AS$17*(AQ$51*U55+SUMPRODUCT($X55:$AH55,TRANSPOSE(AQ$52:AQ$62)))))</f>
        <v>44.558559119661048</v>
      </c>
      <c r="BF55" s="3">
        <f t="array" ref="BF55">MIN(100,MAX(0,N55-AL55*5+AP$18*(AR$27*V55+SUMPRODUCT($X55:$AH55,TRANSPOSE(AR$28:AR$38)))+AQ$18*(AR$39*V55+SUMPRODUCT($X55:$AH55,TRANSPOSE(AR$40:AR$50)))+AS$18*(AR$51*V55+SUMPRODUCT($X55:$AH55,TRANSPOSE(AR$52:AR$62)))))</f>
        <v>18.69202521531215</v>
      </c>
      <c r="BG55" s="3">
        <f t="array" ref="BG55">MIN(100,MAX(0,O55+AP$19*(AS$27*W55+SUMPRODUCT($X55:$AH55,TRANSPOSE(AS$28:AS$38)))+AQ$19*(AS$39*W55+SUMPRODUCT($X55:$AH55,TRANSPOSE(AS$40:AS$50)))+AR$19*(AS$51*W55+SUMPRODUCT($X55:$AH55,TRANSPOSE(AS$52:AS$62)))))</f>
        <v>2.2763716077121847</v>
      </c>
      <c r="BJ55">
        <f t="shared" si="18"/>
        <v>0</v>
      </c>
      <c r="BK55">
        <f t="shared" si="19"/>
        <v>1</v>
      </c>
      <c r="BL55">
        <f t="shared" si="20"/>
        <v>0</v>
      </c>
      <c r="BM55">
        <f t="shared" si="21"/>
        <v>0</v>
      </c>
      <c r="BP55">
        <f t="shared" si="38"/>
        <v>1</v>
      </c>
      <c r="BQ55">
        <f t="shared" si="39"/>
        <v>1</v>
      </c>
      <c r="BR55">
        <f t="shared" si="40"/>
        <v>0</v>
      </c>
      <c r="BS55">
        <f t="shared" si="41"/>
        <v>0</v>
      </c>
    </row>
    <row r="56" spans="1:71">
      <c r="A56" t="s">
        <v>11</v>
      </c>
      <c r="B56" t="s">
        <v>193</v>
      </c>
      <c r="C56" t="s">
        <v>572</v>
      </c>
      <c r="D56">
        <v>35051</v>
      </c>
      <c r="E56">
        <v>3510</v>
      </c>
      <c r="F56">
        <v>35</v>
      </c>
      <c r="G56">
        <v>16098</v>
      </c>
      <c r="H56">
        <v>5709</v>
      </c>
      <c r="I56">
        <v>23655</v>
      </c>
      <c r="J56">
        <v>1412</v>
      </c>
      <c r="K56">
        <v>47456</v>
      </c>
      <c r="L56" s="3">
        <f t="shared" si="27"/>
        <v>33.921948752528657</v>
      </c>
      <c r="M56" s="3">
        <f t="shared" si="28"/>
        <v>12.030091031692516</v>
      </c>
      <c r="N56" s="3">
        <f t="shared" si="29"/>
        <v>49.846173297370193</v>
      </c>
      <c r="O56" s="3">
        <f t="shared" si="30"/>
        <v>2.9753877275792315</v>
      </c>
      <c r="P56">
        <v>44.4</v>
      </c>
      <c r="Q56">
        <v>25.3</v>
      </c>
      <c r="R56">
        <v>25.6</v>
      </c>
      <c r="S56">
        <v>3.8</v>
      </c>
      <c r="T56">
        <f t="shared" si="31"/>
        <v>0</v>
      </c>
      <c r="U56">
        <f t="shared" si="42"/>
        <v>0</v>
      </c>
      <c r="V56">
        <f t="shared" si="32"/>
        <v>1</v>
      </c>
      <c r="W56">
        <f t="shared" si="33"/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f t="shared" si="16"/>
        <v>0</v>
      </c>
      <c r="AJ56">
        <v>0</v>
      </c>
      <c r="AK56">
        <v>0</v>
      </c>
      <c r="AL56">
        <v>0</v>
      </c>
      <c r="AO56" t="s">
        <v>530</v>
      </c>
      <c r="AP56" s="27">
        <f t="shared" si="49"/>
        <v>1.0480255000000001</v>
      </c>
      <c r="AQ56" s="27">
        <f t="shared" si="50"/>
        <v>0.98919234999999994</v>
      </c>
      <c r="AR56" s="27">
        <f t="shared" si="51"/>
        <v>1.021498</v>
      </c>
      <c r="AS56" s="7">
        <f t="shared" si="52"/>
        <v>1.021498</v>
      </c>
      <c r="AW56" s="8">
        <f t="shared" si="34"/>
        <v>23.721569873913321</v>
      </c>
      <c r="AX56" s="8">
        <f t="shared" si="35"/>
        <v>29.858335798057489</v>
      </c>
      <c r="AY56" s="8">
        <f t="shared" si="36"/>
        <v>41.330538477686147</v>
      </c>
      <c r="AZ56" s="8">
        <f t="shared" si="37"/>
        <v>2.5727287912579584</v>
      </c>
      <c r="BA56" s="8">
        <f t="shared" si="17"/>
        <v>97.483172940914912</v>
      </c>
      <c r="BD56" s="3">
        <f t="array" ref="BD56">MIN(100,MAX(0,L56-AJ56*5+AQ$16*(AP$27*T56+SUMPRODUCT($X56:$AH56,TRANSPOSE(AP$28:AP$38)))+AR$16*(AP$39*T56+SUMPRODUCT($X56:$AH56,TRANSPOSE(AP$40:AP$50)))+AS$16*(AP$51*T56+SUMPRODUCT($X56:$AH56,TRANSPOSE(AP$52:AP$62)))))</f>
        <v>23.721569873913321</v>
      </c>
      <c r="BE56" s="3">
        <f t="array" ref="BE56">MIN(100,MAX(0,M56-AK56*5+AP$17*(AQ$27*U56+SUMPRODUCT($X56:$AH56,TRANSPOSE(AQ$28:AQ$38)))+AR$17*(AQ$39*U56+SUMPRODUCT($X56:$AH56,TRANSPOSE(AQ$40:AQ$50)))+AS$17*(AQ$51*U56+SUMPRODUCT($X56:$AH56,TRANSPOSE(AQ$52:AQ$62)))))</f>
        <v>29.858335798057489</v>
      </c>
      <c r="BF56" s="3">
        <f t="array" ref="BF56">MIN(100,MAX(0,N56-AL56*5+AP$18*(AR$27*V56+SUMPRODUCT($X56:$AH56,TRANSPOSE(AR$28:AR$38)))+AQ$18*(AR$39*V56+SUMPRODUCT($X56:$AH56,TRANSPOSE(AR$40:AR$50)))+AS$18*(AR$51*V56+SUMPRODUCT($X56:$AH56,TRANSPOSE(AR$52:AR$62)))))</f>
        <v>41.330538477686147</v>
      </c>
      <c r="BG56" s="3">
        <f t="array" ref="BG56">MIN(100,MAX(0,O56+AP$19*(AS$27*W56+SUMPRODUCT($X56:$AH56,TRANSPOSE(AS$28:AS$38)))+AQ$19*(AS$39*W56+SUMPRODUCT($X56:$AH56,TRANSPOSE(AS$40:AS$50)))+AR$19*(AS$51*W56+SUMPRODUCT($X56:$AH56,TRANSPOSE(AS$52:AS$62)))))</f>
        <v>2.5727287912579584</v>
      </c>
      <c r="BJ56">
        <f t="shared" si="18"/>
        <v>0</v>
      </c>
      <c r="BK56">
        <f t="shared" si="19"/>
        <v>0</v>
      </c>
      <c r="BL56">
        <f t="shared" si="20"/>
        <v>1</v>
      </c>
      <c r="BM56">
        <f t="shared" si="21"/>
        <v>0</v>
      </c>
      <c r="BP56">
        <f t="shared" si="38"/>
        <v>0</v>
      </c>
      <c r="BQ56">
        <f t="shared" si="39"/>
        <v>0</v>
      </c>
      <c r="BR56">
        <f t="shared" si="40"/>
        <v>1</v>
      </c>
      <c r="BS56">
        <f t="shared" si="41"/>
        <v>0</v>
      </c>
    </row>
    <row r="57" spans="1:71">
      <c r="A57" t="s">
        <v>11</v>
      </c>
      <c r="B57" t="s">
        <v>194</v>
      </c>
      <c r="C57" t="s">
        <v>573</v>
      </c>
      <c r="D57">
        <v>35054</v>
      </c>
      <c r="E57">
        <v>358</v>
      </c>
      <c r="F57">
        <v>35</v>
      </c>
      <c r="G57">
        <v>23820</v>
      </c>
      <c r="H57">
        <v>13662</v>
      </c>
      <c r="I57">
        <v>8010</v>
      </c>
      <c r="J57">
        <v>1284</v>
      </c>
      <c r="K57">
        <v>47183</v>
      </c>
      <c r="L57" s="3">
        <f t="shared" si="27"/>
        <v>50.484284594027507</v>
      </c>
      <c r="M57" s="3">
        <f t="shared" si="28"/>
        <v>28.955344085793612</v>
      </c>
      <c r="N57" s="3">
        <f t="shared" si="29"/>
        <v>16.976453383633935</v>
      </c>
      <c r="O57" s="3">
        <f t="shared" si="30"/>
        <v>2.7213191191742792</v>
      </c>
      <c r="P57">
        <v>44.4</v>
      </c>
      <c r="Q57">
        <v>25.3</v>
      </c>
      <c r="R57">
        <v>25.6</v>
      </c>
      <c r="S57">
        <v>3.8</v>
      </c>
      <c r="T57">
        <f t="shared" si="31"/>
        <v>1</v>
      </c>
      <c r="U57">
        <f t="shared" si="42"/>
        <v>0</v>
      </c>
      <c r="V57">
        <f t="shared" si="32"/>
        <v>0</v>
      </c>
      <c r="W57">
        <f t="shared" si="33"/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f t="shared" si="16"/>
        <v>1</v>
      </c>
      <c r="AJ57">
        <v>0</v>
      </c>
      <c r="AK57">
        <v>0</v>
      </c>
      <c r="AL57">
        <v>0</v>
      </c>
      <c r="AO57" t="s">
        <v>531</v>
      </c>
      <c r="AP57" s="27">
        <f t="shared" si="49"/>
        <v>1.1258840000000001</v>
      </c>
      <c r="AQ57" s="27">
        <f t="shared" si="50"/>
        <v>1.03909775</v>
      </c>
      <c r="AR57" s="27">
        <f t="shared" si="51"/>
        <v>1.0559590999999999</v>
      </c>
      <c r="AS57" s="7">
        <f t="shared" si="52"/>
        <v>1.0559590999999999</v>
      </c>
      <c r="AW57" s="8">
        <f t="shared" si="34"/>
        <v>39.116833961567416</v>
      </c>
      <c r="AX57" s="8">
        <f t="shared" si="35"/>
        <v>48.389072457973128</v>
      </c>
      <c r="AY57" s="8">
        <f t="shared" si="36"/>
        <v>9.8714832478853456</v>
      </c>
      <c r="AZ57" s="8">
        <f t="shared" si="37"/>
        <v>2.30302303903686</v>
      </c>
      <c r="BA57" s="8">
        <f t="shared" si="17"/>
        <v>99.680412706462747</v>
      </c>
      <c r="BD57" s="3">
        <f t="array" ref="BD57">MIN(100,MAX(0,L57-AJ57*5+AQ$16*(AP$27*T57+SUMPRODUCT($X57:$AH57,TRANSPOSE(AP$28:AP$38)))+AR$16*(AP$39*T57+SUMPRODUCT($X57:$AH57,TRANSPOSE(AP$40:AP$50)))+AS$16*(AP$51*T57+SUMPRODUCT($X57:$AH57,TRANSPOSE(AP$52:AP$62)))))</f>
        <v>39.116833961567416</v>
      </c>
      <c r="BE57" s="3">
        <f t="array" ref="BE57">MIN(100,MAX(0,M57-AK57*5+AP$17*(AQ$27*U57+SUMPRODUCT($X57:$AH57,TRANSPOSE(AQ$28:AQ$38)))+AR$17*(AQ$39*U57+SUMPRODUCT($X57:$AH57,TRANSPOSE(AQ$40:AQ$50)))+AS$17*(AQ$51*U57+SUMPRODUCT($X57:$AH57,TRANSPOSE(AQ$52:AQ$62)))))</f>
        <v>48.389072457973128</v>
      </c>
      <c r="BF57" s="3">
        <f t="array" ref="BF57">MIN(100,MAX(0,N57-AL57*5+AP$18*(AR$27*V57+SUMPRODUCT($X57:$AH57,TRANSPOSE(AR$28:AR$38)))+AQ$18*(AR$39*V57+SUMPRODUCT($X57:$AH57,TRANSPOSE(AR$40:AR$50)))+AS$18*(AR$51*V57+SUMPRODUCT($X57:$AH57,TRANSPOSE(AR$52:AR$62)))))</f>
        <v>9.8714832478853456</v>
      </c>
      <c r="BG57" s="3">
        <f t="array" ref="BG57">MIN(100,MAX(0,O57+AP$19*(AS$27*W57+SUMPRODUCT($X57:$AH57,TRANSPOSE(AS$28:AS$38)))+AQ$19*(AS$39*W57+SUMPRODUCT($X57:$AH57,TRANSPOSE(AS$40:AS$50)))+AR$19*(AS$51*W57+SUMPRODUCT($X57:$AH57,TRANSPOSE(AS$52:AS$62)))))</f>
        <v>2.30302303903686</v>
      </c>
      <c r="BJ57">
        <f t="shared" si="18"/>
        <v>0</v>
      </c>
      <c r="BK57">
        <f t="shared" si="19"/>
        <v>1</v>
      </c>
      <c r="BL57">
        <f t="shared" si="20"/>
        <v>0</v>
      </c>
      <c r="BM57">
        <f t="shared" si="21"/>
        <v>0</v>
      </c>
      <c r="BP57">
        <f t="shared" si="38"/>
        <v>1</v>
      </c>
      <c r="BQ57">
        <f t="shared" si="39"/>
        <v>1</v>
      </c>
      <c r="BR57">
        <f t="shared" si="40"/>
        <v>0</v>
      </c>
      <c r="BS57">
        <f t="shared" si="41"/>
        <v>0</v>
      </c>
    </row>
    <row r="58" spans="1:71">
      <c r="A58" t="s">
        <v>11</v>
      </c>
      <c r="B58" t="s">
        <v>195</v>
      </c>
      <c r="C58" t="s">
        <v>574</v>
      </c>
      <c r="D58">
        <v>35055</v>
      </c>
      <c r="E58">
        <v>358</v>
      </c>
      <c r="F58">
        <v>35</v>
      </c>
      <c r="G58">
        <v>13856</v>
      </c>
      <c r="H58">
        <v>14128</v>
      </c>
      <c r="I58">
        <v>8907</v>
      </c>
      <c r="J58">
        <v>998</v>
      </c>
      <c r="K58">
        <v>38076</v>
      </c>
      <c r="L58" s="3">
        <f t="shared" si="27"/>
        <v>36.390377140455932</v>
      </c>
      <c r="M58" s="3">
        <f t="shared" si="28"/>
        <v>37.104737892635782</v>
      </c>
      <c r="N58" s="3">
        <f t="shared" si="29"/>
        <v>23.392688307595336</v>
      </c>
      <c r="O58" s="3">
        <f t="shared" si="30"/>
        <v>2.6210736421893057</v>
      </c>
      <c r="P58">
        <v>44.4</v>
      </c>
      <c r="Q58">
        <v>25.3</v>
      </c>
      <c r="R58">
        <v>25.6</v>
      </c>
      <c r="S58">
        <v>3.8</v>
      </c>
      <c r="T58">
        <f t="shared" si="31"/>
        <v>0</v>
      </c>
      <c r="U58">
        <f t="shared" si="42"/>
        <v>1</v>
      </c>
      <c r="V58">
        <f t="shared" si="32"/>
        <v>0</v>
      </c>
      <c r="W58">
        <f t="shared" si="33"/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f t="shared" si="16"/>
        <v>1</v>
      </c>
      <c r="AJ58">
        <v>0</v>
      </c>
      <c r="AK58">
        <v>0</v>
      </c>
      <c r="AL58">
        <v>0</v>
      </c>
      <c r="AO58" t="s">
        <v>532</v>
      </c>
      <c r="AP58" s="27">
        <f t="shared" si="49"/>
        <v>1.05801385</v>
      </c>
      <c r="AQ58" s="27">
        <f t="shared" si="50"/>
        <v>1.02760735</v>
      </c>
      <c r="AR58" s="27">
        <f t="shared" si="51"/>
        <v>0.97151294999999993</v>
      </c>
      <c r="AS58" s="7">
        <f t="shared" si="52"/>
        <v>0.97151294999999993</v>
      </c>
      <c r="AW58" s="8">
        <f t="shared" si="34"/>
        <v>25.022926507995841</v>
      </c>
      <c r="AX58" s="8">
        <f t="shared" si="35"/>
        <v>55.12445821691778</v>
      </c>
      <c r="AY58" s="8">
        <f t="shared" si="36"/>
        <v>16.287718171846748</v>
      </c>
      <c r="AZ58" s="8">
        <f t="shared" si="37"/>
        <v>2.2027775620518866</v>
      </c>
      <c r="BA58" s="8">
        <f t="shared" si="17"/>
        <v>98.637880458812262</v>
      </c>
      <c r="BD58" s="3">
        <f t="array" ref="BD58">MIN(100,MAX(0,L58-AJ58*5+AQ$16*(AP$27*T58+SUMPRODUCT($X58:$AH58,TRANSPOSE(AP$28:AP$38)))+AR$16*(AP$39*T58+SUMPRODUCT($X58:$AH58,TRANSPOSE(AP$40:AP$50)))+AS$16*(AP$51*T58+SUMPRODUCT($X58:$AH58,TRANSPOSE(AP$52:AP$62)))))</f>
        <v>25.022926507995841</v>
      </c>
      <c r="BE58" s="3">
        <f t="array" ref="BE58">MIN(100,MAX(0,M58-AK58*5+AP$17*(AQ$27*U58+SUMPRODUCT($X58:$AH58,TRANSPOSE(AQ$28:AQ$38)))+AR$17*(AQ$39*U58+SUMPRODUCT($X58:$AH58,TRANSPOSE(AQ$40:AQ$50)))+AS$17*(AQ$51*U58+SUMPRODUCT($X58:$AH58,TRANSPOSE(AQ$52:AQ$62)))))</f>
        <v>55.12445821691778</v>
      </c>
      <c r="BF58" s="3">
        <f t="array" ref="BF58">MIN(100,MAX(0,N58-AL58*5+AP$18*(AR$27*V58+SUMPRODUCT($X58:$AH58,TRANSPOSE(AR$28:AR$38)))+AQ$18*(AR$39*V58+SUMPRODUCT($X58:$AH58,TRANSPOSE(AR$40:AR$50)))+AS$18*(AR$51*V58+SUMPRODUCT($X58:$AH58,TRANSPOSE(AR$52:AR$62)))))</f>
        <v>16.287718171846748</v>
      </c>
      <c r="BG58" s="3">
        <f t="array" ref="BG58">MIN(100,MAX(0,O58+AP$19*(AS$27*W58+SUMPRODUCT($X58:$AH58,TRANSPOSE(AS$28:AS$38)))+AQ$19*(AS$39*W58+SUMPRODUCT($X58:$AH58,TRANSPOSE(AS$40:AS$50)))+AR$19*(AS$51*W58+SUMPRODUCT($X58:$AH58,TRANSPOSE(AS$52:AS$62)))))</f>
        <v>2.2027775620518866</v>
      </c>
      <c r="BJ58">
        <f t="shared" si="18"/>
        <v>0</v>
      </c>
      <c r="BK58">
        <f t="shared" si="19"/>
        <v>1</v>
      </c>
      <c r="BL58">
        <f t="shared" si="20"/>
        <v>0</v>
      </c>
      <c r="BM58">
        <f t="shared" si="21"/>
        <v>0</v>
      </c>
      <c r="BP58">
        <f t="shared" si="38"/>
        <v>0</v>
      </c>
      <c r="BQ58">
        <f t="shared" si="39"/>
        <v>1</v>
      </c>
      <c r="BR58">
        <f t="shared" si="40"/>
        <v>0</v>
      </c>
      <c r="BS58">
        <f t="shared" si="41"/>
        <v>0</v>
      </c>
    </row>
    <row r="59" spans="1:71">
      <c r="A59" t="s">
        <v>11</v>
      </c>
      <c r="B59" t="s">
        <v>196</v>
      </c>
      <c r="C59" t="s">
        <v>575</v>
      </c>
      <c r="D59">
        <v>35056</v>
      </c>
      <c r="E59">
        <v>355</v>
      </c>
      <c r="F59">
        <v>35</v>
      </c>
      <c r="G59">
        <v>18025</v>
      </c>
      <c r="H59">
        <v>13250</v>
      </c>
      <c r="I59">
        <v>6500</v>
      </c>
      <c r="J59">
        <v>1179</v>
      </c>
      <c r="K59">
        <v>39330</v>
      </c>
      <c r="L59" s="3">
        <f t="shared" si="27"/>
        <v>45.830155097889651</v>
      </c>
      <c r="M59" s="3">
        <f t="shared" si="28"/>
        <v>33.689295703025678</v>
      </c>
      <c r="N59" s="3">
        <f t="shared" si="29"/>
        <v>16.526824307144675</v>
      </c>
      <c r="O59" s="3">
        <f t="shared" si="30"/>
        <v>2.9977116704805495</v>
      </c>
      <c r="P59">
        <v>44.4</v>
      </c>
      <c r="Q59">
        <v>25.3</v>
      </c>
      <c r="R59">
        <v>25.6</v>
      </c>
      <c r="S59">
        <v>3.8</v>
      </c>
      <c r="T59">
        <f t="shared" si="31"/>
        <v>1</v>
      </c>
      <c r="U59">
        <f t="shared" si="42"/>
        <v>0</v>
      </c>
      <c r="V59">
        <f t="shared" si="32"/>
        <v>0</v>
      </c>
      <c r="W59">
        <f t="shared" si="33"/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f t="shared" si="16"/>
        <v>1</v>
      </c>
      <c r="AJ59">
        <v>0</v>
      </c>
      <c r="AK59">
        <v>0</v>
      </c>
      <c r="AL59">
        <v>0</v>
      </c>
      <c r="AO59" t="s">
        <v>533</v>
      </c>
      <c r="AP59" s="27">
        <f t="shared" si="49"/>
        <v>0.94317834999999994</v>
      </c>
      <c r="AQ59" s="27">
        <f t="shared" si="50"/>
        <v>0.96942584999999992</v>
      </c>
      <c r="AR59" s="27">
        <f t="shared" si="51"/>
        <v>0.80292855000000007</v>
      </c>
      <c r="AS59" s="7">
        <f t="shared" si="52"/>
        <v>0.80292855000000007</v>
      </c>
      <c r="AW59" s="8">
        <f t="shared" si="34"/>
        <v>34.46270446542956</v>
      </c>
      <c r="AX59" s="8">
        <f t="shared" si="35"/>
        <v>53.123024075205194</v>
      </c>
      <c r="AY59" s="8">
        <f t="shared" si="36"/>
        <v>9.4218541713960864</v>
      </c>
      <c r="AZ59" s="8">
        <f t="shared" si="37"/>
        <v>2.5794155903431304</v>
      </c>
      <c r="BA59" s="8">
        <f t="shared" si="17"/>
        <v>99.586998302373985</v>
      </c>
      <c r="BD59" s="3">
        <f t="array" ref="BD59">MIN(100,MAX(0,L59-AJ59*5+AQ$16*(AP$27*T59+SUMPRODUCT($X59:$AH59,TRANSPOSE(AP$28:AP$38)))+AR$16*(AP$39*T59+SUMPRODUCT($X59:$AH59,TRANSPOSE(AP$40:AP$50)))+AS$16*(AP$51*T59+SUMPRODUCT($X59:$AH59,TRANSPOSE(AP$52:AP$62)))))</f>
        <v>34.46270446542956</v>
      </c>
      <c r="BE59" s="3">
        <f t="array" ref="BE59">MIN(100,MAX(0,M59-AK59*5+AP$17*(AQ$27*U59+SUMPRODUCT($X59:$AH59,TRANSPOSE(AQ$28:AQ$38)))+AR$17*(AQ$39*U59+SUMPRODUCT($X59:$AH59,TRANSPOSE(AQ$40:AQ$50)))+AS$17*(AQ$51*U59+SUMPRODUCT($X59:$AH59,TRANSPOSE(AQ$52:AQ$62)))))</f>
        <v>53.123024075205194</v>
      </c>
      <c r="BF59" s="3">
        <f t="array" ref="BF59">MIN(100,MAX(0,N59-AL59*5+AP$18*(AR$27*V59+SUMPRODUCT($X59:$AH59,TRANSPOSE(AR$28:AR$38)))+AQ$18*(AR$39*V59+SUMPRODUCT($X59:$AH59,TRANSPOSE(AR$40:AR$50)))+AS$18*(AR$51*V59+SUMPRODUCT($X59:$AH59,TRANSPOSE(AR$52:AR$62)))))</f>
        <v>9.4218541713960864</v>
      </c>
      <c r="BG59" s="3">
        <f t="array" ref="BG59">MIN(100,MAX(0,O59+AP$19*(AS$27*W59+SUMPRODUCT($X59:$AH59,TRANSPOSE(AS$28:AS$38)))+AQ$19*(AS$39*W59+SUMPRODUCT($X59:$AH59,TRANSPOSE(AS$40:AS$50)))+AR$19*(AS$51*W59+SUMPRODUCT($X59:$AH59,TRANSPOSE(AS$52:AS$62)))))</f>
        <v>2.5794155903431304</v>
      </c>
      <c r="BJ59">
        <f t="shared" si="18"/>
        <v>0</v>
      </c>
      <c r="BK59">
        <f t="shared" si="19"/>
        <v>1</v>
      </c>
      <c r="BL59">
        <f t="shared" si="20"/>
        <v>0</v>
      </c>
      <c r="BM59">
        <f t="shared" si="21"/>
        <v>0</v>
      </c>
      <c r="BP59">
        <f t="shared" si="38"/>
        <v>1</v>
      </c>
      <c r="BQ59">
        <f t="shared" si="39"/>
        <v>1</v>
      </c>
      <c r="BR59">
        <f t="shared" si="40"/>
        <v>0</v>
      </c>
      <c r="BS59">
        <f t="shared" si="41"/>
        <v>0</v>
      </c>
    </row>
    <row r="60" spans="1:71">
      <c r="A60" t="s">
        <v>11</v>
      </c>
      <c r="B60" t="s">
        <v>197</v>
      </c>
      <c r="C60" t="s">
        <v>197</v>
      </c>
      <c r="D60">
        <v>35057</v>
      </c>
      <c r="E60">
        <v>355</v>
      </c>
      <c r="F60">
        <v>35</v>
      </c>
      <c r="G60">
        <v>18631</v>
      </c>
      <c r="H60">
        <v>8183</v>
      </c>
      <c r="I60">
        <v>5593</v>
      </c>
      <c r="J60">
        <v>1311</v>
      </c>
      <c r="K60">
        <v>33844</v>
      </c>
      <c r="L60" s="3">
        <f t="shared" si="27"/>
        <v>55.049639522515072</v>
      </c>
      <c r="M60" s="3">
        <f t="shared" si="28"/>
        <v>24.178584091714928</v>
      </c>
      <c r="N60" s="3">
        <f t="shared" si="29"/>
        <v>16.525824370641768</v>
      </c>
      <c r="O60" s="3">
        <f t="shared" si="30"/>
        <v>3.873655596265217</v>
      </c>
      <c r="P60">
        <v>44.4</v>
      </c>
      <c r="Q60">
        <v>25.3</v>
      </c>
      <c r="R60">
        <v>25.6</v>
      </c>
      <c r="S60">
        <v>3.8</v>
      </c>
      <c r="T60">
        <f t="shared" si="31"/>
        <v>1</v>
      </c>
      <c r="U60">
        <f t="shared" si="42"/>
        <v>0</v>
      </c>
      <c r="V60">
        <f t="shared" si="32"/>
        <v>0</v>
      </c>
      <c r="W60">
        <f t="shared" si="33"/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f t="shared" si="16"/>
        <v>1</v>
      </c>
      <c r="AJ60">
        <v>0</v>
      </c>
      <c r="AK60">
        <v>0</v>
      </c>
      <c r="AL60">
        <v>0</v>
      </c>
      <c r="AO60" t="s">
        <v>534</v>
      </c>
      <c r="AP60" s="27">
        <f t="shared" si="49"/>
        <v>0.98667149999999992</v>
      </c>
      <c r="AQ60" s="27">
        <f t="shared" si="50"/>
        <v>1.1274975</v>
      </c>
      <c r="AR60" s="27">
        <f t="shared" si="51"/>
        <v>1.1494</v>
      </c>
      <c r="AS60" s="7">
        <f t="shared" si="52"/>
        <v>1.1494</v>
      </c>
      <c r="AW60" s="8">
        <f t="shared" si="34"/>
        <v>45.218794878197244</v>
      </c>
      <c r="AX60" s="8">
        <f t="shared" si="35"/>
        <v>41.08288417669764</v>
      </c>
      <c r="AY60" s="8">
        <f t="shared" si="36"/>
        <v>10.347677254963781</v>
      </c>
      <c r="AZ60" s="8">
        <f t="shared" si="37"/>
        <v>3.4473612382484173</v>
      </c>
      <c r="BA60" s="8">
        <f t="shared" si="17"/>
        <v>100.09671754810709</v>
      </c>
      <c r="BD60" s="3">
        <f t="array" ref="BD60">MIN(100,MAX(0,L60-AJ60*5+AQ$16*(AP$27*T60+SUMPRODUCT($X60:$AH60,TRANSPOSE(AP$28:AP$38)))+AR$16*(AP$39*T60+SUMPRODUCT($X60:$AH60,TRANSPOSE(AP$40:AP$50)))+AS$16*(AP$51*T60+SUMPRODUCT($X60:$AH60,TRANSPOSE(AP$52:AP$62)))))</f>
        <v>45.218794878197244</v>
      </c>
      <c r="BE60" s="3">
        <f t="array" ref="BE60">MIN(100,MAX(0,M60-AK60*5+AP$17*(AQ$27*U60+SUMPRODUCT($X60:$AH60,TRANSPOSE(AQ$28:AQ$38)))+AR$17*(AQ$39*U60+SUMPRODUCT($X60:$AH60,TRANSPOSE(AQ$40:AQ$50)))+AS$17*(AQ$51*U60+SUMPRODUCT($X60:$AH60,TRANSPOSE(AQ$52:AQ$62)))))</f>
        <v>41.08288417669764</v>
      </c>
      <c r="BF60" s="3">
        <f t="array" ref="BF60">MIN(100,MAX(0,N60-AL60*5+AP$18*(AR$27*V60+SUMPRODUCT($X60:$AH60,TRANSPOSE(AR$28:AR$38)))+AQ$18*(AR$39*V60+SUMPRODUCT($X60:$AH60,TRANSPOSE(AR$40:AR$50)))+AS$18*(AR$51*V60+SUMPRODUCT($X60:$AH60,TRANSPOSE(AR$52:AR$62)))))</f>
        <v>10.347677254963781</v>
      </c>
      <c r="BG60" s="3">
        <f t="array" ref="BG60">MIN(100,MAX(0,O60+AP$19*(AS$27*W60+SUMPRODUCT($X60:$AH60,TRANSPOSE(AS$28:AS$38)))+AQ$19*(AS$39*W60+SUMPRODUCT($X60:$AH60,TRANSPOSE(AS$40:AS$50)))+AR$19*(AS$51*W60+SUMPRODUCT($X60:$AH60,TRANSPOSE(AS$52:AS$62)))))</f>
        <v>3.4506822536702928</v>
      </c>
      <c r="BJ60">
        <f t="shared" si="18"/>
        <v>1</v>
      </c>
      <c r="BK60">
        <f t="shared" si="19"/>
        <v>0</v>
      </c>
      <c r="BL60">
        <f t="shared" si="20"/>
        <v>0</v>
      </c>
      <c r="BM60">
        <f t="shared" si="21"/>
        <v>0</v>
      </c>
      <c r="BP60">
        <f t="shared" si="38"/>
        <v>1</v>
      </c>
      <c r="BQ60">
        <f t="shared" si="39"/>
        <v>0</v>
      </c>
      <c r="BR60">
        <f t="shared" si="40"/>
        <v>0</v>
      </c>
      <c r="BS60">
        <f t="shared" si="41"/>
        <v>1</v>
      </c>
    </row>
    <row r="61" spans="1:71">
      <c r="A61" t="s">
        <v>11</v>
      </c>
      <c r="B61" t="s">
        <v>198</v>
      </c>
      <c r="C61" t="s">
        <v>198</v>
      </c>
      <c r="D61">
        <v>35058</v>
      </c>
      <c r="E61">
        <v>353</v>
      </c>
      <c r="F61">
        <v>35</v>
      </c>
      <c r="G61">
        <v>17790</v>
      </c>
      <c r="H61">
        <v>15671</v>
      </c>
      <c r="I61">
        <v>8107</v>
      </c>
      <c r="J61">
        <v>988</v>
      </c>
      <c r="K61">
        <v>42677</v>
      </c>
      <c r="L61" s="3">
        <f t="shared" si="27"/>
        <v>41.685216861541349</v>
      </c>
      <c r="M61" s="3">
        <f t="shared" si="28"/>
        <v>36.720013121822056</v>
      </c>
      <c r="N61" s="3">
        <f t="shared" si="29"/>
        <v>18.996180612507906</v>
      </c>
      <c r="O61" s="3">
        <f t="shared" si="30"/>
        <v>2.3150643203599128</v>
      </c>
      <c r="P61">
        <v>44.4</v>
      </c>
      <c r="Q61">
        <v>25.3</v>
      </c>
      <c r="R61">
        <v>25.6</v>
      </c>
      <c r="S61">
        <v>3.8</v>
      </c>
      <c r="T61">
        <f t="shared" si="31"/>
        <v>1</v>
      </c>
      <c r="U61">
        <f t="shared" si="42"/>
        <v>0</v>
      </c>
      <c r="V61">
        <f t="shared" si="32"/>
        <v>0</v>
      </c>
      <c r="W61">
        <f t="shared" si="33"/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f t="shared" si="16"/>
        <v>1</v>
      </c>
      <c r="AJ61">
        <v>0</v>
      </c>
      <c r="AK61">
        <v>0</v>
      </c>
      <c r="AL61">
        <v>0</v>
      </c>
      <c r="AO61" t="s">
        <v>535</v>
      </c>
      <c r="AP61" s="27">
        <f t="shared" si="49"/>
        <v>0.96260845000000006</v>
      </c>
      <c r="AQ61" s="27">
        <f t="shared" si="50"/>
        <v>0.98326530000000001</v>
      </c>
      <c r="AR61" s="27">
        <f t="shared" si="51"/>
        <v>0.85781474999999996</v>
      </c>
      <c r="AS61" s="7">
        <f t="shared" si="52"/>
        <v>0.85781474999999996</v>
      </c>
      <c r="AW61" s="8">
        <f t="shared" si="34"/>
        <v>30.784240846674265</v>
      </c>
      <c r="AX61" s="8">
        <f t="shared" si="35"/>
        <v>54.943984294579401</v>
      </c>
      <c r="AY61" s="8">
        <f t="shared" si="36"/>
        <v>12.577007117339662</v>
      </c>
      <c r="AZ61" s="8">
        <f t="shared" si="37"/>
        <v>1.9204515015250867</v>
      </c>
      <c r="BA61" s="8">
        <f t="shared" si="17"/>
        <v>100.22568376011841</v>
      </c>
      <c r="BD61" s="3">
        <f t="array" ref="BD61">MIN(100,MAX(0,L61-AJ61*5+AQ$16*(AP$27*T61+SUMPRODUCT($X61:$AH61,TRANSPOSE(AP$28:AP$38)))+AR$16*(AP$39*T61+SUMPRODUCT($X61:$AH61,TRANSPOSE(AP$40:AP$50)))+AS$16*(AP$51*T61+SUMPRODUCT($X61:$AH61,TRANSPOSE(AP$52:AP$62)))))</f>
        <v>30.784240846674265</v>
      </c>
      <c r="BE61" s="3">
        <f t="array" ref="BE61">MIN(100,MAX(0,M61-AK61*5+AP$17*(AQ$27*U61+SUMPRODUCT($X61:$AH61,TRANSPOSE(AQ$28:AQ$38)))+AR$17*(AQ$39*U61+SUMPRODUCT($X61:$AH61,TRANSPOSE(AQ$40:AQ$50)))+AS$17*(AQ$51*U61+SUMPRODUCT($X61:$AH61,TRANSPOSE(AQ$52:AQ$62)))))</f>
        <v>54.943984294579401</v>
      </c>
      <c r="BF61" s="3">
        <f t="array" ref="BF61">MIN(100,MAX(0,N61-AL61*5+AP$18*(AR$27*V61+SUMPRODUCT($X61:$AH61,TRANSPOSE(AR$28:AR$38)))+AQ$18*(AR$39*V61+SUMPRODUCT($X61:$AH61,TRANSPOSE(AR$40:AR$50)))+AS$18*(AR$51*V61+SUMPRODUCT($X61:$AH61,TRANSPOSE(AR$52:AR$62)))))</f>
        <v>12.577007117339662</v>
      </c>
      <c r="BG61" s="3">
        <f t="array" ref="BG61">MIN(100,MAX(0,O61+AP$19*(AS$27*W61+SUMPRODUCT($X61:$AH61,TRANSPOSE(AS$28:AS$38)))+AQ$19*(AS$39*W61+SUMPRODUCT($X61:$AH61,TRANSPOSE(AS$40:AS$50)))+AR$19*(AS$51*W61+SUMPRODUCT($X61:$AH61,TRANSPOSE(AS$52:AS$62)))))</f>
        <v>1.9204515015250867</v>
      </c>
      <c r="BJ61">
        <f t="shared" si="18"/>
        <v>0</v>
      </c>
      <c r="BK61">
        <f t="shared" si="19"/>
        <v>1</v>
      </c>
      <c r="BL61">
        <f t="shared" si="20"/>
        <v>0</v>
      </c>
      <c r="BM61">
        <f t="shared" si="21"/>
        <v>0</v>
      </c>
      <c r="BP61">
        <f t="shared" si="38"/>
        <v>0</v>
      </c>
      <c r="BQ61">
        <f t="shared" si="39"/>
        <v>1</v>
      </c>
      <c r="BR61">
        <f t="shared" si="40"/>
        <v>0</v>
      </c>
      <c r="BS61">
        <f t="shared" si="41"/>
        <v>0</v>
      </c>
    </row>
    <row r="62" spans="1:71">
      <c r="A62" t="s">
        <v>11</v>
      </c>
      <c r="B62" t="s">
        <v>199</v>
      </c>
      <c r="C62" t="s">
        <v>576</v>
      </c>
      <c r="D62">
        <v>35059</v>
      </c>
      <c r="E62">
        <v>358</v>
      </c>
      <c r="F62">
        <v>35</v>
      </c>
      <c r="G62">
        <v>19269</v>
      </c>
      <c r="H62">
        <v>15999</v>
      </c>
      <c r="I62">
        <v>7814</v>
      </c>
      <c r="J62">
        <v>959</v>
      </c>
      <c r="K62">
        <v>44250</v>
      </c>
      <c r="L62" s="3">
        <f t="shared" si="27"/>
        <v>43.545762711864406</v>
      </c>
      <c r="M62" s="3">
        <f t="shared" si="28"/>
        <v>36.155932203389831</v>
      </c>
      <c r="N62" s="3">
        <f t="shared" si="29"/>
        <v>17.658757062146893</v>
      </c>
      <c r="O62" s="3">
        <f t="shared" si="30"/>
        <v>2.167231638418079</v>
      </c>
      <c r="P62">
        <v>44.4</v>
      </c>
      <c r="Q62">
        <v>25.3</v>
      </c>
      <c r="R62">
        <v>25.6</v>
      </c>
      <c r="S62">
        <v>3.8</v>
      </c>
      <c r="T62">
        <f t="shared" si="31"/>
        <v>1</v>
      </c>
      <c r="U62">
        <f t="shared" si="42"/>
        <v>0</v>
      </c>
      <c r="V62">
        <f t="shared" si="32"/>
        <v>0</v>
      </c>
      <c r="W62">
        <f t="shared" si="33"/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f t="shared" si="16"/>
        <v>1</v>
      </c>
      <c r="AJ62">
        <v>0</v>
      </c>
      <c r="AK62">
        <v>0</v>
      </c>
      <c r="AL62">
        <v>0</v>
      </c>
      <c r="AO62" t="s">
        <v>536</v>
      </c>
      <c r="AP62" s="27">
        <f t="shared" si="49"/>
        <v>0.93893314999999999</v>
      </c>
      <c r="AQ62" s="27">
        <f t="shared" si="50"/>
        <v>1.0137719000000001</v>
      </c>
      <c r="AR62" s="27">
        <f t="shared" si="51"/>
        <v>1.0400893999999998</v>
      </c>
      <c r="AS62" s="7">
        <f t="shared" si="52"/>
        <v>1.0400893999999998</v>
      </c>
      <c r="AW62" s="8">
        <f t="shared" si="34"/>
        <v>32.644786696997322</v>
      </c>
      <c r="AX62" s="8">
        <f t="shared" si="35"/>
        <v>54.379903376147176</v>
      </c>
      <c r="AY62" s="8">
        <f t="shared" si="36"/>
        <v>11.239583566978649</v>
      </c>
      <c r="AZ62" s="8">
        <f t="shared" si="37"/>
        <v>1.7726188195832528</v>
      </c>
      <c r="BA62" s="8">
        <f t="shared" si="17"/>
        <v>100.03689245970641</v>
      </c>
      <c r="BD62" s="3">
        <f t="array" ref="BD62">MIN(100,MAX(0,L62-AJ62*5+AQ$16*(AP$27*T62+SUMPRODUCT($X62:$AH62,TRANSPOSE(AP$28:AP$38)))+AR$16*(AP$39*T62+SUMPRODUCT($X62:$AH62,TRANSPOSE(AP$40:AP$50)))+AS$16*(AP$51*T62+SUMPRODUCT($X62:$AH62,TRANSPOSE(AP$52:AP$62)))))</f>
        <v>32.644786696997322</v>
      </c>
      <c r="BE62" s="3">
        <f t="array" ref="BE62">MIN(100,MAX(0,M62-AK62*5+AP$17*(AQ$27*U62+SUMPRODUCT($X62:$AH62,TRANSPOSE(AQ$28:AQ$38)))+AR$17*(AQ$39*U62+SUMPRODUCT($X62:$AH62,TRANSPOSE(AQ$40:AQ$50)))+AS$17*(AQ$51*U62+SUMPRODUCT($X62:$AH62,TRANSPOSE(AQ$52:AQ$62)))))</f>
        <v>54.379903376147176</v>
      </c>
      <c r="BF62" s="3">
        <f t="array" ref="BF62">MIN(100,MAX(0,N62-AL62*5+AP$18*(AR$27*V62+SUMPRODUCT($X62:$AH62,TRANSPOSE(AR$28:AR$38)))+AQ$18*(AR$39*V62+SUMPRODUCT($X62:$AH62,TRANSPOSE(AR$40:AR$50)))+AS$18*(AR$51*V62+SUMPRODUCT($X62:$AH62,TRANSPOSE(AR$52:AR$62)))))</f>
        <v>11.239583566978649</v>
      </c>
      <c r="BG62" s="3">
        <f t="array" ref="BG62">MIN(100,MAX(0,O62+AP$19*(AS$27*W62+SUMPRODUCT($X62:$AH62,TRANSPOSE(AS$28:AS$38)))+AQ$19*(AS$39*W62+SUMPRODUCT($X62:$AH62,TRANSPOSE(AS$40:AS$50)))+AR$19*(AS$51*W62+SUMPRODUCT($X62:$AH62,TRANSPOSE(AS$52:AS$62)))))</f>
        <v>1.7726188195832528</v>
      </c>
      <c r="BJ62">
        <f t="shared" si="18"/>
        <v>0</v>
      </c>
      <c r="BK62">
        <f t="shared" si="19"/>
        <v>1</v>
      </c>
      <c r="BL62">
        <f t="shared" si="20"/>
        <v>0</v>
      </c>
      <c r="BM62">
        <f t="shared" si="21"/>
        <v>0</v>
      </c>
      <c r="BP62">
        <f t="shared" si="38"/>
        <v>0</v>
      </c>
      <c r="BQ62">
        <f t="shared" si="39"/>
        <v>1</v>
      </c>
      <c r="BR62">
        <f t="shared" si="40"/>
        <v>0</v>
      </c>
      <c r="BS62">
        <f t="shared" si="41"/>
        <v>0</v>
      </c>
    </row>
    <row r="63" spans="1:71">
      <c r="A63" t="s">
        <v>11</v>
      </c>
      <c r="B63" t="s">
        <v>200</v>
      </c>
      <c r="C63" t="s">
        <v>577</v>
      </c>
      <c r="D63">
        <v>35060</v>
      </c>
      <c r="E63">
        <v>357</v>
      </c>
      <c r="F63">
        <v>35</v>
      </c>
      <c r="G63">
        <v>21646</v>
      </c>
      <c r="H63">
        <v>15978</v>
      </c>
      <c r="I63">
        <v>7503</v>
      </c>
      <c r="J63">
        <v>1274</v>
      </c>
      <c r="K63">
        <v>46467</v>
      </c>
      <c r="L63" s="3">
        <f t="shared" si="27"/>
        <v>46.58359696128435</v>
      </c>
      <c r="M63" s="3">
        <f t="shared" si="28"/>
        <v>34.385693072503067</v>
      </c>
      <c r="N63" s="3">
        <f t="shared" si="29"/>
        <v>16.146942991800632</v>
      </c>
      <c r="O63" s="3">
        <f t="shared" si="30"/>
        <v>2.7417306905976284</v>
      </c>
      <c r="P63">
        <v>44.4</v>
      </c>
      <c r="Q63">
        <v>25.3</v>
      </c>
      <c r="R63">
        <v>25.6</v>
      </c>
      <c r="S63">
        <v>3.8</v>
      </c>
      <c r="T63">
        <f t="shared" si="31"/>
        <v>1</v>
      </c>
      <c r="U63">
        <f t="shared" si="42"/>
        <v>0</v>
      </c>
      <c r="V63">
        <f t="shared" si="32"/>
        <v>0</v>
      </c>
      <c r="W63">
        <f t="shared" si="33"/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f t="shared" si="16"/>
        <v>1</v>
      </c>
      <c r="AJ63">
        <v>0</v>
      </c>
      <c r="AK63">
        <v>0</v>
      </c>
      <c r="AL63">
        <v>0</v>
      </c>
      <c r="AW63" s="8">
        <f t="shared" si="34"/>
        <v>35.682620946417266</v>
      </c>
      <c r="AX63" s="8">
        <f t="shared" si="35"/>
        <v>52.609664245260412</v>
      </c>
      <c r="AY63" s="8">
        <f t="shared" si="36"/>
        <v>9.7277694966323871</v>
      </c>
      <c r="AZ63" s="8">
        <f t="shared" si="37"/>
        <v>2.3471178717628023</v>
      </c>
      <c r="BA63" s="8">
        <f t="shared" si="17"/>
        <v>100.36717256007287</v>
      </c>
      <c r="BD63" s="3">
        <f t="array" ref="BD63">MIN(100,MAX(0,L63-AJ63*5+AQ$16*(AP$27*T63+SUMPRODUCT($X63:$AH63,TRANSPOSE(AP$28:AP$38)))+AR$16*(AP$39*T63+SUMPRODUCT($X63:$AH63,TRANSPOSE(AP$40:AP$50)))+AS$16*(AP$51*T63+SUMPRODUCT($X63:$AH63,TRANSPOSE(AP$52:AP$62)))))</f>
        <v>35.682620946417266</v>
      </c>
      <c r="BE63" s="3">
        <f t="array" ref="BE63">MIN(100,MAX(0,M63-AK63*5+AP$17*(AQ$27*U63+SUMPRODUCT($X63:$AH63,TRANSPOSE(AQ$28:AQ$38)))+AR$17*(AQ$39*U63+SUMPRODUCT($X63:$AH63,TRANSPOSE(AQ$40:AQ$50)))+AS$17*(AQ$51*U63+SUMPRODUCT($X63:$AH63,TRANSPOSE(AQ$52:AQ$62)))))</f>
        <v>52.609664245260412</v>
      </c>
      <c r="BF63" s="3">
        <f t="array" ref="BF63">MIN(100,MAX(0,N63-AL63*5+AP$18*(AR$27*V63+SUMPRODUCT($X63:$AH63,TRANSPOSE(AR$28:AR$38)))+AQ$18*(AR$39*V63+SUMPRODUCT($X63:$AH63,TRANSPOSE(AR$40:AR$50)))+AS$18*(AR$51*V63+SUMPRODUCT($X63:$AH63,TRANSPOSE(AR$52:AR$62)))))</f>
        <v>9.7277694966323871</v>
      </c>
      <c r="BG63" s="3">
        <f t="array" ref="BG63">MIN(100,MAX(0,O63+AP$19*(AS$27*W63+SUMPRODUCT($X63:$AH63,TRANSPOSE(AS$28:AS$38)))+AQ$19*(AS$39*W63+SUMPRODUCT($X63:$AH63,TRANSPOSE(AS$40:AS$50)))+AR$19*(AS$51*W63+SUMPRODUCT($X63:$AH63,TRANSPOSE(AS$52:AS$62)))))</f>
        <v>2.3471178717628023</v>
      </c>
      <c r="BJ63">
        <f t="shared" si="18"/>
        <v>0</v>
      </c>
      <c r="BK63">
        <f t="shared" si="19"/>
        <v>1</v>
      </c>
      <c r="BL63">
        <f t="shared" si="20"/>
        <v>0</v>
      </c>
      <c r="BM63">
        <f t="shared" si="21"/>
        <v>0</v>
      </c>
      <c r="BP63">
        <f t="shared" si="38"/>
        <v>1</v>
      </c>
      <c r="BQ63">
        <f t="shared" si="39"/>
        <v>1</v>
      </c>
      <c r="BR63">
        <f t="shared" si="40"/>
        <v>0</v>
      </c>
      <c r="BS63">
        <f t="shared" si="41"/>
        <v>0</v>
      </c>
    </row>
    <row r="64" spans="1:71">
      <c r="A64" t="s">
        <v>11</v>
      </c>
      <c r="B64" t="s">
        <v>201</v>
      </c>
      <c r="C64" t="s">
        <v>578</v>
      </c>
      <c r="D64">
        <v>35061</v>
      </c>
      <c r="E64">
        <v>358</v>
      </c>
      <c r="F64">
        <v>35</v>
      </c>
      <c r="G64">
        <v>24269</v>
      </c>
      <c r="H64">
        <v>19068</v>
      </c>
      <c r="I64">
        <v>6616</v>
      </c>
      <c r="J64">
        <v>1592</v>
      </c>
      <c r="K64">
        <v>51741</v>
      </c>
      <c r="L64" s="3">
        <f t="shared" si="27"/>
        <v>46.904775709785277</v>
      </c>
      <c r="M64" s="3">
        <f t="shared" si="28"/>
        <v>36.852785991766687</v>
      </c>
      <c r="N64" s="3">
        <f t="shared" si="29"/>
        <v>12.786764847992888</v>
      </c>
      <c r="O64" s="3">
        <f t="shared" si="30"/>
        <v>3.0768636091300903</v>
      </c>
      <c r="P64">
        <v>44.4</v>
      </c>
      <c r="Q64">
        <v>25.3</v>
      </c>
      <c r="R64">
        <v>25.6</v>
      </c>
      <c r="S64">
        <v>3.8</v>
      </c>
      <c r="T64">
        <f t="shared" si="31"/>
        <v>1</v>
      </c>
      <c r="U64">
        <f t="shared" si="42"/>
        <v>0</v>
      </c>
      <c r="V64">
        <f t="shared" si="32"/>
        <v>0</v>
      </c>
      <c r="W64">
        <f t="shared" si="33"/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f t="shared" si="16"/>
        <v>1</v>
      </c>
      <c r="AJ64">
        <v>0</v>
      </c>
      <c r="AK64">
        <v>0</v>
      </c>
      <c r="AL64">
        <v>0</v>
      </c>
      <c r="AW64" s="8">
        <f t="shared" si="34"/>
        <v>36.003799694918193</v>
      </c>
      <c r="AX64" s="8">
        <f t="shared" si="35"/>
        <v>55.076757164524032</v>
      </c>
      <c r="AY64" s="8">
        <f t="shared" si="36"/>
        <v>6.3675913528246442</v>
      </c>
      <c r="AZ64" s="8">
        <f t="shared" si="37"/>
        <v>2.6822507902952641</v>
      </c>
      <c r="BA64" s="8">
        <f t="shared" si="17"/>
        <v>100.13039900256214</v>
      </c>
      <c r="BD64" s="3">
        <f t="array" ref="BD64">MIN(100,MAX(0,L64-AJ64*5+AQ$16*(AP$27*T64+SUMPRODUCT($X64:$AH64,TRANSPOSE(AP$28:AP$38)))+AR$16*(AP$39*T64+SUMPRODUCT($X64:$AH64,TRANSPOSE(AP$40:AP$50)))+AS$16*(AP$51*T64+SUMPRODUCT($X64:$AH64,TRANSPOSE(AP$52:AP$62)))))</f>
        <v>36.003799694918193</v>
      </c>
      <c r="BE64" s="3">
        <f t="array" ref="BE64">MIN(100,MAX(0,M64-AK64*5+AP$17*(AQ$27*U64+SUMPRODUCT($X64:$AH64,TRANSPOSE(AQ$28:AQ$38)))+AR$17*(AQ$39*U64+SUMPRODUCT($X64:$AH64,TRANSPOSE(AQ$40:AQ$50)))+AS$17*(AQ$51*U64+SUMPRODUCT($X64:$AH64,TRANSPOSE(AQ$52:AQ$62)))))</f>
        <v>55.076757164524032</v>
      </c>
      <c r="BF64" s="3">
        <f t="array" ref="BF64">MIN(100,MAX(0,N64-AL64*5+AP$18*(AR$27*V64+SUMPRODUCT($X64:$AH64,TRANSPOSE(AR$28:AR$38)))+AQ$18*(AR$39*V64+SUMPRODUCT($X64:$AH64,TRANSPOSE(AR$40:AR$50)))+AS$18*(AR$51*V64+SUMPRODUCT($X64:$AH64,TRANSPOSE(AR$52:AR$62)))))</f>
        <v>6.3675913528246442</v>
      </c>
      <c r="BG64" s="3">
        <f t="array" ref="BG64">MIN(100,MAX(0,O64+AP$19*(AS$27*W64+SUMPRODUCT($X64:$AH64,TRANSPOSE(AS$28:AS$38)))+AQ$19*(AS$39*W64+SUMPRODUCT($X64:$AH64,TRANSPOSE(AS$40:AS$50)))+AR$19*(AS$51*W64+SUMPRODUCT($X64:$AH64,TRANSPOSE(AS$52:AS$62)))))</f>
        <v>2.6822507902952641</v>
      </c>
      <c r="BJ64">
        <f t="shared" si="18"/>
        <v>0</v>
      </c>
      <c r="BK64">
        <f t="shared" si="19"/>
        <v>1</v>
      </c>
      <c r="BL64">
        <f t="shared" si="20"/>
        <v>0</v>
      </c>
      <c r="BM64">
        <f t="shared" si="21"/>
        <v>0</v>
      </c>
      <c r="BP64">
        <f t="shared" si="38"/>
        <v>1</v>
      </c>
      <c r="BQ64">
        <f t="shared" si="39"/>
        <v>1</v>
      </c>
      <c r="BR64">
        <f t="shared" si="40"/>
        <v>0</v>
      </c>
      <c r="BS64">
        <f t="shared" si="41"/>
        <v>0</v>
      </c>
    </row>
    <row r="65" spans="1:71">
      <c r="A65" t="s">
        <v>11</v>
      </c>
      <c r="B65" t="s">
        <v>202</v>
      </c>
      <c r="C65" t="s">
        <v>579</v>
      </c>
      <c r="D65">
        <v>35062</v>
      </c>
      <c r="E65">
        <v>352</v>
      </c>
      <c r="F65">
        <v>35</v>
      </c>
      <c r="G65">
        <v>13715</v>
      </c>
      <c r="H65">
        <v>13477</v>
      </c>
      <c r="I65">
        <v>8584</v>
      </c>
      <c r="J65">
        <v>744</v>
      </c>
      <c r="K65">
        <v>36633</v>
      </c>
      <c r="L65" s="3">
        <f t="shared" si="27"/>
        <v>37.438921191275625</v>
      </c>
      <c r="M65" s="3">
        <f t="shared" si="28"/>
        <v>36.789233750989546</v>
      </c>
      <c r="N65" s="3">
        <f t="shared" si="29"/>
        <v>23.432424316872766</v>
      </c>
      <c r="O65" s="3">
        <f t="shared" si="30"/>
        <v>2.0309556956842192</v>
      </c>
      <c r="P65">
        <v>44.4</v>
      </c>
      <c r="Q65">
        <v>25.3</v>
      </c>
      <c r="R65">
        <v>25.6</v>
      </c>
      <c r="S65">
        <v>3.8</v>
      </c>
      <c r="T65">
        <f t="shared" si="31"/>
        <v>1</v>
      </c>
      <c r="U65">
        <f t="shared" si="42"/>
        <v>0</v>
      </c>
      <c r="V65">
        <f t="shared" si="32"/>
        <v>0</v>
      </c>
      <c r="W65">
        <f t="shared" si="33"/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f t="shared" si="16"/>
        <v>1</v>
      </c>
      <c r="AJ65">
        <v>0</v>
      </c>
      <c r="AK65">
        <v>0</v>
      </c>
      <c r="AL65">
        <v>0</v>
      </c>
      <c r="AW65" s="8">
        <f t="shared" si="34"/>
        <v>26.537945176408542</v>
      </c>
      <c r="AX65" s="8">
        <f t="shared" si="35"/>
        <v>55.013204923746891</v>
      </c>
      <c r="AY65" s="8">
        <f t="shared" si="36"/>
        <v>17.013250821704521</v>
      </c>
      <c r="AZ65" s="8">
        <f t="shared" si="37"/>
        <v>1.6363428768493931</v>
      </c>
      <c r="BA65" s="8">
        <f t="shared" si="17"/>
        <v>100.20074379870935</v>
      </c>
      <c r="BD65" s="3">
        <f t="array" ref="BD65">MIN(100,MAX(0,L65-AJ65*5+AQ$16*(AP$27*T65+SUMPRODUCT($X65:$AH65,TRANSPOSE(AP$28:AP$38)))+AR$16*(AP$39*T65+SUMPRODUCT($X65:$AH65,TRANSPOSE(AP$40:AP$50)))+AS$16*(AP$51*T65+SUMPRODUCT($X65:$AH65,TRANSPOSE(AP$52:AP$62)))))</f>
        <v>26.537945176408542</v>
      </c>
      <c r="BE65" s="3">
        <f t="array" ref="BE65">MIN(100,MAX(0,M65-AK65*5+AP$17*(AQ$27*U65+SUMPRODUCT($X65:$AH65,TRANSPOSE(AQ$28:AQ$38)))+AR$17*(AQ$39*U65+SUMPRODUCT($X65:$AH65,TRANSPOSE(AQ$40:AQ$50)))+AS$17*(AQ$51*U65+SUMPRODUCT($X65:$AH65,TRANSPOSE(AQ$52:AQ$62)))))</f>
        <v>55.013204923746891</v>
      </c>
      <c r="BF65" s="3">
        <f t="array" ref="BF65">MIN(100,MAX(0,N65-AL65*5+AP$18*(AR$27*V65+SUMPRODUCT($X65:$AH65,TRANSPOSE(AR$28:AR$38)))+AQ$18*(AR$39*V65+SUMPRODUCT($X65:$AH65,TRANSPOSE(AR$40:AR$50)))+AS$18*(AR$51*V65+SUMPRODUCT($X65:$AH65,TRANSPOSE(AR$52:AR$62)))))</f>
        <v>17.013250821704521</v>
      </c>
      <c r="BG65" s="3">
        <f t="array" ref="BG65">MIN(100,MAX(0,O65+AP$19*(AS$27*W65+SUMPRODUCT($X65:$AH65,TRANSPOSE(AS$28:AS$38)))+AQ$19*(AS$39*W65+SUMPRODUCT($X65:$AH65,TRANSPOSE(AS$40:AS$50)))+AR$19*(AS$51*W65+SUMPRODUCT($X65:$AH65,TRANSPOSE(AS$52:AS$62)))))</f>
        <v>1.6363428768493931</v>
      </c>
      <c r="BJ65">
        <f t="shared" si="18"/>
        <v>0</v>
      </c>
      <c r="BK65">
        <f t="shared" si="19"/>
        <v>1</v>
      </c>
      <c r="BL65">
        <f t="shared" si="20"/>
        <v>0</v>
      </c>
      <c r="BM65">
        <f t="shared" si="21"/>
        <v>0</v>
      </c>
      <c r="BP65">
        <f t="shared" si="38"/>
        <v>0</v>
      </c>
      <c r="BQ65">
        <f t="shared" si="39"/>
        <v>1</v>
      </c>
      <c r="BR65">
        <f t="shared" si="40"/>
        <v>0</v>
      </c>
      <c r="BS65">
        <f t="shared" si="41"/>
        <v>0</v>
      </c>
    </row>
    <row r="66" spans="1:71">
      <c r="A66" t="s">
        <v>11</v>
      </c>
      <c r="B66" t="s">
        <v>203</v>
      </c>
      <c r="C66" t="s">
        <v>580</v>
      </c>
      <c r="D66">
        <v>35063</v>
      </c>
      <c r="E66">
        <v>352</v>
      </c>
      <c r="F66">
        <v>35</v>
      </c>
      <c r="G66">
        <v>21324</v>
      </c>
      <c r="H66">
        <v>16179</v>
      </c>
      <c r="I66">
        <v>7033</v>
      </c>
      <c r="J66">
        <v>1691</v>
      </c>
      <c r="K66">
        <v>46236</v>
      </c>
      <c r="L66" s="3">
        <f t="shared" ref="L66:L97" si="53">G66/$K66*100</f>
        <v>46.119906566311961</v>
      </c>
      <c r="M66" s="3">
        <f t="shared" ref="M66:M97" si="54">H66/$K66*100</f>
        <v>34.992213859330391</v>
      </c>
      <c r="N66" s="3">
        <f t="shared" ref="N66:N97" si="55">I66/$K66*100</f>
        <v>15.211090924820486</v>
      </c>
      <c r="O66" s="3">
        <f t="shared" ref="O66:O97" si="56">J66/$K66*100</f>
        <v>3.6573232978631367</v>
      </c>
      <c r="P66">
        <v>44.4</v>
      </c>
      <c r="Q66">
        <v>25.3</v>
      </c>
      <c r="R66">
        <v>25.6</v>
      </c>
      <c r="S66">
        <v>3.8</v>
      </c>
      <c r="T66">
        <f t="shared" ref="T66:T97" si="57">IF(L66=MAX($L66:$O66),1,0)</f>
        <v>1</v>
      </c>
      <c r="U66">
        <f t="shared" ref="U66:U97" si="58">IF(M66=MAX($L66:$O66),1,0)</f>
        <v>0</v>
      </c>
      <c r="V66">
        <f t="shared" ref="V66:V97" si="59">IF(N66=MAX($L66:$O66),1,0)</f>
        <v>0</v>
      </c>
      <c r="W66">
        <f t="shared" ref="W66:W97" si="60">IF(O66=MAX($L66:$O66),1,0)</f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f t="shared" si="16"/>
        <v>1</v>
      </c>
      <c r="AJ66">
        <v>0</v>
      </c>
      <c r="AK66">
        <v>0</v>
      </c>
      <c r="AL66">
        <v>0</v>
      </c>
      <c r="AO66" t="s">
        <v>581</v>
      </c>
      <c r="AP66" t="s">
        <v>582</v>
      </c>
      <c r="AQ66" t="s">
        <v>583</v>
      </c>
      <c r="AR66" t="s">
        <v>480</v>
      </c>
      <c r="AS66" t="s">
        <v>481</v>
      </c>
      <c r="AW66" s="8">
        <f t="shared" ref="AW66:AW112" si="61">(1-BP66*AP$11-(1-BP66)*AP$13)*BD66+BP66*AP$11*(AP$6+AP$6/AP$10*(BD66-AP$6))+(1-BP66)*AP$13*(BD66+(AP$6-AP$12)/(100-AP$12)*(AP$6-BD66))</f>
        <v>35.218930551444878</v>
      </c>
      <c r="AX66" s="8">
        <f t="shared" ref="AX66:AX112" si="62">(1-BQ66*AQ$11-(1-BQ66)*AQ$13)*BE66+BQ66*AQ$11*(AQ$6+AQ$6/AQ$10*(BE66-AQ$6))+(1-BQ66)*AQ$13*(BE66+(AQ$6-AQ$12)/(100-AQ$12)*(AQ$6-BE66))</f>
        <v>53.216185032087736</v>
      </c>
      <c r="AY66" s="8">
        <f t="shared" ref="AY66:AY112" si="63">(1-BR66*AR$11-(1-BR66)*AR$13)*BF66+BR66*AR$11*(AR$6+AR$6/AR$10*(BF66-AR$6))+(1-BR66)*AR$13*(BF66+(AR$6-AR$12)/(100-AR$12)*(AR$6-BF66))</f>
        <v>8.7919174296522407</v>
      </c>
      <c r="AZ66" s="8">
        <f t="shared" ref="AZ66:AZ112" si="64">(1-BS66*AS$11-(1-BS66)*AS$13)*BG66+BS66*AS$11*(AS$6+AS$6/AS$10*(BG66-AS$6))+(1-BS66)*AS$13*(BG66+(AS$6-AS$12)/(100-AS$12)*(AS$6-BG66))</f>
        <v>3.2627104790283106</v>
      </c>
      <c r="BA66" s="8">
        <f t="shared" si="17"/>
        <v>100.48974349221318</v>
      </c>
      <c r="BD66" s="3">
        <f t="array" ref="BD66">MIN(100,MAX(0,L66-AJ66*5+AQ$16*(AP$27*T66+SUMPRODUCT($X66:$AH66,TRANSPOSE(AP$28:AP$38)))+AR$16*(AP$39*T66+SUMPRODUCT($X66:$AH66,TRANSPOSE(AP$40:AP$50)))+AS$16*(AP$51*T66+SUMPRODUCT($X66:$AH66,TRANSPOSE(AP$52:AP$62)))))</f>
        <v>35.218930551444878</v>
      </c>
      <c r="BE66" s="3">
        <f t="array" ref="BE66">MIN(100,MAX(0,M66-AK66*5+AP$17*(AQ$27*U66+SUMPRODUCT($X66:$AH66,TRANSPOSE(AQ$28:AQ$38)))+AR$17*(AQ$39*U66+SUMPRODUCT($X66:$AH66,TRANSPOSE(AQ$40:AQ$50)))+AS$17*(AQ$51*U66+SUMPRODUCT($X66:$AH66,TRANSPOSE(AQ$52:AQ$62)))))</f>
        <v>53.216185032087736</v>
      </c>
      <c r="BF66" s="3">
        <f t="array" ref="BF66">MIN(100,MAX(0,N66-AL66*5+AP$18*(AR$27*V66+SUMPRODUCT($X66:$AH66,TRANSPOSE(AR$28:AR$38)))+AQ$18*(AR$39*V66+SUMPRODUCT($X66:$AH66,TRANSPOSE(AR$40:AR$50)))+AS$18*(AR$51*V66+SUMPRODUCT($X66:$AH66,TRANSPOSE(AR$52:AR$62)))))</f>
        <v>8.7919174296522407</v>
      </c>
      <c r="BG66" s="3">
        <f t="array" ref="BG66">MIN(100,MAX(0,O66+AP$19*(AS$27*W66+SUMPRODUCT($X66:$AH66,TRANSPOSE(AS$28:AS$38)))+AQ$19*(AS$39*W66+SUMPRODUCT($X66:$AH66,TRANSPOSE(AS$40:AS$50)))+AR$19*(AS$51*W66+SUMPRODUCT($X66:$AH66,TRANSPOSE(AS$52:AS$62)))))</f>
        <v>3.2627104790283106</v>
      </c>
      <c r="BJ66">
        <f t="shared" si="18"/>
        <v>0</v>
      </c>
      <c r="BK66">
        <f t="shared" si="19"/>
        <v>1</v>
      </c>
      <c r="BL66">
        <f t="shared" si="20"/>
        <v>0</v>
      </c>
      <c r="BM66">
        <f t="shared" si="21"/>
        <v>0</v>
      </c>
      <c r="BP66">
        <f t="shared" ref="BP66:BP112" si="65">IF(BD66&gt;AP$6,1,0)</f>
        <v>1</v>
      </c>
      <c r="BQ66">
        <f t="shared" ref="BQ66:BQ112" si="66">IF(BE66&gt;AQ$6,1,0)</f>
        <v>1</v>
      </c>
      <c r="BR66">
        <f t="shared" ref="BR66:BR112" si="67">IF(BF66&gt;AR$6,1,0)</f>
        <v>0</v>
      </c>
      <c r="BS66">
        <f t="shared" ref="BS66:BS112" si="68">IF(BG66&gt;AS$6,1,0)</f>
        <v>0</v>
      </c>
    </row>
    <row r="67" spans="1:71">
      <c r="A67" t="s">
        <v>11</v>
      </c>
      <c r="B67" t="s">
        <v>204</v>
      </c>
      <c r="C67" t="s">
        <v>204</v>
      </c>
      <c r="D67">
        <v>35064</v>
      </c>
      <c r="E67">
        <v>352</v>
      </c>
      <c r="F67">
        <v>35</v>
      </c>
      <c r="G67">
        <v>26087</v>
      </c>
      <c r="H67">
        <v>13863</v>
      </c>
      <c r="I67">
        <v>9117</v>
      </c>
      <c r="J67">
        <v>2062</v>
      </c>
      <c r="K67">
        <v>51128</v>
      </c>
      <c r="L67" s="3">
        <f t="shared" si="53"/>
        <v>51.02292286027226</v>
      </c>
      <c r="M67" s="3">
        <f t="shared" si="54"/>
        <v>27.114301361289311</v>
      </c>
      <c r="N67" s="3">
        <f t="shared" si="55"/>
        <v>17.83171647629479</v>
      </c>
      <c r="O67" s="3">
        <f t="shared" si="56"/>
        <v>4.0330151775934908</v>
      </c>
      <c r="P67">
        <v>44.4</v>
      </c>
      <c r="Q67">
        <v>25.3</v>
      </c>
      <c r="R67">
        <v>25.6</v>
      </c>
      <c r="S67">
        <v>3.8</v>
      </c>
      <c r="T67">
        <f t="shared" si="57"/>
        <v>1</v>
      </c>
      <c r="U67">
        <f t="shared" si="58"/>
        <v>0</v>
      </c>
      <c r="V67">
        <f t="shared" si="59"/>
        <v>0</v>
      </c>
      <c r="W67">
        <f t="shared" si="60"/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f t="shared" ref="AI67:AI122" si="69">AD67+AE67+AF67+AH67+AC67</f>
        <v>0</v>
      </c>
      <c r="AJ67">
        <v>0</v>
      </c>
      <c r="AK67">
        <v>0</v>
      </c>
      <c r="AL67">
        <v>0</v>
      </c>
      <c r="AO67" t="s">
        <v>554</v>
      </c>
      <c r="AP67" s="3">
        <f>SUMPRODUCT($X$2:$X$122,AW$2:AW$122)/SUM($X$2:$X$122)</f>
        <v>26.014028287536014</v>
      </c>
      <c r="AQ67" s="3">
        <f t="shared" ref="AQ67:AS67" si="70">SUMPRODUCT($X$2:$X$122,AX$2:AX$122)/SUM($X$2:$X$122)</f>
        <v>36.579388158810005</v>
      </c>
      <c r="AR67" s="3">
        <f t="shared" si="70"/>
        <v>33.25186598759889</v>
      </c>
      <c r="AS67" s="3">
        <f t="shared" si="70"/>
        <v>3.0938130728542212</v>
      </c>
      <c r="AW67" s="8">
        <f t="shared" si="61"/>
        <v>42.765559314640178</v>
      </c>
      <c r="AX67" s="8">
        <f t="shared" si="62"/>
        <v>46.05558729301049</v>
      </c>
      <c r="AY67" s="8">
        <f t="shared" si="63"/>
        <v>11.920130637230118</v>
      </c>
      <c r="AZ67" s="8">
        <f t="shared" si="64"/>
        <v>3.6617587704096035</v>
      </c>
      <c r="BA67" s="8">
        <f t="shared" ref="BA67:BA122" si="71">SUM(AW67:AZ67)</f>
        <v>104.40303601529038</v>
      </c>
      <c r="BD67" s="3">
        <f t="array" ref="BD67">MIN(100,MAX(0,L67-AJ67*5+AQ$16*(AP$27*T67+SUMPRODUCT($X67:$AH67,TRANSPOSE(AP$28:AP$38)))+AR$16*(AP$39*T67+SUMPRODUCT($X67:$AH67,TRANSPOSE(AP$40:AP$50)))+AS$16*(AP$51*T67+SUMPRODUCT($X67:$AH67,TRANSPOSE(AP$52:AP$62)))))</f>
        <v>42.765559314640178</v>
      </c>
      <c r="BE67" s="43">
        <f t="array" ref="BE67">MIN(100,MAX(0,M67+4-AK67*5+AP$17*(AQ$27*U67+SUMPRODUCT($X67:$AH67,TRANSPOSE(AQ$28:AQ$38)))+AR$17*(AQ$39*U67+SUMPRODUCT($X67:$AH67,TRANSPOSE(AQ$40:AQ$50)))+AS$17*(AQ$51*U67+SUMPRODUCT($X67:$AH67,TRANSPOSE(AQ$52:AQ$62)))))</f>
        <v>46.05558729301049</v>
      </c>
      <c r="BF67" s="3">
        <f t="array" ref="BF67">MIN(100,MAX(0,N67-AL67*5+AP$18*(AR$27*V67+SUMPRODUCT($X67:$AH67,TRANSPOSE(AR$28:AR$38)))+AQ$18*(AR$39*V67+SUMPRODUCT($X67:$AH67,TRANSPOSE(AR$40:AR$50)))+AS$18*(AR$51*V67+SUMPRODUCT($X67:$AH67,TRANSPOSE(AR$52:AR$62)))))</f>
        <v>11.920130637230118</v>
      </c>
      <c r="BG67" s="3">
        <f t="array" ref="BG67">MIN(100,MAX(0,O67+AP$19*(AS$27*W67+SUMPRODUCT($X67:$AH67,TRANSPOSE(AS$28:AS$38)))+AQ$19*(AS$39*W67+SUMPRODUCT($X67:$AH67,TRANSPOSE(AS$40:AS$50)))+AR$19*(AS$51*W67+SUMPRODUCT($X67:$AH67,TRANSPOSE(AS$52:AS$62)))))</f>
        <v>3.6781636487001887</v>
      </c>
      <c r="BJ67">
        <f t="shared" ref="BJ67:BJ122" si="72">IF(AW67=MAX($AW67:$AZ67),1,0)</f>
        <v>0</v>
      </c>
      <c r="BK67">
        <f t="shared" ref="BK67:BK122" si="73">IF(AX67=MAX($AW67:$AZ67),1,0)</f>
        <v>1</v>
      </c>
      <c r="BL67">
        <f t="shared" ref="BL67:BL122" si="74">IF(AY67=MAX($AW67:$AZ67),1,0)</f>
        <v>0</v>
      </c>
      <c r="BM67">
        <f t="shared" ref="BM67:BM122" si="75">IF(AZ67=MAX($AW67:$AZ67),1,0)</f>
        <v>0</v>
      </c>
      <c r="BP67">
        <f t="shared" si="65"/>
        <v>1</v>
      </c>
      <c r="BQ67">
        <f t="shared" si="66"/>
        <v>1</v>
      </c>
      <c r="BR67">
        <f t="shared" si="67"/>
        <v>0</v>
      </c>
      <c r="BS67">
        <f t="shared" si="68"/>
        <v>1</v>
      </c>
    </row>
    <row r="68" spans="1:71">
      <c r="A68" t="s">
        <v>11</v>
      </c>
      <c r="B68" t="s">
        <v>205</v>
      </c>
      <c r="C68" t="s">
        <v>584</v>
      </c>
      <c r="D68">
        <v>35065</v>
      </c>
      <c r="E68">
        <v>352</v>
      </c>
      <c r="F68">
        <v>35</v>
      </c>
      <c r="G68">
        <v>25557</v>
      </c>
      <c r="H68">
        <v>11207</v>
      </c>
      <c r="I68">
        <v>7467</v>
      </c>
      <c r="J68">
        <v>2072</v>
      </c>
      <c r="K68">
        <v>47280</v>
      </c>
      <c r="L68" s="3">
        <f t="shared" si="53"/>
        <v>54.054568527918775</v>
      </c>
      <c r="M68" s="3">
        <f t="shared" si="54"/>
        <v>23.703468697123519</v>
      </c>
      <c r="N68" s="3">
        <f t="shared" si="55"/>
        <v>15.793147208121827</v>
      </c>
      <c r="O68" s="3">
        <f t="shared" si="56"/>
        <v>4.3824027072758041</v>
      </c>
      <c r="P68">
        <v>44.4</v>
      </c>
      <c r="Q68">
        <v>25.3</v>
      </c>
      <c r="R68">
        <v>25.6</v>
      </c>
      <c r="S68">
        <v>3.8</v>
      </c>
      <c r="T68">
        <f t="shared" si="57"/>
        <v>1</v>
      </c>
      <c r="U68">
        <f t="shared" si="58"/>
        <v>0</v>
      </c>
      <c r="V68">
        <f t="shared" si="59"/>
        <v>0</v>
      </c>
      <c r="W68">
        <f t="shared" si="60"/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f t="shared" si="69"/>
        <v>1</v>
      </c>
      <c r="AJ68">
        <v>0</v>
      </c>
      <c r="AK68">
        <v>0</v>
      </c>
      <c r="AL68">
        <v>0</v>
      </c>
      <c r="AO68" t="s">
        <v>527</v>
      </c>
      <c r="AP68" s="3">
        <f>SUMPRODUCT($Y$2:$Y$122,AW$2:AW$122)/SUM($Y$2:$Y$122)</f>
        <v>33.195530862198616</v>
      </c>
      <c r="AQ68" s="3">
        <f t="shared" ref="AQ68:AS68" si="76">SUMPRODUCT($Y$2:$Y$122,AX$2:AX$122)/SUM($Y$2:$Y$122)</f>
        <v>46.479387358138943</v>
      </c>
      <c r="AR68" s="3">
        <f t="shared" si="76"/>
        <v>16.267516549185522</v>
      </c>
      <c r="AS68" s="3">
        <f t="shared" si="76"/>
        <v>3.7026715460641264</v>
      </c>
      <c r="AW68" s="8">
        <f t="shared" si="61"/>
        <v>42.687117895458684</v>
      </c>
      <c r="AX68" s="8">
        <f t="shared" si="62"/>
        <v>43.137197069303035</v>
      </c>
      <c r="AY68" s="8">
        <f t="shared" si="63"/>
        <v>8.6881770723732377</v>
      </c>
      <c r="AZ68" s="8">
        <f t="shared" si="64"/>
        <v>3.9312553985092844</v>
      </c>
      <c r="BA68" s="8">
        <f t="shared" si="71"/>
        <v>98.443747435644241</v>
      </c>
      <c r="BD68" s="3">
        <f t="array" ref="BD68">MIN(100,MAX(0,L68-AJ68*5+AQ$16*(AP$27*T68+SUMPRODUCT($X68:$AH68,TRANSPOSE(AP$28:AP$38)))+AR$16*(AP$39*T68+SUMPRODUCT($X68:$AH68,TRANSPOSE(AP$40:AP$50)))+AS$16*(AP$51*T68+SUMPRODUCT($X68:$AH68,TRANSPOSE(AP$52:AP$62)))))</f>
        <v>42.687117895458684</v>
      </c>
      <c r="BE68" s="3">
        <f t="array" ref="BE68">MIN(100,MAX(0,M68-AK68*5+AP$17*(AQ$27*U68+SUMPRODUCT($X68:$AH68,TRANSPOSE(AQ$28:AQ$38)))+AR$17*(AQ$39*U68+SUMPRODUCT($X68:$AH68,TRANSPOSE(AQ$40:AQ$50)))+AS$17*(AQ$51*U68+SUMPRODUCT($X68:$AH68,TRANSPOSE(AQ$52:AQ$62)))))</f>
        <v>43.137197069303035</v>
      </c>
      <c r="BF68" s="3">
        <f t="array" ref="BF68">MIN(100,MAX(0,N68-AL68*5+AP$18*(AR$27*V68+SUMPRODUCT($X68:$AH68,TRANSPOSE(AR$28:AR$38)))+AQ$18*(AR$39*V68+SUMPRODUCT($X68:$AH68,TRANSPOSE(AR$40:AR$50)))+AS$18*(AR$51*V68+SUMPRODUCT($X68:$AH68,TRANSPOSE(AR$52:AR$62)))))</f>
        <v>8.6881770723732377</v>
      </c>
      <c r="BG68" s="3">
        <f t="array" ref="BG68">MIN(100,MAX(0,O68+AP$19*(AS$27*W68+SUMPRODUCT($X68:$AH68,TRANSPOSE(AS$28:AS$38)))+AQ$19*(AS$39*W68+SUMPRODUCT($X68:$AH68,TRANSPOSE(AS$40:AS$50)))+AR$19*(AS$51*W68+SUMPRODUCT($X68:$AH68,TRANSPOSE(AS$52:AS$62)))))</f>
        <v>3.9641066271383849</v>
      </c>
      <c r="BJ68">
        <f t="shared" si="72"/>
        <v>0</v>
      </c>
      <c r="BK68">
        <f t="shared" si="73"/>
        <v>1</v>
      </c>
      <c r="BL68">
        <f t="shared" si="74"/>
        <v>0</v>
      </c>
      <c r="BM68">
        <f t="shared" si="75"/>
        <v>0</v>
      </c>
      <c r="BP68">
        <f t="shared" si="65"/>
        <v>1</v>
      </c>
      <c r="BQ68">
        <f t="shared" si="66"/>
        <v>0</v>
      </c>
      <c r="BR68">
        <f t="shared" si="67"/>
        <v>0</v>
      </c>
      <c r="BS68">
        <f t="shared" si="68"/>
        <v>1</v>
      </c>
    </row>
    <row r="69" spans="1:71">
      <c r="A69" t="s">
        <v>11</v>
      </c>
      <c r="B69" t="s">
        <v>206</v>
      </c>
      <c r="C69" t="s">
        <v>206</v>
      </c>
      <c r="D69">
        <v>35066</v>
      </c>
      <c r="E69">
        <v>352</v>
      </c>
      <c r="F69">
        <v>35</v>
      </c>
      <c r="G69">
        <v>18970</v>
      </c>
      <c r="H69">
        <v>6972</v>
      </c>
      <c r="I69">
        <v>20957</v>
      </c>
      <c r="J69">
        <v>1204</v>
      </c>
      <c r="K69">
        <v>48548</v>
      </c>
      <c r="L69" s="3">
        <f t="shared" si="53"/>
        <v>39.074730163961441</v>
      </c>
      <c r="M69" s="3">
        <f t="shared" si="54"/>
        <v>14.361044739227157</v>
      </c>
      <c r="N69" s="3">
        <f t="shared" si="55"/>
        <v>43.167586718299418</v>
      </c>
      <c r="O69" s="3">
        <f t="shared" si="56"/>
        <v>2.4800197742440471</v>
      </c>
      <c r="P69">
        <v>44.4</v>
      </c>
      <c r="Q69">
        <v>25.3</v>
      </c>
      <c r="R69">
        <v>25.6</v>
      </c>
      <c r="S69">
        <v>3.8</v>
      </c>
      <c r="T69">
        <f t="shared" si="57"/>
        <v>0</v>
      </c>
      <c r="U69">
        <f t="shared" si="58"/>
        <v>0</v>
      </c>
      <c r="V69">
        <f t="shared" si="59"/>
        <v>1</v>
      </c>
      <c r="W69">
        <f t="shared" si="60"/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f t="shared" si="69"/>
        <v>0</v>
      </c>
      <c r="AJ69">
        <v>0</v>
      </c>
      <c r="AK69">
        <v>0</v>
      </c>
      <c r="AL69">
        <v>0</v>
      </c>
      <c r="AO69" t="s">
        <v>528</v>
      </c>
      <c r="AP69" s="3">
        <f>SUMPRODUCT($Z$2:$Z$122,AW$2:AW$122)/SUM($Z$2:$Z$122)</f>
        <v>43.701147462371921</v>
      </c>
      <c r="AQ69" s="3">
        <f t="shared" ref="AQ69:AS69" si="77">SUMPRODUCT($Z$2:$Z$122,AX$2:AX$122)/SUM($Z$2:$Z$122)</f>
        <v>36.187845880876345</v>
      </c>
      <c r="AR69" s="3">
        <f t="shared" si="77"/>
        <v>14.498539910622037</v>
      </c>
      <c r="AS69" s="3">
        <f t="shared" si="77"/>
        <v>3.4891564111791578</v>
      </c>
      <c r="AW69" s="8">
        <f t="shared" si="61"/>
        <v>28.750794678034474</v>
      </c>
      <c r="AX69" s="8">
        <f t="shared" si="62"/>
        <v>31.846034592689989</v>
      </c>
      <c r="AY69" s="8">
        <f t="shared" si="63"/>
        <v>35.106759636207443</v>
      </c>
      <c r="AZ69" s="8">
        <f t="shared" si="64"/>
        <v>2.0797734926996969</v>
      </c>
      <c r="BA69" s="8">
        <f t="shared" si="71"/>
        <v>97.783362399631613</v>
      </c>
      <c r="BD69" s="3">
        <f t="array" ref="BD69">MIN(100,MAX(0,L69-AJ69*5+AQ$16*(AP$27*T69+SUMPRODUCT($X69:$AH69,TRANSPOSE(AP$28:AP$38)))+AR$16*(AP$39*T69+SUMPRODUCT($X69:$AH69,TRANSPOSE(AP$40:AP$50)))+AS$16*(AP$51*T69+SUMPRODUCT($X69:$AH69,TRANSPOSE(AP$52:AP$62)))))</f>
        <v>28.750794678034474</v>
      </c>
      <c r="BE69" s="3">
        <f t="array" ref="BE69">MIN(100,MAX(0,M69-AK69*5+AP$17*(AQ$27*U69+SUMPRODUCT($X69:$AH69,TRANSPOSE(AQ$28:AQ$38)))+AR$17*(AQ$39*U69+SUMPRODUCT($X69:$AH69,TRANSPOSE(AQ$40:AQ$50)))+AS$17*(AQ$51*U69+SUMPRODUCT($X69:$AH69,TRANSPOSE(AQ$52:AQ$62)))))</f>
        <v>31.846034592689989</v>
      </c>
      <c r="BF69" s="3">
        <f t="array" ref="BF69">MIN(100,MAX(0,N69-AL69*5+AP$18*(AR$27*V69+SUMPRODUCT($X69:$AH69,TRANSPOSE(AR$28:AR$38)))+AQ$18*(AR$39*V69+SUMPRODUCT($X69:$AH69,TRANSPOSE(AR$40:AR$50)))+AS$18*(AR$51*V69+SUMPRODUCT($X69:$AH69,TRANSPOSE(AR$52:AR$62)))))</f>
        <v>35.106759636207443</v>
      </c>
      <c r="BG69" s="3">
        <f t="array" ref="BG69">MIN(100,MAX(0,O69+AP$19*(AS$27*W69+SUMPRODUCT($X69:$AH69,TRANSPOSE(AS$28:AS$38)))+AQ$19*(AS$39*W69+SUMPRODUCT($X69:$AH69,TRANSPOSE(AS$40:AS$50)))+AR$19*(AS$51*W69+SUMPRODUCT($X69:$AH69,TRANSPOSE(AS$52:AS$62)))))</f>
        <v>2.0797734926996969</v>
      </c>
      <c r="BJ69">
        <f t="shared" si="72"/>
        <v>0</v>
      </c>
      <c r="BK69">
        <f t="shared" si="73"/>
        <v>0</v>
      </c>
      <c r="BL69">
        <f t="shared" si="74"/>
        <v>1</v>
      </c>
      <c r="BM69">
        <f t="shared" si="75"/>
        <v>0</v>
      </c>
      <c r="BP69">
        <f t="shared" si="65"/>
        <v>0</v>
      </c>
      <c r="BQ69">
        <f t="shared" si="66"/>
        <v>0</v>
      </c>
      <c r="BR69">
        <f t="shared" si="67"/>
        <v>1</v>
      </c>
      <c r="BS69">
        <f t="shared" si="68"/>
        <v>0</v>
      </c>
    </row>
    <row r="70" spans="1:71">
      <c r="A70" t="s">
        <v>11</v>
      </c>
      <c r="B70" t="s">
        <v>207</v>
      </c>
      <c r="C70" t="s">
        <v>207</v>
      </c>
      <c r="D70">
        <v>35067</v>
      </c>
      <c r="E70">
        <v>356</v>
      </c>
      <c r="F70">
        <v>35</v>
      </c>
      <c r="G70">
        <v>28748</v>
      </c>
      <c r="H70">
        <v>10206</v>
      </c>
      <c r="I70">
        <v>12681</v>
      </c>
      <c r="J70">
        <v>2086</v>
      </c>
      <c r="K70">
        <v>53980</v>
      </c>
      <c r="L70" s="3">
        <f t="shared" si="53"/>
        <v>53.256761763616154</v>
      </c>
      <c r="M70" s="3">
        <f t="shared" si="54"/>
        <v>18.90700259355317</v>
      </c>
      <c r="N70" s="3">
        <f t="shared" si="55"/>
        <v>23.492034086698776</v>
      </c>
      <c r="O70" s="3">
        <f t="shared" si="56"/>
        <v>3.8643942200815116</v>
      </c>
      <c r="P70">
        <v>44.4</v>
      </c>
      <c r="Q70">
        <v>25.3</v>
      </c>
      <c r="R70">
        <v>25.6</v>
      </c>
      <c r="S70">
        <v>3.8</v>
      </c>
      <c r="T70">
        <f t="shared" si="57"/>
        <v>1</v>
      </c>
      <c r="U70">
        <f t="shared" si="58"/>
        <v>0</v>
      </c>
      <c r="V70">
        <f t="shared" si="59"/>
        <v>0</v>
      </c>
      <c r="W70">
        <f t="shared" si="60"/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f t="shared" si="69"/>
        <v>0</v>
      </c>
      <c r="AJ70">
        <v>0</v>
      </c>
      <c r="AK70">
        <v>0</v>
      </c>
      <c r="AL70">
        <v>0</v>
      </c>
      <c r="AO70" t="s">
        <v>529</v>
      </c>
      <c r="AP70" s="3">
        <f>SUMPRODUCT($AA$2:$AA$122,AW$2:AW$122)/SUM($AA$2:$AA$122)</f>
        <v>44.779289702441218</v>
      </c>
      <c r="AQ70" s="3">
        <f t="shared" ref="AQ70:AS70" si="78">SUMPRODUCT($AA$2:$AA$122,AX$2:AX$122)/SUM($AA$2:$AA$122)</f>
        <v>33.899388469298216</v>
      </c>
      <c r="AR70" s="3">
        <f t="shared" si="78"/>
        <v>12.550874477836963</v>
      </c>
      <c r="AS70" s="3">
        <f t="shared" si="78"/>
        <v>5.8683352144339676</v>
      </c>
      <c r="AW70" s="8">
        <f t="shared" ref="AW70:AW84" si="79">(1-BP70*AP$11-(1-BP70)*AP$13)*BD70+BP70*AP$11*(AP$6+AP$6/AP$10*(BD70-AP$6))+(1-BP70)*AP$13*(BD70+(AP$6-AP$12)/(100-AP$12)*(AP$6-BD70))</f>
        <v>42.932826277689188</v>
      </c>
      <c r="AX70" s="8">
        <f t="shared" ref="AX70:AX84" si="80">(1-BQ70*AQ$11-(1-BQ70)*AQ$13)*BE70+BQ70*AQ$11*(AQ$6+AQ$6/AQ$10*(BE70-AQ$6))+(1-BQ70)*AQ$13*(BE70+(AQ$6-AQ$12)/(100-AQ$12)*(AQ$6-BE70))</f>
        <v>36.391992447016001</v>
      </c>
      <c r="AY70" s="8">
        <f t="shared" ref="AY70:AY84" si="81">(1-BR70*AR$11-(1-BR70)*AR$13)*BF70+BR70*AR$11*(AR$6+AR$6/AR$10*(BF70-AR$6))+(1-BR70)*AR$13*(BF70+(AR$6-AR$12)/(100-AR$12)*(AR$6-BF70))</f>
        <v>17.219786445862638</v>
      </c>
      <c r="AZ70" s="8">
        <f t="shared" ref="AZ70:AZ84" si="82">(1-BS70*AS$11-(1-BS70)*AS$13)*BG70+BS70*AS$11*(AS$6+AS$6/AS$10*(BG70-AS$6))+(1-BS70)*AS$13*(BG70+(AS$6-AS$12)/(100-AS$12)*(AS$6-BG70))</f>
        <v>3.4600524282419438</v>
      </c>
      <c r="BA70" s="8">
        <f t="shared" ref="BA70:BA84" si="83">SUM(AW70:AZ70)</f>
        <v>100.00465759880976</v>
      </c>
      <c r="BD70" s="3">
        <f t="array" ref="BD70">MIN(100,MAX(0,L70-AJ70*5+AQ$16*(AP$27*T70+SUMPRODUCT($X70:$AH70,TRANSPOSE(AP$28:AP$38)))+AR$16*(AP$39*T70+SUMPRODUCT($X70:$AH70,TRANSPOSE(AP$40:AP$50)))+AS$16*(AP$51*T70+SUMPRODUCT($X70:$AH70,TRANSPOSE(AP$52:AP$62)))))</f>
        <v>42.932826277689188</v>
      </c>
      <c r="BE70" s="3">
        <f t="array" ref="BE70">MIN(100,MAX(0,M70-AK70*5+AP$17*(AQ$27*U70+SUMPRODUCT($X70:$AH70,TRANSPOSE(AQ$28:AQ$38)))+AR$17*(AQ$39*U70+SUMPRODUCT($X70:$AH70,TRANSPOSE(AQ$40:AQ$50)))+AS$17*(AQ$51*U70+SUMPRODUCT($X70:$AH70,TRANSPOSE(AQ$52:AQ$62)))))</f>
        <v>36.391992447016001</v>
      </c>
      <c r="BF70" s="3">
        <f t="array" ref="BF70">MIN(100,MAX(0,N70-AL70*5+AP$18*(AR$27*V70+SUMPRODUCT($X70:$AH70,TRANSPOSE(AR$28:AR$38)))+AQ$18*(AR$39*V70+SUMPRODUCT($X70:$AH70,TRANSPOSE(AR$40:AR$50)))+AS$18*(AR$51*V70+SUMPRODUCT($X70:$AH70,TRANSPOSE(AR$52:AR$62)))))</f>
        <v>17.219786445862638</v>
      </c>
      <c r="BG70" s="3">
        <f t="array" ref="BG70">MIN(100,MAX(0,O70+AP$19*(AS$27*W70+SUMPRODUCT($X70:$AH70,TRANSPOSE(AS$28:AS$38)))+AQ$19*(AS$39*W70+SUMPRODUCT($X70:$AH70,TRANSPOSE(AS$40:AS$50)))+AR$19*(AS$51*W70+SUMPRODUCT($X70:$AH70,TRANSPOSE(AS$52:AS$62)))))</f>
        <v>3.4641479385371614</v>
      </c>
      <c r="BJ70">
        <f t="shared" ref="BJ70:BJ84" si="84">IF(AW70=MAX($AW70:$AZ70),1,0)</f>
        <v>1</v>
      </c>
      <c r="BK70">
        <f t="shared" ref="BK70:BK84" si="85">IF(AX70=MAX($AW70:$AZ70),1,0)</f>
        <v>0</v>
      </c>
      <c r="BL70">
        <f t="shared" ref="BL70:BL84" si="86">IF(AY70=MAX($AW70:$AZ70),1,0)</f>
        <v>0</v>
      </c>
      <c r="BM70">
        <f t="shared" ref="BM70:BM84" si="87">IF(AZ70=MAX($AW70:$AZ70),1,0)</f>
        <v>0</v>
      </c>
      <c r="BP70">
        <f t="shared" ref="BP70:BP84" si="88">IF(BD70&gt;AP$6,1,0)</f>
        <v>1</v>
      </c>
      <c r="BQ70">
        <f t="shared" ref="BQ70:BQ84" si="89">IF(BE70&gt;AQ$6,1,0)</f>
        <v>0</v>
      </c>
      <c r="BR70">
        <f t="shared" ref="BR70:BR84" si="90">IF(BF70&gt;AR$6,1,0)</f>
        <v>0</v>
      </c>
      <c r="BS70">
        <f t="shared" ref="BS70:BS84" si="91">IF(BG70&gt;AS$6,1,0)</f>
        <v>1</v>
      </c>
    </row>
    <row r="71" spans="1:71">
      <c r="A71" t="s">
        <v>11</v>
      </c>
      <c r="B71" t="s">
        <v>208</v>
      </c>
      <c r="C71" t="s">
        <v>208</v>
      </c>
      <c r="D71">
        <v>35068</v>
      </c>
      <c r="E71">
        <v>3512</v>
      </c>
      <c r="F71">
        <v>35</v>
      </c>
      <c r="G71">
        <v>25999</v>
      </c>
      <c r="H71">
        <v>6249</v>
      </c>
      <c r="I71">
        <v>8401</v>
      </c>
      <c r="J71">
        <v>1972</v>
      </c>
      <c r="K71">
        <v>43721</v>
      </c>
      <c r="L71" s="3">
        <f t="shared" si="53"/>
        <v>59.465702980261206</v>
      </c>
      <c r="M71" s="3">
        <f t="shared" si="54"/>
        <v>14.292902724091396</v>
      </c>
      <c r="N71" s="3">
        <f t="shared" si="55"/>
        <v>19.215022529219368</v>
      </c>
      <c r="O71" s="3">
        <f t="shared" si="56"/>
        <v>4.5104183344388282</v>
      </c>
      <c r="P71">
        <v>44.4</v>
      </c>
      <c r="Q71">
        <v>25.3</v>
      </c>
      <c r="R71">
        <v>25.6</v>
      </c>
      <c r="S71">
        <v>3.8</v>
      </c>
      <c r="T71">
        <f t="shared" si="57"/>
        <v>1</v>
      </c>
      <c r="U71">
        <f t="shared" si="58"/>
        <v>0</v>
      </c>
      <c r="V71">
        <f t="shared" si="59"/>
        <v>0</v>
      </c>
      <c r="W71">
        <f t="shared" si="60"/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f t="shared" si="69"/>
        <v>0</v>
      </c>
      <c r="AJ71">
        <v>0</v>
      </c>
      <c r="AK71">
        <v>0</v>
      </c>
      <c r="AL71">
        <v>0</v>
      </c>
      <c r="AO71" t="s">
        <v>530</v>
      </c>
      <c r="AP71" s="3">
        <f>SUMPRODUCT($AB$2:$AB$122,AW$2:AW$122)/SUM($AB$2:$AB$122)</f>
        <v>36.174849821042649</v>
      </c>
      <c r="AQ71" s="3">
        <f t="shared" ref="AQ71:AS71" si="92">SUMPRODUCT($AB$2:$AB$122,AX$2:AX$122)/SUM($AB$2:$AB$122)</f>
        <v>34.324309275205593</v>
      </c>
      <c r="AR71" s="3">
        <f t="shared" si="92"/>
        <v>24.993248265823425</v>
      </c>
      <c r="AS71" s="3">
        <f t="shared" si="92"/>
        <v>2.74086740576525</v>
      </c>
      <c r="AW71" s="8">
        <f t="shared" si="79"/>
        <v>49.141767494334239</v>
      </c>
      <c r="AX71" s="8">
        <f t="shared" si="80"/>
        <v>31.777892577554226</v>
      </c>
      <c r="AY71" s="8">
        <f t="shared" si="81"/>
        <v>12.94277488838323</v>
      </c>
      <c r="AZ71" s="8">
        <f t="shared" si="82"/>
        <v>4.0689196976580728</v>
      </c>
      <c r="BA71" s="8">
        <f t="shared" si="83"/>
        <v>97.931354657929774</v>
      </c>
      <c r="BD71" s="3">
        <f t="array" ref="BD71">MIN(100,MAX(0,L71-AJ71*5+AQ$16*(AP$27*T71+SUMPRODUCT($X71:$AH71,TRANSPOSE(AP$28:AP$38)))+AR$16*(AP$39*T71+SUMPRODUCT($X71:$AH71,TRANSPOSE(AP$40:AP$50)))+AS$16*(AP$51*T71+SUMPRODUCT($X71:$AH71,TRANSPOSE(AP$52:AP$62)))))</f>
        <v>49.141767494334239</v>
      </c>
      <c r="BE71" s="3">
        <f t="array" ref="BE71">MIN(100,MAX(0,M71-AK71*5+AP$17*(AQ$27*U71+SUMPRODUCT($X71:$AH71,TRANSPOSE(AQ$28:AQ$38)))+AR$17*(AQ$39*U71+SUMPRODUCT($X71:$AH71,TRANSPOSE(AQ$40:AQ$50)))+AS$17*(AQ$51*U71+SUMPRODUCT($X71:$AH71,TRANSPOSE(AQ$52:AQ$62)))))</f>
        <v>31.777892577554226</v>
      </c>
      <c r="BF71" s="3">
        <f t="array" ref="BF71">MIN(100,MAX(0,N71-AL71*5+AP$18*(AR$27*V71+SUMPRODUCT($X71:$AH71,TRANSPOSE(AR$28:AR$38)))+AQ$18*(AR$39*V71+SUMPRODUCT($X71:$AH71,TRANSPOSE(AR$40:AR$50)))+AS$18*(AR$51*V71+SUMPRODUCT($X71:$AH71,TRANSPOSE(AR$52:AR$62)))))</f>
        <v>12.94277488838323</v>
      </c>
      <c r="BG71" s="3">
        <f t="array" ref="BG71">MIN(100,MAX(0,O71+AP$19*(AS$27*W71+SUMPRODUCT($X71:$AH71,TRANSPOSE(AS$28:AS$38)))+AQ$19*(AS$39*W71+SUMPRODUCT($X71:$AH71,TRANSPOSE(AS$40:AS$50)))+AR$19*(AS$51*W71+SUMPRODUCT($X71:$AH71,TRANSPOSE(AS$52:AS$62)))))</f>
        <v>4.1101720528944785</v>
      </c>
      <c r="BJ71">
        <f t="shared" si="84"/>
        <v>1</v>
      </c>
      <c r="BK71">
        <f t="shared" si="85"/>
        <v>0</v>
      </c>
      <c r="BL71">
        <f t="shared" si="86"/>
        <v>0</v>
      </c>
      <c r="BM71">
        <f t="shared" si="87"/>
        <v>0</v>
      </c>
      <c r="BP71">
        <f t="shared" si="88"/>
        <v>1</v>
      </c>
      <c r="BQ71">
        <f t="shared" si="89"/>
        <v>0</v>
      </c>
      <c r="BR71">
        <f t="shared" si="90"/>
        <v>0</v>
      </c>
      <c r="BS71">
        <f t="shared" si="91"/>
        <v>1</v>
      </c>
    </row>
    <row r="72" spans="1:71">
      <c r="A72" t="s">
        <v>11</v>
      </c>
      <c r="B72" t="s">
        <v>209</v>
      </c>
      <c r="C72" t="s">
        <v>209</v>
      </c>
      <c r="D72">
        <v>35069</v>
      </c>
      <c r="G72">
        <v>12373</v>
      </c>
      <c r="H72">
        <v>6210</v>
      </c>
      <c r="I72">
        <v>24276</v>
      </c>
      <c r="J72">
        <v>1231</v>
      </c>
      <c r="K72">
        <v>44148</v>
      </c>
      <c r="L72" s="3">
        <f t="shared" si="53"/>
        <v>28.026184651626345</v>
      </c>
      <c r="M72" s="3">
        <f t="shared" si="54"/>
        <v>14.066322370209297</v>
      </c>
      <c r="N72" s="3">
        <f t="shared" si="55"/>
        <v>54.987768415330251</v>
      </c>
      <c r="O72" s="3">
        <f t="shared" si="56"/>
        <v>2.7883482830479296</v>
      </c>
      <c r="P72">
        <v>44.4</v>
      </c>
      <c r="Q72">
        <v>25.3</v>
      </c>
      <c r="R72">
        <v>25.6</v>
      </c>
      <c r="S72">
        <v>3.8</v>
      </c>
      <c r="T72">
        <f t="shared" si="57"/>
        <v>0</v>
      </c>
      <c r="U72">
        <f t="shared" si="58"/>
        <v>0</v>
      </c>
      <c r="V72">
        <f t="shared" si="59"/>
        <v>1</v>
      </c>
      <c r="W72">
        <f t="shared" si="60"/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f t="shared" si="69"/>
        <v>0</v>
      </c>
      <c r="AJ72">
        <v>0</v>
      </c>
      <c r="AK72">
        <v>0</v>
      </c>
      <c r="AL72">
        <v>0</v>
      </c>
      <c r="AO72" t="s">
        <v>531</v>
      </c>
      <c r="AP72" s="3">
        <f>SUMPRODUCT($AC$2:$AC$122,AW$2:AW$122)/SUM($AC$2:$AC$122)</f>
        <v>40.32161366206838</v>
      </c>
      <c r="AQ72" s="3">
        <f t="shared" ref="AQ72:AS72" si="93">SUMPRODUCT($AC$2:$AC$122,AX$2:AX$122)/SUM($AC$2:$AC$122)</f>
        <v>42.878058973638467</v>
      </c>
      <c r="AR72" s="3">
        <f t="shared" si="93"/>
        <v>13.031809260285975</v>
      </c>
      <c r="AS72" s="3">
        <f t="shared" si="93"/>
        <v>3.8344484549515285</v>
      </c>
      <c r="AW72" s="8">
        <f t="shared" si="79"/>
        <v>18.320287658689374</v>
      </c>
      <c r="AX72" s="8">
        <f t="shared" si="80"/>
        <v>31.762195443813155</v>
      </c>
      <c r="AY72" s="8">
        <f t="shared" si="81"/>
        <v>46.103214277732675</v>
      </c>
      <c r="AZ72" s="8">
        <f t="shared" si="82"/>
        <v>2.388799780806707</v>
      </c>
      <c r="BA72" s="8">
        <f t="shared" si="83"/>
        <v>98.574497161041919</v>
      </c>
      <c r="BD72" s="3">
        <f t="array" ref="BD72">MIN(100,MAX(0,L72-AJ72*5+AQ$16*(AP$27*T72+SUMPRODUCT($X72:$AH72,TRANSPOSE(AP$28:AP$38)))+AR$16*(AP$39*T72+SUMPRODUCT($X72:$AH72,TRANSPOSE(AP$40:AP$50)))+AS$16*(AP$51*T72+SUMPRODUCT($X72:$AH72,TRANSPOSE(AP$52:AP$62)))))</f>
        <v>18.320287658689374</v>
      </c>
      <c r="BE72" s="3">
        <f t="array" ref="BE72">MIN(100,MAX(0,M72-AK72*5+AP$17*(AQ$27*U72+SUMPRODUCT($X72:$AH72,TRANSPOSE(AQ$28:AQ$38)))+AR$17*(AQ$39*U72+SUMPRODUCT($X72:$AH72,TRANSPOSE(AQ$40:AQ$50)))+AS$17*(AQ$51*U72+SUMPRODUCT($X72:$AH72,TRANSPOSE(AQ$52:AQ$62)))))</f>
        <v>31.762195443813155</v>
      </c>
      <c r="BF72" s="3">
        <f t="array" ref="BF72">MIN(100,MAX(0,N72-AL72*5+AP$18*(AR$27*V72+SUMPRODUCT($X72:$AH72,TRANSPOSE(AR$28:AR$38)))+AQ$18*(AR$39*V72+SUMPRODUCT($X72:$AH72,TRANSPOSE(AR$40:AR$50)))+AS$18*(AR$51*V72+SUMPRODUCT($X72:$AH72,TRANSPOSE(AR$52:AR$62)))))</f>
        <v>46.103214277732675</v>
      </c>
      <c r="BG72" s="3">
        <f t="array" ref="BG72">MIN(100,MAX(0,O72+AP$19*(AS$27*W72+SUMPRODUCT($X72:$AH72,TRANSPOSE(AS$28:AS$38)))+AQ$19*(AS$39*W72+SUMPRODUCT($X72:$AH72,TRANSPOSE(AS$40:AS$50)))+AR$19*(AS$51*W72+SUMPRODUCT($X72:$AH72,TRANSPOSE(AS$52:AS$62)))))</f>
        <v>2.388799780806707</v>
      </c>
      <c r="BJ72">
        <f t="shared" si="84"/>
        <v>0</v>
      </c>
      <c r="BK72">
        <f t="shared" si="85"/>
        <v>0</v>
      </c>
      <c r="BL72">
        <f t="shared" si="86"/>
        <v>1</v>
      </c>
      <c r="BM72">
        <f t="shared" si="87"/>
        <v>0</v>
      </c>
      <c r="BP72">
        <f t="shared" si="88"/>
        <v>0</v>
      </c>
      <c r="BQ72">
        <f t="shared" si="89"/>
        <v>0</v>
      </c>
      <c r="BR72">
        <f t="shared" si="90"/>
        <v>1</v>
      </c>
      <c r="BS72">
        <f t="shared" si="91"/>
        <v>0</v>
      </c>
    </row>
    <row r="73" spans="1:71">
      <c r="A73" t="s">
        <v>11</v>
      </c>
      <c r="B73" t="s">
        <v>210</v>
      </c>
      <c r="C73" t="s">
        <v>585</v>
      </c>
      <c r="D73">
        <v>35070</v>
      </c>
      <c r="G73">
        <v>15369</v>
      </c>
      <c r="H73">
        <v>15405</v>
      </c>
      <c r="I73">
        <v>8919</v>
      </c>
      <c r="J73">
        <v>2520</v>
      </c>
      <c r="K73">
        <v>42212</v>
      </c>
      <c r="L73" s="3">
        <f t="shared" si="53"/>
        <v>36.40907798730219</v>
      </c>
      <c r="M73" s="3">
        <f t="shared" si="54"/>
        <v>36.494361792855109</v>
      </c>
      <c r="N73" s="3">
        <f t="shared" si="55"/>
        <v>21.129062825736757</v>
      </c>
      <c r="O73" s="3">
        <f t="shared" si="56"/>
        <v>5.9698663887046335</v>
      </c>
      <c r="P73">
        <v>44.4</v>
      </c>
      <c r="Q73">
        <v>25.3</v>
      </c>
      <c r="R73">
        <v>25.6</v>
      </c>
      <c r="S73">
        <v>3.8</v>
      </c>
      <c r="T73">
        <f t="shared" si="57"/>
        <v>0</v>
      </c>
      <c r="U73">
        <f t="shared" si="58"/>
        <v>1</v>
      </c>
      <c r="V73">
        <f t="shared" si="59"/>
        <v>0</v>
      </c>
      <c r="W73">
        <f t="shared" si="60"/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f t="shared" si="69"/>
        <v>0</v>
      </c>
      <c r="AJ73">
        <v>0</v>
      </c>
      <c r="AK73">
        <v>0</v>
      </c>
      <c r="AL73">
        <v>0</v>
      </c>
      <c r="AO73" t="s">
        <v>532</v>
      </c>
      <c r="AP73" s="3">
        <f>SUMPRODUCT($AD$2:$AD$122,AW$2:AW$122)/SUM($AD$2:$AD$122)</f>
        <v>36.810720042302272</v>
      </c>
      <c r="AQ73" s="3">
        <f t="shared" ref="AQ73:AS73" si="94">SUMPRODUCT($AD$2:$AD$122,AX$2:AX$122)/SUM($AD$2:$AD$122)</f>
        <v>48.351331596063488</v>
      </c>
      <c r="AR73" s="3">
        <f t="shared" si="94"/>
        <v>11.905643557708524</v>
      </c>
      <c r="AS73" s="3">
        <f t="shared" si="94"/>
        <v>2.7914883857515607</v>
      </c>
      <c r="AW73" s="8">
        <f t="shared" si="79"/>
        <v>26.703180994365219</v>
      </c>
      <c r="AX73" s="8">
        <f t="shared" si="80"/>
        <v>52.776226818561454</v>
      </c>
      <c r="AY73" s="8">
        <f t="shared" si="81"/>
        <v>14.033088129395018</v>
      </c>
      <c r="AZ73" s="8">
        <f t="shared" si="82"/>
        <v>5.4450835077642799</v>
      </c>
      <c r="BA73" s="8">
        <f t="shared" si="83"/>
        <v>98.957579450085973</v>
      </c>
      <c r="BD73" s="3">
        <f t="array" ref="BD73">MIN(100,MAX(0,L73-AJ73*5+AQ$16*(AP$27*T73+SUMPRODUCT($X73:$AH73,TRANSPOSE(AP$28:AP$38)))+AR$16*(AP$39*T73+SUMPRODUCT($X73:$AH73,TRANSPOSE(AP$40:AP$50)))+AS$16*(AP$51*T73+SUMPRODUCT($X73:$AH73,TRANSPOSE(AP$52:AP$62)))))</f>
        <v>26.703180994365219</v>
      </c>
      <c r="BE73" s="3">
        <f t="array" ref="BE73">MIN(100,MAX(0,M73-AK73*5+AP$17*(AQ$27*U73+SUMPRODUCT($X73:$AH73,TRANSPOSE(AQ$28:AQ$38)))+AR$17*(AQ$39*U73+SUMPRODUCT($X73:$AH73,TRANSPOSE(AQ$40:AQ$50)))+AS$17*(AQ$51*U73+SUMPRODUCT($X73:$AH73,TRANSPOSE(AQ$52:AQ$62)))))</f>
        <v>52.776226818561454</v>
      </c>
      <c r="BF73" s="3">
        <f t="array" ref="BF73">MIN(100,MAX(0,N73-AL73*5+AP$18*(AR$27*V73+SUMPRODUCT($X73:$AH73,TRANSPOSE(AR$28:AR$38)))+AQ$18*(AR$39*V73+SUMPRODUCT($X73:$AH73,TRANSPOSE(AR$40:AR$50)))+AS$18*(AR$51*V73+SUMPRODUCT($X73:$AH73,TRANSPOSE(AR$52:AR$62)))))</f>
        <v>14.033088129395018</v>
      </c>
      <c r="BG73" s="3">
        <f t="array" ref="BG73">MIN(100,MAX(0,O73+AP$19*(AS$27*W73+SUMPRODUCT($X73:$AH73,TRANSPOSE(AS$28:AS$38)))+AQ$19*(AS$39*W73+SUMPRODUCT($X73:$AH73,TRANSPOSE(AS$40:AS$50)))+AR$19*(AS$51*W73+SUMPRODUCT($X73:$AH73,TRANSPOSE(AS$52:AS$62)))))</f>
        <v>5.5703178864634104</v>
      </c>
      <c r="BJ73">
        <f t="shared" si="84"/>
        <v>0</v>
      </c>
      <c r="BK73">
        <f t="shared" si="85"/>
        <v>1</v>
      </c>
      <c r="BL73">
        <f t="shared" si="86"/>
        <v>0</v>
      </c>
      <c r="BM73">
        <f t="shared" si="87"/>
        <v>0</v>
      </c>
      <c r="BP73">
        <f t="shared" si="88"/>
        <v>0</v>
      </c>
      <c r="BQ73">
        <f t="shared" si="89"/>
        <v>1</v>
      </c>
      <c r="BR73">
        <f t="shared" si="90"/>
        <v>0</v>
      </c>
      <c r="BS73">
        <f t="shared" si="91"/>
        <v>1</v>
      </c>
    </row>
    <row r="74" spans="1:71">
      <c r="A74" t="s">
        <v>11</v>
      </c>
      <c r="B74" t="s">
        <v>211</v>
      </c>
      <c r="C74" t="s">
        <v>586</v>
      </c>
      <c r="D74">
        <v>35071</v>
      </c>
      <c r="G74">
        <v>29377</v>
      </c>
      <c r="H74">
        <v>11611</v>
      </c>
      <c r="I74">
        <v>11331</v>
      </c>
      <c r="J74">
        <v>2576</v>
      </c>
      <c r="K74">
        <v>55049</v>
      </c>
      <c r="L74" s="3">
        <f t="shared" si="53"/>
        <v>53.365183745390468</v>
      </c>
      <c r="M74" s="3">
        <f t="shared" si="54"/>
        <v>21.092117931297572</v>
      </c>
      <c r="N74" s="3">
        <f t="shared" si="55"/>
        <v>20.583480172210216</v>
      </c>
      <c r="O74" s="3">
        <f t="shared" si="56"/>
        <v>4.6794673836036988</v>
      </c>
      <c r="P74">
        <v>44.4</v>
      </c>
      <c r="Q74">
        <v>25.3</v>
      </c>
      <c r="R74">
        <v>25.6</v>
      </c>
      <c r="S74">
        <v>3.8</v>
      </c>
      <c r="T74" s="54">
        <v>0</v>
      </c>
      <c r="U74">
        <f t="shared" si="58"/>
        <v>0</v>
      </c>
      <c r="V74">
        <f t="shared" si="59"/>
        <v>0</v>
      </c>
      <c r="W74">
        <f t="shared" si="60"/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f t="shared" si="69"/>
        <v>0</v>
      </c>
      <c r="AJ74">
        <v>1</v>
      </c>
      <c r="AK74">
        <v>0</v>
      </c>
      <c r="AL74">
        <v>0</v>
      </c>
      <c r="AO74" t="s">
        <v>533</v>
      </c>
      <c r="AP74" s="3">
        <f>SUMPRODUCT($AE$2:$AE$122,AW$2:AW$122)/SUM($AE$2:$AE$122)</f>
        <v>36.123278523925521</v>
      </c>
      <c r="AQ74" s="3">
        <f t="shared" ref="AQ74:AS74" si="95">SUMPRODUCT($AE$2:$AE$122,AX$2:AX$122)/SUM($AE$2:$AE$122)</f>
        <v>50.526347873378491</v>
      </c>
      <c r="AR74" s="3">
        <f t="shared" si="95"/>
        <v>11.19999318019099</v>
      </c>
      <c r="AS74" s="3">
        <f t="shared" si="95"/>
        <v>2.2385348571063082</v>
      </c>
      <c r="AW74" s="8">
        <f t="shared" si="79"/>
        <v>39.558428385740839</v>
      </c>
      <c r="AX74" s="8">
        <f t="shared" si="80"/>
        <v>36.549448555799813</v>
      </c>
      <c r="AY74" s="8">
        <f t="shared" si="81"/>
        <v>14.747666151682985</v>
      </c>
      <c r="AZ74" s="8">
        <f t="shared" si="82"/>
        <v>4.2446347522937709</v>
      </c>
      <c r="BA74" s="8">
        <f t="shared" si="83"/>
        <v>95.100177845517422</v>
      </c>
      <c r="BD74" s="3">
        <f t="array" ref="BD74">MIN(100,MAX(0,L74-AJ74*5+AQ$16*(AP$27*T74+SUMPRODUCT($X74:$AH74,TRANSPOSE(AP$28:AP$38)))+AR$16*(AP$39*T74+SUMPRODUCT($X74:$AH74,TRANSPOSE(AP$40:AP$50)))+AS$16*(AP$51*T74+SUMPRODUCT($X74:$AH74,TRANSPOSE(AP$52:AP$62)))))</f>
        <v>39.558428385740839</v>
      </c>
      <c r="BE74" s="3">
        <f t="array" ref="BE74">MIN(100,MAX(0,M74-AK74*5+AP$17*(AQ$27*U74+SUMPRODUCT($X74:$AH74,TRANSPOSE(AQ$28:AQ$38)))+AR$17*(AQ$39*U74+SUMPRODUCT($X74:$AH74,TRANSPOSE(AQ$40:AQ$50)))+AS$17*(AQ$51*U74+SUMPRODUCT($X74:$AH74,TRANSPOSE(AQ$52:AQ$62)))))</f>
        <v>36.549448555799813</v>
      </c>
      <c r="BF74" s="3">
        <f t="array" ref="BF74">MIN(100,MAX(0,N74-AL74*5+AP$18*(AR$27*V74+SUMPRODUCT($X74:$AH74,TRANSPOSE(AR$28:AR$38)))+AQ$18*(AR$39*V74+SUMPRODUCT($X74:$AH74,TRANSPOSE(AR$40:AR$50)))+AS$18*(AR$51*V74+SUMPRODUCT($X74:$AH74,TRANSPOSE(AR$52:AR$62)))))</f>
        <v>14.747666151682985</v>
      </c>
      <c r="BG74" s="3">
        <f t="array" ref="BG74">MIN(100,MAX(0,O74+AP$19*(AS$27*W74+SUMPRODUCT($X74:$AH74,TRANSPOSE(AS$28:AS$38)))+AQ$19*(AS$39*W74+SUMPRODUCT($X74:$AH74,TRANSPOSE(AS$40:AS$50)))+AR$19*(AS$51*W74+SUMPRODUCT($X74:$AH74,TRANSPOSE(AS$52:AS$62)))))</f>
        <v>4.2966103264760589</v>
      </c>
      <c r="BJ74">
        <f t="shared" si="84"/>
        <v>1</v>
      </c>
      <c r="BK74">
        <f t="shared" si="85"/>
        <v>0</v>
      </c>
      <c r="BL74">
        <f t="shared" si="86"/>
        <v>0</v>
      </c>
      <c r="BM74">
        <f t="shared" si="87"/>
        <v>0</v>
      </c>
      <c r="BP74">
        <f t="shared" si="88"/>
        <v>1</v>
      </c>
      <c r="BQ74">
        <f t="shared" si="89"/>
        <v>0</v>
      </c>
      <c r="BR74">
        <f t="shared" si="90"/>
        <v>0</v>
      </c>
      <c r="BS74">
        <f t="shared" si="91"/>
        <v>1</v>
      </c>
    </row>
    <row r="75" spans="1:71">
      <c r="A75" t="s">
        <v>11</v>
      </c>
      <c r="B75" t="s">
        <v>212</v>
      </c>
      <c r="C75" t="s">
        <v>212</v>
      </c>
      <c r="D75">
        <v>35072</v>
      </c>
      <c r="G75">
        <v>30068</v>
      </c>
      <c r="H75">
        <v>17890</v>
      </c>
      <c r="I75">
        <v>8117</v>
      </c>
      <c r="J75">
        <v>2140</v>
      </c>
      <c r="K75">
        <v>58215</v>
      </c>
      <c r="L75" s="3">
        <f t="shared" si="53"/>
        <v>51.649918405909133</v>
      </c>
      <c r="M75" s="3">
        <f t="shared" si="54"/>
        <v>30.730911277162242</v>
      </c>
      <c r="N75" s="3">
        <f t="shared" si="55"/>
        <v>13.943141801941081</v>
      </c>
      <c r="O75" s="3">
        <f t="shared" si="56"/>
        <v>3.6760285149875465</v>
      </c>
      <c r="P75">
        <v>44.4</v>
      </c>
      <c r="Q75">
        <v>25.3</v>
      </c>
      <c r="R75">
        <v>25.6</v>
      </c>
      <c r="S75">
        <v>3.8</v>
      </c>
      <c r="T75">
        <f t="shared" si="57"/>
        <v>1</v>
      </c>
      <c r="U75">
        <f t="shared" si="58"/>
        <v>0</v>
      </c>
      <c r="V75">
        <f t="shared" si="59"/>
        <v>0</v>
      </c>
      <c r="W75">
        <f t="shared" si="60"/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f t="shared" si="69"/>
        <v>1</v>
      </c>
      <c r="AJ75">
        <v>0</v>
      </c>
      <c r="AK75">
        <v>0</v>
      </c>
      <c r="AL75">
        <v>0</v>
      </c>
      <c r="AO75" t="s">
        <v>534</v>
      </c>
      <c r="AP75" s="3">
        <f>SUMPRODUCT($AF$2:$AF$122,AW$2:AW$122)/SUM($AF$2:$AF$122)</f>
        <v>21.558580326472573</v>
      </c>
      <c r="AQ75" s="3">
        <f t="shared" ref="AQ75:AS75" si="96">SUMPRODUCT($AF$2:$AF$122,AX$2:AX$122)/SUM($AF$2:$AF$122)</f>
        <v>54.466547295739169</v>
      </c>
      <c r="AR75" s="3">
        <f t="shared" si="96"/>
        <v>20.473947828922853</v>
      </c>
      <c r="AS75" s="3">
        <f t="shared" si="96"/>
        <v>2.4309025733087446</v>
      </c>
      <c r="AW75" s="8">
        <f t="shared" si="79"/>
        <v>41.819073761591305</v>
      </c>
      <c r="AX75" s="8">
        <f t="shared" si="80"/>
        <v>47.635211362144958</v>
      </c>
      <c r="AY75" s="8">
        <f t="shared" si="81"/>
        <v>7.764994686263095</v>
      </c>
      <c r="AZ75" s="8">
        <f t="shared" si="82"/>
        <v>3.2530551723926222</v>
      </c>
      <c r="BA75" s="8">
        <f t="shared" si="83"/>
        <v>100.47233498239198</v>
      </c>
      <c r="BD75" s="3">
        <f t="array" ref="BD75">MIN(100,MAX(0,L75-AJ75*5+AQ$16*(AP$27*T75+SUMPRODUCT($X75:$AH75,TRANSPOSE(AP$28:AP$38)))+AR$16*(AP$39*T75+SUMPRODUCT($X75:$AH75,TRANSPOSE(AP$40:AP$50)))+AS$16*(AP$51*T75+SUMPRODUCT($X75:$AH75,TRANSPOSE(AP$52:AP$62)))))</f>
        <v>41.819073761591305</v>
      </c>
      <c r="BE75" s="3">
        <f t="array" ref="BE75">MIN(100,MAX(0,M75-AK75*5+AP$17*(AQ$27*U75+SUMPRODUCT($X75:$AH75,TRANSPOSE(AQ$28:AQ$38)))+AR$17*(AQ$39*U75+SUMPRODUCT($X75:$AH75,TRANSPOSE(AQ$40:AQ$50)))+AS$17*(AQ$51*U75+SUMPRODUCT($X75:$AH75,TRANSPOSE(AQ$52:AQ$62)))))</f>
        <v>47.635211362144958</v>
      </c>
      <c r="BF75" s="3">
        <f t="array" ref="BF75">MIN(100,MAX(0,N75-AL75*5+AP$18*(AR$27*V75+SUMPRODUCT($X75:$AH75,TRANSPOSE(AR$28:AR$38)))+AQ$18*(AR$39*V75+SUMPRODUCT($X75:$AH75,TRANSPOSE(AR$40:AR$50)))+AS$18*(AR$51*V75+SUMPRODUCT($X75:$AH75,TRANSPOSE(AR$52:AR$62)))))</f>
        <v>7.764994686263095</v>
      </c>
      <c r="BG75" s="3">
        <f t="array" ref="BG75">MIN(100,MAX(0,O75+AP$19*(AS$27*W75+SUMPRODUCT($X75:$AH75,TRANSPOSE(AS$28:AS$38)))+AQ$19*(AS$39*W75+SUMPRODUCT($X75:$AH75,TRANSPOSE(AS$40:AS$50)))+AR$19*(AS$51*W75+SUMPRODUCT($X75:$AH75,TRANSPOSE(AS$52:AS$62)))))</f>
        <v>3.2530551723926222</v>
      </c>
      <c r="BJ75">
        <f t="shared" si="84"/>
        <v>0</v>
      </c>
      <c r="BK75">
        <f t="shared" si="85"/>
        <v>1</v>
      </c>
      <c r="BL75">
        <f t="shared" si="86"/>
        <v>0</v>
      </c>
      <c r="BM75">
        <f t="shared" si="87"/>
        <v>0</v>
      </c>
      <c r="BP75">
        <f t="shared" si="88"/>
        <v>1</v>
      </c>
      <c r="BQ75">
        <f t="shared" si="89"/>
        <v>1</v>
      </c>
      <c r="BR75">
        <f t="shared" si="90"/>
        <v>0</v>
      </c>
      <c r="BS75">
        <f t="shared" si="91"/>
        <v>0</v>
      </c>
    </row>
    <row r="76" spans="1:71">
      <c r="A76" t="s">
        <v>11</v>
      </c>
      <c r="B76" t="s">
        <v>213</v>
      </c>
      <c r="C76" t="s">
        <v>587</v>
      </c>
      <c r="D76">
        <v>35073</v>
      </c>
      <c r="G76">
        <v>25368</v>
      </c>
      <c r="H76">
        <v>12633</v>
      </c>
      <c r="I76">
        <v>7263</v>
      </c>
      <c r="J76">
        <v>1452</v>
      </c>
      <c r="K76">
        <v>46839</v>
      </c>
      <c r="L76" s="3">
        <f t="shared" si="53"/>
        <v>54.159994876064822</v>
      </c>
      <c r="M76" s="3">
        <f t="shared" si="54"/>
        <v>26.971113815410234</v>
      </c>
      <c r="N76" s="3">
        <f t="shared" si="55"/>
        <v>15.506308845193109</v>
      </c>
      <c r="O76" s="3">
        <f t="shared" si="56"/>
        <v>3.099980785243067</v>
      </c>
      <c r="P76">
        <v>44.4</v>
      </c>
      <c r="Q76">
        <v>25.3</v>
      </c>
      <c r="R76">
        <v>25.6</v>
      </c>
      <c r="S76">
        <v>3.8</v>
      </c>
      <c r="T76">
        <f t="shared" si="57"/>
        <v>1</v>
      </c>
      <c r="U76">
        <f t="shared" si="58"/>
        <v>0</v>
      </c>
      <c r="V76">
        <f t="shared" si="59"/>
        <v>0</v>
      </c>
      <c r="W76">
        <f t="shared" si="60"/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f t="shared" si="69"/>
        <v>1</v>
      </c>
      <c r="AJ76">
        <v>0</v>
      </c>
      <c r="AK76">
        <v>0</v>
      </c>
      <c r="AL76">
        <v>0</v>
      </c>
      <c r="AO76" t="s">
        <v>535</v>
      </c>
      <c r="AP76" s="3">
        <f>SUMPRODUCT($AG$2:$AG$122,AW$2:AW$122)/SUM($AG$2:$AG$122)</f>
        <v>33.509501072975986</v>
      </c>
      <c r="AQ76" s="3">
        <f t="shared" ref="AQ76:AS76" si="97">SUMPRODUCT($AG$2:$AG$122,AX$2:AX$122)/SUM($AG$2:$AG$122)</f>
        <v>35.11379123795799</v>
      </c>
      <c r="AR76" s="3">
        <f t="shared" si="97"/>
        <v>26.56142774770704</v>
      </c>
      <c r="AS76" s="3">
        <f t="shared" si="97"/>
        <v>2.7884373230581563</v>
      </c>
      <c r="AW76" s="8">
        <f t="shared" si="79"/>
        <v>44.329150231746993</v>
      </c>
      <c r="AX76" s="8">
        <f t="shared" si="80"/>
        <v>43.87541390039295</v>
      </c>
      <c r="AY76" s="8">
        <f t="shared" si="81"/>
        <v>9.3281617295151236</v>
      </c>
      <c r="AZ76" s="8">
        <f t="shared" si="82"/>
        <v>2.6770074426481427</v>
      </c>
      <c r="BA76" s="8">
        <f t="shared" si="83"/>
        <v>100.20973330430323</v>
      </c>
      <c r="BD76" s="3">
        <f t="array" ref="BD76">MIN(100,MAX(0,L76-AJ76*5+AQ$16*(AP$27*T76+SUMPRODUCT($X76:$AH76,TRANSPOSE(AP$28:AP$38)))+AR$16*(AP$39*T76+SUMPRODUCT($X76:$AH76,TRANSPOSE(AP$40:AP$50)))+AS$16*(AP$51*T76+SUMPRODUCT($X76:$AH76,TRANSPOSE(AP$52:AP$62)))))</f>
        <v>44.329150231746993</v>
      </c>
      <c r="BE76" s="3">
        <f t="array" ref="BE76">MIN(100,MAX(0,M76-AK76*5+AP$17*(AQ$27*U76+SUMPRODUCT($X76:$AH76,TRANSPOSE(AQ$28:AQ$38)))+AR$17*(AQ$39*U76+SUMPRODUCT($X76:$AH76,TRANSPOSE(AQ$40:AQ$50)))+AS$17*(AQ$51*U76+SUMPRODUCT($X76:$AH76,TRANSPOSE(AQ$52:AQ$62)))))</f>
        <v>43.87541390039295</v>
      </c>
      <c r="BF76" s="3">
        <f t="array" ref="BF76">MIN(100,MAX(0,N76-AL76*5+AP$18*(AR$27*V76+SUMPRODUCT($X76:$AH76,TRANSPOSE(AR$28:AR$38)))+AQ$18*(AR$39*V76+SUMPRODUCT($X76:$AH76,TRANSPOSE(AR$40:AR$50)))+AS$18*(AR$51*V76+SUMPRODUCT($X76:$AH76,TRANSPOSE(AR$52:AR$62)))))</f>
        <v>9.3281617295151236</v>
      </c>
      <c r="BG76" s="3">
        <f t="array" ref="BG76">MIN(100,MAX(0,O76+AP$19*(AS$27*W76+SUMPRODUCT($X76:$AH76,TRANSPOSE(AS$28:AS$38)))+AQ$19*(AS$39*W76+SUMPRODUCT($X76:$AH76,TRANSPOSE(AS$40:AS$50)))+AR$19*(AS$51*W76+SUMPRODUCT($X76:$AH76,TRANSPOSE(AS$52:AS$62)))))</f>
        <v>2.6770074426481427</v>
      </c>
      <c r="BJ76">
        <f t="shared" si="84"/>
        <v>1</v>
      </c>
      <c r="BK76">
        <f t="shared" si="85"/>
        <v>0</v>
      </c>
      <c r="BL76">
        <f t="shared" si="86"/>
        <v>0</v>
      </c>
      <c r="BM76">
        <f t="shared" si="87"/>
        <v>0</v>
      </c>
      <c r="BP76">
        <f t="shared" si="88"/>
        <v>1</v>
      </c>
      <c r="BQ76">
        <f t="shared" si="89"/>
        <v>1</v>
      </c>
      <c r="BR76">
        <f t="shared" si="90"/>
        <v>0</v>
      </c>
      <c r="BS76">
        <f t="shared" si="91"/>
        <v>0</v>
      </c>
    </row>
    <row r="77" spans="1:71">
      <c r="A77" t="s">
        <v>11</v>
      </c>
      <c r="B77" t="s">
        <v>214</v>
      </c>
      <c r="C77" t="s">
        <v>588</v>
      </c>
      <c r="D77">
        <v>35076</v>
      </c>
      <c r="G77">
        <v>28916</v>
      </c>
      <c r="H77">
        <v>24307</v>
      </c>
      <c r="I77">
        <v>8945</v>
      </c>
      <c r="J77">
        <v>1830</v>
      </c>
      <c r="K77">
        <v>64006</v>
      </c>
      <c r="L77" s="3">
        <f t="shared" si="53"/>
        <v>45.17701465487611</v>
      </c>
      <c r="M77" s="3">
        <f t="shared" si="54"/>
        <v>37.976127238071435</v>
      </c>
      <c r="N77" s="3">
        <f t="shared" si="55"/>
        <v>13.975252320094992</v>
      </c>
      <c r="O77" s="3">
        <f t="shared" si="56"/>
        <v>2.8591069587226197</v>
      </c>
      <c r="P77">
        <v>44.4</v>
      </c>
      <c r="Q77">
        <v>25.3</v>
      </c>
      <c r="R77">
        <v>25.6</v>
      </c>
      <c r="S77">
        <v>3.8</v>
      </c>
      <c r="T77">
        <f t="shared" si="57"/>
        <v>1</v>
      </c>
      <c r="U77">
        <f t="shared" si="58"/>
        <v>0</v>
      </c>
      <c r="V77">
        <f t="shared" si="59"/>
        <v>0</v>
      </c>
      <c r="W77">
        <f t="shared" si="60"/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f t="shared" si="69"/>
        <v>0</v>
      </c>
      <c r="AJ77">
        <v>0</v>
      </c>
      <c r="AK77">
        <v>0</v>
      </c>
      <c r="AL77">
        <v>0</v>
      </c>
      <c r="AO77" t="s">
        <v>536</v>
      </c>
      <c r="AP77" s="3">
        <f>SUMPRODUCT($AH$2:$AH$122,AW$2:AW$122)/SUM($AH$2:$AH$122)</f>
        <v>20.455030785287295</v>
      </c>
      <c r="AQ77" s="3">
        <f t="shared" ref="AQ77:AS77" si="98">SUMPRODUCT($AH$2:$AH$122,AX$2:AX$122)/SUM($AH$2:$AH$122)</f>
        <v>52.595565958891484</v>
      </c>
      <c r="AR77" s="3">
        <f t="shared" si="98"/>
        <v>22.842373745102265</v>
      </c>
      <c r="AS77" s="3">
        <f t="shared" si="98"/>
        <v>2.6615991585377428</v>
      </c>
      <c r="AW77" s="8">
        <f t="shared" si="79"/>
        <v>36.919651109244029</v>
      </c>
      <c r="AX77" s="8">
        <f t="shared" si="80"/>
        <v>52.917413169792617</v>
      </c>
      <c r="AY77" s="8">
        <f t="shared" si="81"/>
        <v>8.0636664810303191</v>
      </c>
      <c r="AZ77" s="8">
        <f t="shared" si="82"/>
        <v>2.5042554298293176</v>
      </c>
      <c r="BA77" s="8">
        <f t="shared" si="83"/>
        <v>100.40498618989628</v>
      </c>
      <c r="BD77" s="3">
        <f t="array" ref="BD77">MIN(100,MAX(0,L77-AJ77*5+AQ$16*(AP$27*T77+SUMPRODUCT($X77:$AH77,TRANSPOSE(AP$28:AP$38)))+AR$16*(AP$39*T77+SUMPRODUCT($X77:$AH77,TRANSPOSE(AP$40:AP$50)))+AS$16*(AP$51*T77+SUMPRODUCT($X77:$AH77,TRANSPOSE(AP$52:AP$62)))))</f>
        <v>36.919651109244029</v>
      </c>
      <c r="BE77" s="3">
        <f t="array" ref="BE77">MIN(100,MAX(0,M77-AK77*5+AP$17*(AQ$27*U77+SUMPRODUCT($X77:$AH77,TRANSPOSE(AQ$28:AQ$38)))+AR$17*(AQ$39*U77+SUMPRODUCT($X77:$AH77,TRANSPOSE(AQ$40:AQ$50)))+AS$17*(AQ$51*U77+SUMPRODUCT($X77:$AH77,TRANSPOSE(AQ$52:AQ$62)))))</f>
        <v>52.917413169792617</v>
      </c>
      <c r="BF77" s="3">
        <f t="array" ref="BF77">MIN(100,MAX(0,N77-AL77*5+AP$18*(AR$27*V77+SUMPRODUCT($X77:$AH77,TRANSPOSE(AR$28:AR$38)))+AQ$18*(AR$39*V77+SUMPRODUCT($X77:$AH77,TRANSPOSE(AR$40:AR$50)))+AS$18*(AR$51*V77+SUMPRODUCT($X77:$AH77,TRANSPOSE(AR$52:AR$62)))))</f>
        <v>8.0636664810303191</v>
      </c>
      <c r="BG77" s="3">
        <f t="array" ref="BG77">MIN(100,MAX(0,O77+AP$19*(AS$27*W77+SUMPRODUCT($X77:$AH77,TRANSPOSE(AS$28:AS$38)))+AQ$19*(AS$39*W77+SUMPRODUCT($X77:$AH77,TRANSPOSE(AS$40:AS$50)))+AR$19*(AS$51*W77+SUMPRODUCT($X77:$AH77,TRANSPOSE(AS$52:AS$62)))))</f>
        <v>2.5042554298293176</v>
      </c>
      <c r="BJ77">
        <f t="shared" si="84"/>
        <v>0</v>
      </c>
      <c r="BK77">
        <f t="shared" si="85"/>
        <v>1</v>
      </c>
      <c r="BL77">
        <f t="shared" si="86"/>
        <v>0</v>
      </c>
      <c r="BM77">
        <f t="shared" si="87"/>
        <v>0</v>
      </c>
      <c r="BP77">
        <f t="shared" si="88"/>
        <v>1</v>
      </c>
      <c r="BQ77">
        <f t="shared" si="89"/>
        <v>1</v>
      </c>
      <c r="BR77">
        <f t="shared" si="90"/>
        <v>0</v>
      </c>
      <c r="BS77">
        <f t="shared" si="91"/>
        <v>0</v>
      </c>
    </row>
    <row r="78" spans="1:71">
      <c r="A78" t="s">
        <v>11</v>
      </c>
      <c r="B78" t="s">
        <v>215</v>
      </c>
      <c r="C78" t="s">
        <v>215</v>
      </c>
      <c r="D78">
        <v>35074</v>
      </c>
      <c r="G78">
        <v>26837</v>
      </c>
      <c r="H78">
        <v>4022</v>
      </c>
      <c r="I78">
        <v>19474</v>
      </c>
      <c r="J78">
        <v>1863</v>
      </c>
      <c r="K78">
        <v>52490</v>
      </c>
      <c r="L78" s="3">
        <f t="shared" si="53"/>
        <v>51.127833873118689</v>
      </c>
      <c r="M78" s="3">
        <f t="shared" si="54"/>
        <v>7.6624118879786627</v>
      </c>
      <c r="N78" s="3">
        <f t="shared" si="55"/>
        <v>37.100400076204991</v>
      </c>
      <c r="O78" s="3">
        <f t="shared" si="56"/>
        <v>3.549247475709659</v>
      </c>
      <c r="P78">
        <v>44.4</v>
      </c>
      <c r="Q78">
        <v>25.3</v>
      </c>
      <c r="R78">
        <v>25.6</v>
      </c>
      <c r="S78">
        <v>3.8</v>
      </c>
      <c r="T78">
        <f t="shared" si="57"/>
        <v>1</v>
      </c>
      <c r="U78">
        <f t="shared" si="58"/>
        <v>0</v>
      </c>
      <c r="V78">
        <f t="shared" si="59"/>
        <v>0</v>
      </c>
      <c r="W78">
        <f t="shared" si="60"/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f t="shared" si="69"/>
        <v>1</v>
      </c>
      <c r="AJ78">
        <v>0</v>
      </c>
      <c r="AK78">
        <v>0</v>
      </c>
      <c r="AL78">
        <v>0</v>
      </c>
      <c r="AW78" s="8">
        <f t="shared" si="79"/>
        <v>39.760383240658598</v>
      </c>
      <c r="AX78" s="8">
        <f t="shared" si="80"/>
        <v>27.09614026015818</v>
      </c>
      <c r="AY78" s="8">
        <f t="shared" si="81"/>
        <v>29.995429940456404</v>
      </c>
      <c r="AZ78" s="8">
        <f t="shared" si="82"/>
        <v>3.1309513955722399</v>
      </c>
      <c r="BA78" s="8">
        <f t="shared" si="83"/>
        <v>99.982904836845421</v>
      </c>
      <c r="BD78" s="3">
        <f t="array" ref="BD78">MIN(100,MAX(0,L78-AJ78*5+AQ$16*(AP$27*T78+SUMPRODUCT($X78:$AH78,TRANSPOSE(AP$28:AP$38)))+AR$16*(AP$39*T78+SUMPRODUCT($X78:$AH78,TRANSPOSE(AP$40:AP$50)))+AS$16*(AP$51*T78+SUMPRODUCT($X78:$AH78,TRANSPOSE(AP$52:AP$62)))))</f>
        <v>39.760383240658598</v>
      </c>
      <c r="BE78" s="3">
        <f t="array" ref="BE78">MIN(100,MAX(0,M78-AK78*5+AP$17*(AQ$27*U78+SUMPRODUCT($X78:$AH78,TRANSPOSE(AQ$28:AQ$38)))+AR$17*(AQ$39*U78+SUMPRODUCT($X78:$AH78,TRANSPOSE(AQ$40:AQ$50)))+AS$17*(AQ$51*U78+SUMPRODUCT($X78:$AH78,TRANSPOSE(AQ$52:AQ$62)))))</f>
        <v>27.09614026015818</v>
      </c>
      <c r="BF78" s="3">
        <f t="array" ref="BF78">MIN(100,MAX(0,N78-AL78*5+AP$18*(AR$27*V78+SUMPRODUCT($X78:$AH78,TRANSPOSE(AR$28:AR$38)))+AQ$18*(AR$39*V78+SUMPRODUCT($X78:$AH78,TRANSPOSE(AR$40:AR$50)))+AS$18*(AR$51*V78+SUMPRODUCT($X78:$AH78,TRANSPOSE(AR$52:AR$62)))))</f>
        <v>29.995429940456404</v>
      </c>
      <c r="BG78" s="3">
        <f t="array" ref="BG78">MIN(100,MAX(0,O78+AP$19*(AS$27*W78+SUMPRODUCT($X78:$AH78,TRANSPOSE(AS$28:AS$38)))+AQ$19*(AS$39*W78+SUMPRODUCT($X78:$AH78,TRANSPOSE(AS$40:AS$50)))+AR$19*(AS$51*W78+SUMPRODUCT($X78:$AH78,TRANSPOSE(AS$52:AS$62)))))</f>
        <v>3.1309513955722399</v>
      </c>
      <c r="BJ78">
        <f t="shared" si="84"/>
        <v>1</v>
      </c>
      <c r="BK78">
        <f t="shared" si="85"/>
        <v>0</v>
      </c>
      <c r="BL78">
        <f t="shared" si="86"/>
        <v>0</v>
      </c>
      <c r="BM78">
        <f t="shared" si="87"/>
        <v>0</v>
      </c>
      <c r="BP78">
        <f t="shared" si="88"/>
        <v>1</v>
      </c>
      <c r="BQ78">
        <f t="shared" si="89"/>
        <v>0</v>
      </c>
      <c r="BR78">
        <f t="shared" si="90"/>
        <v>1</v>
      </c>
      <c r="BS78">
        <f t="shared" si="91"/>
        <v>0</v>
      </c>
    </row>
    <row r="79" spans="1:71">
      <c r="A79" t="s">
        <v>11</v>
      </c>
      <c r="B79" t="s">
        <v>216</v>
      </c>
      <c r="C79" t="s">
        <v>216</v>
      </c>
      <c r="D79">
        <v>35075</v>
      </c>
      <c r="G79">
        <v>13992</v>
      </c>
      <c r="H79">
        <v>13014</v>
      </c>
      <c r="I79">
        <v>33737</v>
      </c>
      <c r="J79">
        <v>3256</v>
      </c>
      <c r="K79">
        <v>64685</v>
      </c>
      <c r="L79" s="3">
        <f t="shared" si="53"/>
        <v>21.630980907474683</v>
      </c>
      <c r="M79" s="3">
        <f t="shared" si="54"/>
        <v>20.119038416943649</v>
      </c>
      <c r="N79" s="3">
        <f t="shared" si="55"/>
        <v>52.155832109453506</v>
      </c>
      <c r="O79" s="3">
        <f t="shared" si="56"/>
        <v>5.0336244879029142</v>
      </c>
      <c r="P79">
        <v>44.4</v>
      </c>
      <c r="Q79">
        <v>25.3</v>
      </c>
      <c r="R79">
        <v>25.6</v>
      </c>
      <c r="S79">
        <v>3.8</v>
      </c>
      <c r="T79">
        <f t="shared" si="57"/>
        <v>0</v>
      </c>
      <c r="U79">
        <f t="shared" si="58"/>
        <v>0</v>
      </c>
      <c r="V79">
        <f t="shared" si="59"/>
        <v>1</v>
      </c>
      <c r="W79">
        <f t="shared" si="60"/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f t="shared" si="69"/>
        <v>0</v>
      </c>
      <c r="AJ79">
        <v>0</v>
      </c>
      <c r="AK79">
        <v>0</v>
      </c>
      <c r="AL79">
        <v>0</v>
      </c>
      <c r="AO79" t="s">
        <v>537</v>
      </c>
      <c r="AP79" s="3">
        <f>SUMPRODUCT($AI$2:$AI$122,AW$2:AW$122)/SUM($AI$2:$AI$122)</f>
        <v>30.71821272847205</v>
      </c>
      <c r="AQ79" s="3">
        <f t="shared" ref="AQ79:AS79" si="99">SUMPRODUCT($AI$2:$AI$122,AX$2:AX$122)/SUM($AI$2:$AI$122)</f>
        <v>50.029212354154382</v>
      </c>
      <c r="AR79" s="3">
        <f t="shared" si="99"/>
        <v>15.99126747800215</v>
      </c>
      <c r="AS79" s="3">
        <f t="shared" si="99"/>
        <v>2.7495704702822903</v>
      </c>
      <c r="AW79" s="8">
        <f t="shared" si="79"/>
        <v>13.373617361842603</v>
      </c>
      <c r="AX79" s="8">
        <f t="shared" si="80"/>
        <v>35.060324348664828</v>
      </c>
      <c r="AY79" s="8">
        <f t="shared" si="81"/>
        <v>44.455666829132994</v>
      </c>
      <c r="AZ79" s="8">
        <f t="shared" si="82"/>
        <v>4.6048168466960311</v>
      </c>
      <c r="BA79" s="8">
        <f t="shared" si="83"/>
        <v>97.494425386336445</v>
      </c>
      <c r="BD79" s="3">
        <f t="array" ref="BD79">MIN(100,MAX(0,L79-AJ79*5+AQ$16*(AP$27*T79+SUMPRODUCT($X79:$AH79,TRANSPOSE(AP$28:AP$38)))+AR$16*(AP$39*T79+SUMPRODUCT($X79:$AH79,TRANSPOSE(AP$40:AP$50)))+AS$16*(AP$51*T79+SUMPRODUCT($X79:$AH79,TRANSPOSE(AP$52:AP$62)))))</f>
        <v>13.373617361842603</v>
      </c>
      <c r="BE79" s="3">
        <f t="array" ref="BE79">MIN(100,MAX(0,M79-AK79*5+AP$17*(AQ$27*U79+SUMPRODUCT($X79:$AH79,TRANSPOSE(AQ$28:AQ$38)))+AR$17*(AQ$39*U79+SUMPRODUCT($X79:$AH79,TRANSPOSE(AQ$40:AQ$50)))+AS$17*(AQ$51*U79+SUMPRODUCT($X79:$AH79,TRANSPOSE(AQ$52:AQ$62)))))</f>
        <v>35.060324348664828</v>
      </c>
      <c r="BF79" s="3">
        <f t="array" ref="BF79">MIN(100,MAX(0,N79-AL79*5+AP$18*(AR$27*V79+SUMPRODUCT($X79:$AH79,TRANSPOSE(AR$28:AR$38)))+AQ$18*(AR$39*V79+SUMPRODUCT($X79:$AH79,TRANSPOSE(AR$40:AR$50)))+AS$18*(AR$51*V79+SUMPRODUCT($X79:$AH79,TRANSPOSE(AR$52:AR$62)))))</f>
        <v>44.455666829132994</v>
      </c>
      <c r="BG79" s="3">
        <f t="array" ref="BG79">MIN(100,MAX(0,O79+AP$19*(AS$27*W79+SUMPRODUCT($X79:$AH79,TRANSPOSE(AS$28:AS$38)))+AQ$19*(AS$39*W79+SUMPRODUCT($X79:$AH79,TRANSPOSE(AS$40:AS$50)))+AR$19*(AS$51*W79+SUMPRODUCT($X79:$AH79,TRANSPOSE(AS$52:AS$62)))))</f>
        <v>4.6787729590096117</v>
      </c>
      <c r="BJ79">
        <f t="shared" si="84"/>
        <v>0</v>
      </c>
      <c r="BK79">
        <f t="shared" si="85"/>
        <v>0</v>
      </c>
      <c r="BL79">
        <f t="shared" si="86"/>
        <v>1</v>
      </c>
      <c r="BM79">
        <f t="shared" si="87"/>
        <v>0</v>
      </c>
      <c r="BP79">
        <f t="shared" si="88"/>
        <v>0</v>
      </c>
      <c r="BQ79">
        <f t="shared" si="89"/>
        <v>0</v>
      </c>
      <c r="BR79">
        <f t="shared" si="90"/>
        <v>1</v>
      </c>
      <c r="BS79">
        <f t="shared" si="91"/>
        <v>1</v>
      </c>
    </row>
    <row r="80" spans="1:71">
      <c r="A80" t="s">
        <v>11</v>
      </c>
      <c r="B80" t="s">
        <v>217</v>
      </c>
      <c r="C80" t="s">
        <v>217</v>
      </c>
      <c r="D80">
        <v>35077</v>
      </c>
      <c r="G80">
        <v>19626</v>
      </c>
      <c r="H80">
        <v>25954</v>
      </c>
      <c r="I80">
        <v>10709</v>
      </c>
      <c r="J80">
        <v>1787</v>
      </c>
      <c r="K80">
        <v>58971</v>
      </c>
      <c r="L80" s="3">
        <f t="shared" si="53"/>
        <v>33.280765121839551</v>
      </c>
      <c r="M80" s="3">
        <f t="shared" si="54"/>
        <v>44.011463261603161</v>
      </c>
      <c r="N80" s="3">
        <f t="shared" si="55"/>
        <v>18.15977344796595</v>
      </c>
      <c r="O80" s="3">
        <f t="shared" si="56"/>
        <v>3.0303030303030303</v>
      </c>
      <c r="P80">
        <v>44.4</v>
      </c>
      <c r="Q80">
        <v>25.3</v>
      </c>
      <c r="R80">
        <v>25.6</v>
      </c>
      <c r="S80">
        <v>3.8</v>
      </c>
      <c r="T80">
        <f t="shared" si="57"/>
        <v>0</v>
      </c>
      <c r="U80">
        <f t="shared" si="58"/>
        <v>1</v>
      </c>
      <c r="V80">
        <f t="shared" si="59"/>
        <v>0</v>
      </c>
      <c r="W80">
        <f t="shared" si="60"/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f t="shared" si="69"/>
        <v>0</v>
      </c>
      <c r="AJ80">
        <v>0</v>
      </c>
      <c r="AK80">
        <v>0</v>
      </c>
      <c r="AL80">
        <v>0</v>
      </c>
      <c r="AO80">
        <v>2011</v>
      </c>
      <c r="AP80" s="3">
        <f>SUMPRODUCT($AI$2:$AI$122,L$2:L$122)/SUM($AI$2:$AI$122)</f>
        <v>41.083971451740616</v>
      </c>
      <c r="AQ80" s="3">
        <f>SUMPRODUCT($AI$2:$AI$122,M$2:M$122)/SUM($AI$2:$AI$122)</f>
        <v>31.852849846150978</v>
      </c>
      <c r="AR80" s="3">
        <f>SUMPRODUCT($AI$2:$AI$122,N$2:N$122)/SUM($AI$2:$AI$122)</f>
        <v>23.416474832800112</v>
      </c>
      <c r="AS80" s="3">
        <f>SUMPRODUCT($AI$2:$AI$122,O$2:O$122)/SUM($AI$2:$AI$122)</f>
        <v>3.179434857016525</v>
      </c>
      <c r="AW80" s="8">
        <f t="shared" si="79"/>
        <v>25.023401576207469</v>
      </c>
      <c r="AX80" s="8">
        <f t="shared" si="80"/>
        <v>57.538741145426826</v>
      </c>
      <c r="AY80" s="8">
        <f t="shared" si="81"/>
        <v>12.248187608901278</v>
      </c>
      <c r="AZ80" s="8">
        <f t="shared" si="82"/>
        <v>2.6754515014097282</v>
      </c>
      <c r="BA80" s="8">
        <f t="shared" si="83"/>
        <v>97.485781831945303</v>
      </c>
      <c r="BD80" s="3">
        <f t="array" ref="BD80">MIN(100,MAX(0,L80-AJ80*5+AQ$16*(AP$27*T80+SUMPRODUCT($X80:$AH80,TRANSPOSE(AP$28:AP$38)))+AR$16*(AP$39*T80+SUMPRODUCT($X80:$AH80,TRANSPOSE(AP$40:AP$50)))+AS$16*(AP$51*T80+SUMPRODUCT($X80:$AH80,TRANSPOSE(AP$52:AP$62)))))</f>
        <v>25.023401576207469</v>
      </c>
      <c r="BE80" s="3">
        <f t="array" ref="BE80">MIN(100,MAX(0,M80-AK80*5+AP$17*(AQ$27*U80+SUMPRODUCT($X80:$AH80,TRANSPOSE(AQ$28:AQ$38)))+AR$17*(AQ$39*U80+SUMPRODUCT($X80:$AH80,TRANSPOSE(AQ$40:AQ$50)))+AS$17*(AQ$51*U80+SUMPRODUCT($X80:$AH80,TRANSPOSE(AQ$52:AQ$62)))))</f>
        <v>57.538741145426826</v>
      </c>
      <c r="BF80" s="3">
        <f t="array" ref="BF80">MIN(100,MAX(0,N80-AL80*5+AP$18*(AR$27*V80+SUMPRODUCT($X80:$AH80,TRANSPOSE(AR$28:AR$38)))+AQ$18*(AR$39*V80+SUMPRODUCT($X80:$AH80,TRANSPOSE(AR$40:AR$50)))+AS$18*(AR$51*V80+SUMPRODUCT($X80:$AH80,TRANSPOSE(AR$52:AR$62)))))</f>
        <v>12.248187608901278</v>
      </c>
      <c r="BG80" s="3">
        <f t="array" ref="BG80">MIN(100,MAX(0,O80+AP$19*(AS$27*W80+SUMPRODUCT($X80:$AH80,TRANSPOSE(AS$28:AS$38)))+AQ$19*(AS$39*W80+SUMPRODUCT($X80:$AH80,TRANSPOSE(AS$40:AS$50)))+AR$19*(AS$51*W80+SUMPRODUCT($X80:$AH80,TRANSPOSE(AS$52:AS$62)))))</f>
        <v>2.6754515014097282</v>
      </c>
      <c r="BJ80">
        <f t="shared" si="84"/>
        <v>0</v>
      </c>
      <c r="BK80">
        <f t="shared" si="85"/>
        <v>1</v>
      </c>
      <c r="BL80">
        <f t="shared" si="86"/>
        <v>0</v>
      </c>
      <c r="BM80">
        <f t="shared" si="87"/>
        <v>0</v>
      </c>
      <c r="BP80">
        <f t="shared" si="88"/>
        <v>0</v>
      </c>
      <c r="BQ80">
        <f t="shared" si="89"/>
        <v>1</v>
      </c>
      <c r="BR80">
        <f t="shared" si="90"/>
        <v>0</v>
      </c>
      <c r="BS80">
        <f t="shared" si="91"/>
        <v>0</v>
      </c>
    </row>
    <row r="81" spans="1:71">
      <c r="A81" t="s">
        <v>11</v>
      </c>
      <c r="B81" t="s">
        <v>218</v>
      </c>
      <c r="C81" t="s">
        <v>589</v>
      </c>
      <c r="D81">
        <v>35079</v>
      </c>
      <c r="G81">
        <v>25297</v>
      </c>
      <c r="H81">
        <v>17825</v>
      </c>
      <c r="I81">
        <v>11196</v>
      </c>
      <c r="J81">
        <v>2285</v>
      </c>
      <c r="K81">
        <v>56606</v>
      </c>
      <c r="L81" s="3">
        <f t="shared" si="53"/>
        <v>44.689608875384238</v>
      </c>
      <c r="M81" s="3">
        <f t="shared" si="54"/>
        <v>31.489594742606791</v>
      </c>
      <c r="N81" s="3">
        <f t="shared" si="55"/>
        <v>19.778822033000036</v>
      </c>
      <c r="O81" s="3">
        <f t="shared" si="56"/>
        <v>4.0366745574674061</v>
      </c>
      <c r="P81">
        <v>44.4</v>
      </c>
      <c r="Q81">
        <v>25.3</v>
      </c>
      <c r="R81">
        <v>25.6</v>
      </c>
      <c r="S81">
        <v>3.8</v>
      </c>
      <c r="T81" s="54">
        <v>0</v>
      </c>
      <c r="U81">
        <f t="shared" si="58"/>
        <v>0</v>
      </c>
      <c r="V81">
        <f t="shared" si="59"/>
        <v>0</v>
      </c>
      <c r="W81">
        <f t="shared" si="60"/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f t="shared" si="69"/>
        <v>0</v>
      </c>
      <c r="AJ81">
        <v>1</v>
      </c>
      <c r="AK81">
        <v>0</v>
      </c>
      <c r="AL81">
        <v>0</v>
      </c>
      <c r="AW81" s="8">
        <f t="shared" si="79"/>
        <v>31.432245329752156</v>
      </c>
      <c r="AX81" s="8">
        <f t="shared" si="80"/>
        <v>46.430880674327973</v>
      </c>
      <c r="AY81" s="8">
        <f t="shared" si="81"/>
        <v>13.867236193935364</v>
      </c>
      <c r="AZ81" s="8">
        <f t="shared" si="82"/>
        <v>3.6652076766997403</v>
      </c>
      <c r="BA81" s="8">
        <f t="shared" si="83"/>
        <v>95.395569874715235</v>
      </c>
      <c r="BD81" s="3">
        <f t="array" ref="BD81">MIN(100,MAX(0,L81-AJ81*5+AQ$16*(AP$27*T81+SUMPRODUCT($X81:$AH81,TRANSPOSE(AP$28:AP$38)))+AR$16*(AP$39*T81+SUMPRODUCT($X81:$AH81,TRANSPOSE(AP$40:AP$50)))+AS$16*(AP$51*T81+SUMPRODUCT($X81:$AH81,TRANSPOSE(AP$52:AP$62)))))</f>
        <v>31.432245329752156</v>
      </c>
      <c r="BE81" s="3">
        <f t="array" ref="BE81">MIN(100,MAX(0,M81-AK81*5+AP$17*(AQ$27*U81+SUMPRODUCT($X81:$AH81,TRANSPOSE(AQ$28:AQ$38)))+AR$17*(AQ$39*U81+SUMPRODUCT($X81:$AH81,TRANSPOSE(AQ$40:AQ$50)))+AS$17*(AQ$51*U81+SUMPRODUCT($X81:$AH81,TRANSPOSE(AQ$52:AQ$62)))))</f>
        <v>46.430880674327973</v>
      </c>
      <c r="BF81" s="3">
        <f t="array" ref="BF81">MIN(100,MAX(0,N81-AL81*5+AP$18*(AR$27*V81+SUMPRODUCT($X81:$AH81,TRANSPOSE(AR$28:AR$38)))+AQ$18*(AR$39*V81+SUMPRODUCT($X81:$AH81,TRANSPOSE(AR$40:AR$50)))+AS$18*(AR$51*V81+SUMPRODUCT($X81:$AH81,TRANSPOSE(AR$52:AR$62)))))</f>
        <v>13.867236193935364</v>
      </c>
      <c r="BG81" s="3">
        <f t="array" ref="BG81">MIN(100,MAX(0,O81+AP$19*(AS$27*W81+SUMPRODUCT($X81:$AH81,TRANSPOSE(AS$28:AS$38)))+AQ$19*(AS$39*W81+SUMPRODUCT($X81:$AH81,TRANSPOSE(AS$40:AS$50)))+AR$19*(AS$51*W81+SUMPRODUCT($X81:$AH81,TRANSPOSE(AS$52:AS$62)))))</f>
        <v>3.681823028574104</v>
      </c>
      <c r="BJ81">
        <f t="shared" si="84"/>
        <v>0</v>
      </c>
      <c r="BK81">
        <f t="shared" si="85"/>
        <v>1</v>
      </c>
      <c r="BL81">
        <f t="shared" si="86"/>
        <v>0</v>
      </c>
      <c r="BM81">
        <f t="shared" si="87"/>
        <v>0</v>
      </c>
      <c r="BP81">
        <f t="shared" si="88"/>
        <v>0</v>
      </c>
      <c r="BQ81">
        <f t="shared" si="89"/>
        <v>1</v>
      </c>
      <c r="BR81">
        <f t="shared" si="90"/>
        <v>0</v>
      </c>
      <c r="BS81">
        <f t="shared" si="91"/>
        <v>1</v>
      </c>
    </row>
    <row r="82" spans="1:71">
      <c r="A82" t="s">
        <v>11</v>
      </c>
      <c r="B82" t="s">
        <v>219</v>
      </c>
      <c r="C82" t="s">
        <v>590</v>
      </c>
      <c r="D82">
        <v>35078</v>
      </c>
      <c r="G82">
        <v>15711</v>
      </c>
      <c r="H82">
        <v>21417</v>
      </c>
      <c r="I82">
        <v>16126</v>
      </c>
      <c r="J82">
        <v>2843</v>
      </c>
      <c r="K82">
        <v>56219</v>
      </c>
      <c r="L82" s="3">
        <f t="shared" si="53"/>
        <v>27.946068055283803</v>
      </c>
      <c r="M82" s="3">
        <f t="shared" si="54"/>
        <v>38.09566160906455</v>
      </c>
      <c r="N82" s="3">
        <f t="shared" si="55"/>
        <v>28.684252654796421</v>
      </c>
      <c r="O82" s="3">
        <f t="shared" si="56"/>
        <v>5.0570091961792274</v>
      </c>
      <c r="P82">
        <v>44.4</v>
      </c>
      <c r="Q82">
        <v>25.3</v>
      </c>
      <c r="R82">
        <v>25.6</v>
      </c>
      <c r="S82">
        <v>3.8</v>
      </c>
      <c r="T82">
        <f t="shared" si="57"/>
        <v>0</v>
      </c>
      <c r="U82">
        <f t="shared" si="58"/>
        <v>1</v>
      </c>
      <c r="V82">
        <f t="shared" si="59"/>
        <v>0</v>
      </c>
      <c r="W82">
        <f t="shared" si="60"/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f t="shared" si="69"/>
        <v>0</v>
      </c>
      <c r="AJ82">
        <v>0</v>
      </c>
      <c r="AK82">
        <v>0</v>
      </c>
      <c r="AL82">
        <v>0</v>
      </c>
      <c r="AW82" s="8">
        <f t="shared" si="79"/>
        <v>19.688704509651721</v>
      </c>
      <c r="AX82" s="8">
        <f t="shared" si="80"/>
        <v>51.622939492888214</v>
      </c>
      <c r="AY82" s="8">
        <f t="shared" si="81"/>
        <v>22.772666815731746</v>
      </c>
      <c r="AZ82" s="8">
        <f t="shared" si="82"/>
        <v>4.6268565556757117</v>
      </c>
      <c r="BA82" s="8">
        <f t="shared" si="83"/>
        <v>98.711167373947404</v>
      </c>
      <c r="BD82" s="3">
        <f t="array" ref="BD82">MIN(100,MAX(0,L82-AJ82*5+AQ$16*(AP$27*T82+SUMPRODUCT($X82:$AH82,TRANSPOSE(AP$28:AP$38)))+AR$16*(AP$39*T82+SUMPRODUCT($X82:$AH82,TRANSPOSE(AP$40:AP$50)))+AS$16*(AP$51*T82+SUMPRODUCT($X82:$AH82,TRANSPOSE(AP$52:AP$62)))))</f>
        <v>19.688704509651721</v>
      </c>
      <c r="BE82" s="3">
        <f t="array" ref="BE82">MIN(100,MAX(0,M82-AK82*5+AP$17*(AQ$27*U82+SUMPRODUCT($X82:$AH82,TRANSPOSE(AQ$28:AQ$38)))+AR$17*(AQ$39*U82+SUMPRODUCT($X82:$AH82,TRANSPOSE(AQ$40:AQ$50)))+AS$17*(AQ$51*U82+SUMPRODUCT($X82:$AH82,TRANSPOSE(AQ$52:AQ$62)))))</f>
        <v>51.622939492888214</v>
      </c>
      <c r="BF82" s="3">
        <f t="array" ref="BF82">MIN(100,MAX(0,N82-AL82*5+AP$18*(AR$27*V82+SUMPRODUCT($X82:$AH82,TRANSPOSE(AR$28:AR$38)))+AQ$18*(AR$39*V82+SUMPRODUCT($X82:$AH82,TRANSPOSE(AR$40:AR$50)))+AS$18*(AR$51*V82+SUMPRODUCT($X82:$AH82,TRANSPOSE(AR$52:AR$62)))))</f>
        <v>22.772666815731746</v>
      </c>
      <c r="BG82" s="3">
        <f t="array" ref="BG82">MIN(100,MAX(0,O82+AP$19*(AS$27*W82+SUMPRODUCT($X82:$AH82,TRANSPOSE(AS$28:AS$38)))+AQ$19*(AS$39*W82+SUMPRODUCT($X82:$AH82,TRANSPOSE(AS$40:AS$50)))+AR$19*(AS$51*W82+SUMPRODUCT($X82:$AH82,TRANSPOSE(AS$52:AS$62)))))</f>
        <v>4.7021576672859249</v>
      </c>
      <c r="BJ82">
        <f t="shared" si="84"/>
        <v>0</v>
      </c>
      <c r="BK82">
        <f t="shared" si="85"/>
        <v>1</v>
      </c>
      <c r="BL82">
        <f t="shared" si="86"/>
        <v>0</v>
      </c>
      <c r="BM82">
        <f t="shared" si="87"/>
        <v>0</v>
      </c>
      <c r="BP82">
        <f t="shared" si="88"/>
        <v>0</v>
      </c>
      <c r="BQ82">
        <f t="shared" si="89"/>
        <v>1</v>
      </c>
      <c r="BR82">
        <f t="shared" si="90"/>
        <v>1</v>
      </c>
      <c r="BS82">
        <f t="shared" si="91"/>
        <v>1</v>
      </c>
    </row>
    <row r="83" spans="1:71">
      <c r="A83" t="s">
        <v>11</v>
      </c>
      <c r="B83" t="s">
        <v>220</v>
      </c>
      <c r="C83" t="s">
        <v>220</v>
      </c>
      <c r="D83">
        <v>35080</v>
      </c>
      <c r="G83">
        <v>28782</v>
      </c>
      <c r="H83">
        <v>4706</v>
      </c>
      <c r="I83">
        <v>12419</v>
      </c>
      <c r="J83">
        <v>2111</v>
      </c>
      <c r="K83">
        <v>48804</v>
      </c>
      <c r="L83" s="3">
        <f t="shared" si="53"/>
        <v>58.974674207032209</v>
      </c>
      <c r="M83" s="3">
        <f t="shared" si="54"/>
        <v>9.6426522416195404</v>
      </c>
      <c r="N83" s="3">
        <f t="shared" si="55"/>
        <v>25.446684697975574</v>
      </c>
      <c r="O83" s="3">
        <f t="shared" si="56"/>
        <v>4.3254651258093597</v>
      </c>
      <c r="P83">
        <v>44.4</v>
      </c>
      <c r="Q83">
        <v>25.3</v>
      </c>
      <c r="R83">
        <v>25.6</v>
      </c>
      <c r="S83">
        <v>3.8</v>
      </c>
      <c r="T83">
        <f t="shared" si="57"/>
        <v>1</v>
      </c>
      <c r="U83">
        <f t="shared" si="58"/>
        <v>0</v>
      </c>
      <c r="V83">
        <f t="shared" si="59"/>
        <v>0</v>
      </c>
      <c r="W83">
        <f t="shared" si="60"/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f t="shared" si="69"/>
        <v>0</v>
      </c>
      <c r="AJ83">
        <v>0</v>
      </c>
      <c r="AK83">
        <v>0</v>
      </c>
      <c r="AL83">
        <v>0</v>
      </c>
      <c r="AO83" t="s">
        <v>591</v>
      </c>
      <c r="AP83" t="s">
        <v>582</v>
      </c>
      <c r="AQ83" t="s">
        <v>583</v>
      </c>
      <c r="AR83" t="s">
        <v>480</v>
      </c>
      <c r="AS83" t="s">
        <v>481</v>
      </c>
      <c r="AW83" s="8">
        <f t="shared" si="79"/>
        <v>48.774295328416869</v>
      </c>
      <c r="AX83" s="8">
        <f t="shared" si="80"/>
        <v>27.470897007984512</v>
      </c>
      <c r="AY83" s="8">
        <f t="shared" si="81"/>
        <v>18.719629319547366</v>
      </c>
      <c r="AZ83" s="8">
        <f t="shared" si="82"/>
        <v>3.8923304046290723</v>
      </c>
      <c r="BA83" s="8">
        <f t="shared" si="83"/>
        <v>98.857152060577818</v>
      </c>
      <c r="BD83" s="3">
        <f t="array" ref="BD83">MIN(100,MAX(0,L83-AJ83*5+AQ$16*(AP$27*T83+SUMPRODUCT($X83:$AH83,TRANSPOSE(AP$28:AP$38)))+AR$16*(AP$39*T83+SUMPRODUCT($X83:$AH83,TRANSPOSE(AP$40:AP$50)))+AS$16*(AP$51*T83+SUMPRODUCT($X83:$AH83,TRANSPOSE(AP$52:AP$62)))))</f>
        <v>48.774295328416869</v>
      </c>
      <c r="BE83" s="3">
        <f t="array" ref="BE83">MIN(100,MAX(0,M83-AK83*5+AP$17*(AQ$27*U83+SUMPRODUCT($X83:$AH83,TRANSPOSE(AQ$28:AQ$38)))+AR$17*(AQ$39*U83+SUMPRODUCT($X83:$AH83,TRANSPOSE(AQ$40:AQ$50)))+AS$17*(AQ$51*U83+SUMPRODUCT($X83:$AH83,TRANSPOSE(AQ$52:AQ$62)))))</f>
        <v>27.470897007984512</v>
      </c>
      <c r="BF83" s="3">
        <f t="array" ref="BF83">MIN(100,MAX(0,N83-AL83*5+AP$18*(AR$27*V83+SUMPRODUCT($X83:$AH83,TRANSPOSE(AR$28:AR$38)))+AQ$18*(AR$39*V83+SUMPRODUCT($X83:$AH83,TRANSPOSE(AR$40:AR$50)))+AS$18*(AR$51*V83+SUMPRODUCT($X83:$AH83,TRANSPOSE(AR$52:AR$62)))))</f>
        <v>18.719629319547366</v>
      </c>
      <c r="BG83" s="3">
        <f t="array" ref="BG83">MIN(100,MAX(0,O83+AP$19*(AS$27*W83+SUMPRODUCT($X83:$AH83,TRANSPOSE(AS$28:AS$38)))+AQ$19*(AS$39*W83+SUMPRODUCT($X83:$AH83,TRANSPOSE(AS$40:AS$50)))+AR$19*(AS$51*W83+SUMPRODUCT($X83:$AH83,TRANSPOSE(AS$52:AS$62)))))</f>
        <v>3.922806189488087</v>
      </c>
      <c r="BJ83">
        <f t="shared" si="84"/>
        <v>1</v>
      </c>
      <c r="BK83">
        <f t="shared" si="85"/>
        <v>0</v>
      </c>
      <c r="BL83">
        <f t="shared" si="86"/>
        <v>0</v>
      </c>
      <c r="BM83">
        <f t="shared" si="87"/>
        <v>0</v>
      </c>
      <c r="BP83">
        <f t="shared" si="88"/>
        <v>1</v>
      </c>
      <c r="BQ83">
        <f t="shared" si="89"/>
        <v>0</v>
      </c>
      <c r="BR83">
        <f t="shared" si="90"/>
        <v>1</v>
      </c>
      <c r="BS83">
        <f t="shared" si="91"/>
        <v>1</v>
      </c>
    </row>
    <row r="84" spans="1:71">
      <c r="A84" t="s">
        <v>11</v>
      </c>
      <c r="B84" t="s">
        <v>221</v>
      </c>
      <c r="C84" t="s">
        <v>592</v>
      </c>
      <c r="D84">
        <v>35081</v>
      </c>
      <c r="G84">
        <v>7924</v>
      </c>
      <c r="H84">
        <v>16757</v>
      </c>
      <c r="I84">
        <v>24046</v>
      </c>
      <c r="J84">
        <v>1666</v>
      </c>
      <c r="K84">
        <v>50945</v>
      </c>
      <c r="L84" s="3">
        <f t="shared" si="53"/>
        <v>15.554028854647168</v>
      </c>
      <c r="M84" s="3">
        <f t="shared" si="54"/>
        <v>32.892334870939251</v>
      </c>
      <c r="N84" s="3">
        <f t="shared" si="55"/>
        <v>47.199921483953283</v>
      </c>
      <c r="O84" s="3">
        <f t="shared" si="56"/>
        <v>3.2701933457650405</v>
      </c>
      <c r="P84">
        <v>44.4</v>
      </c>
      <c r="Q84">
        <v>25.3</v>
      </c>
      <c r="R84">
        <v>25.6</v>
      </c>
      <c r="S84">
        <v>3.8</v>
      </c>
      <c r="T84">
        <f t="shared" si="57"/>
        <v>0</v>
      </c>
      <c r="U84">
        <f t="shared" si="58"/>
        <v>0</v>
      </c>
      <c r="V84">
        <f t="shared" si="59"/>
        <v>1</v>
      </c>
      <c r="W84">
        <f t="shared" si="60"/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f t="shared" si="69"/>
        <v>1</v>
      </c>
      <c r="AJ84">
        <v>0</v>
      </c>
      <c r="AK84">
        <v>0</v>
      </c>
      <c r="AL84">
        <v>0</v>
      </c>
      <c r="AO84" t="s">
        <v>554</v>
      </c>
      <c r="AP84" s="56">
        <f>SUMPRODUCT($X$2:$X$122,BJ$2:BJ$122)</f>
        <v>1</v>
      </c>
      <c r="AQ84" s="56">
        <f t="shared" ref="AQ84:AS84" si="100">SUMPRODUCT($X$2:$X$122,BK$2:BK$122)</f>
        <v>3</v>
      </c>
      <c r="AR84" s="56">
        <f t="shared" si="100"/>
        <v>6</v>
      </c>
      <c r="AS84" s="56">
        <f t="shared" si="100"/>
        <v>0</v>
      </c>
      <c r="AT84" s="56">
        <f>SUM(AP84:AS84)</f>
        <v>10</v>
      </c>
      <c r="AW84" s="8">
        <f t="shared" si="79"/>
        <v>5.63649661917316</v>
      </c>
      <c r="AX84" s="8">
        <f t="shared" si="80"/>
        <v>51.146560810626646</v>
      </c>
      <c r="AY84" s="8">
        <f t="shared" si="81"/>
        <v>37.997366797833635</v>
      </c>
      <c r="AZ84" s="8">
        <f t="shared" si="82"/>
        <v>2.8575291001040264</v>
      </c>
      <c r="BA84" s="8">
        <f t="shared" si="83"/>
        <v>97.637953327737463</v>
      </c>
      <c r="BD84" s="3">
        <f t="array" ref="BD84">MIN(100,MAX(0,L84-AJ84*5+AQ$16*(AP$27*T84+SUMPRODUCT($X84:$AH84,TRANSPOSE(AP$28:AP$38)))+AR$16*(AP$39*T84+SUMPRODUCT($X84:$AH84,TRANSPOSE(AP$40:AP$50)))+AS$16*(AP$51*T84+SUMPRODUCT($X84:$AH84,TRANSPOSE(AP$52:AP$62)))))</f>
        <v>5.63649661917316</v>
      </c>
      <c r="BE84" s="3">
        <f t="array" ref="BE84">MIN(100,MAX(0,M84-AK84*5+AP$17*(AQ$27*U84+SUMPRODUCT($X84:$AH84,TRANSPOSE(AQ$28:AQ$38)))+AR$17*(AQ$39*U84+SUMPRODUCT($X84:$AH84,TRANSPOSE(AQ$40:AQ$50)))+AS$17*(AQ$51*U84+SUMPRODUCT($X84:$AH84,TRANSPOSE(AQ$52:AQ$62)))))</f>
        <v>51.146560810626646</v>
      </c>
      <c r="BF84" s="3">
        <f t="array" ref="BF84">MIN(100,MAX(0,N84-AL84*5+AP$18*(AR$27*V84+SUMPRODUCT($X84:$AH84,TRANSPOSE(AR$28:AR$38)))+AQ$18*(AR$39*V84+SUMPRODUCT($X84:$AH84,TRANSPOSE(AR$40:AR$50)))+AS$18*(AR$51*V84+SUMPRODUCT($X84:$AH84,TRANSPOSE(AR$52:AR$62)))))</f>
        <v>37.997366797833635</v>
      </c>
      <c r="BG84" s="3">
        <f t="array" ref="BG84">MIN(100,MAX(0,O84+AP$19*(AS$27*W84+SUMPRODUCT($X84:$AH84,TRANSPOSE(AS$28:AS$38)))+AQ$19*(AS$39*W84+SUMPRODUCT($X84:$AH84,TRANSPOSE(AS$40:AS$50)))+AR$19*(AS$51*W84+SUMPRODUCT($X84:$AH84,TRANSPOSE(AS$52:AS$62)))))</f>
        <v>2.8575291001040264</v>
      </c>
      <c r="BJ84">
        <f t="shared" si="84"/>
        <v>0</v>
      </c>
      <c r="BK84">
        <f t="shared" si="85"/>
        <v>1</v>
      </c>
      <c r="BL84">
        <f t="shared" si="86"/>
        <v>0</v>
      </c>
      <c r="BM84">
        <f t="shared" si="87"/>
        <v>0</v>
      </c>
      <c r="BP84">
        <f t="shared" si="88"/>
        <v>0</v>
      </c>
      <c r="BQ84">
        <f t="shared" si="89"/>
        <v>1</v>
      </c>
      <c r="BR84">
        <f t="shared" si="90"/>
        <v>1</v>
      </c>
      <c r="BS84">
        <f t="shared" si="91"/>
        <v>0</v>
      </c>
    </row>
    <row r="85" spans="1:71">
      <c r="A85" t="s">
        <v>11</v>
      </c>
      <c r="B85" t="s">
        <v>222</v>
      </c>
      <c r="C85" t="s">
        <v>593</v>
      </c>
      <c r="D85">
        <v>35082</v>
      </c>
      <c r="G85">
        <v>25864</v>
      </c>
      <c r="H85">
        <v>5330</v>
      </c>
      <c r="I85">
        <v>11217</v>
      </c>
      <c r="J85">
        <v>3776</v>
      </c>
      <c r="K85">
        <v>46409</v>
      </c>
      <c r="L85" s="3">
        <f t="shared" si="53"/>
        <v>55.730569501605288</v>
      </c>
      <c r="M85" s="3">
        <f t="shared" si="54"/>
        <v>11.484841302333599</v>
      </c>
      <c r="N85" s="3">
        <f t="shared" si="55"/>
        <v>24.169880842078044</v>
      </c>
      <c r="O85" s="3">
        <f t="shared" si="56"/>
        <v>8.1363528625913073</v>
      </c>
      <c r="P85">
        <v>44.4</v>
      </c>
      <c r="Q85">
        <v>25.3</v>
      </c>
      <c r="R85">
        <v>25.6</v>
      </c>
      <c r="S85">
        <v>3.8</v>
      </c>
      <c r="T85">
        <f t="shared" si="57"/>
        <v>1</v>
      </c>
      <c r="U85">
        <f t="shared" si="58"/>
        <v>0</v>
      </c>
      <c r="V85">
        <f t="shared" si="59"/>
        <v>0</v>
      </c>
      <c r="W85">
        <f t="shared" si="60"/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f t="shared" si="69"/>
        <v>0</v>
      </c>
      <c r="AJ85">
        <v>0</v>
      </c>
      <c r="AK85">
        <v>0</v>
      </c>
      <c r="AL85">
        <v>0</v>
      </c>
      <c r="AO85" t="s">
        <v>527</v>
      </c>
      <c r="AP85" s="56">
        <f>SUMPRODUCT($Y$2:$Y$122,BJ$2:BJ$122)</f>
        <v>1</v>
      </c>
      <c r="AQ85" s="56">
        <f t="shared" ref="AQ85:AS85" si="101">SUMPRODUCT($Y$2:$Y$122,BK$2:BK$122)</f>
        <v>6</v>
      </c>
      <c r="AR85" s="56">
        <f t="shared" si="101"/>
        <v>1</v>
      </c>
      <c r="AS85" s="56">
        <f t="shared" si="101"/>
        <v>0</v>
      </c>
      <c r="AT85" s="56">
        <f t="shared" ref="AT85:AT94" si="102">SUM(AP85:AS85)</f>
        <v>8</v>
      </c>
      <c r="AW85" s="8">
        <f t="shared" si="61"/>
        <v>46.024672508668317</v>
      </c>
      <c r="AX85" s="8">
        <f t="shared" si="62"/>
        <v>29.180714375937455</v>
      </c>
      <c r="AY85" s="8">
        <f t="shared" si="63"/>
        <v>17.073906145736306</v>
      </c>
      <c r="AZ85" s="8">
        <f t="shared" si="64"/>
        <v>7.4869619365511646</v>
      </c>
      <c r="BA85" s="8">
        <f t="shared" si="71"/>
        <v>99.766254966893243</v>
      </c>
      <c r="BD85" s="3">
        <f t="array" ref="BD85">MIN(100,MAX(0,L85-AJ85*5+AQ$16*(AP$27*T85+SUMPRODUCT($X85:$AH85,TRANSPOSE(AP$28:AP$38)))+AR$16*(AP$39*T85+SUMPRODUCT($X85:$AH85,TRANSPOSE(AP$40:AP$50)))+AS$16*(AP$51*T85+SUMPRODUCT($X85:$AH85,TRANSPOSE(AP$52:AP$62)))))</f>
        <v>46.024672508668317</v>
      </c>
      <c r="BE85" s="3">
        <f t="array" ref="BE85">MIN(100,MAX(0,M85-AK85*5+AP$17*(AQ$27*U85+SUMPRODUCT($X85:$AH85,TRANSPOSE(AQ$28:AQ$38)))+AR$17*(AQ$39*U85+SUMPRODUCT($X85:$AH85,TRANSPOSE(AQ$40:AQ$50)))+AS$17*(AQ$51*U85+SUMPRODUCT($X85:$AH85,TRANSPOSE(AQ$52:AQ$62)))))</f>
        <v>29.180714375937455</v>
      </c>
      <c r="BF85" s="3">
        <f t="array" ref="BF85">MIN(100,MAX(0,N85-AL85*5+AP$18*(AR$27*V85+SUMPRODUCT($X85:$AH85,TRANSPOSE(AR$28:AR$38)))+AQ$18*(AR$39*V85+SUMPRODUCT($X85:$AH85,TRANSPOSE(AR$40:AR$50)))+AS$18*(AR$51*V85+SUMPRODUCT($X85:$AH85,TRANSPOSE(AR$52:AR$62)))))</f>
        <v>17.073906145736306</v>
      </c>
      <c r="BG85" s="3">
        <f t="array" ref="BG85">MIN(100,MAX(0,O85+AP$19*(AS$27*W85+SUMPRODUCT($X85:$AH85,TRANSPOSE(AS$28:AS$38)))+AQ$19*(AS$39*W85+SUMPRODUCT($X85:$AH85,TRANSPOSE(AS$40:AS$50)))+AR$19*(AS$51*W85+SUMPRODUCT($X85:$AH85,TRANSPOSE(AS$52:AS$62)))))</f>
        <v>7.7368043603500842</v>
      </c>
      <c r="BJ85">
        <f t="shared" si="72"/>
        <v>1</v>
      </c>
      <c r="BK85">
        <f t="shared" si="73"/>
        <v>0</v>
      </c>
      <c r="BL85">
        <f t="shared" si="74"/>
        <v>0</v>
      </c>
      <c r="BM85">
        <f t="shared" si="75"/>
        <v>0</v>
      </c>
      <c r="BP85">
        <f t="shared" si="65"/>
        <v>1</v>
      </c>
      <c r="BQ85">
        <f t="shared" si="66"/>
        <v>0</v>
      </c>
      <c r="BR85">
        <f t="shared" si="67"/>
        <v>0</v>
      </c>
      <c r="BS85">
        <f t="shared" si="68"/>
        <v>1</v>
      </c>
    </row>
    <row r="86" spans="1:71">
      <c r="A86" t="s">
        <v>11</v>
      </c>
      <c r="B86" t="s">
        <v>223</v>
      </c>
      <c r="C86" t="s">
        <v>594</v>
      </c>
      <c r="D86">
        <v>35083</v>
      </c>
      <c r="G86">
        <v>25281</v>
      </c>
      <c r="H86">
        <v>8341</v>
      </c>
      <c r="I86">
        <v>9861</v>
      </c>
      <c r="J86">
        <v>2112</v>
      </c>
      <c r="K86">
        <v>46401</v>
      </c>
      <c r="L86" s="3">
        <f t="shared" si="53"/>
        <v>54.483739574578138</v>
      </c>
      <c r="M86" s="3">
        <f t="shared" si="54"/>
        <v>17.975905691687679</v>
      </c>
      <c r="N86" s="3">
        <f t="shared" si="55"/>
        <v>21.251697161699102</v>
      </c>
      <c r="O86" s="3">
        <f t="shared" si="56"/>
        <v>4.5516260425421864</v>
      </c>
      <c r="P86">
        <v>44.4</v>
      </c>
      <c r="Q86">
        <v>25.3</v>
      </c>
      <c r="R86">
        <v>25.6</v>
      </c>
      <c r="S86">
        <v>3.8</v>
      </c>
      <c r="T86" s="54">
        <v>0</v>
      </c>
      <c r="U86">
        <f t="shared" si="58"/>
        <v>0</v>
      </c>
      <c r="V86">
        <f t="shared" si="59"/>
        <v>0</v>
      </c>
      <c r="W86">
        <f t="shared" si="60"/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f t="shared" si="69"/>
        <v>0</v>
      </c>
      <c r="AJ86">
        <v>1</v>
      </c>
      <c r="AK86">
        <v>0</v>
      </c>
      <c r="AL86">
        <v>0</v>
      </c>
      <c r="AO86" t="s">
        <v>528</v>
      </c>
      <c r="AP86" s="56">
        <f>SUMPRODUCT($Z$2:$Z$122,BJ$2:BJ$122)</f>
        <v>9</v>
      </c>
      <c r="AQ86" s="56">
        <f t="shared" ref="AQ86:AS86" si="103">SUMPRODUCT($Z$2:$Z$122,BK$2:BK$122)</f>
        <v>3</v>
      </c>
      <c r="AR86" s="56">
        <f t="shared" si="103"/>
        <v>0</v>
      </c>
      <c r="AS86" s="56">
        <f t="shared" si="103"/>
        <v>0</v>
      </c>
      <c r="AT86" s="56">
        <f t="shared" si="102"/>
        <v>12</v>
      </c>
      <c r="AW86" s="8">
        <f t="shared" si="61"/>
        <v>38.814609316572657</v>
      </c>
      <c r="AX86" s="8">
        <f t="shared" si="62"/>
        <v>36.391436071258056</v>
      </c>
      <c r="AY86" s="8">
        <f t="shared" si="63"/>
        <v>14.45060073020905</v>
      </c>
      <c r="AZ86" s="8">
        <f t="shared" si="64"/>
        <v>4.0790152397564698</v>
      </c>
      <c r="BA86" s="8">
        <f t="shared" si="71"/>
        <v>93.735661357796232</v>
      </c>
      <c r="BD86" s="3">
        <f t="array" ref="BD86">MIN(100,MAX(0,L86-AJ86*5+AQ$16*(AP$27*T86+SUMPRODUCT($X86:$AH86,TRANSPOSE(AP$28:AP$38)))+AR$16*(AP$39*T86+SUMPRODUCT($X86:$AH86,TRANSPOSE(AP$40:AP$50)))+AS$16*(AP$51*T86+SUMPRODUCT($X86:$AH86,TRANSPOSE(AP$52:AP$62)))))</f>
        <v>38.814609316572657</v>
      </c>
      <c r="BE86" s="3">
        <f t="array" ref="BE86">MIN(100,MAX(0,M86-AK86*5+AP$17*(AQ$27*U86+SUMPRODUCT($X86:$AH86,TRANSPOSE(AQ$28:AQ$38)))+AR$17*(AQ$39*U86+SUMPRODUCT($X86:$AH86,TRANSPOSE(AQ$40:AQ$50)))+AS$17*(AQ$51*U86+SUMPRODUCT($X86:$AH86,TRANSPOSE(AQ$52:AQ$62)))))</f>
        <v>36.391436071258056</v>
      </c>
      <c r="BF86" s="3">
        <f t="array" ref="BF86">MIN(100,MAX(0,N86-AL86*5+AP$18*(AR$27*V86+SUMPRODUCT($X86:$AH86,TRANSPOSE(AR$28:AR$38)))+AQ$18*(AR$39*V86+SUMPRODUCT($X86:$AH86,TRANSPOSE(AR$40:AR$50)))+AS$18*(AR$51*V86+SUMPRODUCT($X86:$AH86,TRANSPOSE(AR$52:AR$62)))))</f>
        <v>14.45060073020905</v>
      </c>
      <c r="BG86" s="3">
        <f t="array" ref="BG86">MIN(100,MAX(0,O86+AP$19*(AS$27*W86+SUMPRODUCT($X86:$AH86,TRANSPOSE(AS$28:AS$38)))+AQ$19*(AS$39*W86+SUMPRODUCT($X86:$AH86,TRANSPOSE(AS$40:AS$50)))+AR$19*(AS$51*W86+SUMPRODUCT($X86:$AH86,TRANSPOSE(AS$52:AS$62)))))</f>
        <v>4.1208836873847474</v>
      </c>
      <c r="BJ86">
        <f t="shared" si="72"/>
        <v>1</v>
      </c>
      <c r="BK86">
        <f t="shared" si="73"/>
        <v>0</v>
      </c>
      <c r="BL86">
        <f t="shared" si="74"/>
        <v>0</v>
      </c>
      <c r="BM86">
        <f t="shared" si="75"/>
        <v>0</v>
      </c>
      <c r="BP86">
        <f t="shared" si="65"/>
        <v>1</v>
      </c>
      <c r="BQ86">
        <f t="shared" si="66"/>
        <v>0</v>
      </c>
      <c r="BR86">
        <f t="shared" si="67"/>
        <v>0</v>
      </c>
      <c r="BS86">
        <f t="shared" si="68"/>
        <v>1</v>
      </c>
    </row>
    <row r="87" spans="1:71">
      <c r="A87" t="s">
        <v>11</v>
      </c>
      <c r="B87" t="s">
        <v>224</v>
      </c>
      <c r="C87" t="s">
        <v>595</v>
      </c>
      <c r="D87">
        <v>35084</v>
      </c>
      <c r="E87">
        <v>355</v>
      </c>
      <c r="F87">
        <v>35</v>
      </c>
      <c r="G87">
        <v>28435</v>
      </c>
      <c r="H87">
        <v>12231</v>
      </c>
      <c r="I87">
        <v>14341</v>
      </c>
      <c r="J87">
        <v>2106</v>
      </c>
      <c r="K87">
        <v>57380</v>
      </c>
      <c r="L87" s="3">
        <f t="shared" si="53"/>
        <v>49.555594283722556</v>
      </c>
      <c r="M87" s="3">
        <f t="shared" si="54"/>
        <v>21.315789473684209</v>
      </c>
      <c r="N87" s="3">
        <f t="shared" si="55"/>
        <v>24.993028929940746</v>
      </c>
      <c r="O87" s="3">
        <f t="shared" si="56"/>
        <v>3.6702683861972814</v>
      </c>
      <c r="P87">
        <v>44.4</v>
      </c>
      <c r="Q87">
        <v>25.3</v>
      </c>
      <c r="R87">
        <v>25.6</v>
      </c>
      <c r="S87">
        <v>3.8</v>
      </c>
      <c r="T87">
        <f t="shared" si="57"/>
        <v>1</v>
      </c>
      <c r="U87">
        <f t="shared" si="58"/>
        <v>0</v>
      </c>
      <c r="V87">
        <f t="shared" si="59"/>
        <v>0</v>
      </c>
      <c r="W87">
        <f t="shared" si="60"/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f t="shared" si="69"/>
        <v>0</v>
      </c>
      <c r="AJ87">
        <v>0</v>
      </c>
      <c r="AK87">
        <v>0</v>
      </c>
      <c r="AL87">
        <v>0</v>
      </c>
      <c r="AO87" t="s">
        <v>529</v>
      </c>
      <c r="AP87" s="56">
        <f>SUMPRODUCT($AA$2:$AA$122,BJ$2:BJ$122)</f>
        <v>9</v>
      </c>
      <c r="AQ87" s="56">
        <f t="shared" ref="AQ87:AS87" si="104">SUMPRODUCT($AA$2:$AA$122,BK$2:BK$122)</f>
        <v>0</v>
      </c>
      <c r="AR87" s="56">
        <f t="shared" si="104"/>
        <v>0</v>
      </c>
      <c r="AS87" s="56">
        <f t="shared" si="104"/>
        <v>0</v>
      </c>
      <c r="AT87" s="56">
        <f t="shared" si="102"/>
        <v>9</v>
      </c>
      <c r="AW87" s="8">
        <f t="shared" si="61"/>
        <v>36.748838924072928</v>
      </c>
      <c r="AX87" s="8">
        <f t="shared" si="62"/>
        <v>43.273120098186446</v>
      </c>
      <c r="AY87" s="8">
        <f t="shared" si="63"/>
        <v>19.157214909413515</v>
      </c>
      <c r="AZ87" s="8">
        <f t="shared" si="64"/>
        <v>3.287411329069641</v>
      </c>
      <c r="BA87" s="8">
        <f t="shared" si="71"/>
        <v>102.46658526074253</v>
      </c>
      <c r="BD87" s="43">
        <f t="array" ref="BD87">MIN(100,MAX(0,L87-4-AJ87*5+AQ$16*(AP$27*T87+SUMPRODUCT($X87:$AH87,TRANSPOSE(AP$28:AP$38)))+AR$16*(AP$39*T87+SUMPRODUCT($X87:$AH87,TRANSPOSE(AP$40:AP$50)))+AS$16*(AP$51*T87+SUMPRODUCT($X87:$AH87,TRANSPOSE(AP$52:AP$62)))))</f>
        <v>36.748838924072928</v>
      </c>
      <c r="BE87" s="43">
        <f t="array" ref="BE87">MIN(100,MAX(0,M87+6.5-AK87*5+AP$17*(AQ$27*U87+SUMPRODUCT($X87:$AH87,TRANSPOSE(AQ$28:AQ$38)))+AR$17*(AQ$39*U87+SUMPRODUCT($X87:$AH87,TRANSPOSE(AQ$40:AQ$50)))+AS$17*(AQ$51*U87+SUMPRODUCT($X87:$AH87,TRANSPOSE(AQ$52:AQ$62)))))</f>
        <v>43.273120098186446</v>
      </c>
      <c r="BF87" s="3">
        <f t="array" ref="BF87">MIN(100,MAX(0,N87-AL87*5+AP$18*(AR$27*V87+SUMPRODUCT($X87:$AH87,TRANSPOSE(AR$28:AR$38)))+AQ$18*(AR$39*V87+SUMPRODUCT($X87:$AH87,TRANSPOSE(AR$40:AR$50)))+AS$18*(AR$51*V87+SUMPRODUCT($X87:$AH87,TRANSPOSE(AR$52:AR$62)))))</f>
        <v>19.157214909413515</v>
      </c>
      <c r="BG87" s="3">
        <f t="array" ref="BG87">MIN(100,MAX(0,O87+AP$19*(AS$27*W87+SUMPRODUCT($X87:$AH87,TRANSPOSE(AS$28:AS$38)))+AQ$19*(AS$39*W87+SUMPRODUCT($X87:$AH87,TRANSPOSE(AS$40:AS$50)))+AR$19*(AS$51*W87+SUMPRODUCT($X87:$AH87,TRANSPOSE(AS$52:AS$62)))))</f>
        <v>3.287411329069641</v>
      </c>
      <c r="BJ87">
        <f t="shared" si="72"/>
        <v>0</v>
      </c>
      <c r="BK87">
        <f t="shared" si="73"/>
        <v>1</v>
      </c>
      <c r="BL87">
        <f t="shared" si="74"/>
        <v>0</v>
      </c>
      <c r="BM87">
        <f t="shared" si="75"/>
        <v>0</v>
      </c>
      <c r="BP87">
        <f t="shared" si="65"/>
        <v>1</v>
      </c>
      <c r="BQ87">
        <f t="shared" si="66"/>
        <v>1</v>
      </c>
      <c r="BR87">
        <f t="shared" si="67"/>
        <v>1</v>
      </c>
      <c r="BS87">
        <f t="shared" si="68"/>
        <v>0</v>
      </c>
    </row>
    <row r="88" spans="1:71">
      <c r="A88" t="s">
        <v>11</v>
      </c>
      <c r="B88" t="s">
        <v>225</v>
      </c>
      <c r="C88" t="s">
        <v>596</v>
      </c>
      <c r="D88">
        <v>35085</v>
      </c>
      <c r="E88">
        <v>354</v>
      </c>
      <c r="F88">
        <v>35</v>
      </c>
      <c r="G88">
        <v>22574</v>
      </c>
      <c r="H88">
        <v>16480</v>
      </c>
      <c r="I88">
        <v>7731</v>
      </c>
      <c r="J88">
        <v>2217</v>
      </c>
      <c r="K88">
        <v>49098</v>
      </c>
      <c r="L88" s="3">
        <f t="shared" si="53"/>
        <v>45.977432889323396</v>
      </c>
      <c r="M88" s="3">
        <f t="shared" si="54"/>
        <v>33.565522017190105</v>
      </c>
      <c r="N88" s="3">
        <f t="shared" si="55"/>
        <v>15.746058902602957</v>
      </c>
      <c r="O88" s="3">
        <f t="shared" si="56"/>
        <v>4.5154588781620433</v>
      </c>
      <c r="P88">
        <v>44.4</v>
      </c>
      <c r="Q88">
        <v>25.3</v>
      </c>
      <c r="R88">
        <v>25.6</v>
      </c>
      <c r="S88">
        <v>3.8</v>
      </c>
      <c r="T88">
        <f t="shared" si="57"/>
        <v>1</v>
      </c>
      <c r="U88">
        <f t="shared" si="58"/>
        <v>0</v>
      </c>
      <c r="V88">
        <f t="shared" si="59"/>
        <v>0</v>
      </c>
      <c r="W88">
        <f t="shared" si="60"/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f t="shared" si="69"/>
        <v>1</v>
      </c>
      <c r="AJ88">
        <v>0</v>
      </c>
      <c r="AK88">
        <v>0</v>
      </c>
      <c r="AL88">
        <v>0</v>
      </c>
      <c r="AO88" t="s">
        <v>530</v>
      </c>
      <c r="AP88" s="56">
        <f>SUMPRODUCT($AB$2:$AB$122,BJ$2:BJ$122)</f>
        <v>6</v>
      </c>
      <c r="AQ88" s="56">
        <f t="shared" ref="AQ88:AS88" si="105">SUMPRODUCT($AB$2:$AB$122,BK$2:BK$122)</f>
        <v>3</v>
      </c>
      <c r="AR88" s="56">
        <f t="shared" si="105"/>
        <v>3</v>
      </c>
      <c r="AS88" s="56">
        <f t="shared" si="105"/>
        <v>0</v>
      </c>
      <c r="AT88" s="56">
        <f t="shared" si="102"/>
        <v>12</v>
      </c>
      <c r="AW88" s="8">
        <f t="shared" si="61"/>
        <v>34.609982256863304</v>
      </c>
      <c r="AX88" s="8">
        <f t="shared" si="62"/>
        <v>52.999250389369621</v>
      </c>
      <c r="AY88" s="8">
        <f t="shared" si="63"/>
        <v>8.6410887668543683</v>
      </c>
      <c r="AZ88" s="8">
        <f t="shared" si="64"/>
        <v>4.0566586855476707</v>
      </c>
      <c r="BA88" s="8">
        <f t="shared" si="71"/>
        <v>100.30698009863497</v>
      </c>
      <c r="BD88" s="3">
        <f t="array" ref="BD88">MIN(100,MAX(0,L88-AJ88*5+AQ$16*(AP$27*T88+SUMPRODUCT($X88:$AH88,TRANSPOSE(AP$28:AP$38)))+AR$16*(AP$39*T88+SUMPRODUCT($X88:$AH88,TRANSPOSE(AP$40:AP$50)))+AS$16*(AP$51*T88+SUMPRODUCT($X88:$AH88,TRANSPOSE(AP$52:AP$62)))))</f>
        <v>34.609982256863304</v>
      </c>
      <c r="BE88" s="3">
        <f t="array" ref="BE88">MIN(100,MAX(0,M88-AK88*5+AP$17*(AQ$27*U88+SUMPRODUCT($X88:$AH88,TRANSPOSE(AQ$28:AQ$38)))+AR$17*(AQ$39*U88+SUMPRODUCT($X88:$AH88,TRANSPOSE(AQ$40:AQ$50)))+AS$17*(AQ$51*U88+SUMPRODUCT($X88:$AH88,TRANSPOSE(AQ$52:AQ$62)))))</f>
        <v>52.999250389369621</v>
      </c>
      <c r="BF88" s="3">
        <f t="array" ref="BF88">MIN(100,MAX(0,N88-AL88*5+AP$18*(AR$27*V88+SUMPRODUCT($X88:$AH88,TRANSPOSE(AR$28:AR$38)))+AQ$18*(AR$39*V88+SUMPRODUCT($X88:$AH88,TRANSPOSE(AR$40:AR$50)))+AS$18*(AR$51*V88+SUMPRODUCT($X88:$AH88,TRANSPOSE(AR$52:AR$62)))))</f>
        <v>8.6410887668543683</v>
      </c>
      <c r="BG88" s="3">
        <f t="array" ref="BG88">MIN(100,MAX(0,O88+AP$19*(AS$27*W88+SUMPRODUCT($X88:$AH88,TRANSPOSE(AS$28:AS$38)))+AQ$19*(AS$39*W88+SUMPRODUCT($X88:$AH88,TRANSPOSE(AS$40:AS$50)))+AR$19*(AS$51*W88+SUMPRODUCT($X88:$AH88,TRANSPOSE(AS$52:AS$62)))))</f>
        <v>4.0971627980246241</v>
      </c>
      <c r="BJ88">
        <f t="shared" si="72"/>
        <v>0</v>
      </c>
      <c r="BK88">
        <f t="shared" si="73"/>
        <v>1</v>
      </c>
      <c r="BL88">
        <f t="shared" si="74"/>
        <v>0</v>
      </c>
      <c r="BM88">
        <f t="shared" si="75"/>
        <v>0</v>
      </c>
      <c r="BP88">
        <f t="shared" si="65"/>
        <v>1</v>
      </c>
      <c r="BQ88">
        <f t="shared" si="66"/>
        <v>1</v>
      </c>
      <c r="BR88">
        <f t="shared" si="67"/>
        <v>0</v>
      </c>
      <c r="BS88">
        <f t="shared" si="68"/>
        <v>1</v>
      </c>
    </row>
    <row r="89" spans="1:71" s="4" customFormat="1">
      <c r="A89" s="4" t="s">
        <v>11</v>
      </c>
      <c r="B89" s="4" t="s">
        <v>226</v>
      </c>
      <c r="C89" s="4" t="s">
        <v>597</v>
      </c>
      <c r="D89" s="4">
        <v>35086</v>
      </c>
      <c r="E89" s="4">
        <v>353</v>
      </c>
      <c r="F89" s="4">
        <v>35</v>
      </c>
      <c r="G89" s="4">
        <v>27462</v>
      </c>
      <c r="H89" s="4">
        <v>6545</v>
      </c>
      <c r="I89" s="4">
        <v>6903</v>
      </c>
      <c r="J89" s="4">
        <v>877</v>
      </c>
      <c r="K89" s="4">
        <v>51398</v>
      </c>
      <c r="L89" s="49">
        <f t="shared" si="53"/>
        <v>53.43009455620841</v>
      </c>
      <c r="M89" s="49">
        <f t="shared" si="54"/>
        <v>12.733958519786762</v>
      </c>
      <c r="N89" s="49">
        <f t="shared" si="55"/>
        <v>13.430483676407642</v>
      </c>
      <c r="O89" s="49">
        <f t="shared" si="56"/>
        <v>1.7062920736215417</v>
      </c>
      <c r="P89" s="4">
        <v>44.4</v>
      </c>
      <c r="Q89" s="4">
        <v>25.3</v>
      </c>
      <c r="R89" s="4">
        <v>25.6</v>
      </c>
      <c r="S89" s="4">
        <v>3.8</v>
      </c>
      <c r="T89" s="4">
        <f t="shared" si="57"/>
        <v>1</v>
      </c>
      <c r="U89" s="4">
        <f t="shared" si="58"/>
        <v>0</v>
      </c>
      <c r="V89" s="4">
        <f t="shared" si="59"/>
        <v>0</v>
      </c>
      <c r="W89" s="4">
        <f t="shared" si="60"/>
        <v>0</v>
      </c>
      <c r="X89" s="4">
        <v>0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>
        <f t="shared" si="69"/>
        <v>0</v>
      </c>
      <c r="AJ89">
        <v>0</v>
      </c>
      <c r="AK89">
        <v>0</v>
      </c>
      <c r="AL89">
        <v>0</v>
      </c>
      <c r="AO89" t="s">
        <v>531</v>
      </c>
      <c r="AP89" s="56">
        <f>SUMPRODUCT($AC$2:$AC$122,BJ$2:BJ$122)</f>
        <v>7</v>
      </c>
      <c r="AQ89" s="56">
        <f t="shared" ref="AQ89:AS89" si="106">SUMPRODUCT($AC$2:$AC$122,BK$2:BK$122)</f>
        <v>4</v>
      </c>
      <c r="AR89" s="56">
        <f t="shared" si="106"/>
        <v>0</v>
      </c>
      <c r="AS89" s="56">
        <f t="shared" si="106"/>
        <v>0</v>
      </c>
      <c r="AT89" s="56">
        <f t="shared" si="102"/>
        <v>11</v>
      </c>
      <c r="AW89" s="52">
        <f t="shared" si="61"/>
        <v>44.623339196558781</v>
      </c>
      <c r="AX89" s="52">
        <f t="shared" si="62"/>
        <v>28.191289144289001</v>
      </c>
      <c r="AY89" s="52">
        <f t="shared" si="63"/>
        <v>7.5946696558804119</v>
      </c>
      <c r="AZ89" s="52">
        <f t="shared" si="64"/>
        <v>1.3234350164939013</v>
      </c>
      <c r="BA89" s="52">
        <f t="shared" si="71"/>
        <v>81.732733013222088</v>
      </c>
      <c r="BD89" s="3">
        <f t="array" ref="BD89">MIN(100,MAX(0,L89-AJ89*5+AQ$16*(AP$27*T89+SUMPRODUCT($X89:$AH89,TRANSPOSE(AP$28:AP$38)))+AR$16*(AP$39*T89+SUMPRODUCT($X89:$AH89,TRANSPOSE(AP$40:AP$50)))+AS$16*(AP$51*T89+SUMPRODUCT($X89:$AH89,TRANSPOSE(AP$52:AP$62)))))</f>
        <v>44.623339196558781</v>
      </c>
      <c r="BE89" s="3">
        <f t="array" ref="BE89">MIN(100,MAX(0,M89-AK89*5+AP$17*(AQ$27*U89+SUMPRODUCT($X89:$AH89,TRANSPOSE(AQ$28:AQ$38)))+AR$17*(AQ$39*U89+SUMPRODUCT($X89:$AH89,TRANSPOSE(AQ$40:AQ$50)))+AS$17*(AQ$51*U89+SUMPRODUCT($X89:$AH89,TRANSPOSE(AQ$52:AQ$62)))))</f>
        <v>28.191289144289001</v>
      </c>
      <c r="BF89" s="3">
        <f t="array" ref="BF89">MIN(100,MAX(0,N89-AL89*5+AP$18*(AR$27*V89+SUMPRODUCT($X89:$AH89,TRANSPOSE(AR$28:AR$38)))+AQ$18*(AR$39*V89+SUMPRODUCT($X89:$AH89,TRANSPOSE(AR$40:AR$50)))+AS$18*(AR$51*V89+SUMPRODUCT($X89:$AH89,TRANSPOSE(AR$52:AR$62)))))</f>
        <v>7.5946696558804119</v>
      </c>
      <c r="BG89" s="49">
        <f t="array" ref="BG89">MIN(100,MAX(0,O89+AP$19*(AS$27*W89+SUMPRODUCT($X89:$AH89,TRANSPOSE(AS$28:AS$38)))+AQ$19*(AS$39*W89+SUMPRODUCT($X89:$AH89,TRANSPOSE(AS$40:AS$50)))+AR$19*(AS$51*W89+SUMPRODUCT($X89:$AH89,TRANSPOSE(AS$52:AS$62)))))</f>
        <v>1.3234350164939013</v>
      </c>
      <c r="BJ89" s="4">
        <f t="shared" si="72"/>
        <v>1</v>
      </c>
      <c r="BK89" s="4">
        <f t="shared" si="73"/>
        <v>0</v>
      </c>
      <c r="BL89" s="4">
        <f t="shared" si="74"/>
        <v>0</v>
      </c>
      <c r="BM89" s="4">
        <f t="shared" si="75"/>
        <v>0</v>
      </c>
      <c r="BP89" s="4">
        <f t="shared" si="65"/>
        <v>1</v>
      </c>
      <c r="BQ89" s="4">
        <f t="shared" si="66"/>
        <v>0</v>
      </c>
      <c r="BR89" s="4">
        <f t="shared" si="67"/>
        <v>0</v>
      </c>
      <c r="BS89" s="4">
        <f t="shared" si="68"/>
        <v>0</v>
      </c>
    </row>
    <row r="90" spans="1:71">
      <c r="A90" t="s">
        <v>11</v>
      </c>
      <c r="B90" t="s">
        <v>227</v>
      </c>
      <c r="C90" t="s">
        <v>227</v>
      </c>
      <c r="D90">
        <v>35087</v>
      </c>
      <c r="E90">
        <v>3511</v>
      </c>
      <c r="F90">
        <v>35</v>
      </c>
      <c r="G90">
        <v>18521</v>
      </c>
      <c r="H90">
        <v>15150</v>
      </c>
      <c r="I90">
        <v>7245</v>
      </c>
      <c r="J90">
        <v>1612</v>
      </c>
      <c r="K90">
        <v>42532</v>
      </c>
      <c r="L90" s="3">
        <f t="shared" si="53"/>
        <v>43.54603592589109</v>
      </c>
      <c r="M90" s="3">
        <f t="shared" si="54"/>
        <v>35.620238878961722</v>
      </c>
      <c r="N90" s="3">
        <f t="shared" si="55"/>
        <v>17.034233048057935</v>
      </c>
      <c r="O90" s="3">
        <f t="shared" si="56"/>
        <v>3.7900874635568513</v>
      </c>
      <c r="P90">
        <v>44.4</v>
      </c>
      <c r="Q90">
        <v>25.3</v>
      </c>
      <c r="R90">
        <v>25.6</v>
      </c>
      <c r="S90">
        <v>3.8</v>
      </c>
      <c r="T90">
        <f t="shared" si="57"/>
        <v>1</v>
      </c>
      <c r="U90">
        <f t="shared" si="58"/>
        <v>0</v>
      </c>
      <c r="V90">
        <f t="shared" si="59"/>
        <v>0</v>
      </c>
      <c r="W90">
        <f t="shared" si="60"/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f t="shared" si="69"/>
        <v>1</v>
      </c>
      <c r="AJ90">
        <v>0</v>
      </c>
      <c r="AK90">
        <v>0</v>
      </c>
      <c r="AL90">
        <v>0</v>
      </c>
      <c r="AO90" t="s">
        <v>532</v>
      </c>
      <c r="AP90" s="56">
        <f>SUMPRODUCT($AD$2:$AD$122,BJ$2:BJ$122)</f>
        <v>2</v>
      </c>
      <c r="AQ90" s="56">
        <f t="shared" ref="AQ90:AS90" si="107">SUMPRODUCT($AD$2:$AD$122,BK$2:BK$122)</f>
        <v>8</v>
      </c>
      <c r="AR90" s="56">
        <f t="shared" si="107"/>
        <v>0</v>
      </c>
      <c r="AS90" s="56">
        <f t="shared" si="107"/>
        <v>0</v>
      </c>
      <c r="AT90" s="56">
        <f t="shared" si="102"/>
        <v>10</v>
      </c>
      <c r="AW90" s="8">
        <f t="shared" si="61"/>
        <v>32.178585293430999</v>
      </c>
      <c r="AX90" s="8">
        <f t="shared" si="62"/>
        <v>55.053967251141238</v>
      </c>
      <c r="AY90" s="8">
        <f t="shared" si="63"/>
        <v>9.9292629123093459</v>
      </c>
      <c r="AZ90" s="8">
        <f t="shared" si="64"/>
        <v>3.3717913834194322</v>
      </c>
      <c r="BA90" s="8">
        <f t="shared" si="71"/>
        <v>100.533606840301</v>
      </c>
      <c r="BD90" s="3">
        <f t="array" ref="BD90">MIN(100,MAX(0,L90-AJ90*5+AQ$16*(AP$27*T90+SUMPRODUCT($X90:$AH90,TRANSPOSE(AP$28:AP$38)))+AR$16*(AP$39*T90+SUMPRODUCT($X90:$AH90,TRANSPOSE(AP$40:AP$50)))+AS$16*(AP$51*T90+SUMPRODUCT($X90:$AH90,TRANSPOSE(AP$52:AP$62)))))</f>
        <v>32.178585293430999</v>
      </c>
      <c r="BE90" s="3">
        <f t="array" ref="BE90">MIN(100,MAX(0,M90-AK90*5+AP$17*(AQ$27*U90+SUMPRODUCT($X90:$AH90,TRANSPOSE(AQ$28:AQ$38)))+AR$17*(AQ$39*U90+SUMPRODUCT($X90:$AH90,TRANSPOSE(AQ$40:AQ$50)))+AS$17*(AQ$51*U90+SUMPRODUCT($X90:$AH90,TRANSPOSE(AQ$52:AQ$62)))))</f>
        <v>55.053967251141238</v>
      </c>
      <c r="BF90" s="3">
        <f t="array" ref="BF90">MIN(100,MAX(0,N90-AL90*5+AP$18*(AR$27*V90+SUMPRODUCT($X90:$AH90,TRANSPOSE(AR$28:AR$38)))+AQ$18*(AR$39*V90+SUMPRODUCT($X90:$AH90,TRANSPOSE(AR$40:AR$50)))+AS$18*(AR$51*V90+SUMPRODUCT($X90:$AH90,TRANSPOSE(AR$52:AR$62)))))</f>
        <v>9.9292629123093459</v>
      </c>
      <c r="BG90" s="3">
        <f t="array" ref="BG90">MIN(100,MAX(0,O90+AP$19*(AS$27*W90+SUMPRODUCT($X90:$AH90,TRANSPOSE(AS$28:AS$38)))+AQ$19*(AS$39*W90+SUMPRODUCT($X90:$AH90,TRANSPOSE(AS$40:AS$50)))+AR$19*(AS$51*W90+SUMPRODUCT($X90:$AH90,TRANSPOSE(AS$52:AS$62)))))</f>
        <v>3.3717913834194322</v>
      </c>
      <c r="BJ90">
        <f t="shared" si="72"/>
        <v>0</v>
      </c>
      <c r="BK90">
        <f t="shared" si="73"/>
        <v>1</v>
      </c>
      <c r="BL90">
        <f t="shared" si="74"/>
        <v>0</v>
      </c>
      <c r="BM90">
        <f t="shared" si="75"/>
        <v>0</v>
      </c>
      <c r="BP90">
        <f t="shared" si="65"/>
        <v>0</v>
      </c>
      <c r="BQ90">
        <f t="shared" si="66"/>
        <v>1</v>
      </c>
      <c r="BR90">
        <f t="shared" si="67"/>
        <v>0</v>
      </c>
      <c r="BS90">
        <f t="shared" si="68"/>
        <v>0</v>
      </c>
    </row>
    <row r="91" spans="1:71">
      <c r="A91" t="s">
        <v>11</v>
      </c>
      <c r="B91" t="s">
        <v>228</v>
      </c>
      <c r="C91" t="s">
        <v>598</v>
      </c>
      <c r="D91">
        <v>35091</v>
      </c>
      <c r="E91">
        <v>358</v>
      </c>
      <c r="F91">
        <v>35</v>
      </c>
      <c r="G91">
        <v>26112</v>
      </c>
      <c r="H91">
        <v>6931</v>
      </c>
      <c r="I91">
        <v>14856</v>
      </c>
      <c r="J91">
        <v>1252</v>
      </c>
      <c r="K91">
        <v>49665</v>
      </c>
      <c r="L91" s="3">
        <f t="shared" si="53"/>
        <v>52.576260948353969</v>
      </c>
      <c r="M91" s="3">
        <f t="shared" si="54"/>
        <v>13.955501862478606</v>
      </c>
      <c r="N91" s="3">
        <f t="shared" si="55"/>
        <v>29.912413168227118</v>
      </c>
      <c r="O91" s="3">
        <f t="shared" si="56"/>
        <v>2.5208899627504278</v>
      </c>
      <c r="P91">
        <v>44.4</v>
      </c>
      <c r="Q91">
        <v>25.3</v>
      </c>
      <c r="R91">
        <v>25.6</v>
      </c>
      <c r="S91">
        <v>3.8</v>
      </c>
      <c r="T91" s="54">
        <v>0</v>
      </c>
      <c r="U91">
        <f t="shared" si="58"/>
        <v>0</v>
      </c>
      <c r="V91">
        <f t="shared" si="59"/>
        <v>0</v>
      </c>
      <c r="W91">
        <f t="shared" si="60"/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f t="shared" si="69"/>
        <v>0</v>
      </c>
      <c r="AJ91">
        <v>1</v>
      </c>
      <c r="AK91">
        <v>0</v>
      </c>
      <c r="AL91">
        <v>0</v>
      </c>
      <c r="AO91" t="s">
        <v>533</v>
      </c>
      <c r="AP91" s="56">
        <f>SUMPRODUCT($AE$2:$AE$122,BJ$2:BJ$122)</f>
        <v>2</v>
      </c>
      <c r="AQ91" s="56">
        <f t="shared" ref="AQ91:AS91" si="108">SUMPRODUCT($AE$2:$AE$122,BK$2:BK$122)</f>
        <v>12</v>
      </c>
      <c r="AR91" s="56">
        <f t="shared" si="108"/>
        <v>0</v>
      </c>
      <c r="AS91" s="56">
        <f t="shared" si="108"/>
        <v>0</v>
      </c>
      <c r="AT91" s="56">
        <f t="shared" si="102"/>
        <v>14</v>
      </c>
      <c r="AW91" s="8">
        <f t="shared" si="61"/>
        <v>37.375882069738637</v>
      </c>
      <c r="AX91" s="8">
        <f t="shared" si="62"/>
        <v>31.783746628843577</v>
      </c>
      <c r="AY91" s="8">
        <f t="shared" si="63"/>
        <v>23.185357789798914</v>
      </c>
      <c r="AZ91" s="8">
        <f t="shared" si="64"/>
        <v>2.1182310264291546</v>
      </c>
      <c r="BA91" s="8">
        <f t="shared" si="71"/>
        <v>94.463217514810282</v>
      </c>
      <c r="BD91" s="3">
        <f t="array" ref="BD91">MIN(100,MAX(0,L91-AJ91*5+AQ$16*(AP$27*T91+SUMPRODUCT($X91:$AH91,TRANSPOSE(AP$28:AP$38)))+AR$16*(AP$39*T91+SUMPRODUCT($X91:$AH91,TRANSPOSE(AP$40:AP$50)))+AS$16*(AP$51*T91+SUMPRODUCT($X91:$AH91,TRANSPOSE(AP$52:AP$62)))))</f>
        <v>37.375882069738637</v>
      </c>
      <c r="BE91" s="3">
        <f t="array" ref="BE91">MIN(100,MAX(0,M91-AK91*5+AP$17*(AQ$27*U91+SUMPRODUCT($X91:$AH91,TRANSPOSE(AQ$28:AQ$38)))+AR$17*(AQ$39*U91+SUMPRODUCT($X91:$AH91,TRANSPOSE(AQ$40:AQ$50)))+AS$17*(AQ$51*U91+SUMPRODUCT($X91:$AH91,TRANSPOSE(AQ$52:AQ$62)))))</f>
        <v>31.783746628843577</v>
      </c>
      <c r="BF91" s="3">
        <f t="array" ref="BF91">MIN(100,MAX(0,N91-AL91*5+AP$18*(AR$27*V91+SUMPRODUCT($X91:$AH91,TRANSPOSE(AR$28:AR$38)))+AQ$18*(AR$39*V91+SUMPRODUCT($X91:$AH91,TRANSPOSE(AR$40:AR$50)))+AS$18*(AR$51*V91+SUMPRODUCT($X91:$AH91,TRANSPOSE(AR$52:AR$62)))))</f>
        <v>23.185357789798914</v>
      </c>
      <c r="BG91" s="3">
        <f t="array" ref="BG91">MIN(100,MAX(0,O91+AP$19*(AS$27*W91+SUMPRODUCT($X91:$AH91,TRANSPOSE(AS$28:AS$38)))+AQ$19*(AS$39*W91+SUMPRODUCT($X91:$AH91,TRANSPOSE(AS$40:AS$50)))+AR$19*(AS$51*W91+SUMPRODUCT($X91:$AH91,TRANSPOSE(AS$52:AS$62)))))</f>
        <v>2.1182310264291546</v>
      </c>
      <c r="BJ91">
        <f t="shared" si="72"/>
        <v>1</v>
      </c>
      <c r="BK91">
        <f t="shared" si="73"/>
        <v>0</v>
      </c>
      <c r="BL91">
        <f t="shared" si="74"/>
        <v>0</v>
      </c>
      <c r="BM91">
        <f t="shared" si="75"/>
        <v>0</v>
      </c>
      <c r="BP91">
        <f t="shared" si="65"/>
        <v>1</v>
      </c>
      <c r="BQ91">
        <f t="shared" si="66"/>
        <v>0</v>
      </c>
      <c r="BR91">
        <f t="shared" si="67"/>
        <v>1</v>
      </c>
      <c r="BS91">
        <f t="shared" si="68"/>
        <v>0</v>
      </c>
    </row>
    <row r="92" spans="1:71">
      <c r="A92" t="s">
        <v>11</v>
      </c>
      <c r="B92" t="s">
        <v>229</v>
      </c>
      <c r="C92" t="s">
        <v>229</v>
      </c>
      <c r="D92">
        <v>35092</v>
      </c>
      <c r="E92">
        <v>3512</v>
      </c>
      <c r="F92">
        <v>35</v>
      </c>
      <c r="G92">
        <v>16316</v>
      </c>
      <c r="H92">
        <v>7967</v>
      </c>
      <c r="I92">
        <v>15123</v>
      </c>
      <c r="J92">
        <v>845</v>
      </c>
      <c r="K92">
        <v>40388</v>
      </c>
      <c r="L92" s="3">
        <f t="shared" si="53"/>
        <v>40.39813806081014</v>
      </c>
      <c r="M92" s="3">
        <f t="shared" si="54"/>
        <v>19.726156284044766</v>
      </c>
      <c r="N92" s="3">
        <f t="shared" si="55"/>
        <v>37.444290383282166</v>
      </c>
      <c r="O92" s="3">
        <f t="shared" si="56"/>
        <v>2.0922056056254332</v>
      </c>
      <c r="P92">
        <v>44.4</v>
      </c>
      <c r="Q92">
        <v>25.3</v>
      </c>
      <c r="R92">
        <v>25.6</v>
      </c>
      <c r="S92">
        <v>3.8</v>
      </c>
      <c r="T92">
        <f t="shared" si="57"/>
        <v>1</v>
      </c>
      <c r="U92">
        <f t="shared" si="58"/>
        <v>0</v>
      </c>
      <c r="V92">
        <f t="shared" si="59"/>
        <v>0</v>
      </c>
      <c r="W92">
        <f t="shared" si="60"/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f t="shared" si="69"/>
        <v>0</v>
      </c>
      <c r="AJ92">
        <v>0</v>
      </c>
      <c r="AK92">
        <v>0</v>
      </c>
      <c r="AL92">
        <v>0</v>
      </c>
      <c r="AO92" t="s">
        <v>534</v>
      </c>
      <c r="AP92" s="56">
        <f>SUMPRODUCT($AF$2:$AF$122,BJ$2:BJ$122)</f>
        <v>0</v>
      </c>
      <c r="AQ92" s="56">
        <f t="shared" ref="AQ92:AS92" si="109">SUMPRODUCT($AF$2:$AF$122,BK$2:BK$122)</f>
        <v>12</v>
      </c>
      <c r="AR92" s="56">
        <f t="shared" si="109"/>
        <v>1</v>
      </c>
      <c r="AS92" s="56">
        <f t="shared" si="109"/>
        <v>0</v>
      </c>
      <c r="AT92" s="56">
        <f t="shared" si="102"/>
        <v>13</v>
      </c>
      <c r="AW92" s="8">
        <f t="shared" si="61"/>
        <v>30.692241067873169</v>
      </c>
      <c r="AX92" s="8">
        <f t="shared" si="62"/>
        <v>37.422029357648626</v>
      </c>
      <c r="AY92" s="8">
        <f t="shared" si="63"/>
        <v>30.348315686940428</v>
      </c>
      <c r="AZ92" s="8">
        <f t="shared" si="64"/>
        <v>1.6926571033842104</v>
      </c>
      <c r="BA92" s="8">
        <f t="shared" si="71"/>
        <v>100.15524321584643</v>
      </c>
      <c r="BD92" s="3">
        <f t="array" ref="BD92">MIN(100,MAX(0,L92-AJ92*5+AQ$16*(AP$27*T92+SUMPRODUCT($X92:$AH92,TRANSPOSE(AP$28:AP$38)))+AR$16*(AP$39*T92+SUMPRODUCT($X92:$AH92,TRANSPOSE(AP$40:AP$50)))+AS$16*(AP$51*T92+SUMPRODUCT($X92:$AH92,TRANSPOSE(AP$52:AP$62)))))</f>
        <v>30.692241067873169</v>
      </c>
      <c r="BE92" s="3">
        <f t="array" ref="BE92">MIN(100,MAX(0,M92-AK92*5+AP$17*(AQ$27*U92+SUMPRODUCT($X92:$AH92,TRANSPOSE(AQ$28:AQ$38)))+AR$17*(AQ$39*U92+SUMPRODUCT($X92:$AH92,TRANSPOSE(AQ$40:AQ$50)))+AS$17*(AQ$51*U92+SUMPRODUCT($X92:$AH92,TRANSPOSE(AQ$52:AQ$62)))))</f>
        <v>37.422029357648626</v>
      </c>
      <c r="BF92" s="3">
        <f t="array" ref="BF92">MIN(100,MAX(0,N92-AL92*5+AP$18*(AR$27*V92+SUMPRODUCT($X92:$AH92,TRANSPOSE(AR$28:AR$38)))+AQ$18*(AR$39*V92+SUMPRODUCT($X92:$AH92,TRANSPOSE(AR$40:AR$50)))+AS$18*(AR$51*V92+SUMPRODUCT($X92:$AH92,TRANSPOSE(AR$52:AR$62)))))</f>
        <v>30.348315686940428</v>
      </c>
      <c r="BG92" s="3">
        <f t="array" ref="BG92">MIN(100,MAX(0,O92+AP$19*(AS$27*W92+SUMPRODUCT($X92:$AH92,TRANSPOSE(AS$28:AS$38)))+AQ$19*(AS$39*W92+SUMPRODUCT($X92:$AH92,TRANSPOSE(AS$40:AS$50)))+AR$19*(AS$51*W92+SUMPRODUCT($X92:$AH92,TRANSPOSE(AS$52:AS$62)))))</f>
        <v>1.6926571033842104</v>
      </c>
      <c r="BJ92">
        <f t="shared" si="72"/>
        <v>0</v>
      </c>
      <c r="BK92">
        <f t="shared" si="73"/>
        <v>1</v>
      </c>
      <c r="BL92">
        <f t="shared" si="74"/>
        <v>0</v>
      </c>
      <c r="BM92">
        <f t="shared" si="75"/>
        <v>0</v>
      </c>
      <c r="BP92">
        <f t="shared" si="65"/>
        <v>0</v>
      </c>
      <c r="BQ92">
        <f t="shared" si="66"/>
        <v>0</v>
      </c>
      <c r="BR92">
        <f t="shared" si="67"/>
        <v>1</v>
      </c>
      <c r="BS92">
        <f t="shared" si="68"/>
        <v>0</v>
      </c>
    </row>
    <row r="93" spans="1:71">
      <c r="A93" t="s">
        <v>11</v>
      </c>
      <c r="B93" t="s">
        <v>230</v>
      </c>
      <c r="C93" t="s">
        <v>230</v>
      </c>
      <c r="D93">
        <v>35094</v>
      </c>
      <c r="E93">
        <v>355</v>
      </c>
      <c r="F93">
        <v>35</v>
      </c>
      <c r="G93">
        <v>12841</v>
      </c>
      <c r="H93">
        <v>11738</v>
      </c>
      <c r="I93">
        <v>11285</v>
      </c>
      <c r="J93">
        <v>946</v>
      </c>
      <c r="K93">
        <v>36809</v>
      </c>
      <c r="L93" s="3">
        <f t="shared" si="53"/>
        <v>34.885489961694148</v>
      </c>
      <c r="M93" s="3">
        <f t="shared" si="54"/>
        <v>31.888940204841209</v>
      </c>
      <c r="N93" s="3">
        <f t="shared" si="55"/>
        <v>30.658262924828168</v>
      </c>
      <c r="O93" s="3">
        <f t="shared" si="56"/>
        <v>2.5700236355239205</v>
      </c>
      <c r="P93">
        <v>44.4</v>
      </c>
      <c r="Q93">
        <v>25.3</v>
      </c>
      <c r="R93">
        <v>25.6</v>
      </c>
      <c r="S93">
        <v>3.8</v>
      </c>
      <c r="T93">
        <f t="shared" si="57"/>
        <v>1</v>
      </c>
      <c r="U93">
        <f t="shared" si="58"/>
        <v>0</v>
      </c>
      <c r="V93">
        <f t="shared" si="59"/>
        <v>0</v>
      </c>
      <c r="W93">
        <f t="shared" si="60"/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f t="shared" si="69"/>
        <v>1</v>
      </c>
      <c r="AJ93">
        <v>0</v>
      </c>
      <c r="AK93">
        <v>0</v>
      </c>
      <c r="AL93">
        <v>0</v>
      </c>
      <c r="AO93" t="s">
        <v>535</v>
      </c>
      <c r="AP93" s="56">
        <f>SUMPRODUCT($AG$2:$AG$122,BJ$2:BJ$122)</f>
        <v>5</v>
      </c>
      <c r="AQ93" s="56">
        <f t="shared" ref="AQ93:AS93" si="110">SUMPRODUCT($AG$2:$AG$122,BK$2:BK$122)</f>
        <v>1</v>
      </c>
      <c r="AR93" s="56">
        <f t="shared" si="110"/>
        <v>4</v>
      </c>
      <c r="AS93" s="56">
        <f t="shared" si="110"/>
        <v>0</v>
      </c>
      <c r="AT93" s="56">
        <f t="shared" si="102"/>
        <v>10</v>
      </c>
      <c r="AW93" s="8">
        <f t="shared" si="61"/>
        <v>23.731053427064253</v>
      </c>
      <c r="AX93" s="8">
        <f t="shared" si="62"/>
        <v>52.761011786366296</v>
      </c>
      <c r="AY93" s="8">
        <f t="shared" si="63"/>
        <v>21.982786357547106</v>
      </c>
      <c r="AZ93" s="8">
        <f t="shared" si="64"/>
        <v>2.1110664427647019</v>
      </c>
      <c r="BA93" s="8">
        <f t="shared" si="71"/>
        <v>100.58591801374234</v>
      </c>
      <c r="BD93" s="3">
        <f t="array" ref="BD93">MIN(100,MAX(0,L93-AJ93*5+AQ$16*(AP$27*T93+SUMPRODUCT($X93:$AH93,TRANSPOSE(AP$28:AP$38)))+AR$16*(AP$39*T93+SUMPRODUCT($X93:$AH93,TRANSPOSE(AP$40:AP$50)))+AS$16*(AP$51*T93+SUMPRODUCT($X93:$AH93,TRANSPOSE(AP$52:AP$62)))))</f>
        <v>23.731053427064253</v>
      </c>
      <c r="BE93" s="3">
        <f t="array" ref="BE93">MIN(100,MAX(0,M93-AK93*5+AP$17*(AQ$27*U93+SUMPRODUCT($X93:$AH93,TRANSPOSE(AQ$28:AQ$38)))+AR$17*(AQ$39*U93+SUMPRODUCT($X93:$AH93,TRANSPOSE(AQ$40:AQ$50)))+AS$17*(AQ$51*U93+SUMPRODUCT($X93:$AH93,TRANSPOSE(AQ$52:AQ$62)))))</f>
        <v>52.761011786366296</v>
      </c>
      <c r="BF93" s="3">
        <f t="array" ref="BF93">MIN(100,MAX(0,N93-AL93*5+AP$18*(AR$27*V93+SUMPRODUCT($X93:$AH93,TRANSPOSE(AR$28:AR$38)))+AQ$18*(AR$39*V93+SUMPRODUCT($X93:$AH93,TRANSPOSE(AR$40:AR$50)))+AS$18*(AR$51*V93+SUMPRODUCT($X93:$AH93,TRANSPOSE(AR$52:AR$62)))))</f>
        <v>21.982786357547106</v>
      </c>
      <c r="BG93" s="3">
        <f t="array" ref="BG93">MIN(100,MAX(0,O93+AP$19*(AS$27*W93+SUMPRODUCT($X93:$AH93,TRANSPOSE(AS$28:AS$38)))+AQ$19*(AS$39*W93+SUMPRODUCT($X93:$AH93,TRANSPOSE(AS$40:AS$50)))+AR$19*(AS$51*W93+SUMPRODUCT($X93:$AH93,TRANSPOSE(AS$52:AS$62)))))</f>
        <v>2.1110664427647019</v>
      </c>
      <c r="BJ93">
        <f t="shared" si="72"/>
        <v>0</v>
      </c>
      <c r="BK93">
        <f t="shared" si="73"/>
        <v>1</v>
      </c>
      <c r="BL93">
        <f t="shared" si="74"/>
        <v>0</v>
      </c>
      <c r="BM93">
        <f t="shared" si="75"/>
        <v>0</v>
      </c>
      <c r="BP93">
        <f t="shared" si="65"/>
        <v>0</v>
      </c>
      <c r="BQ93">
        <f t="shared" si="66"/>
        <v>1</v>
      </c>
      <c r="BR93">
        <f t="shared" si="67"/>
        <v>1</v>
      </c>
      <c r="BS93">
        <f t="shared" si="68"/>
        <v>0</v>
      </c>
    </row>
    <row r="94" spans="1:71">
      <c r="A94" t="s">
        <v>11</v>
      </c>
      <c r="B94" t="s">
        <v>231</v>
      </c>
      <c r="C94" t="s">
        <v>231</v>
      </c>
      <c r="D94">
        <v>35096</v>
      </c>
      <c r="E94">
        <v>3511</v>
      </c>
      <c r="F94">
        <v>35</v>
      </c>
      <c r="G94">
        <v>11959</v>
      </c>
      <c r="H94">
        <v>10343</v>
      </c>
      <c r="I94">
        <v>12672</v>
      </c>
      <c r="J94">
        <v>579</v>
      </c>
      <c r="K94">
        <v>35830</v>
      </c>
      <c r="L94" s="3">
        <f t="shared" si="53"/>
        <v>33.377058331007539</v>
      </c>
      <c r="M94" s="3">
        <f t="shared" si="54"/>
        <v>28.866871336868545</v>
      </c>
      <c r="N94" s="3">
        <f t="shared" si="55"/>
        <v>35.36701088473346</v>
      </c>
      <c r="O94" s="3">
        <f t="shared" si="56"/>
        <v>1.6159642757465811</v>
      </c>
      <c r="P94">
        <v>44.4</v>
      </c>
      <c r="Q94">
        <v>25.3</v>
      </c>
      <c r="R94">
        <v>25.6</v>
      </c>
      <c r="S94">
        <v>3.8</v>
      </c>
      <c r="T94">
        <f t="shared" si="57"/>
        <v>0</v>
      </c>
      <c r="U94">
        <f t="shared" si="58"/>
        <v>0</v>
      </c>
      <c r="V94">
        <f t="shared" si="59"/>
        <v>1</v>
      </c>
      <c r="W94">
        <f t="shared" si="60"/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f t="shared" si="69"/>
        <v>1</v>
      </c>
      <c r="AJ94">
        <v>0</v>
      </c>
      <c r="AK94">
        <v>0</v>
      </c>
      <c r="AL94">
        <v>0</v>
      </c>
      <c r="AO94" t="s">
        <v>536</v>
      </c>
      <c r="AP94" s="56">
        <f>SUMPRODUCT($AH$2:$AH$122,BJ$2:BJ$122)</f>
        <v>0</v>
      </c>
      <c r="AQ94" s="56">
        <f t="shared" ref="AQ94:AS94" si="111">SUMPRODUCT($AH$2:$AH$122,BK$2:BK$122)</f>
        <v>12</v>
      </c>
      <c r="AR94" s="56">
        <f t="shared" si="111"/>
        <v>0</v>
      </c>
      <c r="AS94" s="56">
        <f t="shared" si="111"/>
        <v>0</v>
      </c>
      <c r="AT94" s="56">
        <f t="shared" si="102"/>
        <v>12</v>
      </c>
      <c r="AW94" s="8">
        <f t="shared" si="61"/>
        <v>22.222621796377645</v>
      </c>
      <c r="AX94" s="8">
        <f t="shared" si="62"/>
        <v>49.738942918393633</v>
      </c>
      <c r="AY94" s="8">
        <f t="shared" si="63"/>
        <v>24.90295487619656</v>
      </c>
      <c r="AZ94" s="8">
        <f t="shared" si="64"/>
        <v>1.1570070829873624</v>
      </c>
      <c r="BA94" s="8">
        <f t="shared" si="71"/>
        <v>98.021526673955194</v>
      </c>
      <c r="BD94" s="3">
        <f t="array" ref="BD94">MIN(100,MAX(0,L94-AJ94*5+AQ$16*(AP$27*T94+SUMPRODUCT($X94:$AH94,TRANSPOSE(AP$28:AP$38)))+AR$16*(AP$39*T94+SUMPRODUCT($X94:$AH94,TRANSPOSE(AP$40:AP$50)))+AS$16*(AP$51*T94+SUMPRODUCT($X94:$AH94,TRANSPOSE(AP$52:AP$62)))))</f>
        <v>22.222621796377645</v>
      </c>
      <c r="BE94" s="3">
        <f t="array" ref="BE94">MIN(100,MAX(0,M94-AK94*5+AP$17*(AQ$27*U94+SUMPRODUCT($X94:$AH94,TRANSPOSE(AQ$28:AQ$38)))+AR$17*(AQ$39*U94+SUMPRODUCT($X94:$AH94,TRANSPOSE(AQ$40:AQ$50)))+AS$17*(AQ$51*U94+SUMPRODUCT($X94:$AH94,TRANSPOSE(AQ$52:AQ$62)))))</f>
        <v>49.738942918393633</v>
      </c>
      <c r="BF94" s="3">
        <f t="array" ref="BF94">MIN(100,MAX(0,N94-AL94*5+AP$18*(AR$27*V94+SUMPRODUCT($X94:$AH94,TRANSPOSE(AR$28:AR$38)))+AQ$18*(AR$39*V94+SUMPRODUCT($X94:$AH94,TRANSPOSE(AR$40:AR$50)))+AS$18*(AR$51*V94+SUMPRODUCT($X94:$AH94,TRANSPOSE(AR$52:AR$62)))))</f>
        <v>24.90295487619656</v>
      </c>
      <c r="BG94" s="3">
        <f t="array" ref="BG94">MIN(100,MAX(0,O94+AP$19*(AS$27*W94+SUMPRODUCT($X94:$AH94,TRANSPOSE(AS$28:AS$38)))+AQ$19*(AS$39*W94+SUMPRODUCT($X94:$AH94,TRANSPOSE(AS$40:AS$50)))+AR$19*(AS$51*W94+SUMPRODUCT($X94:$AH94,TRANSPOSE(AS$52:AS$62)))))</f>
        <v>1.1570070829873624</v>
      </c>
      <c r="BJ94">
        <f t="shared" si="72"/>
        <v>0</v>
      </c>
      <c r="BK94">
        <f t="shared" si="73"/>
        <v>1</v>
      </c>
      <c r="BL94">
        <f t="shared" si="74"/>
        <v>0</v>
      </c>
      <c r="BM94">
        <f t="shared" si="75"/>
        <v>0</v>
      </c>
      <c r="BP94">
        <f t="shared" si="65"/>
        <v>0</v>
      </c>
      <c r="BQ94">
        <f t="shared" si="66"/>
        <v>1</v>
      </c>
      <c r="BR94">
        <f t="shared" si="67"/>
        <v>1</v>
      </c>
      <c r="BS94">
        <f t="shared" si="68"/>
        <v>0</v>
      </c>
    </row>
    <row r="95" spans="1:71">
      <c r="A95" t="s">
        <v>11</v>
      </c>
      <c r="B95" t="s">
        <v>232</v>
      </c>
      <c r="C95" t="s">
        <v>232</v>
      </c>
      <c r="D95">
        <v>35098</v>
      </c>
      <c r="E95">
        <v>3511</v>
      </c>
      <c r="F95">
        <v>35</v>
      </c>
      <c r="G95">
        <v>12474</v>
      </c>
      <c r="H95">
        <v>11554</v>
      </c>
      <c r="I95">
        <v>13731</v>
      </c>
      <c r="J95">
        <v>1600</v>
      </c>
      <c r="K95">
        <v>39379</v>
      </c>
      <c r="L95" s="3">
        <f t="shared" si="53"/>
        <v>31.676782041189465</v>
      </c>
      <c r="M95" s="3">
        <f t="shared" si="54"/>
        <v>29.340511440107669</v>
      </c>
      <c r="N95" s="3">
        <f t="shared" si="55"/>
        <v>34.868838721145792</v>
      </c>
      <c r="O95" s="3">
        <f t="shared" si="56"/>
        <v>4.0630793062292083</v>
      </c>
      <c r="P95">
        <v>44.4</v>
      </c>
      <c r="Q95">
        <v>25.3</v>
      </c>
      <c r="R95">
        <v>25.6</v>
      </c>
      <c r="S95">
        <v>3.8</v>
      </c>
      <c r="T95">
        <f t="shared" si="57"/>
        <v>0</v>
      </c>
      <c r="U95">
        <f t="shared" si="58"/>
        <v>0</v>
      </c>
      <c r="V95">
        <f t="shared" si="59"/>
        <v>1</v>
      </c>
      <c r="W95">
        <f t="shared" si="60"/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f t="shared" si="69"/>
        <v>1</v>
      </c>
      <c r="AJ95">
        <v>0</v>
      </c>
      <c r="AK95">
        <v>0</v>
      </c>
      <c r="AL95">
        <v>0</v>
      </c>
      <c r="AT95" s="56"/>
      <c r="AW95" s="8">
        <f t="shared" si="61"/>
        <v>20.522345506559571</v>
      </c>
      <c r="AX95" s="8">
        <f t="shared" si="62"/>
        <v>50.212583021632767</v>
      </c>
      <c r="AY95" s="8">
        <f t="shared" si="63"/>
        <v>24.404782712608892</v>
      </c>
      <c r="AZ95" s="8">
        <f t="shared" si="64"/>
        <v>3.5919758220999451</v>
      </c>
      <c r="BA95" s="8">
        <f t="shared" si="71"/>
        <v>98.731687062901173</v>
      </c>
      <c r="BD95" s="3">
        <f t="array" ref="BD95">MIN(100,MAX(0,L95-AJ95*5+AQ$16*(AP$27*T95+SUMPRODUCT($X95:$AH95,TRANSPOSE(AP$28:AP$38)))+AR$16*(AP$39*T95+SUMPRODUCT($X95:$AH95,TRANSPOSE(AP$40:AP$50)))+AS$16*(AP$51*T95+SUMPRODUCT($X95:$AH95,TRANSPOSE(AP$52:AP$62)))))</f>
        <v>20.522345506559571</v>
      </c>
      <c r="BE95" s="3">
        <f t="array" ref="BE95">MIN(100,MAX(0,M95-AK95*5+AP$17*(AQ$27*U95+SUMPRODUCT($X95:$AH95,TRANSPOSE(AQ$28:AQ$38)))+AR$17*(AQ$39*U95+SUMPRODUCT($X95:$AH95,TRANSPOSE(AQ$40:AQ$50)))+AS$17*(AQ$51*U95+SUMPRODUCT($X95:$AH95,TRANSPOSE(AQ$52:AQ$62)))))</f>
        <v>50.212583021632767</v>
      </c>
      <c r="BF95" s="3">
        <f t="array" ref="BF95">MIN(100,MAX(0,N95-AL95*5+AP$18*(AR$27*V95+SUMPRODUCT($X95:$AH95,TRANSPOSE(AR$28:AR$38)))+AQ$18*(AR$39*V95+SUMPRODUCT($X95:$AH95,TRANSPOSE(AR$40:AR$50)))+AS$18*(AR$51*V95+SUMPRODUCT($X95:$AH95,TRANSPOSE(AR$52:AR$62)))))</f>
        <v>24.404782712608892</v>
      </c>
      <c r="BG95" s="3">
        <f t="array" ref="BG95">MIN(100,MAX(0,O95+AP$19*(AS$27*W95+SUMPRODUCT($X95:$AH95,TRANSPOSE(AS$28:AS$38)))+AQ$19*(AS$39*W95+SUMPRODUCT($X95:$AH95,TRANSPOSE(AS$40:AS$50)))+AR$19*(AS$51*W95+SUMPRODUCT($X95:$AH95,TRANSPOSE(AS$52:AS$62)))))</f>
        <v>3.6041221134699897</v>
      </c>
      <c r="BJ95">
        <f t="shared" si="72"/>
        <v>0</v>
      </c>
      <c r="BK95">
        <f t="shared" si="73"/>
        <v>1</v>
      </c>
      <c r="BL95">
        <f t="shared" si="74"/>
        <v>0</v>
      </c>
      <c r="BM95">
        <f t="shared" si="75"/>
        <v>0</v>
      </c>
      <c r="BP95">
        <f t="shared" si="65"/>
        <v>0</v>
      </c>
      <c r="BQ95">
        <f t="shared" si="66"/>
        <v>1</v>
      </c>
      <c r="BR95">
        <f t="shared" si="67"/>
        <v>1</v>
      </c>
      <c r="BS95">
        <f t="shared" si="68"/>
        <v>1</v>
      </c>
    </row>
    <row r="96" spans="1:71">
      <c r="A96" t="s">
        <v>11</v>
      </c>
      <c r="B96" t="s">
        <v>233</v>
      </c>
      <c r="C96" t="s">
        <v>599</v>
      </c>
      <c r="D96">
        <v>35093</v>
      </c>
      <c r="E96">
        <v>356</v>
      </c>
      <c r="F96">
        <v>35</v>
      </c>
      <c r="G96">
        <v>12887</v>
      </c>
      <c r="H96">
        <v>17197</v>
      </c>
      <c r="I96">
        <v>6788</v>
      </c>
      <c r="J96">
        <v>866</v>
      </c>
      <c r="K96">
        <v>37737</v>
      </c>
      <c r="L96" s="3">
        <f t="shared" si="53"/>
        <v>34.14950843999258</v>
      </c>
      <c r="M96" s="3">
        <f t="shared" si="54"/>
        <v>45.570660094867108</v>
      </c>
      <c r="N96" s="3">
        <f t="shared" si="55"/>
        <v>17.987651376633014</v>
      </c>
      <c r="O96" s="3">
        <f t="shared" si="56"/>
        <v>2.2948300076847654</v>
      </c>
      <c r="P96">
        <v>44.4</v>
      </c>
      <c r="Q96">
        <v>25.3</v>
      </c>
      <c r="R96">
        <v>25.6</v>
      </c>
      <c r="S96">
        <v>3.8</v>
      </c>
      <c r="T96">
        <f t="shared" si="57"/>
        <v>0</v>
      </c>
      <c r="U96">
        <f t="shared" si="58"/>
        <v>1</v>
      </c>
      <c r="V96">
        <f t="shared" si="59"/>
        <v>0</v>
      </c>
      <c r="W96">
        <f t="shared" si="60"/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f t="shared" si="69"/>
        <v>1</v>
      </c>
      <c r="AJ96">
        <v>0</v>
      </c>
      <c r="AK96">
        <v>0</v>
      </c>
      <c r="AL96">
        <v>0</v>
      </c>
      <c r="AO96" t="s">
        <v>537</v>
      </c>
      <c r="AP96">
        <f>SUMPRODUCT($AI$2:$AI$122,BJ$2:BJ$122)</f>
        <v>11</v>
      </c>
      <c r="AQ96">
        <f t="shared" ref="AQ96:AS96" si="112">SUMPRODUCT($AI$2:$AI$122,BK$2:BK$122)</f>
        <v>48</v>
      </c>
      <c r="AR96">
        <f t="shared" si="112"/>
        <v>1</v>
      </c>
      <c r="AS96">
        <f t="shared" si="112"/>
        <v>0</v>
      </c>
      <c r="AW96" s="8">
        <f t="shared" si="61"/>
        <v>22.995071905362686</v>
      </c>
      <c r="AX96" s="8">
        <f t="shared" si="62"/>
        <v>65.028723628494689</v>
      </c>
      <c r="AY96" s="8">
        <f t="shared" si="63"/>
        <v>9.3121748093519532</v>
      </c>
      <c r="AZ96" s="8">
        <f t="shared" si="64"/>
        <v>1.8358728149255468</v>
      </c>
      <c r="BA96" s="8">
        <f t="shared" si="71"/>
        <v>99.171843158134877</v>
      </c>
      <c r="BD96" s="3">
        <f t="array" ref="BD96">MIN(100,MAX(0,L96-AJ96*5+AQ$16*(AP$27*T96+SUMPRODUCT($X96:$AH96,TRANSPOSE(AP$28:AP$38)))+AR$16*(AP$39*T96+SUMPRODUCT($X96:$AH96,TRANSPOSE(AP$40:AP$50)))+AS$16*(AP$51*T96+SUMPRODUCT($X96:$AH96,TRANSPOSE(AP$52:AP$62)))))</f>
        <v>22.995071905362686</v>
      </c>
      <c r="BE96" s="3">
        <f t="array" ref="BE96">MIN(100,MAX(0,M96-AK96*5+AP$17*(AQ$27*U96+SUMPRODUCT($X96:$AH96,TRANSPOSE(AQ$28:AQ$38)))+AR$17*(AQ$39*U96+SUMPRODUCT($X96:$AH96,TRANSPOSE(AQ$40:AQ$50)))+AS$17*(AQ$51*U96+SUMPRODUCT($X96:$AH96,TRANSPOSE(AQ$52:AQ$62)))))</f>
        <v>65.028723628494689</v>
      </c>
      <c r="BF96" s="3">
        <f t="array" ref="BF96">MIN(100,MAX(0,N96-AL96*5+AP$18*(AR$27*V96+SUMPRODUCT($X96:$AH96,TRANSPOSE(AR$28:AR$38)))+AQ$18*(AR$39*V96+SUMPRODUCT($X96:$AH96,TRANSPOSE(AR$40:AR$50)))+AS$18*(AR$51*V96+SUMPRODUCT($X96:$AH96,TRANSPOSE(AR$52:AR$62)))))</f>
        <v>9.3121748093519532</v>
      </c>
      <c r="BG96" s="3">
        <f t="array" ref="BG96">MIN(100,MAX(0,O96+AP$19*(AS$27*W96+SUMPRODUCT($X96:$AH96,TRANSPOSE(AS$28:AS$38)))+AQ$19*(AS$39*W96+SUMPRODUCT($X96:$AH96,TRANSPOSE(AS$40:AS$50)))+AR$19*(AS$51*W96+SUMPRODUCT($X96:$AH96,TRANSPOSE(AS$52:AS$62)))))</f>
        <v>1.8358728149255468</v>
      </c>
      <c r="BJ96">
        <f t="shared" si="72"/>
        <v>0</v>
      </c>
      <c r="BK96">
        <f t="shared" si="73"/>
        <v>1</v>
      </c>
      <c r="BL96">
        <f t="shared" si="74"/>
        <v>0</v>
      </c>
      <c r="BM96">
        <f t="shared" si="75"/>
        <v>0</v>
      </c>
      <c r="BP96">
        <f t="shared" si="65"/>
        <v>0</v>
      </c>
      <c r="BQ96">
        <f t="shared" si="66"/>
        <v>1</v>
      </c>
      <c r="BR96">
        <f t="shared" si="67"/>
        <v>0</v>
      </c>
      <c r="BS96">
        <f t="shared" si="68"/>
        <v>0</v>
      </c>
    </row>
    <row r="97" spans="1:71">
      <c r="A97" t="s">
        <v>11</v>
      </c>
      <c r="B97" t="s">
        <v>234</v>
      </c>
      <c r="C97" t="s">
        <v>600</v>
      </c>
      <c r="D97">
        <v>35095</v>
      </c>
      <c r="E97">
        <v>3511</v>
      </c>
      <c r="F97">
        <v>35</v>
      </c>
      <c r="G97">
        <v>11999</v>
      </c>
      <c r="H97">
        <v>12380</v>
      </c>
      <c r="I97">
        <v>9237</v>
      </c>
      <c r="J97">
        <v>769</v>
      </c>
      <c r="K97">
        <v>34591</v>
      </c>
      <c r="L97" s="3">
        <f t="shared" si="53"/>
        <v>34.688213697204475</v>
      </c>
      <c r="M97" s="3">
        <f t="shared" si="54"/>
        <v>35.789656268971697</v>
      </c>
      <c r="N97" s="3">
        <f t="shared" si="55"/>
        <v>26.703477783238416</v>
      </c>
      <c r="O97" s="3">
        <f t="shared" si="56"/>
        <v>2.2231216212309559</v>
      </c>
      <c r="P97">
        <v>44.4</v>
      </c>
      <c r="Q97">
        <v>25.3</v>
      </c>
      <c r="R97">
        <v>25.6</v>
      </c>
      <c r="S97">
        <v>3.8</v>
      </c>
      <c r="T97">
        <f t="shared" si="57"/>
        <v>0</v>
      </c>
      <c r="U97">
        <f t="shared" si="58"/>
        <v>1</v>
      </c>
      <c r="V97">
        <f t="shared" si="59"/>
        <v>0</v>
      </c>
      <c r="W97">
        <f t="shared" si="60"/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f t="shared" si="69"/>
        <v>1</v>
      </c>
      <c r="AJ97">
        <v>0</v>
      </c>
      <c r="AK97">
        <v>0</v>
      </c>
      <c r="AL97">
        <v>0</v>
      </c>
      <c r="AW97" s="8">
        <f t="shared" si="61"/>
        <v>23.53377716257458</v>
      </c>
      <c r="AX97" s="8">
        <f t="shared" si="62"/>
        <v>55.247719802599285</v>
      </c>
      <c r="AY97" s="8">
        <f t="shared" si="63"/>
        <v>18.028001215957353</v>
      </c>
      <c r="AZ97" s="8">
        <f t="shared" si="64"/>
        <v>1.7641644284717373</v>
      </c>
      <c r="BA97" s="8">
        <f t="shared" si="71"/>
        <v>98.573662609602934</v>
      </c>
      <c r="BD97" s="3">
        <f t="array" ref="BD97">MIN(100,MAX(0,L97-AJ97*5+AQ$16*(AP$27*T97+SUMPRODUCT($X97:$AH97,TRANSPOSE(AP$28:AP$38)))+AR$16*(AP$39*T97+SUMPRODUCT($X97:$AH97,TRANSPOSE(AP$40:AP$50)))+AS$16*(AP$51*T97+SUMPRODUCT($X97:$AH97,TRANSPOSE(AP$52:AP$62)))))</f>
        <v>23.53377716257458</v>
      </c>
      <c r="BE97" s="3">
        <f t="array" ref="BE97">MIN(100,MAX(0,M97-AK97*5+AP$17*(AQ$27*U97+SUMPRODUCT($X97:$AH97,TRANSPOSE(AQ$28:AQ$38)))+AR$17*(AQ$39*U97+SUMPRODUCT($X97:$AH97,TRANSPOSE(AQ$40:AQ$50)))+AS$17*(AQ$51*U97+SUMPRODUCT($X97:$AH97,TRANSPOSE(AQ$52:AQ$62)))))</f>
        <v>55.247719802599285</v>
      </c>
      <c r="BF97" s="3">
        <f t="array" ref="BF97">MIN(100,MAX(0,N97-AL97*5+AP$18*(AR$27*V97+SUMPRODUCT($X97:$AH97,TRANSPOSE(AR$28:AR$38)))+AQ$18*(AR$39*V97+SUMPRODUCT($X97:$AH97,TRANSPOSE(AR$40:AR$50)))+AS$18*(AR$51*V97+SUMPRODUCT($X97:$AH97,TRANSPOSE(AR$52:AR$62)))))</f>
        <v>18.028001215957353</v>
      </c>
      <c r="BG97" s="3">
        <f t="array" ref="BG97">MIN(100,MAX(0,O97+AP$19*(AS$27*W97+SUMPRODUCT($X97:$AH97,TRANSPOSE(AS$28:AS$38)))+AQ$19*(AS$39*W97+SUMPRODUCT($X97:$AH97,TRANSPOSE(AS$40:AS$50)))+AR$19*(AS$51*W97+SUMPRODUCT($X97:$AH97,TRANSPOSE(AS$52:AS$62)))))</f>
        <v>1.7641644284717373</v>
      </c>
      <c r="BJ97">
        <f t="shared" si="72"/>
        <v>0</v>
      </c>
      <c r="BK97">
        <f t="shared" si="73"/>
        <v>1</v>
      </c>
      <c r="BL97">
        <f t="shared" si="74"/>
        <v>0</v>
      </c>
      <c r="BM97">
        <f t="shared" si="75"/>
        <v>0</v>
      </c>
      <c r="BP97">
        <f t="shared" si="65"/>
        <v>0</v>
      </c>
      <c r="BQ97">
        <f t="shared" si="66"/>
        <v>1</v>
      </c>
      <c r="BR97">
        <f t="shared" si="67"/>
        <v>0</v>
      </c>
      <c r="BS97">
        <f t="shared" si="68"/>
        <v>0</v>
      </c>
    </row>
    <row r="98" spans="1:71">
      <c r="A98" t="s">
        <v>11</v>
      </c>
      <c r="B98" t="s">
        <v>235</v>
      </c>
      <c r="C98" t="s">
        <v>601</v>
      </c>
      <c r="D98">
        <v>35097</v>
      </c>
      <c r="E98">
        <v>3511</v>
      </c>
      <c r="F98">
        <v>35</v>
      </c>
      <c r="G98">
        <v>12865</v>
      </c>
      <c r="H98">
        <v>14157</v>
      </c>
      <c r="I98">
        <v>12620</v>
      </c>
      <c r="J98">
        <v>974</v>
      </c>
      <c r="K98">
        <v>40729</v>
      </c>
      <c r="L98" s="3">
        <f t="shared" ref="L98:L122" si="113">G98/$K98*100</f>
        <v>31.586830022833851</v>
      </c>
      <c r="M98" s="3">
        <f t="shared" ref="M98:M122" si="114">H98/$K98*100</f>
        <v>34.759016916693263</v>
      </c>
      <c r="N98" s="3">
        <f t="shared" ref="N98:N122" si="115">I98/$K98*100</f>
        <v>30.985293034447199</v>
      </c>
      <c r="O98" s="3">
        <f t="shared" ref="O98:O122" si="116">J98/$K98*100</f>
        <v>2.3914164354636744</v>
      </c>
      <c r="P98">
        <v>44.4</v>
      </c>
      <c r="Q98">
        <v>25.3</v>
      </c>
      <c r="R98">
        <v>25.6</v>
      </c>
      <c r="S98">
        <v>3.8</v>
      </c>
      <c r="T98">
        <f t="shared" ref="T98:T122" si="117">IF(L98=MAX($L98:$O98),1,0)</f>
        <v>0</v>
      </c>
      <c r="U98">
        <f t="shared" ref="U98:U122" si="118">IF(M98=MAX($L98:$O98),1,0)</f>
        <v>1</v>
      </c>
      <c r="V98">
        <f t="shared" ref="V98:V122" si="119">IF(N98=MAX($L98:$O98),1,0)</f>
        <v>0</v>
      </c>
      <c r="W98">
        <f t="shared" ref="W98:W122" si="120">IF(O98=MAX($L98:$O98),1,0)</f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f t="shared" si="69"/>
        <v>1</v>
      </c>
      <c r="AJ98">
        <v>0</v>
      </c>
      <c r="AK98">
        <v>0</v>
      </c>
      <c r="AL98">
        <v>0</v>
      </c>
      <c r="AW98" s="8">
        <f t="shared" si="61"/>
        <v>20.432393488203957</v>
      </c>
      <c r="AX98" s="8">
        <f t="shared" si="62"/>
        <v>54.21708045032085</v>
      </c>
      <c r="AY98" s="8">
        <f t="shared" si="63"/>
        <v>22.309816467166137</v>
      </c>
      <c r="AZ98" s="8">
        <f t="shared" si="64"/>
        <v>1.9324592427044558</v>
      </c>
      <c r="BA98" s="8">
        <f t="shared" si="71"/>
        <v>98.891749648395404</v>
      </c>
      <c r="BD98" s="3">
        <f t="array" ref="BD98">MIN(100,MAX(0,L98-AJ98*5+AQ$16*(AP$27*T98+SUMPRODUCT($X98:$AH98,TRANSPOSE(AP$28:AP$38)))+AR$16*(AP$39*T98+SUMPRODUCT($X98:$AH98,TRANSPOSE(AP$40:AP$50)))+AS$16*(AP$51*T98+SUMPRODUCT($X98:$AH98,TRANSPOSE(AP$52:AP$62)))))</f>
        <v>20.432393488203957</v>
      </c>
      <c r="BE98" s="3">
        <f t="array" ref="BE98">MIN(100,MAX(0,M98-AK98*5+AP$17*(AQ$27*U98+SUMPRODUCT($X98:$AH98,TRANSPOSE(AQ$28:AQ$38)))+AR$17*(AQ$39*U98+SUMPRODUCT($X98:$AH98,TRANSPOSE(AQ$40:AQ$50)))+AS$17*(AQ$51*U98+SUMPRODUCT($X98:$AH98,TRANSPOSE(AQ$52:AQ$62)))))</f>
        <v>54.21708045032085</v>
      </c>
      <c r="BF98" s="3">
        <f t="array" ref="BF98">MIN(100,MAX(0,N98-AL98*5+AP$18*(AR$27*V98+SUMPRODUCT($X98:$AH98,TRANSPOSE(AR$28:AR$38)))+AQ$18*(AR$39*V98+SUMPRODUCT($X98:$AH98,TRANSPOSE(AR$40:AR$50)))+AS$18*(AR$51*V98+SUMPRODUCT($X98:$AH98,TRANSPOSE(AR$52:AR$62)))))</f>
        <v>22.309816467166137</v>
      </c>
      <c r="BG98" s="3">
        <f t="array" ref="BG98">MIN(100,MAX(0,O98+AP$19*(AS$27*W98+SUMPRODUCT($X98:$AH98,TRANSPOSE(AS$28:AS$38)))+AQ$19*(AS$39*W98+SUMPRODUCT($X98:$AH98,TRANSPOSE(AS$40:AS$50)))+AR$19*(AS$51*W98+SUMPRODUCT($X98:$AH98,TRANSPOSE(AS$52:AS$62)))))</f>
        <v>1.9324592427044558</v>
      </c>
      <c r="BJ98">
        <f t="shared" si="72"/>
        <v>0</v>
      </c>
      <c r="BK98">
        <f t="shared" si="73"/>
        <v>1</v>
      </c>
      <c r="BL98">
        <f t="shared" si="74"/>
        <v>0</v>
      </c>
      <c r="BM98">
        <f t="shared" si="75"/>
        <v>0</v>
      </c>
      <c r="BP98">
        <f t="shared" si="65"/>
        <v>0</v>
      </c>
      <c r="BQ98">
        <f t="shared" si="66"/>
        <v>1</v>
      </c>
      <c r="BR98">
        <f t="shared" si="67"/>
        <v>1</v>
      </c>
      <c r="BS98">
        <f t="shared" si="68"/>
        <v>0</v>
      </c>
    </row>
    <row r="99" spans="1:71">
      <c r="A99" t="s">
        <v>11</v>
      </c>
      <c r="B99" t="s">
        <v>236</v>
      </c>
      <c r="C99" t="s">
        <v>236</v>
      </c>
      <c r="D99">
        <v>35100</v>
      </c>
      <c r="E99">
        <v>354</v>
      </c>
      <c r="F99">
        <v>35</v>
      </c>
      <c r="G99">
        <v>27796</v>
      </c>
      <c r="H99">
        <v>9932</v>
      </c>
      <c r="I99">
        <v>10540</v>
      </c>
      <c r="J99">
        <v>3021</v>
      </c>
      <c r="K99">
        <v>51590</v>
      </c>
      <c r="L99" s="3">
        <f t="shared" si="113"/>
        <v>53.878658654778057</v>
      </c>
      <c r="M99" s="3">
        <f t="shared" si="114"/>
        <v>19.251792983136269</v>
      </c>
      <c r="N99" s="3">
        <f t="shared" si="115"/>
        <v>20.43031595270401</v>
      </c>
      <c r="O99" s="3">
        <f t="shared" si="116"/>
        <v>5.8557860050397359</v>
      </c>
      <c r="P99">
        <v>44.4</v>
      </c>
      <c r="Q99">
        <v>25.3</v>
      </c>
      <c r="R99">
        <v>25.6</v>
      </c>
      <c r="S99">
        <v>3.8</v>
      </c>
      <c r="T99">
        <f t="shared" si="117"/>
        <v>1</v>
      </c>
      <c r="U99">
        <f t="shared" si="118"/>
        <v>0</v>
      </c>
      <c r="V99">
        <f t="shared" si="119"/>
        <v>0</v>
      </c>
      <c r="W99">
        <f t="shared" si="120"/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f t="shared" si="69"/>
        <v>0</v>
      </c>
      <c r="AJ99">
        <v>0</v>
      </c>
      <c r="AK99">
        <v>0</v>
      </c>
      <c r="AL99">
        <v>0</v>
      </c>
      <c r="AW99" s="8">
        <f t="shared" si="61"/>
        <v>43.209528396772576</v>
      </c>
      <c r="AX99" s="8">
        <f t="shared" si="62"/>
        <v>37.667323362706647</v>
      </c>
      <c r="AY99" s="8">
        <f t="shared" si="63"/>
        <v>13.629219521213958</v>
      </c>
      <c r="AZ99" s="8">
        <f t="shared" si="64"/>
        <v>5.3081648916044939</v>
      </c>
      <c r="BA99" s="8">
        <f t="shared" si="71"/>
        <v>99.814236172297669</v>
      </c>
      <c r="BD99" s="3">
        <f t="array" ref="BD99">MIN(100,MAX(0,L99-AJ99*5+AQ$16*(AP$27*T99+SUMPRODUCT($X99:$AH99,TRANSPOSE(AP$28:AP$38)))+AR$16*(AP$39*T99+SUMPRODUCT($X99:$AH99,TRANSPOSE(AP$40:AP$50)))+AS$16*(AP$51*T99+SUMPRODUCT($X99:$AH99,TRANSPOSE(AP$52:AP$62)))))</f>
        <v>43.209528396772576</v>
      </c>
      <c r="BE99" s="3">
        <f t="array" ref="BE99">MIN(100,MAX(0,M99-AK99*5+AP$17*(AQ$27*U99+SUMPRODUCT($X99:$AH99,TRANSPOSE(AQ$28:AQ$38)))+AR$17*(AQ$39*U99+SUMPRODUCT($X99:$AH99,TRANSPOSE(AQ$40:AQ$50)))+AS$17*(AQ$51*U99+SUMPRODUCT($X99:$AH99,TRANSPOSE(AQ$52:AQ$62)))))</f>
        <v>37.667323362706647</v>
      </c>
      <c r="BF99" s="3">
        <f t="array" ref="BF99">MIN(100,MAX(0,N99-AL99*5+AP$18*(AR$27*V99+SUMPRODUCT($X99:$AH99,TRANSPOSE(AR$28:AR$38)))+AQ$18*(AR$39*V99+SUMPRODUCT($X99:$AH99,TRANSPOSE(AR$40:AR$50)))+AS$18*(AR$51*V99+SUMPRODUCT($X99:$AH99,TRANSPOSE(AR$52:AR$62)))))</f>
        <v>13.629219521213958</v>
      </c>
      <c r="BG99" s="3">
        <f t="array" ref="BG99">MIN(100,MAX(0,O99+AP$19*(AS$27*W99+SUMPRODUCT($X99:$AH99,TRANSPOSE(AS$28:AS$38)))+AQ$19*(AS$39*W99+SUMPRODUCT($X99:$AH99,TRANSPOSE(AS$40:AS$50)))+AR$19*(AS$51*W99+SUMPRODUCT($X99:$AH99,TRANSPOSE(AS$52:AS$62)))))</f>
        <v>5.4250436498822969</v>
      </c>
      <c r="BJ99">
        <f t="shared" si="72"/>
        <v>1</v>
      </c>
      <c r="BK99">
        <f t="shared" si="73"/>
        <v>0</v>
      </c>
      <c r="BL99">
        <f t="shared" si="74"/>
        <v>0</v>
      </c>
      <c r="BM99">
        <f t="shared" si="75"/>
        <v>0</v>
      </c>
      <c r="BP99">
        <f t="shared" si="65"/>
        <v>1</v>
      </c>
      <c r="BQ99">
        <f t="shared" si="66"/>
        <v>0</v>
      </c>
      <c r="BR99">
        <f t="shared" si="67"/>
        <v>0</v>
      </c>
      <c r="BS99">
        <f t="shared" si="68"/>
        <v>1</v>
      </c>
    </row>
    <row r="100" spans="1:71">
      <c r="A100" t="s">
        <v>11</v>
      </c>
      <c r="B100" t="s">
        <v>237</v>
      </c>
      <c r="C100" t="s">
        <v>602</v>
      </c>
      <c r="D100">
        <v>35099</v>
      </c>
      <c r="E100">
        <v>3511</v>
      </c>
      <c r="F100">
        <v>35</v>
      </c>
      <c r="G100">
        <v>26764</v>
      </c>
      <c r="H100">
        <v>7000</v>
      </c>
      <c r="I100">
        <v>9631</v>
      </c>
      <c r="J100">
        <v>3058</v>
      </c>
      <c r="K100">
        <v>55259</v>
      </c>
      <c r="L100" s="3">
        <f t="shared" si="113"/>
        <v>48.433739300385461</v>
      </c>
      <c r="M100" s="3">
        <f t="shared" si="114"/>
        <v>12.667619754248177</v>
      </c>
      <c r="N100" s="3">
        <f t="shared" si="115"/>
        <v>17.428835121880599</v>
      </c>
      <c r="O100" s="3">
        <f t="shared" si="116"/>
        <v>5.5339401726415609</v>
      </c>
      <c r="P100">
        <v>44.4</v>
      </c>
      <c r="Q100">
        <v>25.3</v>
      </c>
      <c r="R100">
        <v>25.6</v>
      </c>
      <c r="S100">
        <v>3.8</v>
      </c>
      <c r="T100">
        <f t="shared" si="117"/>
        <v>1</v>
      </c>
      <c r="U100">
        <f t="shared" si="118"/>
        <v>0</v>
      </c>
      <c r="V100">
        <f t="shared" si="119"/>
        <v>0</v>
      </c>
      <c r="W100">
        <f t="shared" si="120"/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f t="shared" si="69"/>
        <v>0</v>
      </c>
      <c r="AJ100">
        <v>0</v>
      </c>
      <c r="AK100">
        <v>0</v>
      </c>
      <c r="AL100">
        <v>0</v>
      </c>
      <c r="AW100" s="8">
        <f t="shared" si="61"/>
        <v>37.764609042379981</v>
      </c>
      <c r="AX100" s="8">
        <f t="shared" si="62"/>
        <v>31.08315013381856</v>
      </c>
      <c r="AY100" s="8">
        <f t="shared" si="63"/>
        <v>10.627738690390547</v>
      </c>
      <c r="AZ100" s="8">
        <f t="shared" si="64"/>
        <v>5.0048304048722363</v>
      </c>
      <c r="BA100" s="8">
        <f t="shared" si="71"/>
        <v>84.480328271461318</v>
      </c>
      <c r="BD100" s="3">
        <f t="array" ref="BD100">MIN(100,MAX(0,L100-AJ100*5+AQ$16*(AP$27*T100+SUMPRODUCT($X100:$AH100,TRANSPOSE(AP$28:AP$38)))+AR$16*(AP$39*T100+SUMPRODUCT($X100:$AH100,TRANSPOSE(AP$40:AP$50)))+AS$16*(AP$51*T100+SUMPRODUCT($X100:$AH100,TRANSPOSE(AP$52:AP$62)))))</f>
        <v>37.764609042379981</v>
      </c>
      <c r="BE100" s="3">
        <f t="array" ref="BE100">MIN(100,MAX(0,M100-AK100*5+AP$17*(AQ$27*U100+SUMPRODUCT($X100:$AH100,TRANSPOSE(AQ$28:AQ$38)))+AR$17*(AQ$39*U100+SUMPRODUCT($X100:$AH100,TRANSPOSE(AQ$40:AQ$50)))+AS$17*(AQ$51*U100+SUMPRODUCT($X100:$AH100,TRANSPOSE(AQ$52:AQ$62)))))</f>
        <v>31.08315013381856</v>
      </c>
      <c r="BF100" s="3">
        <f t="array" ref="BF100">MIN(100,MAX(0,N100-AL100*5+AP$18*(AR$27*V100+SUMPRODUCT($X100:$AH100,TRANSPOSE(AR$28:AR$38)))+AQ$18*(AR$39*V100+SUMPRODUCT($X100:$AH100,TRANSPOSE(AR$40:AR$50)))+AS$18*(AR$51*V100+SUMPRODUCT($X100:$AH100,TRANSPOSE(AR$52:AR$62)))))</f>
        <v>10.627738690390547</v>
      </c>
      <c r="BG100" s="3">
        <f t="array" ref="BG100">MIN(100,MAX(0,O100+AP$19*(AS$27*W100+SUMPRODUCT($X100:$AH100,TRANSPOSE(AS$28:AS$38)))+AQ$19*(AS$39*W100+SUMPRODUCT($X100:$AH100,TRANSPOSE(AS$40:AS$50)))+AR$19*(AS$51*W100+SUMPRODUCT($X100:$AH100,TRANSPOSE(AS$52:AS$62)))))</f>
        <v>5.1031978174841219</v>
      </c>
      <c r="BJ100">
        <f t="shared" si="72"/>
        <v>1</v>
      </c>
      <c r="BK100">
        <f t="shared" si="73"/>
        <v>0</v>
      </c>
      <c r="BL100">
        <f t="shared" si="74"/>
        <v>0</v>
      </c>
      <c r="BM100">
        <f t="shared" si="75"/>
        <v>0</v>
      </c>
      <c r="BP100">
        <f t="shared" si="65"/>
        <v>1</v>
      </c>
      <c r="BQ100">
        <f t="shared" si="66"/>
        <v>0</v>
      </c>
      <c r="BR100">
        <f t="shared" si="67"/>
        <v>0</v>
      </c>
      <c r="BS100">
        <f t="shared" si="68"/>
        <v>1</v>
      </c>
    </row>
    <row r="101" spans="1:71">
      <c r="A101" t="s">
        <v>11</v>
      </c>
      <c r="B101" t="s">
        <v>238</v>
      </c>
      <c r="C101" t="s">
        <v>603</v>
      </c>
      <c r="D101">
        <v>35101</v>
      </c>
      <c r="E101">
        <v>354</v>
      </c>
      <c r="F101">
        <v>35</v>
      </c>
      <c r="G101">
        <v>7713</v>
      </c>
      <c r="H101">
        <v>9015</v>
      </c>
      <c r="I101">
        <v>18351</v>
      </c>
      <c r="J101">
        <v>1540</v>
      </c>
      <c r="K101">
        <v>36969</v>
      </c>
      <c r="L101" s="3">
        <f t="shared" ref="L101" si="121">G101/$K101*100</f>
        <v>20.863426113770998</v>
      </c>
      <c r="M101" s="3">
        <f t="shared" ref="M101" si="122">H101/$K101*100</f>
        <v>24.385295788363223</v>
      </c>
      <c r="N101" s="3">
        <f t="shared" ref="N101" si="123">I101/$K101*100</f>
        <v>49.638886634748033</v>
      </c>
      <c r="O101" s="3">
        <f t="shared" ref="O101" si="124">J101/$K101*100</f>
        <v>4.1656523032811279</v>
      </c>
      <c r="P101">
        <v>44.4</v>
      </c>
      <c r="Q101">
        <v>25.3</v>
      </c>
      <c r="R101">
        <v>25.6</v>
      </c>
      <c r="S101">
        <v>3.8</v>
      </c>
      <c r="T101">
        <f t="shared" si="117"/>
        <v>0</v>
      </c>
      <c r="U101">
        <f t="shared" si="118"/>
        <v>0</v>
      </c>
      <c r="V101">
        <f t="shared" si="119"/>
        <v>1</v>
      </c>
      <c r="W101">
        <f t="shared" si="120"/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f t="shared" si="69"/>
        <v>1</v>
      </c>
      <c r="AJ101">
        <v>0</v>
      </c>
      <c r="AK101">
        <v>0</v>
      </c>
      <c r="AL101">
        <v>0</v>
      </c>
      <c r="AW101" s="8">
        <f t="shared" si="61"/>
        <v>10.945893878296991</v>
      </c>
      <c r="AX101" s="8">
        <f t="shared" si="62"/>
        <v>47.639521728050617</v>
      </c>
      <c r="AY101" s="8">
        <f t="shared" si="63"/>
        <v>35.436331948628379</v>
      </c>
      <c r="AZ101" s="8">
        <f t="shared" si="64"/>
        <v>3.7322795644980302</v>
      </c>
      <c r="BA101" s="8">
        <f t="shared" si="71"/>
        <v>97.754027119474017</v>
      </c>
      <c r="BD101" s="3">
        <f t="array" ref="BD101">MIN(100,MAX(0,L101-AJ101*5+AQ$16*(AP$27*T101+SUMPRODUCT($X101:$AH101,TRANSPOSE(AP$28:AP$38)))+AR$16*(AP$39*T101+SUMPRODUCT($X101:$AH101,TRANSPOSE(AP$40:AP$50)))+AS$16*(AP$51*T101+SUMPRODUCT($X101:$AH101,TRANSPOSE(AP$52:AP$62)))))</f>
        <v>10.945893878296991</v>
      </c>
      <c r="BE101" s="43">
        <f t="array" ref="BE101">MIN(100,MAX(0,M101+5-AK101*5+AP$17*(AQ$27*U101+SUMPRODUCT($X101:$AH101,TRANSPOSE(AQ$28:AQ$38)))+AR$17*(AQ$39*U101+SUMPRODUCT($X101:$AH101,TRANSPOSE(AQ$40:AQ$50)))+AS$17*(AQ$51*U101+SUMPRODUCT($X101:$AH101,TRANSPOSE(AQ$52:AQ$62)))))</f>
        <v>47.639521728050617</v>
      </c>
      <c r="BF101" s="43">
        <f t="array" ref="BF101">MIN(100,MAX(0,N101-5-AL101*5+AP$18*(AR$27*V101+SUMPRODUCT($X101:$AH101,TRANSPOSE(AR$28:AR$38)))+AQ$18*(AR$39*V101+SUMPRODUCT($X101:$AH101,TRANSPOSE(AR$40:AR$50)))+AS$18*(AR$51*V101+SUMPRODUCT($X101:$AH101,TRANSPOSE(AR$52:AR$62)))))</f>
        <v>35.436331948628379</v>
      </c>
      <c r="BG101" s="3">
        <f t="array" ref="BG101">MIN(100,MAX(0,O101+AP$19*(AS$27*W101+SUMPRODUCT($X101:$AH101,TRANSPOSE(AS$28:AS$38)))+AQ$19*(AS$39*W101+SUMPRODUCT($X101:$AH101,TRANSPOSE(AS$40:AS$50)))+AR$19*(AS$51*W101+SUMPRODUCT($X101:$AH101,TRANSPOSE(AS$52:AS$62)))))</f>
        <v>3.7529880576201138</v>
      </c>
      <c r="BJ101">
        <f t="shared" si="72"/>
        <v>0</v>
      </c>
      <c r="BK101">
        <f t="shared" si="73"/>
        <v>1</v>
      </c>
      <c r="BL101">
        <f t="shared" si="74"/>
        <v>0</v>
      </c>
      <c r="BM101">
        <f t="shared" si="75"/>
        <v>0</v>
      </c>
      <c r="BP101">
        <f t="shared" si="65"/>
        <v>0</v>
      </c>
      <c r="BQ101">
        <f t="shared" si="66"/>
        <v>1</v>
      </c>
      <c r="BR101">
        <f t="shared" si="67"/>
        <v>1</v>
      </c>
      <c r="BS101">
        <f t="shared" si="68"/>
        <v>1</v>
      </c>
    </row>
    <row r="102" spans="1:71">
      <c r="A102" t="s">
        <v>11</v>
      </c>
      <c r="B102" t="s">
        <v>239</v>
      </c>
      <c r="C102" t="s">
        <v>239</v>
      </c>
      <c r="D102">
        <v>35089</v>
      </c>
      <c r="E102">
        <v>353</v>
      </c>
      <c r="F102">
        <v>35</v>
      </c>
      <c r="G102">
        <v>25090</v>
      </c>
      <c r="H102">
        <v>10248</v>
      </c>
      <c r="I102">
        <v>11860</v>
      </c>
      <c r="J102">
        <v>1895</v>
      </c>
      <c r="K102">
        <v>49529</v>
      </c>
      <c r="L102" s="3">
        <f t="shared" si="113"/>
        <v>50.657190736740091</v>
      </c>
      <c r="M102" s="3">
        <f t="shared" si="114"/>
        <v>20.690908356720307</v>
      </c>
      <c r="N102" s="3">
        <f t="shared" si="115"/>
        <v>23.945567243433143</v>
      </c>
      <c r="O102" s="3">
        <f t="shared" si="116"/>
        <v>3.8260413091320236</v>
      </c>
      <c r="P102">
        <v>44.4</v>
      </c>
      <c r="Q102">
        <v>25.3</v>
      </c>
      <c r="R102">
        <v>25.6</v>
      </c>
      <c r="S102">
        <v>3.8</v>
      </c>
      <c r="T102">
        <f t="shared" si="117"/>
        <v>1</v>
      </c>
      <c r="U102">
        <f t="shared" si="118"/>
        <v>0</v>
      </c>
      <c r="V102">
        <f t="shared" si="119"/>
        <v>0</v>
      </c>
      <c r="W102">
        <f t="shared" si="120"/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f t="shared" si="69"/>
        <v>0</v>
      </c>
      <c r="AJ102">
        <v>0</v>
      </c>
      <c r="AK102">
        <v>0</v>
      </c>
      <c r="AL102">
        <v>0</v>
      </c>
      <c r="AW102" s="8">
        <f t="shared" si="61"/>
        <v>40.333255250813124</v>
      </c>
      <c r="AX102" s="8">
        <f t="shared" si="62"/>
        <v>38.175898210183135</v>
      </c>
      <c r="AY102" s="8">
        <f t="shared" si="63"/>
        <v>17.673319602597005</v>
      </c>
      <c r="AZ102" s="8">
        <f t="shared" si="64"/>
        <v>3.4239054305602772</v>
      </c>
      <c r="BA102" s="8">
        <f t="shared" si="71"/>
        <v>99.606378494153546</v>
      </c>
      <c r="BD102" s="3">
        <f t="array" ref="BD102">MIN(100,MAX(0,L102-AJ102*5+AQ$16*(AP$27*T102+SUMPRODUCT($X102:$AH102,TRANSPOSE(AP$28:AP$38)))+AR$16*(AP$39*T102+SUMPRODUCT($X102:$AH102,TRANSPOSE(AP$40:AP$50)))+AS$16*(AP$51*T102+SUMPRODUCT($X102:$AH102,TRANSPOSE(AP$52:AP$62)))))</f>
        <v>40.333255250813124</v>
      </c>
      <c r="BE102" s="3">
        <f t="array" ref="BE102">MIN(100,MAX(0,M102-AK102*5+AP$17*(AQ$27*U102+SUMPRODUCT($X102:$AH102,TRANSPOSE(AQ$28:AQ$38)))+AR$17*(AQ$39*U102+SUMPRODUCT($X102:$AH102,TRANSPOSE(AQ$40:AQ$50)))+AS$17*(AQ$51*U102+SUMPRODUCT($X102:$AH102,TRANSPOSE(AQ$52:AQ$62)))))</f>
        <v>38.175898210183135</v>
      </c>
      <c r="BF102" s="3">
        <f t="array" ref="BF102">MIN(100,MAX(0,N102-AL102*5+AP$18*(AR$27*V102+SUMPRODUCT($X102:$AH102,TRANSPOSE(AR$28:AR$38)))+AQ$18*(AR$39*V102+SUMPRODUCT($X102:$AH102,TRANSPOSE(AR$40:AR$50)))+AS$18*(AR$51*V102+SUMPRODUCT($X102:$AH102,TRANSPOSE(AR$52:AR$62)))))</f>
        <v>17.673319602597005</v>
      </c>
      <c r="BG102" s="3">
        <f t="array" ref="BG102">MIN(100,MAX(0,O102+AP$19*(AS$27*W102+SUMPRODUCT($X102:$AH102,TRANSPOSE(AS$28:AS$38)))+AQ$19*(AS$39*W102+SUMPRODUCT($X102:$AH102,TRANSPOSE(AS$40:AS$50)))+AR$19*(AS$51*W102+SUMPRODUCT($X102:$AH102,TRANSPOSE(AS$52:AS$62)))))</f>
        <v>3.4257950275876734</v>
      </c>
      <c r="BJ102">
        <f t="shared" si="72"/>
        <v>1</v>
      </c>
      <c r="BK102">
        <f t="shared" si="73"/>
        <v>0</v>
      </c>
      <c r="BL102">
        <f t="shared" si="74"/>
        <v>0</v>
      </c>
      <c r="BM102">
        <f t="shared" si="75"/>
        <v>0</v>
      </c>
      <c r="BP102">
        <f t="shared" si="65"/>
        <v>1</v>
      </c>
      <c r="BQ102">
        <f t="shared" si="66"/>
        <v>0</v>
      </c>
      <c r="BR102">
        <f t="shared" si="67"/>
        <v>0</v>
      </c>
      <c r="BS102">
        <f t="shared" si="68"/>
        <v>1</v>
      </c>
    </row>
    <row r="103" spans="1:71">
      <c r="A103" t="s">
        <v>11</v>
      </c>
      <c r="B103" t="s">
        <v>240</v>
      </c>
      <c r="C103" t="s">
        <v>604</v>
      </c>
      <c r="D103">
        <v>35102</v>
      </c>
      <c r="E103">
        <v>353</v>
      </c>
      <c r="F103">
        <v>35</v>
      </c>
      <c r="G103">
        <v>29538</v>
      </c>
      <c r="H103">
        <v>8510</v>
      </c>
      <c r="I103">
        <v>8313</v>
      </c>
      <c r="J103">
        <v>1038</v>
      </c>
      <c r="K103">
        <v>47550</v>
      </c>
      <c r="L103" s="3">
        <f t="shared" si="113"/>
        <v>62.119873817034701</v>
      </c>
      <c r="M103" s="3">
        <f t="shared" si="114"/>
        <v>17.89695057833859</v>
      </c>
      <c r="N103" s="3">
        <f t="shared" si="115"/>
        <v>17.482649842271293</v>
      </c>
      <c r="O103" s="3">
        <f t="shared" si="116"/>
        <v>2.1829652996845428</v>
      </c>
      <c r="P103">
        <v>44.4</v>
      </c>
      <c r="Q103">
        <v>25.3</v>
      </c>
      <c r="R103">
        <v>25.6</v>
      </c>
      <c r="S103">
        <v>3.8</v>
      </c>
      <c r="T103">
        <f t="shared" si="117"/>
        <v>1</v>
      </c>
      <c r="U103">
        <f t="shared" si="118"/>
        <v>0</v>
      </c>
      <c r="V103">
        <f t="shared" si="119"/>
        <v>0</v>
      </c>
      <c r="W103">
        <f t="shared" si="120"/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f t="shared" si="69"/>
        <v>0</v>
      </c>
      <c r="AJ103">
        <v>0</v>
      </c>
      <c r="AK103">
        <v>0</v>
      </c>
      <c r="AL103">
        <v>0</v>
      </c>
      <c r="AW103" s="8">
        <f t="shared" si="61"/>
        <v>53.313118457385073</v>
      </c>
      <c r="AX103" s="8">
        <f t="shared" si="62"/>
        <v>33.354281202840831</v>
      </c>
      <c r="AY103" s="8">
        <f t="shared" si="63"/>
        <v>11.646835821744062</v>
      </c>
      <c r="AZ103" s="8">
        <f t="shared" si="64"/>
        <v>1.8001082425569024</v>
      </c>
      <c r="BA103" s="8">
        <f t="shared" si="71"/>
        <v>100.11434372452686</v>
      </c>
      <c r="BD103" s="3">
        <f t="array" ref="BD103">MIN(100,MAX(0,L103-AJ103*5+AQ$16*(AP$27*T103+SUMPRODUCT($X103:$AH103,TRANSPOSE(AP$28:AP$38)))+AR$16*(AP$39*T103+SUMPRODUCT($X103:$AH103,TRANSPOSE(AP$40:AP$50)))+AS$16*(AP$51*T103+SUMPRODUCT($X103:$AH103,TRANSPOSE(AP$52:AP$62)))))</f>
        <v>53.313118457385073</v>
      </c>
      <c r="BE103" s="3">
        <f t="array" ref="BE103">MIN(100,MAX(0,M103-AK103*5+AP$17*(AQ$27*U103+SUMPRODUCT($X103:$AH103,TRANSPOSE(AQ$28:AQ$38)))+AR$17*(AQ$39*U103+SUMPRODUCT($X103:$AH103,TRANSPOSE(AQ$40:AQ$50)))+AS$17*(AQ$51*U103+SUMPRODUCT($X103:$AH103,TRANSPOSE(AQ$52:AQ$62)))))</f>
        <v>33.354281202840831</v>
      </c>
      <c r="BF103" s="3">
        <f t="array" ref="BF103">MIN(100,MAX(0,N103-AL103*5+AP$18*(AR$27*V103+SUMPRODUCT($X103:$AH103,TRANSPOSE(AR$28:AR$38)))+AQ$18*(AR$39*V103+SUMPRODUCT($X103:$AH103,TRANSPOSE(AR$40:AR$50)))+AS$18*(AR$51*V103+SUMPRODUCT($X103:$AH103,TRANSPOSE(AR$52:AR$62)))))</f>
        <v>11.646835821744062</v>
      </c>
      <c r="BG103" s="3">
        <f t="array" ref="BG103">MIN(100,MAX(0,O103+AP$19*(AS$27*W103+SUMPRODUCT($X103:$AH103,TRANSPOSE(AS$28:AS$38)))+AQ$19*(AS$39*W103+SUMPRODUCT($X103:$AH103,TRANSPOSE(AS$40:AS$50)))+AR$19*(AS$51*W103+SUMPRODUCT($X103:$AH103,TRANSPOSE(AS$52:AS$62)))))</f>
        <v>1.8001082425569024</v>
      </c>
      <c r="BJ103">
        <f t="shared" si="72"/>
        <v>1</v>
      </c>
      <c r="BK103">
        <f t="shared" si="73"/>
        <v>0</v>
      </c>
      <c r="BL103">
        <f t="shared" si="74"/>
        <v>0</v>
      </c>
      <c r="BM103">
        <f t="shared" si="75"/>
        <v>0</v>
      </c>
      <c r="BP103">
        <f t="shared" si="65"/>
        <v>1</v>
      </c>
      <c r="BQ103">
        <f t="shared" si="66"/>
        <v>0</v>
      </c>
      <c r="BR103">
        <f t="shared" si="67"/>
        <v>0</v>
      </c>
      <c r="BS103">
        <f t="shared" si="68"/>
        <v>0</v>
      </c>
    </row>
    <row r="104" spans="1:71">
      <c r="A104" t="s">
        <v>11</v>
      </c>
      <c r="B104" t="s">
        <v>241</v>
      </c>
      <c r="C104" t="s">
        <v>241</v>
      </c>
      <c r="D104">
        <v>35103</v>
      </c>
      <c r="E104">
        <v>355</v>
      </c>
      <c r="F104">
        <v>35</v>
      </c>
      <c r="G104">
        <v>12881</v>
      </c>
      <c r="H104">
        <v>8172</v>
      </c>
      <c r="I104">
        <v>22684</v>
      </c>
      <c r="J104">
        <v>1359</v>
      </c>
      <c r="K104">
        <v>45441</v>
      </c>
      <c r="L104" s="3">
        <f t="shared" si="113"/>
        <v>28.346647300895668</v>
      </c>
      <c r="M104" s="3">
        <f t="shared" si="114"/>
        <v>17.983759160229749</v>
      </c>
      <c r="N104" s="3">
        <f t="shared" si="115"/>
        <v>49.919676063466909</v>
      </c>
      <c r="O104" s="3">
        <f t="shared" si="116"/>
        <v>2.9906912259853433</v>
      </c>
      <c r="P104">
        <v>44.4</v>
      </c>
      <c r="Q104">
        <v>25.3</v>
      </c>
      <c r="R104">
        <v>25.6</v>
      </c>
      <c r="S104">
        <v>3.8</v>
      </c>
      <c r="T104">
        <f t="shared" si="117"/>
        <v>0</v>
      </c>
      <c r="U104">
        <f t="shared" si="118"/>
        <v>0</v>
      </c>
      <c r="V104">
        <f t="shared" si="119"/>
        <v>1</v>
      </c>
      <c r="W104">
        <f t="shared" si="120"/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f t="shared" si="69"/>
        <v>0</v>
      </c>
      <c r="AJ104">
        <v>0</v>
      </c>
      <c r="AK104">
        <v>0</v>
      </c>
      <c r="AL104">
        <v>0</v>
      </c>
      <c r="AW104" s="8">
        <f t="shared" si="61"/>
        <v>18.640750307958697</v>
      </c>
      <c r="AX104" s="8">
        <f t="shared" si="62"/>
        <v>35.679632233833608</v>
      </c>
      <c r="AY104" s="8">
        <f t="shared" si="63"/>
        <v>41.035121925869333</v>
      </c>
      <c r="AZ104" s="8">
        <f t="shared" si="64"/>
        <v>2.5911427237441202</v>
      </c>
      <c r="BA104" s="8">
        <f t="shared" si="71"/>
        <v>97.946647191405759</v>
      </c>
      <c r="BD104" s="3">
        <f t="array" ref="BD104">MIN(100,MAX(0,L104-AJ104*5+AQ$16*(AP$27*T104+SUMPRODUCT($X104:$AH104,TRANSPOSE(AP$28:AP$38)))+AR$16*(AP$39*T104+SUMPRODUCT($X104:$AH104,TRANSPOSE(AP$40:AP$50)))+AS$16*(AP$51*T104+SUMPRODUCT($X104:$AH104,TRANSPOSE(AP$52:AP$62)))))</f>
        <v>18.640750307958697</v>
      </c>
      <c r="BE104" s="3">
        <f t="array" ref="BE104">MIN(100,MAX(0,M104-AK104*5+AP$17*(AQ$27*U104+SUMPRODUCT($X104:$AH104,TRANSPOSE(AQ$28:AQ$38)))+AR$17*(AQ$39*U104+SUMPRODUCT($X104:$AH104,TRANSPOSE(AQ$40:AQ$50)))+AS$17*(AQ$51*U104+SUMPRODUCT($X104:$AH104,TRANSPOSE(AQ$52:AQ$62)))))</f>
        <v>35.679632233833608</v>
      </c>
      <c r="BF104" s="3">
        <f t="array" ref="BF104">MIN(100,MAX(0,N104-AL104*5+AP$18*(AR$27*V104+SUMPRODUCT($X104:$AH104,TRANSPOSE(AR$28:AR$38)))+AQ$18*(AR$39*V104+SUMPRODUCT($X104:$AH104,TRANSPOSE(AR$40:AR$50)))+AS$18*(AR$51*V104+SUMPRODUCT($X104:$AH104,TRANSPOSE(AR$52:AR$62)))))</f>
        <v>41.035121925869333</v>
      </c>
      <c r="BG104" s="3">
        <f t="array" ref="BG104">MIN(100,MAX(0,O104+AP$19*(AS$27*W104+SUMPRODUCT($X104:$AH104,TRANSPOSE(AS$28:AS$38)))+AQ$19*(AS$39*W104+SUMPRODUCT($X104:$AH104,TRANSPOSE(AS$40:AS$50)))+AR$19*(AS$51*W104+SUMPRODUCT($X104:$AH104,TRANSPOSE(AS$52:AS$62)))))</f>
        <v>2.5911427237441202</v>
      </c>
      <c r="BJ104">
        <f t="shared" si="72"/>
        <v>0</v>
      </c>
      <c r="BK104">
        <f t="shared" si="73"/>
        <v>0</v>
      </c>
      <c r="BL104">
        <f t="shared" si="74"/>
        <v>1</v>
      </c>
      <c r="BM104">
        <f t="shared" si="75"/>
        <v>0</v>
      </c>
      <c r="BP104">
        <f t="shared" si="65"/>
        <v>0</v>
      </c>
      <c r="BQ104">
        <f t="shared" si="66"/>
        <v>0</v>
      </c>
      <c r="BR104">
        <f t="shared" si="67"/>
        <v>1</v>
      </c>
      <c r="BS104">
        <f t="shared" si="68"/>
        <v>0</v>
      </c>
    </row>
    <row r="105" spans="1:71">
      <c r="A105" t="s">
        <v>11</v>
      </c>
      <c r="B105" t="s">
        <v>242</v>
      </c>
      <c r="C105" t="s">
        <v>242</v>
      </c>
      <c r="D105">
        <v>35104</v>
      </c>
      <c r="E105">
        <v>3510</v>
      </c>
      <c r="F105">
        <v>35</v>
      </c>
      <c r="G105">
        <v>29140</v>
      </c>
      <c r="H105">
        <v>10373</v>
      </c>
      <c r="I105">
        <v>5299</v>
      </c>
      <c r="J105">
        <v>1142</v>
      </c>
      <c r="K105">
        <v>46114</v>
      </c>
      <c r="L105" s="3">
        <f t="shared" si="113"/>
        <v>63.191221754781623</v>
      </c>
      <c r="M105" s="3">
        <f t="shared" si="114"/>
        <v>22.494253372077893</v>
      </c>
      <c r="N105" s="3">
        <f t="shared" si="115"/>
        <v>11.49108730537364</v>
      </c>
      <c r="O105" s="3">
        <f t="shared" si="116"/>
        <v>2.4764713536019429</v>
      </c>
      <c r="P105">
        <v>44.4</v>
      </c>
      <c r="Q105">
        <v>25.3</v>
      </c>
      <c r="R105">
        <v>25.6</v>
      </c>
      <c r="S105">
        <v>3.8</v>
      </c>
      <c r="T105">
        <f t="shared" si="117"/>
        <v>1</v>
      </c>
      <c r="U105">
        <f t="shared" si="118"/>
        <v>0</v>
      </c>
      <c r="V105">
        <f t="shared" si="119"/>
        <v>0</v>
      </c>
      <c r="W105">
        <f t="shared" si="120"/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f t="shared" si="69"/>
        <v>1</v>
      </c>
      <c r="AJ105">
        <v>0</v>
      </c>
      <c r="AK105">
        <v>0</v>
      </c>
      <c r="AL105">
        <v>0</v>
      </c>
      <c r="AW105" s="8">
        <f t="shared" si="61"/>
        <v>52.290245739914539</v>
      </c>
      <c r="AX105" s="8">
        <f t="shared" si="62"/>
        <v>40.718224544835238</v>
      </c>
      <c r="AY105" s="8">
        <f t="shared" si="63"/>
        <v>5.0719138102053956</v>
      </c>
      <c r="AZ105" s="8">
        <f t="shared" si="64"/>
        <v>2.0818585347671168</v>
      </c>
      <c r="BA105" s="8">
        <f t="shared" si="71"/>
        <v>100.1622426297223</v>
      </c>
      <c r="BD105" s="3">
        <f t="array" ref="BD105">MIN(100,MAX(0,L105-AJ105*5+AQ$16*(AP$27*T105+SUMPRODUCT($X105:$AH105,TRANSPOSE(AP$28:AP$38)))+AR$16*(AP$39*T105+SUMPRODUCT($X105:$AH105,TRANSPOSE(AP$40:AP$50)))+AS$16*(AP$51*T105+SUMPRODUCT($X105:$AH105,TRANSPOSE(AP$52:AP$62)))))</f>
        <v>52.290245739914539</v>
      </c>
      <c r="BE105" s="3">
        <f t="array" ref="BE105">MIN(100,MAX(0,M105-AK105*5+AP$17*(AQ$27*U105+SUMPRODUCT($X105:$AH105,TRANSPOSE(AQ$28:AQ$38)))+AR$17*(AQ$39*U105+SUMPRODUCT($X105:$AH105,TRANSPOSE(AQ$40:AQ$50)))+AS$17*(AQ$51*U105+SUMPRODUCT($X105:$AH105,TRANSPOSE(AQ$52:AQ$62)))))</f>
        <v>40.718224544835238</v>
      </c>
      <c r="BF105" s="3">
        <f t="array" ref="BF105">MIN(100,MAX(0,N105-AL105*5+AP$18*(AR$27*V105+SUMPRODUCT($X105:$AH105,TRANSPOSE(AR$28:AR$38)))+AQ$18*(AR$39*V105+SUMPRODUCT($X105:$AH105,TRANSPOSE(AR$40:AR$50)))+AS$18*(AR$51*V105+SUMPRODUCT($X105:$AH105,TRANSPOSE(AR$52:AR$62)))))</f>
        <v>5.0719138102053956</v>
      </c>
      <c r="BG105" s="3">
        <f t="array" ref="BG105">MIN(100,MAX(0,O105+AP$19*(AS$27*W105+SUMPRODUCT($X105:$AH105,TRANSPOSE(AS$28:AS$38)))+AQ$19*(AS$39*W105+SUMPRODUCT($X105:$AH105,TRANSPOSE(AS$40:AS$50)))+AR$19*(AS$51*W105+SUMPRODUCT($X105:$AH105,TRANSPOSE(AS$52:AS$62)))))</f>
        <v>2.0818585347671168</v>
      </c>
      <c r="BJ105">
        <f t="shared" si="72"/>
        <v>1</v>
      </c>
      <c r="BK105">
        <f t="shared" si="73"/>
        <v>0</v>
      </c>
      <c r="BL105">
        <f t="shared" si="74"/>
        <v>0</v>
      </c>
      <c r="BM105">
        <f t="shared" si="75"/>
        <v>0</v>
      </c>
      <c r="BP105">
        <f t="shared" si="65"/>
        <v>1</v>
      </c>
      <c r="BQ105">
        <f t="shared" si="66"/>
        <v>0</v>
      </c>
      <c r="BR105">
        <f t="shared" si="67"/>
        <v>0</v>
      </c>
      <c r="BS105">
        <f t="shared" si="68"/>
        <v>0</v>
      </c>
    </row>
    <row r="106" spans="1:71">
      <c r="A106" t="s">
        <v>11</v>
      </c>
      <c r="B106" t="s">
        <v>243</v>
      </c>
      <c r="C106" t="s">
        <v>605</v>
      </c>
      <c r="D106">
        <v>35105</v>
      </c>
      <c r="E106">
        <v>355</v>
      </c>
      <c r="F106">
        <v>35</v>
      </c>
      <c r="G106">
        <v>10138</v>
      </c>
      <c r="H106">
        <v>8085</v>
      </c>
      <c r="I106">
        <v>18126</v>
      </c>
      <c r="J106">
        <v>911</v>
      </c>
      <c r="K106">
        <v>37260</v>
      </c>
      <c r="L106" s="3">
        <f t="shared" si="113"/>
        <v>27.208803005904453</v>
      </c>
      <c r="M106" s="3">
        <f t="shared" si="114"/>
        <v>21.698872785829305</v>
      </c>
      <c r="N106" s="3">
        <f t="shared" si="115"/>
        <v>48.647342995169076</v>
      </c>
      <c r="O106" s="3">
        <f t="shared" si="116"/>
        <v>2.4449812130971549</v>
      </c>
      <c r="P106">
        <v>44.4</v>
      </c>
      <c r="Q106">
        <v>25.3</v>
      </c>
      <c r="R106">
        <v>25.6</v>
      </c>
      <c r="S106">
        <v>3.8</v>
      </c>
      <c r="T106">
        <f t="shared" si="117"/>
        <v>0</v>
      </c>
      <c r="U106">
        <f t="shared" si="118"/>
        <v>0</v>
      </c>
      <c r="V106">
        <f t="shared" si="119"/>
        <v>1</v>
      </c>
      <c r="W106">
        <f t="shared" si="120"/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f t="shared" si="69"/>
        <v>0</v>
      </c>
      <c r="AJ106">
        <v>0</v>
      </c>
      <c r="AK106">
        <v>0</v>
      </c>
      <c r="AL106">
        <v>0</v>
      </c>
      <c r="AW106" s="8">
        <f t="shared" si="61"/>
        <v>17.502906012967486</v>
      </c>
      <c r="AX106" s="8">
        <f t="shared" si="62"/>
        <v>39.394745859433165</v>
      </c>
      <c r="AY106" s="8">
        <f t="shared" si="63"/>
        <v>39.762788857571501</v>
      </c>
      <c r="AZ106" s="8">
        <f t="shared" si="64"/>
        <v>2.0454327108559323</v>
      </c>
      <c r="BA106" s="8">
        <f t="shared" si="71"/>
        <v>98.705873440828086</v>
      </c>
      <c r="BD106" s="3">
        <f t="array" ref="BD106">MIN(100,MAX(0,L106-AJ106*5+AQ$16*(AP$27*T106+SUMPRODUCT($X106:$AH106,TRANSPOSE(AP$28:AP$38)))+AR$16*(AP$39*T106+SUMPRODUCT($X106:$AH106,TRANSPOSE(AP$40:AP$50)))+AS$16*(AP$51*T106+SUMPRODUCT($X106:$AH106,TRANSPOSE(AP$52:AP$62)))))</f>
        <v>17.502906012967486</v>
      </c>
      <c r="BE106" s="3">
        <f t="array" ref="BE106">MIN(100,MAX(0,M106-AK106*5+AP$17*(AQ$27*U106+SUMPRODUCT($X106:$AH106,TRANSPOSE(AQ$28:AQ$38)))+AR$17*(AQ$39*U106+SUMPRODUCT($X106:$AH106,TRANSPOSE(AQ$40:AQ$50)))+AS$17*(AQ$51*U106+SUMPRODUCT($X106:$AH106,TRANSPOSE(AQ$52:AQ$62)))))</f>
        <v>39.394745859433165</v>
      </c>
      <c r="BF106" s="3">
        <f t="array" ref="BF106">MIN(100,MAX(0,N106-AL106*5+AP$18*(AR$27*V106+SUMPRODUCT($X106:$AH106,TRANSPOSE(AR$28:AR$38)))+AQ$18*(AR$39*V106+SUMPRODUCT($X106:$AH106,TRANSPOSE(AR$40:AR$50)))+AS$18*(AR$51*V106+SUMPRODUCT($X106:$AH106,TRANSPOSE(AR$52:AR$62)))))</f>
        <v>39.762788857571501</v>
      </c>
      <c r="BG106" s="3">
        <f t="array" ref="BG106">MIN(100,MAX(0,O106+AP$19*(AS$27*W106+SUMPRODUCT($X106:$AH106,TRANSPOSE(AS$28:AS$38)))+AQ$19*(AS$39*W106+SUMPRODUCT($X106:$AH106,TRANSPOSE(AS$40:AS$50)))+AR$19*(AS$51*W106+SUMPRODUCT($X106:$AH106,TRANSPOSE(AS$52:AS$62)))))</f>
        <v>2.0454327108559323</v>
      </c>
      <c r="BJ106">
        <f t="shared" si="72"/>
        <v>0</v>
      </c>
      <c r="BK106">
        <f t="shared" si="73"/>
        <v>0</v>
      </c>
      <c r="BL106">
        <f t="shared" si="74"/>
        <v>1</v>
      </c>
      <c r="BM106">
        <f t="shared" si="75"/>
        <v>0</v>
      </c>
      <c r="BP106">
        <f t="shared" si="65"/>
        <v>0</v>
      </c>
      <c r="BQ106">
        <f t="shared" si="66"/>
        <v>0</v>
      </c>
      <c r="BR106">
        <f t="shared" si="67"/>
        <v>1</v>
      </c>
      <c r="BS106">
        <f t="shared" si="68"/>
        <v>0</v>
      </c>
    </row>
    <row r="107" spans="1:71">
      <c r="A107" t="s">
        <v>11</v>
      </c>
      <c r="B107" t="s">
        <v>244</v>
      </c>
      <c r="C107" t="s">
        <v>606</v>
      </c>
      <c r="D107">
        <v>35106</v>
      </c>
      <c r="E107">
        <v>355</v>
      </c>
      <c r="F107">
        <v>35</v>
      </c>
      <c r="G107">
        <v>11163</v>
      </c>
      <c r="H107">
        <v>6203</v>
      </c>
      <c r="I107">
        <v>18881</v>
      </c>
      <c r="J107">
        <v>1137</v>
      </c>
      <c r="K107">
        <v>37648</v>
      </c>
      <c r="L107" s="3">
        <f t="shared" si="113"/>
        <v>29.65097747556311</v>
      </c>
      <c r="M107" s="3">
        <f t="shared" si="114"/>
        <v>16.476306842328942</v>
      </c>
      <c r="N107" s="3">
        <f t="shared" si="115"/>
        <v>50.151402464938379</v>
      </c>
      <c r="O107" s="3">
        <f t="shared" si="116"/>
        <v>3.0200807479813006</v>
      </c>
      <c r="P107">
        <v>44.4</v>
      </c>
      <c r="Q107">
        <v>25.3</v>
      </c>
      <c r="R107">
        <v>25.6</v>
      </c>
      <c r="S107">
        <v>3.8</v>
      </c>
      <c r="T107">
        <f t="shared" si="117"/>
        <v>0</v>
      </c>
      <c r="U107">
        <f t="shared" si="118"/>
        <v>0</v>
      </c>
      <c r="V107">
        <f t="shared" si="119"/>
        <v>1</v>
      </c>
      <c r="W107">
        <f t="shared" si="120"/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f t="shared" si="69"/>
        <v>0</v>
      </c>
      <c r="AJ107">
        <v>0</v>
      </c>
      <c r="AK107">
        <v>0</v>
      </c>
      <c r="AL107">
        <v>0</v>
      </c>
      <c r="AW107" s="8">
        <f t="shared" si="61"/>
        <v>19.945080482626139</v>
      </c>
      <c r="AX107" s="8">
        <f t="shared" si="62"/>
        <v>34.172179915932801</v>
      </c>
      <c r="AY107" s="8">
        <f t="shared" si="63"/>
        <v>41.266848327340803</v>
      </c>
      <c r="AZ107" s="8">
        <f t="shared" si="64"/>
        <v>2.6205322457400779</v>
      </c>
      <c r="BA107" s="8">
        <f t="shared" si="71"/>
        <v>98.00464097163983</v>
      </c>
      <c r="BD107" s="3">
        <f t="array" ref="BD107">MIN(100,MAX(0,L107-AJ107*5+AQ$16*(AP$27*T107+SUMPRODUCT($X107:$AH107,TRANSPOSE(AP$28:AP$38)))+AR$16*(AP$39*T107+SUMPRODUCT($X107:$AH107,TRANSPOSE(AP$40:AP$50)))+AS$16*(AP$51*T107+SUMPRODUCT($X107:$AH107,TRANSPOSE(AP$52:AP$62)))))</f>
        <v>19.945080482626139</v>
      </c>
      <c r="BE107" s="3">
        <f t="array" ref="BE107">MIN(100,MAX(0,M107-AK107*5+AP$17*(AQ$27*U107+SUMPRODUCT($X107:$AH107,TRANSPOSE(AQ$28:AQ$38)))+AR$17*(AQ$39*U107+SUMPRODUCT($X107:$AH107,TRANSPOSE(AQ$40:AQ$50)))+AS$17*(AQ$51*U107+SUMPRODUCT($X107:$AH107,TRANSPOSE(AQ$52:AQ$62)))))</f>
        <v>34.172179915932801</v>
      </c>
      <c r="BF107" s="3">
        <f t="array" ref="BF107">MIN(100,MAX(0,N107-AL107*5+AP$18*(AR$27*V107+SUMPRODUCT($X107:$AH107,TRANSPOSE(AR$28:AR$38)))+AQ$18*(AR$39*V107+SUMPRODUCT($X107:$AH107,TRANSPOSE(AR$40:AR$50)))+AS$18*(AR$51*V107+SUMPRODUCT($X107:$AH107,TRANSPOSE(AR$52:AR$62)))))</f>
        <v>41.266848327340803</v>
      </c>
      <c r="BG107" s="3">
        <f t="array" ref="BG107">MIN(100,MAX(0,O107+AP$19*(AS$27*W107+SUMPRODUCT($X107:$AH107,TRANSPOSE(AS$28:AS$38)))+AQ$19*(AS$39*W107+SUMPRODUCT($X107:$AH107,TRANSPOSE(AS$40:AS$50)))+AR$19*(AS$51*W107+SUMPRODUCT($X107:$AH107,TRANSPOSE(AS$52:AS$62)))))</f>
        <v>2.6205322457400779</v>
      </c>
      <c r="BJ107">
        <f t="shared" si="72"/>
        <v>0</v>
      </c>
      <c r="BK107">
        <f t="shared" si="73"/>
        <v>0</v>
      </c>
      <c r="BL107">
        <f t="shared" si="74"/>
        <v>1</v>
      </c>
      <c r="BM107">
        <f t="shared" si="75"/>
        <v>0</v>
      </c>
      <c r="BP107">
        <f t="shared" si="65"/>
        <v>0</v>
      </c>
      <c r="BQ107">
        <f t="shared" si="66"/>
        <v>0</v>
      </c>
      <c r="BR107">
        <f t="shared" si="67"/>
        <v>1</v>
      </c>
      <c r="BS107">
        <f t="shared" si="68"/>
        <v>0</v>
      </c>
    </row>
    <row r="108" spans="1:71">
      <c r="A108" t="s">
        <v>11</v>
      </c>
      <c r="B108" t="s">
        <v>245</v>
      </c>
      <c r="C108" t="s">
        <v>607</v>
      </c>
      <c r="D108">
        <v>35107</v>
      </c>
      <c r="E108">
        <v>355</v>
      </c>
      <c r="F108">
        <v>35</v>
      </c>
      <c r="G108">
        <v>10743</v>
      </c>
      <c r="H108">
        <v>5387</v>
      </c>
      <c r="I108">
        <v>16833</v>
      </c>
      <c r="J108">
        <v>740</v>
      </c>
      <c r="K108">
        <v>33703</v>
      </c>
      <c r="L108" s="3">
        <f t="shared" si="113"/>
        <v>31.875500697267306</v>
      </c>
      <c r="M108" s="3">
        <f t="shared" si="114"/>
        <v>15.983740319852831</v>
      </c>
      <c r="N108" s="3">
        <f t="shared" si="115"/>
        <v>49.945108744028722</v>
      </c>
      <c r="O108" s="3">
        <f t="shared" si="116"/>
        <v>2.1956502388511412</v>
      </c>
      <c r="P108">
        <v>44.4</v>
      </c>
      <c r="Q108">
        <v>25.3</v>
      </c>
      <c r="R108">
        <v>25.6</v>
      </c>
      <c r="S108">
        <v>3.8</v>
      </c>
      <c r="T108">
        <f t="shared" si="117"/>
        <v>0</v>
      </c>
      <c r="U108">
        <f t="shared" si="118"/>
        <v>0</v>
      </c>
      <c r="V108">
        <f t="shared" si="119"/>
        <v>1</v>
      </c>
      <c r="W108">
        <f t="shared" si="120"/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f t="shared" si="69"/>
        <v>0</v>
      </c>
      <c r="AJ108">
        <v>0</v>
      </c>
      <c r="AK108">
        <v>0</v>
      </c>
      <c r="AL108">
        <v>0</v>
      </c>
      <c r="AW108" s="8">
        <f t="shared" si="61"/>
        <v>22.169603704330335</v>
      </c>
      <c r="AX108" s="8">
        <f t="shared" si="62"/>
        <v>33.679613393456691</v>
      </c>
      <c r="AY108" s="8">
        <f t="shared" si="63"/>
        <v>41.060554606431147</v>
      </c>
      <c r="AZ108" s="8">
        <f t="shared" si="64"/>
        <v>1.7961017366099183</v>
      </c>
      <c r="BA108" s="8">
        <f t="shared" si="71"/>
        <v>98.705873440828086</v>
      </c>
      <c r="BD108" s="3">
        <f t="array" ref="BD108">MIN(100,MAX(0,L108-AJ108*5+AQ$16*(AP$27*T108+SUMPRODUCT($X108:$AH108,TRANSPOSE(AP$28:AP$38)))+AR$16*(AP$39*T108+SUMPRODUCT($X108:$AH108,TRANSPOSE(AP$40:AP$50)))+AS$16*(AP$51*T108+SUMPRODUCT($X108:$AH108,TRANSPOSE(AP$52:AP$62)))))</f>
        <v>22.169603704330335</v>
      </c>
      <c r="BE108" s="3">
        <f t="array" ref="BE108">MIN(100,MAX(0,M108-AK108*5+AP$17*(AQ$27*U108+SUMPRODUCT($X108:$AH108,TRANSPOSE(AQ$28:AQ$38)))+AR$17*(AQ$39*U108+SUMPRODUCT($X108:$AH108,TRANSPOSE(AQ$40:AQ$50)))+AS$17*(AQ$51*U108+SUMPRODUCT($X108:$AH108,TRANSPOSE(AQ$52:AQ$62)))))</f>
        <v>33.679613393456691</v>
      </c>
      <c r="BF108" s="3">
        <f t="array" ref="BF108">MIN(100,MAX(0,N108-AL108*5+AP$18*(AR$27*V108+SUMPRODUCT($X108:$AH108,TRANSPOSE(AR$28:AR$38)))+AQ$18*(AR$39*V108+SUMPRODUCT($X108:$AH108,TRANSPOSE(AR$40:AR$50)))+AS$18*(AR$51*V108+SUMPRODUCT($X108:$AH108,TRANSPOSE(AR$52:AR$62)))))</f>
        <v>41.060554606431147</v>
      </c>
      <c r="BG108" s="3">
        <f t="array" ref="BG108">MIN(100,MAX(0,O108+AP$19*(AS$27*W108+SUMPRODUCT($X108:$AH108,TRANSPOSE(AS$28:AS$38)))+AQ$19*(AS$39*W108+SUMPRODUCT($X108:$AH108,TRANSPOSE(AS$40:AS$50)))+AR$19*(AS$51*W108+SUMPRODUCT($X108:$AH108,TRANSPOSE(AS$52:AS$62)))))</f>
        <v>1.7961017366099183</v>
      </c>
      <c r="BJ108">
        <f t="shared" si="72"/>
        <v>0</v>
      </c>
      <c r="BK108">
        <f t="shared" si="73"/>
        <v>0</v>
      </c>
      <c r="BL108">
        <f t="shared" si="74"/>
        <v>1</v>
      </c>
      <c r="BM108">
        <f t="shared" si="75"/>
        <v>0</v>
      </c>
      <c r="BP108">
        <f t="shared" si="65"/>
        <v>0</v>
      </c>
      <c r="BQ108">
        <f t="shared" si="66"/>
        <v>0</v>
      </c>
      <c r="BR108">
        <f t="shared" si="67"/>
        <v>1</v>
      </c>
      <c r="BS108">
        <f t="shared" si="68"/>
        <v>0</v>
      </c>
    </row>
    <row r="109" spans="1:71">
      <c r="A109" t="s">
        <v>11</v>
      </c>
      <c r="B109" t="s">
        <v>246</v>
      </c>
      <c r="C109" t="s">
        <v>246</v>
      </c>
      <c r="D109">
        <v>35108</v>
      </c>
      <c r="E109">
        <v>3511</v>
      </c>
      <c r="F109">
        <v>35</v>
      </c>
      <c r="G109">
        <v>6476</v>
      </c>
      <c r="H109">
        <v>14828</v>
      </c>
      <c r="I109">
        <v>13617</v>
      </c>
      <c r="J109">
        <v>1942</v>
      </c>
      <c r="K109">
        <v>37350</v>
      </c>
      <c r="L109" s="43">
        <f>L149</f>
        <v>21.815000000000001</v>
      </c>
      <c r="M109" s="43">
        <f t="shared" ref="M109:O109" si="125">M149</f>
        <v>38.840000000000003</v>
      </c>
      <c r="N109" s="43">
        <f t="shared" si="125"/>
        <v>34.799999999999997</v>
      </c>
      <c r="O109" s="43">
        <f t="shared" si="125"/>
        <v>3.3849999999999998</v>
      </c>
      <c r="P109">
        <v>44.4</v>
      </c>
      <c r="Q109">
        <v>25.3</v>
      </c>
      <c r="R109">
        <v>25.6</v>
      </c>
      <c r="S109">
        <v>3.8</v>
      </c>
      <c r="T109">
        <f t="shared" si="117"/>
        <v>0</v>
      </c>
      <c r="U109">
        <f t="shared" si="118"/>
        <v>1</v>
      </c>
      <c r="V109">
        <f t="shared" si="119"/>
        <v>0</v>
      </c>
      <c r="W109">
        <f t="shared" si="120"/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f t="shared" si="69"/>
        <v>1</v>
      </c>
      <c r="AJ109">
        <v>0</v>
      </c>
      <c r="AK109">
        <v>0</v>
      </c>
      <c r="AL109">
        <v>0</v>
      </c>
      <c r="AW109" s="8">
        <f t="shared" si="61"/>
        <v>14.660563465370107</v>
      </c>
      <c r="AX109" s="8">
        <f t="shared" si="62"/>
        <v>52.298063533627591</v>
      </c>
      <c r="AY109" s="8">
        <f t="shared" si="63"/>
        <v>26.124523432718938</v>
      </c>
      <c r="AZ109" s="8">
        <f t="shared" si="64"/>
        <v>2.9260428072407811</v>
      </c>
      <c r="BA109" s="8">
        <f t="shared" si="71"/>
        <v>96.009193238957408</v>
      </c>
      <c r="BD109" s="43">
        <f t="array" ref="BD109">MIN(100,MAX(0,L109+4-AJ109*5+AQ$16*(AP$27*T109+SUMPRODUCT($X109:$AH109,TRANSPOSE(AP$28:AP$38)))+AR$16*(AP$39*T109+SUMPRODUCT($X109:$AH109,TRANSPOSE(AP$40:AP$50)))+AS$16*(AP$51*T109+SUMPRODUCT($X109:$AH109,TRANSPOSE(AP$52:AP$62)))))</f>
        <v>14.660563465370107</v>
      </c>
      <c r="BE109" s="43">
        <f t="array" ref="BE109">MIN(100,MAX(0,M109-6-AK109*5+AP$17*(AQ$27*U109+SUMPRODUCT($X109:$AH109,TRANSPOSE(AQ$28:AQ$38)))+AR$17*(AQ$39*U109+SUMPRODUCT($X109:$AH109,TRANSPOSE(AQ$40:AQ$50)))+AS$17*(AQ$51*U109+SUMPRODUCT($X109:$AH109,TRANSPOSE(AQ$52:AQ$62)))))</f>
        <v>52.298063533627591</v>
      </c>
      <c r="BF109" s="3">
        <f t="array" ref="BF109">MIN(100,MAX(0,N109-AL109*5+AP$18*(AR$27*V109+SUMPRODUCT($X109:$AH109,TRANSPOSE(AR$28:AR$38)))+AQ$18*(AR$39*V109+SUMPRODUCT($X109:$AH109,TRANSPOSE(AR$40:AR$50)))+AS$18*(AR$51*V109+SUMPRODUCT($X109:$AH109,TRANSPOSE(AR$52:AR$62)))))</f>
        <v>26.124523432718938</v>
      </c>
      <c r="BG109" s="3">
        <f t="array" ref="BG109">MIN(100,MAX(0,O109+AP$19*(AS$27*W109+SUMPRODUCT($X109:$AH109,TRANSPOSE(AS$28:AS$38)))+AQ$19*(AS$39*W109+SUMPRODUCT($X109:$AH109,TRANSPOSE(AS$40:AS$50)))+AR$19*(AS$51*W109+SUMPRODUCT($X109:$AH109,TRANSPOSE(AS$52:AS$62)))))</f>
        <v>2.9260428072407811</v>
      </c>
      <c r="BJ109">
        <f t="shared" si="72"/>
        <v>0</v>
      </c>
      <c r="BK109">
        <f t="shared" si="73"/>
        <v>1</v>
      </c>
      <c r="BL109">
        <f t="shared" si="74"/>
        <v>0</v>
      </c>
      <c r="BM109">
        <f t="shared" si="75"/>
        <v>0</v>
      </c>
      <c r="BP109">
        <f t="shared" si="65"/>
        <v>0</v>
      </c>
      <c r="BQ109">
        <f t="shared" si="66"/>
        <v>1</v>
      </c>
      <c r="BR109">
        <f t="shared" si="67"/>
        <v>1</v>
      </c>
      <c r="BS109">
        <f t="shared" si="68"/>
        <v>0</v>
      </c>
    </row>
    <row r="110" spans="1:71">
      <c r="A110" t="s">
        <v>11</v>
      </c>
      <c r="B110" t="s">
        <v>247</v>
      </c>
      <c r="C110" t="s">
        <v>608</v>
      </c>
      <c r="D110">
        <v>35109</v>
      </c>
      <c r="E110">
        <v>3511</v>
      </c>
      <c r="F110">
        <v>35</v>
      </c>
      <c r="G110">
        <v>6885</v>
      </c>
      <c r="H110">
        <v>8472</v>
      </c>
      <c r="I110">
        <v>29235</v>
      </c>
      <c r="J110">
        <v>3107</v>
      </c>
      <c r="K110">
        <v>48086</v>
      </c>
      <c r="L110" s="3">
        <f t="shared" si="113"/>
        <v>14.318096743334857</v>
      </c>
      <c r="M110" s="3">
        <f t="shared" si="114"/>
        <v>17.618433639728821</v>
      </c>
      <c r="N110" s="3">
        <f t="shared" si="115"/>
        <v>60.797321465707277</v>
      </c>
      <c r="O110" s="3">
        <f t="shared" si="116"/>
        <v>6.4613400989893117</v>
      </c>
      <c r="P110">
        <v>44.4</v>
      </c>
      <c r="Q110">
        <v>25.3</v>
      </c>
      <c r="R110">
        <v>25.6</v>
      </c>
      <c r="S110">
        <v>3.8</v>
      </c>
      <c r="T110">
        <f t="shared" si="117"/>
        <v>0</v>
      </c>
      <c r="U110">
        <f t="shared" si="118"/>
        <v>0</v>
      </c>
      <c r="V110">
        <f t="shared" si="119"/>
        <v>1</v>
      </c>
      <c r="W110">
        <f t="shared" si="120"/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f t="shared" si="69"/>
        <v>1</v>
      </c>
      <c r="AJ110">
        <v>0</v>
      </c>
      <c r="AK110">
        <v>0</v>
      </c>
      <c r="AL110">
        <v>0</v>
      </c>
      <c r="AW110" s="8">
        <f t="shared" si="61"/>
        <v>3.1636602087049628</v>
      </c>
      <c r="AX110" s="8">
        <f t="shared" si="62"/>
        <v>38.490505221253912</v>
      </c>
      <c r="AY110" s="8">
        <f t="shared" si="63"/>
        <v>50.333265457170377</v>
      </c>
      <c r="AZ110" s="8">
        <f t="shared" si="64"/>
        <v>5.8522977942731904</v>
      </c>
      <c r="BA110" s="8">
        <f t="shared" si="71"/>
        <v>97.839728681402434</v>
      </c>
      <c r="BD110" s="3">
        <f t="array" ref="BD110">MIN(100,MAX(0,L110-AJ110*5+AQ$16*(AP$27*T110+SUMPRODUCT($X110:$AH110,TRANSPOSE(AP$28:AP$38)))+AR$16*(AP$39*T110+SUMPRODUCT($X110:$AH110,TRANSPOSE(AP$40:AP$50)))+AS$16*(AP$51*T110+SUMPRODUCT($X110:$AH110,TRANSPOSE(AP$52:AP$62)))))</f>
        <v>3.1636602087049628</v>
      </c>
      <c r="BE110" s="3">
        <f t="array" ref="BE110">MIN(100,MAX(0,M110-AK110*5+AP$17*(AQ$27*U110+SUMPRODUCT($X110:$AH110,TRANSPOSE(AQ$28:AQ$38)))+AR$17*(AQ$39*U110+SUMPRODUCT($X110:$AH110,TRANSPOSE(AQ$40:AQ$50)))+AS$17*(AQ$51*U110+SUMPRODUCT($X110:$AH110,TRANSPOSE(AQ$52:AQ$62)))))</f>
        <v>38.490505221253912</v>
      </c>
      <c r="BF110" s="3">
        <f t="array" ref="BF110">MIN(100,MAX(0,N110-AL110*5+AP$18*(AR$27*V110+SUMPRODUCT($X110:$AH110,TRANSPOSE(AR$28:AR$38)))+AQ$18*(AR$39*V110+SUMPRODUCT($X110:$AH110,TRANSPOSE(AR$40:AR$50)))+AS$18*(AR$51*V110+SUMPRODUCT($X110:$AH110,TRANSPOSE(AR$52:AR$62)))))</f>
        <v>50.333265457170377</v>
      </c>
      <c r="BG110" s="3">
        <f t="array" ref="BG110">MIN(100,MAX(0,O110+AP$19*(AS$27*W110+SUMPRODUCT($X110:$AH110,TRANSPOSE(AS$28:AS$38)))+AQ$19*(AS$39*W110+SUMPRODUCT($X110:$AH110,TRANSPOSE(AS$40:AS$50)))+AR$19*(AS$51*W110+SUMPRODUCT($X110:$AH110,TRANSPOSE(AS$52:AS$62)))))</f>
        <v>6.0023829062300926</v>
      </c>
      <c r="BJ110">
        <f t="shared" si="72"/>
        <v>0</v>
      </c>
      <c r="BK110">
        <f t="shared" si="73"/>
        <v>0</v>
      </c>
      <c r="BL110">
        <f t="shared" si="74"/>
        <v>1</v>
      </c>
      <c r="BM110">
        <f t="shared" si="75"/>
        <v>0</v>
      </c>
      <c r="BP110">
        <f t="shared" si="65"/>
        <v>0</v>
      </c>
      <c r="BQ110">
        <f t="shared" si="66"/>
        <v>0</v>
      </c>
      <c r="BR110">
        <f t="shared" si="67"/>
        <v>1</v>
      </c>
      <c r="BS110">
        <f t="shared" si="68"/>
        <v>1</v>
      </c>
    </row>
    <row r="111" spans="1:71">
      <c r="A111" t="s">
        <v>11</v>
      </c>
      <c r="B111" t="s">
        <v>248</v>
      </c>
      <c r="C111" t="s">
        <v>609</v>
      </c>
      <c r="D111">
        <v>35090</v>
      </c>
      <c r="E111">
        <v>3510</v>
      </c>
      <c r="F111">
        <v>35</v>
      </c>
      <c r="G111">
        <v>15887</v>
      </c>
      <c r="H111">
        <v>19563</v>
      </c>
      <c r="I111">
        <v>11088</v>
      </c>
      <c r="J111">
        <v>2195</v>
      </c>
      <c r="K111">
        <v>49000</v>
      </c>
      <c r="L111" s="3">
        <f t="shared" si="113"/>
        <v>32.422448979591842</v>
      </c>
      <c r="M111" s="3">
        <f t="shared" si="114"/>
        <v>39.924489795918369</v>
      </c>
      <c r="N111" s="3">
        <f t="shared" si="115"/>
        <v>22.62857142857143</v>
      </c>
      <c r="O111" s="3">
        <f t="shared" si="116"/>
        <v>4.4795918367346941</v>
      </c>
      <c r="P111">
        <v>44.4</v>
      </c>
      <c r="Q111">
        <v>25.3</v>
      </c>
      <c r="R111">
        <v>25.6</v>
      </c>
      <c r="S111">
        <v>3.8</v>
      </c>
      <c r="T111">
        <f t="shared" si="117"/>
        <v>0</v>
      </c>
      <c r="U111">
        <f t="shared" si="118"/>
        <v>1</v>
      </c>
      <c r="V111">
        <f t="shared" si="119"/>
        <v>0</v>
      </c>
      <c r="W111">
        <f t="shared" si="120"/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f t="shared" si="69"/>
        <v>1</v>
      </c>
      <c r="AJ111">
        <v>0</v>
      </c>
      <c r="AK111">
        <v>0</v>
      </c>
      <c r="AL111">
        <v>0</v>
      </c>
      <c r="AW111" s="8">
        <f t="shared" si="61"/>
        <v>22.504916744117835</v>
      </c>
      <c r="AX111" s="8">
        <f t="shared" si="62"/>
        <v>56.764707687708253</v>
      </c>
      <c r="AY111" s="8">
        <f t="shared" si="63"/>
        <v>15.214596183707616</v>
      </c>
      <c r="AZ111" s="8">
        <f t="shared" si="64"/>
        <v>4.0281624924686135</v>
      </c>
      <c r="BA111" s="8">
        <f t="shared" si="71"/>
        <v>98.512383108002311</v>
      </c>
      <c r="BD111" s="3">
        <f t="array" ref="BD111">MIN(100,MAX(0,L111-AJ111*5+AQ$16*(AP$27*T111+SUMPRODUCT($X111:$AH111,TRANSPOSE(AP$28:AP$38)))+AR$16*(AP$39*T111+SUMPRODUCT($X111:$AH111,TRANSPOSE(AP$40:AP$50)))+AS$16*(AP$51*T111+SUMPRODUCT($X111:$AH111,TRANSPOSE(AP$52:AP$62)))))</f>
        <v>22.504916744117835</v>
      </c>
      <c r="BE111" s="3">
        <f t="array" ref="BE111">MIN(100,MAX(0,M111-AK111*5+AP$17*(AQ$27*U111+SUMPRODUCT($X111:$AH111,TRANSPOSE(AQ$28:AQ$38)))+AR$17*(AQ$39*U111+SUMPRODUCT($X111:$AH111,TRANSPOSE(AQ$40:AQ$50)))+AS$17*(AQ$51*U111+SUMPRODUCT($X111:$AH111,TRANSPOSE(AQ$52:AQ$62)))))</f>
        <v>56.764707687708253</v>
      </c>
      <c r="BF111" s="3">
        <f t="array" ref="BF111">MIN(100,MAX(0,N111-AL111*5+AP$18*(AR$27*V111+SUMPRODUCT($X111:$AH111,TRANSPOSE(AR$28:AR$38)))+AQ$18*(AR$39*V111+SUMPRODUCT($X111:$AH111,TRANSPOSE(AR$40:AR$50)))+AS$18*(AR$51*V111+SUMPRODUCT($X111:$AH111,TRANSPOSE(AR$52:AR$62)))))</f>
        <v>15.214596183707616</v>
      </c>
      <c r="BG111" s="3">
        <f t="array" ref="BG111">MIN(100,MAX(0,O111+AP$19*(AS$27*W111+SUMPRODUCT($X111:$AH111,TRANSPOSE(AS$28:AS$38)))+AQ$19*(AS$39*W111+SUMPRODUCT($X111:$AH111,TRANSPOSE(AS$40:AS$50)))+AR$19*(AS$51*W111+SUMPRODUCT($X111:$AH111,TRANSPOSE(AS$52:AS$62)))))</f>
        <v>4.0669275910736795</v>
      </c>
      <c r="BJ111">
        <f t="shared" si="72"/>
        <v>0</v>
      </c>
      <c r="BK111">
        <f t="shared" si="73"/>
        <v>1</v>
      </c>
      <c r="BL111">
        <f t="shared" si="74"/>
        <v>0</v>
      </c>
      <c r="BM111">
        <f t="shared" si="75"/>
        <v>0</v>
      </c>
      <c r="BP111">
        <f t="shared" si="65"/>
        <v>0</v>
      </c>
      <c r="BQ111">
        <f t="shared" si="66"/>
        <v>1</v>
      </c>
      <c r="BR111">
        <f t="shared" si="67"/>
        <v>0</v>
      </c>
      <c r="BS111">
        <f t="shared" si="68"/>
        <v>1</v>
      </c>
    </row>
    <row r="112" spans="1:71">
      <c r="A112" t="s">
        <v>11</v>
      </c>
      <c r="B112" t="s">
        <v>249</v>
      </c>
      <c r="C112" t="s">
        <v>610</v>
      </c>
      <c r="D112">
        <v>35110</v>
      </c>
      <c r="E112">
        <v>3512</v>
      </c>
      <c r="F112">
        <v>35</v>
      </c>
      <c r="G112">
        <v>9392</v>
      </c>
      <c r="H112">
        <v>14265</v>
      </c>
      <c r="I112">
        <v>20451</v>
      </c>
      <c r="J112">
        <v>2175</v>
      </c>
      <c r="K112">
        <v>46660</v>
      </c>
      <c r="L112" s="3">
        <f t="shared" si="113"/>
        <v>20.128589798542649</v>
      </c>
      <c r="M112" s="3">
        <f t="shared" si="114"/>
        <v>30.572224603514787</v>
      </c>
      <c r="N112" s="3">
        <f t="shared" si="115"/>
        <v>43.829832833261896</v>
      </c>
      <c r="O112" s="3">
        <f t="shared" si="116"/>
        <v>4.6613801971710247</v>
      </c>
      <c r="P112">
        <v>44.4</v>
      </c>
      <c r="Q112">
        <v>25.3</v>
      </c>
      <c r="R112">
        <v>25.6</v>
      </c>
      <c r="S112">
        <v>3.8</v>
      </c>
      <c r="T112">
        <f t="shared" si="117"/>
        <v>0</v>
      </c>
      <c r="U112">
        <f t="shared" si="118"/>
        <v>0</v>
      </c>
      <c r="V112">
        <f t="shared" si="119"/>
        <v>1</v>
      </c>
      <c r="W112">
        <f t="shared" si="120"/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f t="shared" si="69"/>
        <v>1</v>
      </c>
      <c r="AJ112">
        <v>0</v>
      </c>
      <c r="AK112">
        <v>0</v>
      </c>
      <c r="AL112">
        <v>0</v>
      </c>
      <c r="AW112" s="8">
        <f t="shared" si="61"/>
        <v>10.211057563068641</v>
      </c>
      <c r="AX112" s="8">
        <f t="shared" si="62"/>
        <v>48.826450543202178</v>
      </c>
      <c r="AY112" s="8">
        <f t="shared" si="63"/>
        <v>34.627278147142249</v>
      </c>
      <c r="AZ112" s="8">
        <f t="shared" si="64"/>
        <v>4.1994950792415029</v>
      </c>
      <c r="BA112" s="8">
        <f t="shared" si="71"/>
        <v>97.864281332654571</v>
      </c>
      <c r="BD112" s="3">
        <f t="array" ref="BD112">MIN(100,MAX(0,L112-AJ112*5+AQ$16*(AP$27*T112+SUMPRODUCT($X112:$AH112,TRANSPOSE(AP$28:AP$38)))+AR$16*(AP$39*T112+SUMPRODUCT($X112:$AH112,TRANSPOSE(AP$40:AP$50)))+AS$16*(AP$51*T112+SUMPRODUCT($X112:$AH112,TRANSPOSE(AP$52:AP$62)))))</f>
        <v>10.211057563068641</v>
      </c>
      <c r="BE112" s="3">
        <f t="array" ref="BE112">MIN(100,MAX(0,M112-AK112*5+AP$17*(AQ$27*U112+SUMPRODUCT($X112:$AH112,TRANSPOSE(AQ$28:AQ$38)))+AR$17*(AQ$39*U112+SUMPRODUCT($X112:$AH112,TRANSPOSE(AQ$40:AQ$50)))+AS$17*(AQ$51*U112+SUMPRODUCT($X112:$AH112,TRANSPOSE(AQ$52:AQ$62)))))</f>
        <v>48.826450543202178</v>
      </c>
      <c r="BF112" s="3">
        <f t="array" ref="BF112">MIN(100,MAX(0,N112-AL112*5+AP$18*(AR$27*V112+SUMPRODUCT($X112:$AH112,TRANSPOSE(AR$28:AR$38)))+AQ$18*(AR$39*V112+SUMPRODUCT($X112:$AH112,TRANSPOSE(AR$40:AR$50)))+AS$18*(AR$51*V112+SUMPRODUCT($X112:$AH112,TRANSPOSE(AR$52:AR$62)))))</f>
        <v>34.627278147142249</v>
      </c>
      <c r="BG112" s="3">
        <f t="array" ref="BG112">MIN(100,MAX(0,O112+AP$19*(AS$27*W112+SUMPRODUCT($X112:$AH112,TRANSPOSE(AS$28:AS$38)))+AQ$19*(AS$39*W112+SUMPRODUCT($X112:$AH112,TRANSPOSE(AS$40:AS$50)))+AR$19*(AS$51*W112+SUMPRODUCT($X112:$AH112,TRANSPOSE(AS$52:AS$62)))))</f>
        <v>4.2487159515100101</v>
      </c>
      <c r="BJ112">
        <f t="shared" si="72"/>
        <v>0</v>
      </c>
      <c r="BK112">
        <f t="shared" si="73"/>
        <v>1</v>
      </c>
      <c r="BL112">
        <f t="shared" si="74"/>
        <v>0</v>
      </c>
      <c r="BM112">
        <f t="shared" si="75"/>
        <v>0</v>
      </c>
      <c r="BP112">
        <f t="shared" si="65"/>
        <v>0</v>
      </c>
      <c r="BQ112">
        <f t="shared" si="66"/>
        <v>1</v>
      </c>
      <c r="BR112">
        <f t="shared" si="67"/>
        <v>1</v>
      </c>
      <c r="BS112">
        <f t="shared" si="68"/>
        <v>1</v>
      </c>
    </row>
    <row r="113" spans="1:71">
      <c r="A113" t="s">
        <v>11</v>
      </c>
      <c r="B113" t="s">
        <v>250</v>
      </c>
      <c r="C113" t="s">
        <v>611</v>
      </c>
      <c r="D113">
        <v>35111</v>
      </c>
      <c r="E113">
        <v>3510</v>
      </c>
      <c r="F113">
        <v>35</v>
      </c>
      <c r="G113">
        <v>21750</v>
      </c>
      <c r="H113">
        <v>11806</v>
      </c>
      <c r="I113">
        <v>4113</v>
      </c>
      <c r="J113">
        <v>779</v>
      </c>
      <c r="K113">
        <v>38449</v>
      </c>
      <c r="L113" s="3">
        <f t="shared" si="113"/>
        <v>56.568441311867666</v>
      </c>
      <c r="M113" s="3">
        <f t="shared" si="114"/>
        <v>30.705610028869412</v>
      </c>
      <c r="N113" s="3">
        <f t="shared" si="115"/>
        <v>10.697287315664907</v>
      </c>
      <c r="O113" s="3">
        <f t="shared" si="116"/>
        <v>2.0260604957216053</v>
      </c>
      <c r="P113">
        <v>44.4</v>
      </c>
      <c r="Q113">
        <v>25.3</v>
      </c>
      <c r="R113">
        <v>25.6</v>
      </c>
      <c r="S113">
        <v>3.8</v>
      </c>
      <c r="T113">
        <f t="shared" si="117"/>
        <v>1</v>
      </c>
      <c r="U113">
        <f t="shared" si="118"/>
        <v>0</v>
      </c>
      <c r="V113">
        <f t="shared" si="119"/>
        <v>0</v>
      </c>
      <c r="W113">
        <f t="shared" si="120"/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f t="shared" si="69"/>
        <v>1</v>
      </c>
      <c r="AJ113">
        <v>0</v>
      </c>
      <c r="AK113">
        <v>0</v>
      </c>
      <c r="AL113">
        <v>0</v>
      </c>
      <c r="AW113" s="8">
        <f t="shared" ref="AW113:AW122" si="126">(1-BP113*AP$11-(1-BP113)*AP$13)*BD113+BP113*AP$11*(AP$6+AP$6/AP$10*(BD113-AP$6))+(1-BP113)*AP$13*(BD113+(AP$6-AP$12)/(100-AP$12)*(AP$6-BD113))</f>
        <v>45.667465297000582</v>
      </c>
      <c r="AX113" s="8">
        <f t="shared" ref="AX113:AX122" si="127">(1-BQ113*AQ$11-(1-BQ113)*AQ$13)*BE113+BQ113*AQ$11*(AQ$6+AQ$6/AQ$10*(BE113-AQ$6))+(1-BQ113)*AQ$13*(BE113+(AQ$6-AQ$12)/(100-AQ$12)*(AQ$6-BE113))</f>
        <v>48.929581201626753</v>
      </c>
      <c r="AY113" s="8">
        <f t="shared" ref="AY113:AY122" si="128">(1-BR113*AR$11-(1-BR113)*AR$13)*BF113+BR113*AR$11*(AR$6+AR$6/AR$10*(BF113-AR$6))+(1-BR113)*AR$13*(BF113+(AR$6-AR$12)/(100-AR$12)*(AR$6-BF113))</f>
        <v>4.2781138204966629</v>
      </c>
      <c r="AZ113" s="8">
        <f t="shared" ref="AZ113:AZ122" si="129">(1-BS113*AS$11-(1-BS113)*AS$13)*BG113+BS113*AS$11*(AS$6+AS$6/AS$10*(BG113-AS$6))+(1-BS113)*AS$13*(BG113+(AS$6-AS$12)/(100-AS$12)*(AS$6-BG113))</f>
        <v>1.6314476768867792</v>
      </c>
      <c r="BA113" s="8">
        <f t="shared" si="71"/>
        <v>100.50660799601077</v>
      </c>
      <c r="BD113" s="3">
        <f t="array" ref="BD113">MIN(100,MAX(0,L113-AJ113*5+AQ$16*(AP$27*T113+SUMPRODUCT($X113:$AH113,TRANSPOSE(AP$28:AP$38)))+AR$16*(AP$39*T113+SUMPRODUCT($X113:$AH113,TRANSPOSE(AP$40:AP$50)))+AS$16*(AP$51*T113+SUMPRODUCT($X113:$AH113,TRANSPOSE(AP$52:AP$62)))))</f>
        <v>45.667465297000582</v>
      </c>
      <c r="BE113" s="3">
        <f t="array" ref="BE113">MIN(100,MAX(0,M113-AK113*5+AP$17*(AQ$27*U113+SUMPRODUCT($X113:$AH113,TRANSPOSE(AQ$28:AQ$38)))+AR$17*(AQ$39*U113+SUMPRODUCT($X113:$AH113,TRANSPOSE(AQ$40:AQ$50)))+AS$17*(AQ$51*U113+SUMPRODUCT($X113:$AH113,TRANSPOSE(AQ$52:AQ$62)))))</f>
        <v>48.929581201626753</v>
      </c>
      <c r="BF113" s="3">
        <f t="array" ref="BF113">MIN(100,MAX(0,N113-AL113*5+AP$18*(AR$27*V113+SUMPRODUCT($X113:$AH113,TRANSPOSE(AR$28:AR$38)))+AQ$18*(AR$39*V113+SUMPRODUCT($X113:$AH113,TRANSPOSE(AR$40:AR$50)))+AS$18*(AR$51*V113+SUMPRODUCT($X113:$AH113,TRANSPOSE(AR$52:AR$62)))))</f>
        <v>4.2781138204966629</v>
      </c>
      <c r="BG113" s="3">
        <f t="array" ref="BG113">MIN(100,MAX(0,O113+AP$19*(AS$27*W113+SUMPRODUCT($X113:$AH113,TRANSPOSE(AS$28:AS$38)))+AQ$19*(AS$39*W113+SUMPRODUCT($X113:$AH113,TRANSPOSE(AS$40:AS$50)))+AR$19*(AS$51*W113+SUMPRODUCT($X113:$AH113,TRANSPOSE(AS$52:AS$62)))))</f>
        <v>1.6314476768867792</v>
      </c>
      <c r="BJ113">
        <f t="shared" si="72"/>
        <v>0</v>
      </c>
      <c r="BK113">
        <f t="shared" si="73"/>
        <v>1</v>
      </c>
      <c r="BL113">
        <f t="shared" si="74"/>
        <v>0</v>
      </c>
      <c r="BM113">
        <f t="shared" si="75"/>
        <v>0</v>
      </c>
      <c r="BP113">
        <f t="shared" ref="BP113:BP122" si="130">IF(BD113&gt;AP$6,1,0)</f>
        <v>1</v>
      </c>
      <c r="BQ113">
        <f t="shared" ref="BQ113:BQ122" si="131">IF(BE113&gt;AQ$6,1,0)</f>
        <v>1</v>
      </c>
      <c r="BR113">
        <f t="shared" ref="BR113:BR122" si="132">IF(BF113&gt;AR$6,1,0)</f>
        <v>0</v>
      </c>
      <c r="BS113">
        <f t="shared" ref="BS113:BS122" si="133">IF(BG113&gt;AS$6,1,0)</f>
        <v>0</v>
      </c>
    </row>
    <row r="114" spans="1:71">
      <c r="A114" t="s">
        <v>11</v>
      </c>
      <c r="B114" t="s">
        <v>251</v>
      </c>
      <c r="C114" t="s">
        <v>251</v>
      </c>
      <c r="D114">
        <v>35112</v>
      </c>
      <c r="E114">
        <v>358</v>
      </c>
      <c r="F114">
        <v>35</v>
      </c>
      <c r="G114">
        <v>22193</v>
      </c>
      <c r="H114">
        <v>20551</v>
      </c>
      <c r="I114">
        <v>8014</v>
      </c>
      <c r="J114">
        <v>2508</v>
      </c>
      <c r="K114">
        <v>53633</v>
      </c>
      <c r="L114" s="3">
        <f t="shared" si="113"/>
        <v>41.379374638748537</v>
      </c>
      <c r="M114" s="3">
        <f t="shared" si="114"/>
        <v>38.317826711166632</v>
      </c>
      <c r="N114" s="3">
        <f t="shared" si="115"/>
        <v>14.942292991255385</v>
      </c>
      <c r="O114" s="3">
        <f t="shared" si="116"/>
        <v>4.6762254582067007</v>
      </c>
      <c r="P114">
        <v>44.4</v>
      </c>
      <c r="Q114">
        <v>25.3</v>
      </c>
      <c r="R114">
        <v>25.6</v>
      </c>
      <c r="S114">
        <v>3.8</v>
      </c>
      <c r="T114">
        <f t="shared" si="117"/>
        <v>1</v>
      </c>
      <c r="U114">
        <f t="shared" si="118"/>
        <v>0</v>
      </c>
      <c r="V114">
        <f t="shared" si="119"/>
        <v>0</v>
      </c>
      <c r="W114">
        <f t="shared" si="120"/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f t="shared" si="69"/>
        <v>1</v>
      </c>
      <c r="AJ114">
        <v>0</v>
      </c>
      <c r="AK114">
        <v>0</v>
      </c>
      <c r="AL114">
        <v>0</v>
      </c>
      <c r="AW114" s="8">
        <f t="shared" si="126"/>
        <v>31.548529994430709</v>
      </c>
      <c r="AX114" s="8">
        <f t="shared" si="127"/>
        <v>55.222126796149347</v>
      </c>
      <c r="AY114" s="8">
        <f t="shared" si="128"/>
        <v>8.7641458755773982</v>
      </c>
      <c r="AZ114" s="8">
        <f t="shared" si="129"/>
        <v>4.2037703404722908</v>
      </c>
      <c r="BA114" s="8">
        <f t="shared" si="71"/>
        <v>99.73857300662975</v>
      </c>
      <c r="BD114" s="3">
        <f t="array" ref="BD114">MIN(100,MAX(0,L114-AJ114*5+AQ$16*(AP$27*T114+SUMPRODUCT($X114:$AH114,TRANSPOSE(AP$28:AP$38)))+AR$16*(AP$39*T114+SUMPRODUCT($X114:$AH114,TRANSPOSE(AP$40:AP$50)))+AS$16*(AP$51*T114+SUMPRODUCT($X114:$AH114,TRANSPOSE(AP$52:AP$62)))))</f>
        <v>31.548529994430709</v>
      </c>
      <c r="BE114" s="3">
        <f t="array" ref="BE114">MIN(100,MAX(0,M114-AK114*5+AP$17*(AQ$27*U114+SUMPRODUCT($X114:$AH114,TRANSPOSE(AQ$28:AQ$38)))+AR$17*(AQ$39*U114+SUMPRODUCT($X114:$AH114,TRANSPOSE(AQ$40:AQ$50)))+AS$17*(AQ$51*U114+SUMPRODUCT($X114:$AH114,TRANSPOSE(AQ$52:AQ$62)))))</f>
        <v>55.222126796149347</v>
      </c>
      <c r="BF114" s="3">
        <f t="array" ref="BF114">MIN(100,MAX(0,N114-AL114*5+AP$18*(AR$27*V114+SUMPRODUCT($X114:$AH114,TRANSPOSE(AR$28:AR$38)))+AQ$18*(AR$39*V114+SUMPRODUCT($X114:$AH114,TRANSPOSE(AR$40:AR$50)))+AS$18*(AR$51*V114+SUMPRODUCT($X114:$AH114,TRANSPOSE(AR$52:AR$62)))))</f>
        <v>8.7641458755773982</v>
      </c>
      <c r="BG114" s="3">
        <f t="array" ref="BG114">MIN(100,MAX(0,O114+AP$19*(AS$27*W114+SUMPRODUCT($X114:$AH114,TRANSPOSE(AS$28:AS$38)))+AQ$19*(AS$39*W114+SUMPRODUCT($X114:$AH114,TRANSPOSE(AS$40:AS$50)))+AR$19*(AS$51*W114+SUMPRODUCT($X114:$AH114,TRANSPOSE(AS$52:AS$62)))))</f>
        <v>4.2532521156117769</v>
      </c>
      <c r="BJ114">
        <f t="shared" si="72"/>
        <v>0</v>
      </c>
      <c r="BK114">
        <f t="shared" si="73"/>
        <v>1</v>
      </c>
      <c r="BL114">
        <f t="shared" si="74"/>
        <v>0</v>
      </c>
      <c r="BM114">
        <f t="shared" si="75"/>
        <v>0</v>
      </c>
      <c r="BP114">
        <f t="shared" si="130"/>
        <v>0</v>
      </c>
      <c r="BQ114">
        <f t="shared" si="131"/>
        <v>1</v>
      </c>
      <c r="BR114">
        <f t="shared" si="132"/>
        <v>0</v>
      </c>
      <c r="BS114">
        <f t="shared" si="133"/>
        <v>1</v>
      </c>
    </row>
    <row r="115" spans="1:71">
      <c r="A115" t="s">
        <v>11</v>
      </c>
      <c r="B115" t="s">
        <v>252</v>
      </c>
      <c r="C115" t="s">
        <v>612</v>
      </c>
      <c r="D115">
        <v>35113</v>
      </c>
      <c r="E115">
        <v>357</v>
      </c>
      <c r="F115">
        <v>35</v>
      </c>
      <c r="G115">
        <v>35023</v>
      </c>
      <c r="H115">
        <v>8979</v>
      </c>
      <c r="I115">
        <v>7120</v>
      </c>
      <c r="J115">
        <v>3518</v>
      </c>
      <c r="K115">
        <v>54955</v>
      </c>
      <c r="L115" s="3">
        <f t="shared" si="113"/>
        <v>63.730324811209172</v>
      </c>
      <c r="M115" s="3">
        <f t="shared" si="114"/>
        <v>16.338822673096171</v>
      </c>
      <c r="N115" s="3">
        <f t="shared" si="115"/>
        <v>12.956054954053316</v>
      </c>
      <c r="O115" s="3">
        <f t="shared" si="116"/>
        <v>6.4016013101628602</v>
      </c>
      <c r="P115">
        <v>44.4</v>
      </c>
      <c r="Q115">
        <v>25.3</v>
      </c>
      <c r="R115">
        <v>25.6</v>
      </c>
      <c r="S115">
        <v>3.8</v>
      </c>
      <c r="T115">
        <f t="shared" si="117"/>
        <v>1</v>
      </c>
      <c r="U115">
        <f t="shared" si="118"/>
        <v>0</v>
      </c>
      <c r="V115">
        <f t="shared" si="119"/>
        <v>0</v>
      </c>
      <c r="W115">
        <f t="shared" si="120"/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f t="shared" si="69"/>
        <v>1</v>
      </c>
      <c r="AJ115">
        <v>0</v>
      </c>
      <c r="AK115">
        <v>0</v>
      </c>
      <c r="AL115">
        <v>0</v>
      </c>
      <c r="AW115" s="8">
        <f t="shared" si="126"/>
        <v>53.899480166891344</v>
      </c>
      <c r="AX115" s="8">
        <f t="shared" si="127"/>
        <v>33.243122758078883</v>
      </c>
      <c r="AY115" s="8">
        <f t="shared" si="128"/>
        <v>6.77790783837533</v>
      </c>
      <c r="AZ115" s="8">
        <f t="shared" si="129"/>
        <v>5.8299091491484436</v>
      </c>
      <c r="BA115" s="8">
        <f t="shared" si="71"/>
        <v>99.750419912493996</v>
      </c>
      <c r="BD115" s="3">
        <f t="array" ref="BD115">MIN(100,MAX(0,L115-AJ115*5+AQ$16*(AP$27*T115+SUMPRODUCT($X115:$AH115,TRANSPOSE(AP$28:AP$38)))+AR$16*(AP$39*T115+SUMPRODUCT($X115:$AH115,TRANSPOSE(AP$40:AP$50)))+AS$16*(AP$51*T115+SUMPRODUCT($X115:$AH115,TRANSPOSE(AP$52:AP$62)))))</f>
        <v>53.899480166891344</v>
      </c>
      <c r="BE115" s="3">
        <f t="array" ref="BE115">MIN(100,MAX(0,M115-AK115*5+AP$17*(AQ$27*U115+SUMPRODUCT($X115:$AH115,TRANSPOSE(AQ$28:AQ$38)))+AR$17*(AQ$39*U115+SUMPRODUCT($X115:$AH115,TRANSPOSE(AQ$40:AQ$50)))+AS$17*(AQ$51*U115+SUMPRODUCT($X115:$AH115,TRANSPOSE(AQ$52:AQ$62)))))</f>
        <v>33.243122758078883</v>
      </c>
      <c r="BF115" s="3">
        <f t="array" ref="BF115">MIN(100,MAX(0,N115-AL115*5+AP$18*(AR$27*V115+SUMPRODUCT($X115:$AH115,TRANSPOSE(AR$28:AR$38)))+AQ$18*(AR$39*V115+SUMPRODUCT($X115:$AH115,TRANSPOSE(AR$40:AR$50)))+AS$18*(AR$51*V115+SUMPRODUCT($X115:$AH115,TRANSPOSE(AR$52:AR$62)))))</f>
        <v>6.77790783837533</v>
      </c>
      <c r="BG115" s="3">
        <f t="array" ref="BG115">MIN(100,MAX(0,O115+AP$19*(AS$27*W115+SUMPRODUCT($X115:$AH115,TRANSPOSE(AS$28:AS$38)))+AQ$19*(AS$39*W115+SUMPRODUCT($X115:$AH115,TRANSPOSE(AS$40:AS$50)))+AR$19*(AS$51*W115+SUMPRODUCT($X115:$AH115,TRANSPOSE(AS$52:AS$62)))))</f>
        <v>5.9786279675679364</v>
      </c>
      <c r="BJ115">
        <f t="shared" si="72"/>
        <v>1</v>
      </c>
      <c r="BK115">
        <f t="shared" si="73"/>
        <v>0</v>
      </c>
      <c r="BL115">
        <f t="shared" si="74"/>
        <v>0</v>
      </c>
      <c r="BM115">
        <f t="shared" si="75"/>
        <v>0</v>
      </c>
      <c r="BP115">
        <f t="shared" si="130"/>
        <v>1</v>
      </c>
      <c r="BQ115">
        <f t="shared" si="131"/>
        <v>0</v>
      </c>
      <c r="BR115">
        <f t="shared" si="132"/>
        <v>0</v>
      </c>
      <c r="BS115">
        <f t="shared" si="133"/>
        <v>1</v>
      </c>
    </row>
    <row r="116" spans="1:71">
      <c r="A116" t="s">
        <v>11</v>
      </c>
      <c r="B116" t="s">
        <v>253</v>
      </c>
      <c r="C116" t="s">
        <v>253</v>
      </c>
      <c r="D116">
        <v>35114</v>
      </c>
      <c r="E116">
        <v>358</v>
      </c>
      <c r="F116">
        <v>35</v>
      </c>
      <c r="G116">
        <v>31034</v>
      </c>
      <c r="H116">
        <v>7644</v>
      </c>
      <c r="I116">
        <v>11297</v>
      </c>
      <c r="J116">
        <v>2628</v>
      </c>
      <c r="K116">
        <v>52771</v>
      </c>
      <c r="L116" s="43">
        <f>L177</f>
        <v>58.6325</v>
      </c>
      <c r="M116" s="43">
        <f t="shared" ref="M116:O116" si="134">M177</f>
        <v>24.487500000000001</v>
      </c>
      <c r="N116" s="43">
        <f t="shared" si="134"/>
        <v>16.585000000000001</v>
      </c>
      <c r="O116" s="43">
        <f t="shared" si="134"/>
        <v>1.4050000000000002</v>
      </c>
      <c r="P116">
        <v>44.4</v>
      </c>
      <c r="Q116">
        <v>25.3</v>
      </c>
      <c r="R116">
        <v>25.6</v>
      </c>
      <c r="S116">
        <v>3.8</v>
      </c>
      <c r="T116">
        <f t="shared" si="117"/>
        <v>1</v>
      </c>
      <c r="U116">
        <f t="shared" si="118"/>
        <v>0</v>
      </c>
      <c r="V116">
        <f t="shared" si="119"/>
        <v>0</v>
      </c>
      <c r="W116">
        <f t="shared" si="120"/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f t="shared" si="69"/>
        <v>1</v>
      </c>
      <c r="AJ116">
        <v>0</v>
      </c>
      <c r="AK116">
        <v>0</v>
      </c>
      <c r="AL116">
        <v>0</v>
      </c>
      <c r="AW116" s="8">
        <f t="shared" si="126"/>
        <v>47.265049367539909</v>
      </c>
      <c r="AX116" s="8">
        <f t="shared" si="127"/>
        <v>43.92122837217952</v>
      </c>
      <c r="AY116" s="8">
        <f t="shared" si="128"/>
        <v>9.4800298642514118</v>
      </c>
      <c r="AZ116" s="8">
        <f t="shared" si="129"/>
        <v>0.98670391986258099</v>
      </c>
      <c r="BA116" s="8">
        <f t="shared" si="71"/>
        <v>101.65301152383341</v>
      </c>
      <c r="BD116" s="3">
        <f t="array" ref="BD116">MIN(100,MAX(0,L116-AJ116*5+AQ$16*(AP$27*T116+SUMPRODUCT($X116:$AH116,TRANSPOSE(AP$28:AP$38)))+AR$16*(AP$39*T116+SUMPRODUCT($X116:$AH116,TRANSPOSE(AP$40:AP$50)))+AS$16*(AP$51*T116+SUMPRODUCT($X116:$AH116,TRANSPOSE(AP$52:AP$62)))))</f>
        <v>47.265049367539909</v>
      </c>
      <c r="BE116" s="3">
        <f t="array" ref="BE116">MIN(100,MAX(0,M116-AK116*5+AP$17*(AQ$27*U116+SUMPRODUCT($X116:$AH116,TRANSPOSE(AQ$28:AQ$38)))+AR$17*(AQ$39*U116+SUMPRODUCT($X116:$AH116,TRANSPOSE(AQ$40:AQ$50)))+AS$17*(AQ$51*U116+SUMPRODUCT($X116:$AH116,TRANSPOSE(AQ$52:AQ$62)))))</f>
        <v>43.92122837217952</v>
      </c>
      <c r="BF116" s="3">
        <f t="array" ref="BF116">MIN(100,MAX(0,N116-AL116*5+AP$18*(AR$27*V116+SUMPRODUCT($X116:$AH116,TRANSPOSE(AR$28:AR$38)))+AQ$18*(AR$39*V116+SUMPRODUCT($X116:$AH116,TRANSPOSE(AR$40:AR$50)))+AS$18*(AR$51*V116+SUMPRODUCT($X116:$AH116,TRANSPOSE(AR$52:AR$62)))))</f>
        <v>9.4800298642514118</v>
      </c>
      <c r="BG116" s="3">
        <f t="array" ref="BG116">MIN(100,MAX(0,O116+AP$19*(AS$27*W116+SUMPRODUCT($X116:$AH116,TRANSPOSE(AS$28:AS$38)))+AQ$19*(AS$39*W116+SUMPRODUCT($X116:$AH116,TRANSPOSE(AS$40:AS$50)))+AR$19*(AS$51*W116+SUMPRODUCT($X116:$AH116,TRANSPOSE(AS$52:AS$62)))))</f>
        <v>0.98670391986258099</v>
      </c>
      <c r="BJ116">
        <f t="shared" si="72"/>
        <v>1</v>
      </c>
      <c r="BK116">
        <f t="shared" si="73"/>
        <v>0</v>
      </c>
      <c r="BL116">
        <f t="shared" si="74"/>
        <v>0</v>
      </c>
      <c r="BM116">
        <f t="shared" si="75"/>
        <v>0</v>
      </c>
      <c r="BP116">
        <f t="shared" si="130"/>
        <v>1</v>
      </c>
      <c r="BQ116">
        <f t="shared" si="131"/>
        <v>1</v>
      </c>
      <c r="BR116">
        <f t="shared" si="132"/>
        <v>0</v>
      </c>
      <c r="BS116">
        <f t="shared" si="133"/>
        <v>0</v>
      </c>
    </row>
    <row r="117" spans="1:71">
      <c r="A117" t="s">
        <v>11</v>
      </c>
      <c r="B117" t="s">
        <v>254</v>
      </c>
      <c r="C117" t="s">
        <v>254</v>
      </c>
      <c r="D117">
        <v>35115</v>
      </c>
      <c r="E117">
        <v>3511</v>
      </c>
      <c r="F117">
        <v>35</v>
      </c>
      <c r="G117">
        <v>16168</v>
      </c>
      <c r="H117">
        <v>15280</v>
      </c>
      <c r="I117">
        <v>7383</v>
      </c>
      <c r="J117">
        <v>152</v>
      </c>
      <c r="K117">
        <v>38984</v>
      </c>
      <c r="L117" s="3">
        <f t="shared" si="113"/>
        <v>41.473424994869688</v>
      </c>
      <c r="M117" s="3">
        <f t="shared" si="114"/>
        <v>39.1955674122717</v>
      </c>
      <c r="N117" s="3">
        <f t="shared" si="115"/>
        <v>18.93853888774882</v>
      </c>
      <c r="O117" s="3">
        <f t="shared" si="116"/>
        <v>0.38990355017443051</v>
      </c>
      <c r="P117">
        <v>44.4</v>
      </c>
      <c r="Q117">
        <v>25.3</v>
      </c>
      <c r="R117">
        <v>25.6</v>
      </c>
      <c r="T117">
        <f t="shared" si="117"/>
        <v>1</v>
      </c>
      <c r="U117">
        <f t="shared" si="118"/>
        <v>0</v>
      </c>
      <c r="V117">
        <f t="shared" si="119"/>
        <v>0</v>
      </c>
      <c r="W117">
        <f t="shared" si="120"/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f t="shared" si="69"/>
        <v>1</v>
      </c>
      <c r="AJ117">
        <v>0</v>
      </c>
      <c r="AK117">
        <v>0</v>
      </c>
      <c r="AL117">
        <v>0</v>
      </c>
      <c r="AW117" s="8">
        <f t="shared" si="126"/>
        <v>30.318988460239794</v>
      </c>
      <c r="AX117" s="8">
        <f t="shared" si="127"/>
        <v>60.067638993796791</v>
      </c>
      <c r="AY117" s="8">
        <f t="shared" si="128"/>
        <v>10.263062320467759</v>
      </c>
      <c r="AZ117" s="8">
        <f t="shared" si="129"/>
        <v>0</v>
      </c>
      <c r="BA117" s="8">
        <f t="shared" si="71"/>
        <v>100.64968977450434</v>
      </c>
      <c r="BD117" s="3">
        <f t="array" ref="BD117">MIN(100,MAX(0,L117-AJ117*5+AQ$16*(AP$27*T117+SUMPRODUCT($X117:$AH117,TRANSPOSE(AP$28:AP$38)))+AR$16*(AP$39*T117+SUMPRODUCT($X117:$AH117,TRANSPOSE(AP$40:AP$50)))+AS$16*(AP$51*T117+SUMPRODUCT($X117:$AH117,TRANSPOSE(AP$52:AP$62)))))</f>
        <v>30.318988460239794</v>
      </c>
      <c r="BE117" s="3">
        <f t="array" ref="BE117">MIN(100,MAX(0,M117-AK117*5+AP$17*(AQ$27*U117+SUMPRODUCT($X117:$AH117,TRANSPOSE(AQ$28:AQ$38)))+AR$17*(AQ$39*U117+SUMPRODUCT($X117:$AH117,TRANSPOSE(AQ$40:AQ$50)))+AS$17*(AQ$51*U117+SUMPRODUCT($X117:$AH117,TRANSPOSE(AQ$52:AQ$62)))))</f>
        <v>60.067638993796791</v>
      </c>
      <c r="BF117" s="3">
        <f t="array" ref="BF117">MIN(100,MAX(0,N117-AL117*5+AP$18*(AR$27*V117+SUMPRODUCT($X117:$AH117,TRANSPOSE(AR$28:AR$38)))+AQ$18*(AR$39*V117+SUMPRODUCT($X117:$AH117,TRANSPOSE(AR$40:AR$50)))+AS$18*(AR$51*V117+SUMPRODUCT($X117:$AH117,TRANSPOSE(AR$52:AR$62)))))</f>
        <v>10.263062320467759</v>
      </c>
      <c r="BG117" s="3">
        <f t="array" ref="BG117">MIN(100,MAX(0,O117+AP$19*(AS$27*W117+SUMPRODUCT($X117:$AH117,TRANSPOSE(AS$28:AS$38)))+AQ$19*(AS$39*W117+SUMPRODUCT($X117:$AH117,TRANSPOSE(AS$40:AS$50)))+AR$19*(AS$51*W117+SUMPRODUCT($X117:$AH117,TRANSPOSE(AS$52:AS$62)))))</f>
        <v>0</v>
      </c>
      <c r="BJ117">
        <f t="shared" si="72"/>
        <v>0</v>
      </c>
      <c r="BK117">
        <f t="shared" si="73"/>
        <v>1</v>
      </c>
      <c r="BL117">
        <f t="shared" si="74"/>
        <v>0</v>
      </c>
      <c r="BM117">
        <f t="shared" si="75"/>
        <v>0</v>
      </c>
      <c r="BP117">
        <f t="shared" si="130"/>
        <v>0</v>
      </c>
      <c r="BQ117">
        <f t="shared" si="131"/>
        <v>1</v>
      </c>
      <c r="BR117">
        <f t="shared" si="132"/>
        <v>0</v>
      </c>
      <c r="BS117">
        <f t="shared" si="133"/>
        <v>0</v>
      </c>
    </row>
    <row r="118" spans="1:71">
      <c r="A118" t="s">
        <v>11</v>
      </c>
      <c r="B118" t="s">
        <v>255</v>
      </c>
      <c r="C118" t="s">
        <v>255</v>
      </c>
      <c r="D118">
        <v>35117</v>
      </c>
      <c r="E118">
        <v>356</v>
      </c>
      <c r="F118">
        <v>35</v>
      </c>
      <c r="G118">
        <v>12577</v>
      </c>
      <c r="H118">
        <v>4327</v>
      </c>
      <c r="I118">
        <v>21592</v>
      </c>
      <c r="J118">
        <v>1096</v>
      </c>
      <c r="K118">
        <v>39745</v>
      </c>
      <c r="L118" s="3">
        <f t="shared" si="113"/>
        <v>31.644231978865268</v>
      </c>
      <c r="M118" s="3">
        <f t="shared" si="114"/>
        <v>10.886904013083406</v>
      </c>
      <c r="N118" s="3">
        <f t="shared" si="115"/>
        <v>54.326330356019625</v>
      </c>
      <c r="O118" s="3">
        <f t="shared" si="116"/>
        <v>2.7575795697572021</v>
      </c>
      <c r="P118">
        <v>44.4</v>
      </c>
      <c r="Q118">
        <v>25.3</v>
      </c>
      <c r="R118">
        <v>25.6</v>
      </c>
      <c r="S118">
        <v>3.8</v>
      </c>
      <c r="T118">
        <f t="shared" si="117"/>
        <v>0</v>
      </c>
      <c r="U118">
        <f t="shared" si="118"/>
        <v>0</v>
      </c>
      <c r="V118">
        <f t="shared" si="119"/>
        <v>1</v>
      </c>
      <c r="W118">
        <f t="shared" si="120"/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f t="shared" si="69"/>
        <v>0</v>
      </c>
      <c r="AJ118">
        <v>0</v>
      </c>
      <c r="AK118">
        <v>0</v>
      </c>
      <c r="AL118">
        <v>0</v>
      </c>
      <c r="AW118" s="8">
        <f t="shared" si="126"/>
        <v>21.443853100249932</v>
      </c>
      <c r="AX118" s="8">
        <f t="shared" si="127"/>
        <v>28.715148779448377</v>
      </c>
      <c r="AY118" s="8">
        <f t="shared" si="128"/>
        <v>45.810695536335579</v>
      </c>
      <c r="AZ118" s="8">
        <f t="shared" si="129"/>
        <v>2.3549206334359294</v>
      </c>
      <c r="BA118" s="8">
        <f t="shared" si="71"/>
        <v>98.324618049469805</v>
      </c>
      <c r="BD118" s="3">
        <f t="array" ref="BD118">MIN(100,MAX(0,L118-AJ118*5+AQ$16*(AP$27*T118+SUMPRODUCT($X118:$AH118,TRANSPOSE(AP$28:AP$38)))+AR$16*(AP$39*T118+SUMPRODUCT($X118:$AH118,TRANSPOSE(AP$40:AP$50)))+AS$16*(AP$51*T118+SUMPRODUCT($X118:$AH118,TRANSPOSE(AP$52:AP$62)))))</f>
        <v>21.443853100249932</v>
      </c>
      <c r="BE118" s="3">
        <f t="array" ref="BE118">MIN(100,MAX(0,M118-AK118*5+AP$17*(AQ$27*U118+SUMPRODUCT($X118:$AH118,TRANSPOSE(AQ$28:AQ$38)))+AR$17*(AQ$39*U118+SUMPRODUCT($X118:$AH118,TRANSPOSE(AQ$40:AQ$50)))+AS$17*(AQ$51*U118+SUMPRODUCT($X118:$AH118,TRANSPOSE(AQ$52:AQ$62)))))</f>
        <v>28.715148779448377</v>
      </c>
      <c r="BF118" s="3">
        <f t="array" ref="BF118">MIN(100,MAX(0,N118-AL118*5+AP$18*(AR$27*V118+SUMPRODUCT($X118:$AH118,TRANSPOSE(AR$28:AR$38)))+AQ$18*(AR$39*V118+SUMPRODUCT($X118:$AH118,TRANSPOSE(AR$40:AR$50)))+AS$18*(AR$51*V118+SUMPRODUCT($X118:$AH118,TRANSPOSE(AR$52:AR$62)))))</f>
        <v>45.810695536335579</v>
      </c>
      <c r="BG118" s="3">
        <f t="array" ref="BG118">MIN(100,MAX(0,O118+AP$19*(AS$27*W118+SUMPRODUCT($X118:$AH118,TRANSPOSE(AS$28:AS$38)))+AQ$19*(AS$39*W118+SUMPRODUCT($X118:$AH118,TRANSPOSE(AS$40:AS$50)))+AR$19*(AS$51*W118+SUMPRODUCT($X118:$AH118,TRANSPOSE(AS$52:AS$62)))))</f>
        <v>2.3549206334359294</v>
      </c>
      <c r="BJ118">
        <f t="shared" si="72"/>
        <v>0</v>
      </c>
      <c r="BK118">
        <f t="shared" si="73"/>
        <v>0</v>
      </c>
      <c r="BL118">
        <f t="shared" si="74"/>
        <v>1</v>
      </c>
      <c r="BM118">
        <f t="shared" si="75"/>
        <v>0</v>
      </c>
      <c r="BP118">
        <f t="shared" si="130"/>
        <v>0</v>
      </c>
      <c r="BQ118">
        <f t="shared" si="131"/>
        <v>0</v>
      </c>
      <c r="BR118">
        <f t="shared" si="132"/>
        <v>1</v>
      </c>
      <c r="BS118">
        <f t="shared" si="133"/>
        <v>0</v>
      </c>
    </row>
    <row r="119" spans="1:71">
      <c r="A119" t="s">
        <v>11</v>
      </c>
      <c r="B119" t="s">
        <v>256</v>
      </c>
      <c r="C119" t="s">
        <v>613</v>
      </c>
      <c r="D119">
        <v>35116</v>
      </c>
      <c r="E119">
        <v>356</v>
      </c>
      <c r="F119">
        <v>35</v>
      </c>
      <c r="G119">
        <v>14945</v>
      </c>
      <c r="H119">
        <v>5764</v>
      </c>
      <c r="I119">
        <v>22235</v>
      </c>
      <c r="J119">
        <v>1354</v>
      </c>
      <c r="K119">
        <v>44540</v>
      </c>
      <c r="L119" s="3">
        <f t="shared" si="113"/>
        <v>33.554108666367313</v>
      </c>
      <c r="M119" s="3">
        <f t="shared" si="114"/>
        <v>12.941176470588237</v>
      </c>
      <c r="N119" s="3">
        <f t="shared" si="115"/>
        <v>49.921418949259092</v>
      </c>
      <c r="O119" s="3">
        <f t="shared" si="116"/>
        <v>3.0399640772339467</v>
      </c>
      <c r="P119">
        <v>44.4</v>
      </c>
      <c r="Q119">
        <v>25.3</v>
      </c>
      <c r="R119">
        <v>25.6</v>
      </c>
      <c r="S119">
        <v>3.8</v>
      </c>
      <c r="T119">
        <f t="shared" si="117"/>
        <v>0</v>
      </c>
      <c r="U119">
        <f t="shared" si="118"/>
        <v>0</v>
      </c>
      <c r="V119" s="54">
        <v>0</v>
      </c>
      <c r="W119">
        <f t="shared" si="120"/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f t="shared" si="69"/>
        <v>0</v>
      </c>
      <c r="AJ119">
        <v>0</v>
      </c>
      <c r="AK119">
        <v>0</v>
      </c>
      <c r="AL119">
        <v>1</v>
      </c>
      <c r="AW119" s="8">
        <f t="shared" si="126"/>
        <v>23.353729787751977</v>
      </c>
      <c r="AX119" s="8">
        <f t="shared" si="127"/>
        <v>30.769421236953207</v>
      </c>
      <c r="AY119" s="8">
        <f t="shared" si="128"/>
        <v>38.194363570830888</v>
      </c>
      <c r="AZ119" s="8">
        <f t="shared" si="129"/>
        <v>2.637305140912674</v>
      </c>
      <c r="BA119" s="8">
        <f t="shared" si="71"/>
        <v>94.954819736448741</v>
      </c>
      <c r="BD119" s="3">
        <f t="array" ref="BD119">MIN(100,MAX(0,L119-AJ119*5+AQ$16*(AP$27*T119+SUMPRODUCT($X119:$AH119,TRANSPOSE(AP$28:AP$38)))+AR$16*(AP$39*T119+SUMPRODUCT($X119:$AH119,TRANSPOSE(AP$40:AP$50)))+AS$16*(AP$51*T119+SUMPRODUCT($X119:$AH119,TRANSPOSE(AP$52:AP$62)))))</f>
        <v>23.353729787751977</v>
      </c>
      <c r="BE119" s="3">
        <f t="array" ref="BE119">MIN(100,MAX(0,M119-AK119*5+AP$17*(AQ$27*U119+SUMPRODUCT($X119:$AH119,TRANSPOSE(AQ$28:AQ$38)))+AR$17*(AQ$39*U119+SUMPRODUCT($X119:$AH119,TRANSPOSE(AQ$40:AQ$50)))+AS$17*(AQ$51*U119+SUMPRODUCT($X119:$AH119,TRANSPOSE(AQ$52:AQ$62)))))</f>
        <v>30.769421236953207</v>
      </c>
      <c r="BF119" s="3">
        <f t="array" ref="BF119">MIN(100,MAX(0,N119-AL119*5+AP$18*(AR$27*V119+SUMPRODUCT($X119:$AH119,TRANSPOSE(AR$28:AR$38)))+AQ$18*(AR$39*V119+SUMPRODUCT($X119:$AH119,TRANSPOSE(AR$40:AR$50)))+AS$18*(AR$51*V119+SUMPRODUCT($X119:$AH119,TRANSPOSE(AR$52:AR$62)))))</f>
        <v>38.194363570830888</v>
      </c>
      <c r="BG119" s="3">
        <f t="array" ref="BG119">MIN(100,MAX(0,O119+AP$19*(AS$27*W119+SUMPRODUCT($X119:$AH119,TRANSPOSE(AS$28:AS$38)))+AQ$19*(AS$39*W119+SUMPRODUCT($X119:$AH119,TRANSPOSE(AS$40:AS$50)))+AR$19*(AS$51*W119+SUMPRODUCT($X119:$AH119,TRANSPOSE(AS$52:AS$62)))))</f>
        <v>2.637305140912674</v>
      </c>
      <c r="BJ119">
        <f t="shared" si="72"/>
        <v>0</v>
      </c>
      <c r="BK119">
        <f t="shared" si="73"/>
        <v>0</v>
      </c>
      <c r="BL119">
        <f t="shared" si="74"/>
        <v>1</v>
      </c>
      <c r="BM119">
        <f t="shared" si="75"/>
        <v>0</v>
      </c>
      <c r="BP119">
        <f t="shared" si="130"/>
        <v>0</v>
      </c>
      <c r="BQ119">
        <f t="shared" si="131"/>
        <v>0</v>
      </c>
      <c r="BR119">
        <f t="shared" si="132"/>
        <v>1</v>
      </c>
      <c r="BS119">
        <f t="shared" si="133"/>
        <v>0</v>
      </c>
    </row>
    <row r="120" spans="1:71">
      <c r="A120" t="s">
        <v>11</v>
      </c>
      <c r="B120" t="s">
        <v>257</v>
      </c>
      <c r="C120" t="s">
        <v>257</v>
      </c>
      <c r="D120">
        <v>35118</v>
      </c>
      <c r="E120">
        <v>3512</v>
      </c>
      <c r="F120">
        <v>35</v>
      </c>
      <c r="G120">
        <v>17249</v>
      </c>
      <c r="H120">
        <v>11814</v>
      </c>
      <c r="I120">
        <v>5649</v>
      </c>
      <c r="J120">
        <v>831</v>
      </c>
      <c r="K120">
        <v>35543</v>
      </c>
      <c r="L120" s="3">
        <f t="shared" si="113"/>
        <v>48.529949638466086</v>
      </c>
      <c r="M120" s="3">
        <f t="shared" si="114"/>
        <v>33.238612384998447</v>
      </c>
      <c r="N120" s="3">
        <f t="shared" si="115"/>
        <v>15.893424865655684</v>
      </c>
      <c r="O120" s="3">
        <f t="shared" si="116"/>
        <v>2.3380131108797797</v>
      </c>
      <c r="P120">
        <v>44.4</v>
      </c>
      <c r="Q120">
        <v>25.3</v>
      </c>
      <c r="R120">
        <v>25.6</v>
      </c>
      <c r="S120">
        <v>3.8</v>
      </c>
      <c r="T120">
        <f t="shared" si="117"/>
        <v>1</v>
      </c>
      <c r="U120">
        <f t="shared" si="118"/>
        <v>0</v>
      </c>
      <c r="V120">
        <f t="shared" si="119"/>
        <v>0</v>
      </c>
      <c r="W120">
        <f t="shared" si="120"/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f t="shared" si="69"/>
        <v>1</v>
      </c>
      <c r="AJ120">
        <v>0</v>
      </c>
      <c r="AK120">
        <v>0</v>
      </c>
      <c r="AL120">
        <v>0</v>
      </c>
      <c r="AW120" s="8">
        <f t="shared" si="126"/>
        <v>38.612417402992079</v>
      </c>
      <c r="AX120" s="8">
        <f t="shared" si="127"/>
        <v>51.492838324685842</v>
      </c>
      <c r="AY120" s="8">
        <f t="shared" si="128"/>
        <v>8.4794496207918719</v>
      </c>
      <c r="AZ120" s="8">
        <f t="shared" si="129"/>
        <v>1.9253488652187656</v>
      </c>
      <c r="BA120" s="8">
        <f t="shared" si="71"/>
        <v>100.51005421368856</v>
      </c>
      <c r="BD120" s="3">
        <f t="array" ref="BD120">MIN(100,MAX(0,L120-AJ120*5+AQ$16*(AP$27*T120+SUMPRODUCT($X120:$AH120,TRANSPOSE(AP$28:AP$38)))+AR$16*(AP$39*T120+SUMPRODUCT($X120:$AH120,TRANSPOSE(AP$40:AP$50)))+AS$16*(AP$51*T120+SUMPRODUCT($X120:$AH120,TRANSPOSE(AP$52:AP$62)))))</f>
        <v>38.612417402992079</v>
      </c>
      <c r="BE120" s="3">
        <f t="array" ref="BE120">MIN(100,MAX(0,M120-AK120*5+AP$17*(AQ$27*U120+SUMPRODUCT($X120:$AH120,TRANSPOSE(AQ$28:AQ$38)))+AR$17*(AQ$39*U120+SUMPRODUCT($X120:$AH120,TRANSPOSE(AQ$40:AQ$50)))+AS$17*(AQ$51*U120+SUMPRODUCT($X120:$AH120,TRANSPOSE(AQ$52:AQ$62)))))</f>
        <v>51.492838324685842</v>
      </c>
      <c r="BF120" s="3">
        <f t="array" ref="BF120">MIN(100,MAX(0,N120-AL120*5+AP$18*(AR$27*V120+SUMPRODUCT($X120:$AH120,TRANSPOSE(AR$28:AR$38)))+AQ$18*(AR$39*V120+SUMPRODUCT($X120:$AH120,TRANSPOSE(AR$40:AR$50)))+AS$18*(AR$51*V120+SUMPRODUCT($X120:$AH120,TRANSPOSE(AR$52:AR$62)))))</f>
        <v>8.4794496207918719</v>
      </c>
      <c r="BG120" s="3">
        <f t="array" ref="BG120">MIN(100,MAX(0,O120+AP$19*(AS$27*W120+SUMPRODUCT($X120:$AH120,TRANSPOSE(AS$28:AS$38)))+AQ$19*(AS$39*W120+SUMPRODUCT($X120:$AH120,TRANSPOSE(AS$40:AS$50)))+AR$19*(AS$51*W120+SUMPRODUCT($X120:$AH120,TRANSPOSE(AS$52:AS$62)))))</f>
        <v>1.9253488652187656</v>
      </c>
      <c r="BJ120">
        <f t="shared" si="72"/>
        <v>0</v>
      </c>
      <c r="BK120">
        <f t="shared" si="73"/>
        <v>1</v>
      </c>
      <c r="BL120">
        <f t="shared" si="74"/>
        <v>0</v>
      </c>
      <c r="BM120">
        <f t="shared" si="75"/>
        <v>0</v>
      </c>
      <c r="BP120">
        <f t="shared" si="130"/>
        <v>1</v>
      </c>
      <c r="BQ120">
        <f t="shared" si="131"/>
        <v>1</v>
      </c>
      <c r="BR120">
        <f t="shared" si="132"/>
        <v>0</v>
      </c>
      <c r="BS120">
        <f t="shared" si="133"/>
        <v>0</v>
      </c>
    </row>
    <row r="121" spans="1:71">
      <c r="A121" t="s">
        <v>11</v>
      </c>
      <c r="B121" t="s">
        <v>258</v>
      </c>
      <c r="C121" t="s">
        <v>614</v>
      </c>
      <c r="D121">
        <v>35120</v>
      </c>
      <c r="E121">
        <v>3512</v>
      </c>
      <c r="F121">
        <v>35</v>
      </c>
      <c r="G121">
        <v>8559</v>
      </c>
      <c r="H121">
        <v>11542</v>
      </c>
      <c r="I121">
        <v>14122</v>
      </c>
      <c r="J121">
        <v>975</v>
      </c>
      <c r="K121">
        <v>35198</v>
      </c>
      <c r="L121" s="3">
        <f t="shared" si="113"/>
        <v>24.316722541053469</v>
      </c>
      <c r="M121" s="3">
        <f t="shared" si="114"/>
        <v>32.791635888402752</v>
      </c>
      <c r="N121" s="3">
        <f t="shared" si="115"/>
        <v>40.121597818057843</v>
      </c>
      <c r="O121" s="3">
        <f t="shared" si="116"/>
        <v>2.7700437524859365</v>
      </c>
      <c r="P121">
        <v>44.4</v>
      </c>
      <c r="Q121">
        <v>25.3</v>
      </c>
      <c r="R121">
        <v>25.6</v>
      </c>
      <c r="S121">
        <v>3.8</v>
      </c>
      <c r="T121">
        <f t="shared" si="117"/>
        <v>0</v>
      </c>
      <c r="U121">
        <f t="shared" si="118"/>
        <v>0</v>
      </c>
      <c r="V121">
        <f t="shared" si="119"/>
        <v>1</v>
      </c>
      <c r="W121">
        <f t="shared" si="120"/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f t="shared" si="69"/>
        <v>1</v>
      </c>
      <c r="AJ121">
        <v>0</v>
      </c>
      <c r="AK121">
        <v>0</v>
      </c>
      <c r="AL121">
        <v>0</v>
      </c>
      <c r="AW121" s="8">
        <f t="shared" si="126"/>
        <v>14.399190305579461</v>
      </c>
      <c r="AX121" s="8">
        <f t="shared" si="127"/>
        <v>51.045861828090146</v>
      </c>
      <c r="AY121" s="8">
        <f t="shared" si="128"/>
        <v>30.919043131938192</v>
      </c>
      <c r="AZ121" s="8">
        <f t="shared" si="129"/>
        <v>2.3573795068249224</v>
      </c>
      <c r="BA121" s="8">
        <f t="shared" si="71"/>
        <v>98.721474772432728</v>
      </c>
      <c r="BD121" s="3">
        <f t="array" ref="BD121">MIN(100,MAX(0,L121-AJ121*5+AQ$16*(AP$27*T121+SUMPRODUCT($X121:$AH121,TRANSPOSE(AP$28:AP$38)))+AR$16*(AP$39*T121+SUMPRODUCT($X121:$AH121,TRANSPOSE(AP$40:AP$50)))+AS$16*(AP$51*T121+SUMPRODUCT($X121:$AH121,TRANSPOSE(AP$52:AP$62)))))</f>
        <v>14.399190305579461</v>
      </c>
      <c r="BE121" s="3">
        <f t="array" ref="BE121">MIN(100,MAX(0,M121-AK121*5+AP$17*(AQ$27*U121+SUMPRODUCT($X121:$AH121,TRANSPOSE(AQ$28:AQ$38)))+AR$17*(AQ$39*U121+SUMPRODUCT($X121:$AH121,TRANSPOSE(AQ$40:AQ$50)))+AS$17*(AQ$51*U121+SUMPRODUCT($X121:$AH121,TRANSPOSE(AQ$52:AQ$62)))))</f>
        <v>51.045861828090146</v>
      </c>
      <c r="BF121" s="3">
        <f t="array" ref="BF121">MIN(100,MAX(0,N121-AL121*5+AP$18*(AR$27*V121+SUMPRODUCT($X121:$AH121,TRANSPOSE(AR$28:AR$38)))+AQ$18*(AR$39*V121+SUMPRODUCT($X121:$AH121,TRANSPOSE(AR$40:AR$50)))+AS$18*(AR$51*V121+SUMPRODUCT($X121:$AH121,TRANSPOSE(AR$52:AR$62)))))</f>
        <v>30.919043131938192</v>
      </c>
      <c r="BG121" s="3">
        <f t="array" ref="BG121">MIN(100,MAX(0,O121+AP$19*(AS$27*W121+SUMPRODUCT($X121:$AH121,TRANSPOSE(AS$28:AS$38)))+AQ$19*(AS$39*W121+SUMPRODUCT($X121:$AH121,TRANSPOSE(AS$40:AS$50)))+AR$19*(AS$51*W121+SUMPRODUCT($X121:$AH121,TRANSPOSE(AS$52:AS$62)))))</f>
        <v>2.3573795068249224</v>
      </c>
      <c r="BJ121">
        <f t="shared" si="72"/>
        <v>0</v>
      </c>
      <c r="BK121">
        <f t="shared" si="73"/>
        <v>1</v>
      </c>
      <c r="BL121">
        <f t="shared" si="74"/>
        <v>0</v>
      </c>
      <c r="BM121">
        <f t="shared" si="75"/>
        <v>0</v>
      </c>
      <c r="BP121">
        <f t="shared" si="130"/>
        <v>0</v>
      </c>
      <c r="BQ121">
        <f t="shared" si="131"/>
        <v>1</v>
      </c>
      <c r="BR121">
        <f t="shared" si="132"/>
        <v>1</v>
      </c>
      <c r="BS121">
        <f t="shared" si="133"/>
        <v>0</v>
      </c>
    </row>
    <row r="122" spans="1:71">
      <c r="A122" t="s">
        <v>11</v>
      </c>
      <c r="B122" t="s">
        <v>259</v>
      </c>
      <c r="C122" t="s">
        <v>615</v>
      </c>
      <c r="D122">
        <v>35119</v>
      </c>
      <c r="E122">
        <v>354</v>
      </c>
      <c r="F122">
        <v>35</v>
      </c>
      <c r="G122">
        <v>24624</v>
      </c>
      <c r="H122">
        <v>4385</v>
      </c>
      <c r="I122">
        <v>7187</v>
      </c>
      <c r="J122">
        <v>2073</v>
      </c>
      <c r="K122">
        <v>38676</v>
      </c>
      <c r="L122" s="3">
        <f t="shared" si="113"/>
        <v>63.667390629847965</v>
      </c>
      <c r="M122" s="3">
        <f t="shared" si="114"/>
        <v>11.337780535732755</v>
      </c>
      <c r="N122" s="3">
        <f t="shared" si="115"/>
        <v>18.582583514324128</v>
      </c>
      <c r="O122" s="3">
        <f t="shared" si="116"/>
        <v>5.3599131244182443</v>
      </c>
      <c r="P122">
        <v>44.4</v>
      </c>
      <c r="Q122">
        <v>25.3</v>
      </c>
      <c r="R122">
        <v>25.6</v>
      </c>
      <c r="S122">
        <v>3.8</v>
      </c>
      <c r="T122">
        <f t="shared" si="117"/>
        <v>1</v>
      </c>
      <c r="U122">
        <f t="shared" si="118"/>
        <v>0</v>
      </c>
      <c r="V122">
        <f t="shared" si="119"/>
        <v>0</v>
      </c>
      <c r="W122">
        <f t="shared" si="120"/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f t="shared" si="69"/>
        <v>0</v>
      </c>
      <c r="AJ122">
        <v>0</v>
      </c>
      <c r="AK122">
        <v>0</v>
      </c>
      <c r="AL122">
        <v>0</v>
      </c>
      <c r="AW122" s="8">
        <f t="shared" si="126"/>
        <v>52.998260371842484</v>
      </c>
      <c r="AX122" s="8">
        <f t="shared" si="127"/>
        <v>29.753310915303135</v>
      </c>
      <c r="AY122" s="8">
        <f t="shared" si="128"/>
        <v>11.781487082834076</v>
      </c>
      <c r="AZ122" s="8">
        <f t="shared" si="129"/>
        <v>4.8408127292136562</v>
      </c>
      <c r="BA122" s="8">
        <f t="shared" si="71"/>
        <v>99.373871099193352</v>
      </c>
      <c r="BD122" s="3">
        <f t="array" ref="BD122">MIN(100,MAX(0,L122-AJ122*5+AQ$16*(AP$27*T122+SUMPRODUCT($X122:$AH122,TRANSPOSE(AP$28:AP$38)))+AR$16*(AP$39*T122+SUMPRODUCT($X122:$AH122,TRANSPOSE(AP$40:AP$50)))+AS$16*(AP$51*T122+SUMPRODUCT($X122:$AH122,TRANSPOSE(AP$52:AP$62)))))</f>
        <v>52.998260371842484</v>
      </c>
      <c r="BE122" s="3">
        <f t="array" ref="BE122">MIN(100,MAX(0,M122-AK122*5+AP$17*(AQ$27*U122+SUMPRODUCT($X122:$AH122,TRANSPOSE(AQ$28:AQ$38)))+AR$17*(AQ$39*U122+SUMPRODUCT($X122:$AH122,TRANSPOSE(AQ$40:AQ$50)))+AS$17*(AQ$51*U122+SUMPRODUCT($X122:$AH122,TRANSPOSE(AQ$52:AQ$62)))))</f>
        <v>29.753310915303135</v>
      </c>
      <c r="BF122" s="3">
        <f t="array" ref="BF122">MIN(100,MAX(0,N122-AL122*5+AP$18*(AR$27*V122+SUMPRODUCT($X122:$AH122,TRANSPOSE(AR$28:AR$38)))+AQ$18*(AR$39*V122+SUMPRODUCT($X122:$AH122,TRANSPOSE(AR$40:AR$50)))+AS$18*(AR$51*V122+SUMPRODUCT($X122:$AH122,TRANSPOSE(AR$52:AR$62)))))</f>
        <v>11.781487082834076</v>
      </c>
      <c r="BG122" s="3">
        <f t="array" ref="BG122">MIN(100,MAX(0,O122+AP$19*(AS$27*W122+SUMPRODUCT($X122:$AH122,TRANSPOSE(AS$28:AS$38)))+AQ$19*(AS$39*W122+SUMPRODUCT($X122:$AH122,TRANSPOSE(AS$40:AS$50)))+AR$19*(AS$51*W122+SUMPRODUCT($X122:$AH122,TRANSPOSE(AS$52:AS$62)))))</f>
        <v>4.9291707692608053</v>
      </c>
      <c r="BJ122">
        <f t="shared" si="72"/>
        <v>1</v>
      </c>
      <c r="BK122">
        <f t="shared" si="73"/>
        <v>0</v>
      </c>
      <c r="BL122">
        <f t="shared" si="74"/>
        <v>0</v>
      </c>
      <c r="BM122">
        <f t="shared" si="75"/>
        <v>0</v>
      </c>
      <c r="BP122">
        <f t="shared" si="130"/>
        <v>1</v>
      </c>
      <c r="BQ122">
        <f t="shared" si="131"/>
        <v>0</v>
      </c>
      <c r="BR122">
        <f t="shared" si="132"/>
        <v>0</v>
      </c>
      <c r="BS122">
        <f t="shared" si="133"/>
        <v>1</v>
      </c>
    </row>
    <row r="123" spans="1:71">
      <c r="X123">
        <f>SUM(X2:X122)</f>
        <v>10</v>
      </c>
      <c r="Y123">
        <f t="shared" ref="Y123:AH123" si="135">SUM(Y2:Y122)</f>
        <v>8</v>
      </c>
      <c r="Z123">
        <f t="shared" si="135"/>
        <v>12</v>
      </c>
      <c r="AA123">
        <f t="shared" si="135"/>
        <v>9</v>
      </c>
      <c r="AB123">
        <f t="shared" si="135"/>
        <v>12</v>
      </c>
      <c r="AC123">
        <f t="shared" si="135"/>
        <v>11</v>
      </c>
      <c r="AD123">
        <f t="shared" si="135"/>
        <v>10</v>
      </c>
      <c r="AE123">
        <f t="shared" si="135"/>
        <v>14</v>
      </c>
      <c r="AF123">
        <f t="shared" si="135"/>
        <v>13</v>
      </c>
      <c r="AG123">
        <f t="shared" si="135"/>
        <v>10</v>
      </c>
      <c r="AH123">
        <f t="shared" si="135"/>
        <v>12</v>
      </c>
      <c r="AI123">
        <f>SUM(AI2:AI122)</f>
        <v>60</v>
      </c>
    </row>
    <row r="124" spans="1:71">
      <c r="L124" s="3">
        <f>AVERAGE(L2:L122)</f>
        <v>43.920069575743916</v>
      </c>
      <c r="M124" s="3">
        <f t="shared" ref="M124:O124" si="136">AVERAGE(M2:M122)</f>
        <v>25.627393975299452</v>
      </c>
      <c r="N124" s="3">
        <f t="shared" si="136"/>
        <v>26.020851670931158</v>
      </c>
      <c r="O124" s="3">
        <f t="shared" si="136"/>
        <v>3.5985308709913797</v>
      </c>
      <c r="AV124" t="s">
        <v>443</v>
      </c>
      <c r="AW124" s="3">
        <f>AVERAGE(AW2:AW122)</f>
        <v>33.598494867222946</v>
      </c>
      <c r="AX124" s="3">
        <f>AVERAGE(AX2:AX122)</f>
        <v>43.320330513873763</v>
      </c>
      <c r="AY124" s="3">
        <f>AVERAGE(AY2:AY122)</f>
        <v>18.798416916070675</v>
      </c>
      <c r="AZ124" s="3">
        <f>AVERAGE(AZ2:AZ122)</f>
        <v>3.1487058452711802</v>
      </c>
      <c r="BA124" s="3"/>
      <c r="BD124" s="3">
        <f>AVERAGE(BD2:BD122)</f>
        <v>33.598494867222946</v>
      </c>
      <c r="BE124" s="3">
        <f>AVERAGE(BE2:BE122)</f>
        <v>43.320330513873763</v>
      </c>
      <c r="BF124" s="3">
        <f>AVERAGE(BF2:BF122)</f>
        <v>18.798416916070675</v>
      </c>
      <c r="BG124" s="3">
        <f>AVERAGE(BG2:BG122)</f>
        <v>3.1761771342068186</v>
      </c>
      <c r="BI124" t="s">
        <v>405</v>
      </c>
      <c r="BJ124">
        <f>SUM(BJ2:BJ122)</f>
        <v>42</v>
      </c>
      <c r="BK124">
        <f>SUM(BK2:BK122)</f>
        <v>64</v>
      </c>
      <c r="BL124">
        <f>SUM(BL2:BL122)</f>
        <v>15</v>
      </c>
      <c r="BM124">
        <f>SUM(BM2:BM122)</f>
        <v>0</v>
      </c>
    </row>
    <row r="125" spans="1:71">
      <c r="I125" t="s">
        <v>616</v>
      </c>
    </row>
    <row r="126" spans="1:71">
      <c r="I126" t="s">
        <v>617</v>
      </c>
    </row>
    <row r="127" spans="1:71">
      <c r="R127" t="s">
        <v>618</v>
      </c>
      <c r="AO127" t="s">
        <v>619</v>
      </c>
    </row>
    <row r="128" spans="1:71">
      <c r="K128">
        <v>2011</v>
      </c>
      <c r="L128" s="2">
        <v>14.3</v>
      </c>
      <c r="M128" s="2">
        <v>17.600000000000001</v>
      </c>
      <c r="N128" s="2">
        <v>60.8</v>
      </c>
      <c r="O128" s="2">
        <v>6.5</v>
      </c>
      <c r="P128" s="2"/>
    </row>
    <row r="129" spans="9:45">
      <c r="I129" s="53">
        <v>40969</v>
      </c>
      <c r="K129" t="s">
        <v>441</v>
      </c>
      <c r="L129">
        <v>5.37</v>
      </c>
      <c r="M129">
        <v>28.51</v>
      </c>
      <c r="N129">
        <v>59.44</v>
      </c>
      <c r="O129">
        <v>4.6900000000000004</v>
      </c>
      <c r="R129" s="2">
        <v>38</v>
      </c>
      <c r="S129" s="2">
        <v>26</v>
      </c>
      <c r="T129" s="2">
        <v>26</v>
      </c>
      <c r="U129" s="2">
        <v>5</v>
      </c>
      <c r="AA129" t="s">
        <v>620</v>
      </c>
      <c r="AP129" t="s">
        <v>478</v>
      </c>
      <c r="AQ129" t="s">
        <v>479</v>
      </c>
      <c r="AR129" t="s">
        <v>480</v>
      </c>
      <c r="AS129" t="s">
        <v>481</v>
      </c>
    </row>
    <row r="130" spans="9:45">
      <c r="K130" t="s">
        <v>442</v>
      </c>
      <c r="L130" s="2">
        <f>L128+(R129-AP$5)</f>
        <v>7.9000000000000021</v>
      </c>
      <c r="M130" s="2">
        <f>M128+(S129-AQ$5)</f>
        <v>18.3</v>
      </c>
      <c r="N130" s="2">
        <f>N128+(T129-AR$5)</f>
        <v>61.199999999999996</v>
      </c>
      <c r="O130" s="2">
        <f>O128+(U129-AS$5)</f>
        <v>7.7</v>
      </c>
      <c r="AC130" t="s">
        <v>478</v>
      </c>
      <c r="AD130" t="s">
        <v>479</v>
      </c>
      <c r="AE130" t="s">
        <v>480</v>
      </c>
      <c r="AF130" t="s">
        <v>481</v>
      </c>
      <c r="AO130" t="s">
        <v>429</v>
      </c>
      <c r="AP130">
        <v>0</v>
      </c>
      <c r="AQ130">
        <v>-7.8791399999999998E-2</v>
      </c>
      <c r="AR130">
        <v>0.25995269999999998</v>
      </c>
      <c r="AS130">
        <v>0</v>
      </c>
    </row>
    <row r="131" spans="9:45">
      <c r="K131" t="s">
        <v>443</v>
      </c>
      <c r="L131" s="2">
        <f>L128+0.5*(L129-L130)</f>
        <v>13.035</v>
      </c>
      <c r="M131" s="2">
        <f t="shared" ref="M131:O131" si="137">M128+0.5*(M129-M130)</f>
        <v>22.705000000000002</v>
      </c>
      <c r="N131" s="2">
        <f t="shared" si="137"/>
        <v>59.92</v>
      </c>
      <c r="O131" s="2">
        <f t="shared" si="137"/>
        <v>4.9950000000000001</v>
      </c>
      <c r="AB131" t="s">
        <v>537</v>
      </c>
      <c r="AC131">
        <f>SUMPRODUCT($AI$2:$AI$122,T$2:T$122)</f>
        <v>40</v>
      </c>
      <c r="AD131">
        <f t="shared" ref="AD131:AF131" si="138">SUMPRODUCT($AI$2:$AI$122,U$2:U$122)</f>
        <v>9</v>
      </c>
      <c r="AE131">
        <f t="shared" si="138"/>
        <v>10</v>
      </c>
      <c r="AF131">
        <f t="shared" si="138"/>
        <v>0</v>
      </c>
      <c r="AO131" t="s">
        <v>554</v>
      </c>
      <c r="AP131">
        <v>0.81284500000000004</v>
      </c>
      <c r="AQ131">
        <v>1.0982700000000001</v>
      </c>
      <c r="AR131">
        <v>0.96439240000000004</v>
      </c>
      <c r="AS131">
        <v>0.86483220000000005</v>
      </c>
    </row>
    <row r="132" spans="9:45">
      <c r="AO132" t="s">
        <v>527</v>
      </c>
      <c r="AP132">
        <v>0.91572169999999997</v>
      </c>
      <c r="AQ132">
        <v>0.71017350000000001</v>
      </c>
      <c r="AR132">
        <v>1.0082100000000001</v>
      </c>
      <c r="AS132">
        <v>1.0333190000000001</v>
      </c>
    </row>
    <row r="133" spans="9:45">
      <c r="AO133" t="s">
        <v>528</v>
      </c>
      <c r="AP133">
        <v>0.93894169999999999</v>
      </c>
      <c r="AQ133">
        <v>0.79513009999999995</v>
      </c>
      <c r="AR133">
        <v>0.90122800000000003</v>
      </c>
      <c r="AS133">
        <v>1.0859620000000001</v>
      </c>
    </row>
    <row r="134" spans="9:45">
      <c r="I134" t="s">
        <v>162</v>
      </c>
      <c r="AO134" t="s">
        <v>529</v>
      </c>
      <c r="AP134">
        <v>1.0732470000000001</v>
      </c>
      <c r="AQ134">
        <v>1.027531</v>
      </c>
      <c r="AR134">
        <v>0.94941600000000004</v>
      </c>
      <c r="AS134">
        <v>1.0888359999999999</v>
      </c>
    </row>
    <row r="135" spans="9:45">
      <c r="K135">
        <v>2011</v>
      </c>
      <c r="L135" s="3">
        <v>54.5</v>
      </c>
      <c r="M135" s="3">
        <v>17.899999999999999</v>
      </c>
      <c r="N135" s="3">
        <v>21.1</v>
      </c>
      <c r="O135" s="3">
        <v>5.4</v>
      </c>
      <c r="AO135" t="s">
        <v>530</v>
      </c>
      <c r="AP135">
        <v>1.0630729999999999</v>
      </c>
      <c r="AQ135">
        <v>0.94540670000000004</v>
      </c>
      <c r="AR135">
        <v>1.0100180000000001</v>
      </c>
      <c r="AS135">
        <v>1.032978</v>
      </c>
    </row>
    <row r="136" spans="9:45">
      <c r="I136" s="53">
        <v>41214</v>
      </c>
      <c r="K136" t="s">
        <v>441</v>
      </c>
      <c r="L136">
        <v>50.72</v>
      </c>
      <c r="M136">
        <v>26.26</v>
      </c>
      <c r="N136">
        <v>17.28</v>
      </c>
      <c r="O136">
        <v>4.07</v>
      </c>
      <c r="R136">
        <v>36</v>
      </c>
      <c r="S136">
        <v>29</v>
      </c>
      <c r="T136">
        <v>27</v>
      </c>
      <c r="U136">
        <v>4</v>
      </c>
      <c r="AO136" t="s">
        <v>531</v>
      </c>
      <c r="AP136">
        <v>1.0546450000000001</v>
      </c>
      <c r="AQ136">
        <v>0.88107250000000004</v>
      </c>
      <c r="AR136">
        <v>0.91479520000000003</v>
      </c>
      <c r="AS136">
        <v>1.1971229999999999</v>
      </c>
    </row>
    <row r="137" spans="9:45">
      <c r="K137" t="s">
        <v>442</v>
      </c>
      <c r="L137" s="2">
        <f>L135+(R136-AP$5)</f>
        <v>46.1</v>
      </c>
      <c r="M137" s="2">
        <f t="shared" ref="M137" si="139">M135+(S136-AQ$5)</f>
        <v>21.599999999999998</v>
      </c>
      <c r="N137" s="2">
        <f t="shared" ref="N137" si="140">N135+(T136-AR$5)</f>
        <v>22.5</v>
      </c>
      <c r="O137" s="2">
        <f t="shared" ref="O137" si="141">O135+(U136-AS$5)</f>
        <v>5.6000000000000005</v>
      </c>
      <c r="AO137" t="s">
        <v>532</v>
      </c>
      <c r="AP137">
        <v>1.149546</v>
      </c>
      <c r="AQ137">
        <v>1.088733</v>
      </c>
      <c r="AR137">
        <v>0.97654419999999997</v>
      </c>
      <c r="AS137">
        <v>0.9664817</v>
      </c>
    </row>
    <row r="138" spans="9:45">
      <c r="K138" t="s">
        <v>443</v>
      </c>
      <c r="L138" s="2">
        <f>L135+0.5*(L136-L137)</f>
        <v>56.81</v>
      </c>
      <c r="M138" s="2">
        <f t="shared" ref="M138" si="142">M135+0.5*(M136-M137)</f>
        <v>20.23</v>
      </c>
      <c r="N138" s="2">
        <f t="shared" ref="N138" si="143">N135+0.5*(N136-N137)</f>
        <v>18.490000000000002</v>
      </c>
      <c r="O138" s="2">
        <f t="shared" ref="O138" si="144">O135+0.5*(O136-O137)</f>
        <v>4.6349999999999998</v>
      </c>
      <c r="AO138" t="s">
        <v>533</v>
      </c>
      <c r="AP138">
        <v>1.046967</v>
      </c>
      <c r="AQ138">
        <v>1.0994619999999999</v>
      </c>
      <c r="AR138">
        <v>0.76646740000000002</v>
      </c>
      <c r="AS138">
        <v>0.83938970000000002</v>
      </c>
    </row>
    <row r="139" spans="9:45">
      <c r="AO139" t="s">
        <v>534</v>
      </c>
      <c r="AP139">
        <v>0.95734200000000003</v>
      </c>
      <c r="AQ139">
        <v>1.2389939999999999</v>
      </c>
      <c r="AR139">
        <v>1.282799</v>
      </c>
      <c r="AS139">
        <v>1.0160009999999999</v>
      </c>
    </row>
    <row r="140" spans="9:45">
      <c r="AO140" t="s">
        <v>535</v>
      </c>
      <c r="AP140">
        <v>0.9957473</v>
      </c>
      <c r="AQ140">
        <v>1.037061</v>
      </c>
      <c r="AR140">
        <v>0.78615990000000002</v>
      </c>
      <c r="AS140">
        <v>0.92946960000000001</v>
      </c>
    </row>
    <row r="141" spans="9:45">
      <c r="AO141" t="s">
        <v>536</v>
      </c>
      <c r="AP141">
        <v>0.90155450000000004</v>
      </c>
      <c r="AQ141">
        <v>1.0512319999999999</v>
      </c>
      <c r="AR141">
        <v>1.1038669999999999</v>
      </c>
      <c r="AS141">
        <v>0.97631179999999995</v>
      </c>
    </row>
    <row r="143" spans="9:45">
      <c r="I143" s="54" t="s">
        <v>621</v>
      </c>
      <c r="AO143" t="s">
        <v>443</v>
      </c>
      <c r="AP143">
        <f>AVERAGE(AP131:AP141)</f>
        <v>0.99178456363636369</v>
      </c>
      <c r="AQ143">
        <f t="shared" ref="AQ143:AS143" si="145">AVERAGE(AQ131:AQ141)</f>
        <v>0.99755143636363641</v>
      </c>
      <c r="AR143">
        <f t="shared" si="145"/>
        <v>0.96944519090909087</v>
      </c>
      <c r="AS143">
        <f t="shared" si="145"/>
        <v>1.0027912727272725</v>
      </c>
    </row>
    <row r="144" spans="9:45">
      <c r="J144" t="s">
        <v>622</v>
      </c>
    </row>
    <row r="146" spans="9:21">
      <c r="I146" t="s">
        <v>623</v>
      </c>
      <c r="K146">
        <v>2011</v>
      </c>
      <c r="L146" s="3">
        <v>22.6</v>
      </c>
      <c r="M146" s="3">
        <v>41</v>
      </c>
      <c r="N146" s="3">
        <v>30.2</v>
      </c>
      <c r="O146" s="3">
        <v>5</v>
      </c>
    </row>
    <row r="147" spans="9:21">
      <c r="K147" t="s">
        <v>441</v>
      </c>
      <c r="L147">
        <v>8.6300000000000008</v>
      </c>
      <c r="M147">
        <v>49.38</v>
      </c>
      <c r="N147">
        <v>36.299999999999997</v>
      </c>
      <c r="O147">
        <v>2.97</v>
      </c>
      <c r="R147">
        <v>32</v>
      </c>
      <c r="S147">
        <v>38</v>
      </c>
      <c r="T147">
        <v>22.5</v>
      </c>
      <c r="U147">
        <v>5</v>
      </c>
    </row>
    <row r="148" spans="9:21">
      <c r="K148" t="s">
        <v>442</v>
      </c>
      <c r="L148" s="2">
        <f>L146+(R147-AP$5)</f>
        <v>10.200000000000003</v>
      </c>
      <c r="M148" s="2">
        <f t="shared" ref="M148" si="146">M146+(S147-AQ$5)</f>
        <v>53.7</v>
      </c>
      <c r="N148" s="2">
        <f t="shared" ref="N148" si="147">N146+(T147-AR$5)</f>
        <v>27.099999999999998</v>
      </c>
      <c r="O148" s="2">
        <f t="shared" ref="O148" si="148">O146+(U147-AS$5)</f>
        <v>6.2</v>
      </c>
      <c r="P148" s="2"/>
    </row>
    <row r="149" spans="9:21">
      <c r="K149" t="s">
        <v>443</v>
      </c>
      <c r="L149" s="2">
        <f>L146+0.5*(L147-L148)</f>
        <v>21.815000000000001</v>
      </c>
      <c r="M149" s="2">
        <f t="shared" ref="M149" si="149">M146+0.5*(M147-M148)</f>
        <v>38.840000000000003</v>
      </c>
      <c r="N149" s="2">
        <f t="shared" ref="N149" si="150">N146+0.5*(N147-N148)</f>
        <v>34.799999999999997</v>
      </c>
      <c r="O149" s="2">
        <f t="shared" ref="O149" si="151">O146+0.5*(O147-O148)</f>
        <v>3.3849999999999998</v>
      </c>
    </row>
    <row r="151" spans="9:21">
      <c r="M151" t="s">
        <v>624</v>
      </c>
      <c r="O151">
        <v>17.338688085676036</v>
      </c>
      <c r="P151">
        <v>39.700133868808571</v>
      </c>
      <c r="Q151">
        <v>36.457831325301207</v>
      </c>
      <c r="R151">
        <v>5.1994645247657294</v>
      </c>
    </row>
    <row r="153" spans="9:21">
      <c r="I153" s="54" t="s">
        <v>625</v>
      </c>
    </row>
    <row r="154" spans="9:21">
      <c r="K154">
        <v>2011</v>
      </c>
      <c r="L154">
        <v>16.8</v>
      </c>
      <c r="M154">
        <v>23.4</v>
      </c>
      <c r="N154">
        <v>54.5</v>
      </c>
      <c r="O154">
        <v>4.4000000000000004</v>
      </c>
    </row>
    <row r="155" spans="9:21">
      <c r="K155" t="s">
        <v>441</v>
      </c>
      <c r="L155">
        <v>5.85</v>
      </c>
      <c r="M155">
        <v>53.66</v>
      </c>
      <c r="N155">
        <v>34.14</v>
      </c>
      <c r="O155">
        <v>5.43</v>
      </c>
      <c r="R155">
        <v>33</v>
      </c>
      <c r="S155">
        <v>38</v>
      </c>
      <c r="T155">
        <v>21</v>
      </c>
      <c r="U155">
        <v>6</v>
      </c>
    </row>
    <row r="156" spans="9:21">
      <c r="I156" s="53">
        <v>41791</v>
      </c>
      <c r="K156" t="s">
        <v>442</v>
      </c>
      <c r="L156" s="2">
        <f>L154+(R155-AP$5)</f>
        <v>5.4000000000000021</v>
      </c>
      <c r="M156" s="2">
        <f t="shared" ref="M156" si="152">M154+(S155-AQ$5)</f>
        <v>36.099999999999994</v>
      </c>
      <c r="N156" s="2">
        <f t="shared" ref="N156" si="153">N154+(T155-AR$5)</f>
        <v>49.9</v>
      </c>
      <c r="O156" s="2">
        <f t="shared" ref="O156" si="154">O154+(U155-AS$5)</f>
        <v>6.6000000000000005</v>
      </c>
    </row>
    <row r="157" spans="9:21">
      <c r="K157" t="s">
        <v>443</v>
      </c>
      <c r="L157" s="2">
        <f>L154+0.5*(L155-L156)</f>
        <v>17.024999999999999</v>
      </c>
      <c r="M157" s="2">
        <f t="shared" ref="M157" si="155">M154+0.5*(M155-M156)</f>
        <v>32.18</v>
      </c>
      <c r="N157" s="2">
        <f t="shared" ref="N157" si="156">N154+0.5*(N155-N156)</f>
        <v>46.620000000000005</v>
      </c>
      <c r="O157" s="2">
        <f t="shared" ref="O157" si="157">O154+0.5*(O155-O156)</f>
        <v>3.8149999999999999</v>
      </c>
    </row>
    <row r="159" spans="9:21">
      <c r="O159" t="s">
        <v>626</v>
      </c>
      <c r="S159" t="s">
        <v>627</v>
      </c>
    </row>
    <row r="160" spans="9:21">
      <c r="M160" t="s">
        <v>628</v>
      </c>
      <c r="O160" s="3">
        <v>20.863426113770998</v>
      </c>
      <c r="P160" s="3">
        <v>24.385295788363223</v>
      </c>
      <c r="Q160" s="3">
        <v>49.638886634748033</v>
      </c>
      <c r="R160" s="3">
        <v>4.1656523032811279</v>
      </c>
    </row>
    <row r="161" spans="9:21">
      <c r="N161" t="s">
        <v>629</v>
      </c>
      <c r="O161">
        <f>O160+0.5*(L155-L156)</f>
        <v>21.088426113770996</v>
      </c>
      <c r="P161">
        <f t="shared" ref="P161:R161" si="158">P160+0.5*(M155-M156)</f>
        <v>33.165295788363224</v>
      </c>
      <c r="Q161">
        <f t="shared" si="158"/>
        <v>41.758886634748038</v>
      </c>
      <c r="R161">
        <f t="shared" si="158"/>
        <v>3.5806523032811275</v>
      </c>
    </row>
    <row r="162" spans="9:21">
      <c r="I162" t="s">
        <v>630</v>
      </c>
    </row>
    <row r="165" spans="9:21">
      <c r="I165" s="53">
        <v>41791</v>
      </c>
      <c r="K165">
        <v>2011</v>
      </c>
      <c r="L165">
        <v>34.14950843999258</v>
      </c>
      <c r="M165">
        <v>45.570660094867108</v>
      </c>
      <c r="N165">
        <v>17.987651376633014</v>
      </c>
      <c r="O165">
        <v>2.2948300076847654</v>
      </c>
    </row>
    <row r="166" spans="9:21">
      <c r="K166" t="s">
        <v>441</v>
      </c>
      <c r="L166">
        <v>29.27</v>
      </c>
      <c r="M166">
        <v>59.38</v>
      </c>
      <c r="N166">
        <v>8.48</v>
      </c>
      <c r="O166">
        <v>1.42</v>
      </c>
      <c r="R166">
        <v>33</v>
      </c>
      <c r="S166">
        <v>38</v>
      </c>
      <c r="T166">
        <v>21</v>
      </c>
      <c r="U166">
        <v>6</v>
      </c>
    </row>
    <row r="167" spans="9:21">
      <c r="K167" t="s">
        <v>442</v>
      </c>
      <c r="L167" s="2">
        <f>L165+(R166-AP$5)</f>
        <v>22.749508439992582</v>
      </c>
      <c r="M167" s="2">
        <f t="shared" ref="M167" si="159">M165+(S166-AQ$5)</f>
        <v>58.270660094867111</v>
      </c>
      <c r="N167" s="2">
        <f t="shared" ref="N167" si="160">N165+(T166-AR$5)</f>
        <v>13.387651376633013</v>
      </c>
      <c r="O167" s="2">
        <f t="shared" ref="O167" si="161">O165+(U166-AS$5)</f>
        <v>4.4948300076847651</v>
      </c>
    </row>
    <row r="168" spans="9:21">
      <c r="K168" t="s">
        <v>443</v>
      </c>
      <c r="L168" s="2">
        <f>L165+0.5*(L166-L167)</f>
        <v>37.409754219996287</v>
      </c>
      <c r="M168" s="2">
        <f t="shared" ref="M168" si="162">M165+0.5*(M166-M167)</f>
        <v>46.12533004743355</v>
      </c>
      <c r="N168" s="2">
        <f t="shared" ref="N168" si="163">N165+0.5*(N166-N167)</f>
        <v>15.533825688316508</v>
      </c>
      <c r="O168" s="2">
        <f t="shared" ref="O168" si="164">O165+0.5*(O166-O167)</f>
        <v>0.75741500384238281</v>
      </c>
    </row>
    <row r="172" spans="9:21">
      <c r="I172" s="54" t="s">
        <v>631</v>
      </c>
    </row>
    <row r="174" spans="9:21">
      <c r="K174">
        <v>2011</v>
      </c>
      <c r="L174">
        <v>58.4</v>
      </c>
      <c r="M174">
        <v>14.1</v>
      </c>
      <c r="N174">
        <v>22.3</v>
      </c>
      <c r="O174">
        <v>4.9000000000000004</v>
      </c>
      <c r="P174" s="2"/>
    </row>
    <row r="175" spans="9:21">
      <c r="I175" s="53">
        <v>41944</v>
      </c>
      <c r="K175" t="s">
        <v>441</v>
      </c>
      <c r="L175">
        <v>49.31</v>
      </c>
      <c r="M175">
        <v>40.65</v>
      </c>
      <c r="N175">
        <v>8.08</v>
      </c>
      <c r="O175">
        <v>1.44</v>
      </c>
      <c r="P175" s="2"/>
      <c r="R175">
        <v>35</v>
      </c>
      <c r="S175">
        <v>38</v>
      </c>
      <c r="T175">
        <v>19</v>
      </c>
      <c r="U175">
        <v>5</v>
      </c>
    </row>
    <row r="176" spans="9:21">
      <c r="K176" t="s">
        <v>442</v>
      </c>
      <c r="L176" s="2">
        <f>L174+(R175-AP$5)</f>
        <v>49</v>
      </c>
      <c r="M176" s="2">
        <f t="shared" ref="M176" si="165">M174+(S175-AQ$5)</f>
        <v>26.799999999999997</v>
      </c>
      <c r="N176" s="2">
        <f t="shared" ref="N176" si="166">N174+(T175-AR$5)</f>
        <v>15.7</v>
      </c>
      <c r="O176" s="2">
        <f t="shared" ref="O176" si="167">O174+(U175-AS$5)</f>
        <v>6.1000000000000005</v>
      </c>
      <c r="P176" s="2"/>
    </row>
    <row r="177" spans="9:18">
      <c r="K177" t="s">
        <v>443</v>
      </c>
      <c r="L177" s="2">
        <f>L174+0.75*(L175-L176)</f>
        <v>58.6325</v>
      </c>
      <c r="M177" s="2">
        <f t="shared" ref="M177:O177" si="168">M174+0.75*(M175-M176)</f>
        <v>24.487500000000001</v>
      </c>
      <c r="N177" s="2">
        <f t="shared" si="168"/>
        <v>16.585000000000001</v>
      </c>
      <c r="O177" s="2">
        <f t="shared" si="168"/>
        <v>1.4050000000000002</v>
      </c>
      <c r="P177" s="2"/>
    </row>
    <row r="179" spans="9:18">
      <c r="I179" t="s">
        <v>632</v>
      </c>
      <c r="M179" t="s">
        <v>624</v>
      </c>
      <c r="O179" s="3">
        <v>58.808815447878573</v>
      </c>
      <c r="P179" s="3">
        <v>14.485228629360824</v>
      </c>
      <c r="Q179" s="3">
        <v>21.407591290671014</v>
      </c>
      <c r="R179" s="3">
        <v>4.9800079589168291</v>
      </c>
    </row>
  </sheetData>
  <sortState ref="A3:AH123">
    <sortCondition ref="B1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9"/>
  <sheetViews>
    <sheetView zoomScale="80" zoomScaleNormal="80" workbookViewId="0">
      <pane xSplit="4" ySplit="1" topLeftCell="W2" activePane="bottomRight" state="frozen"/>
      <selection pane="bottomLeft" activeCell="A2" sqref="A2"/>
      <selection pane="topRight" activeCell="D1" sqref="D1"/>
      <selection pane="bottomRight" activeCell="AP36" sqref="AP36"/>
    </sheetView>
  </sheetViews>
  <sheetFormatPr defaultRowHeight="15"/>
  <cols>
    <col min="2" max="2" width="26" customWidth="1"/>
    <col min="3" max="3" width="30.5703125" customWidth="1"/>
  </cols>
  <sheetData>
    <row r="1" spans="1:63">
      <c r="A1" t="s">
        <v>373</v>
      </c>
      <c r="B1" t="s">
        <v>374</v>
      </c>
      <c r="C1" t="s">
        <v>375</v>
      </c>
      <c r="D1" t="s">
        <v>376</v>
      </c>
      <c r="E1" t="s">
        <v>444</v>
      </c>
      <c r="F1" t="s">
        <v>377</v>
      </c>
      <c r="G1" t="s">
        <v>376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633</v>
      </c>
      <c r="Z1" t="s">
        <v>634</v>
      </c>
      <c r="AA1" t="s">
        <v>635</v>
      </c>
      <c r="AB1" t="s">
        <v>636</v>
      </c>
      <c r="AC1" t="s">
        <v>399</v>
      </c>
      <c r="AD1" t="s">
        <v>458</v>
      </c>
      <c r="AE1" t="s">
        <v>459</v>
      </c>
      <c r="AN1" t="s">
        <v>402</v>
      </c>
      <c r="AO1" t="s">
        <v>478</v>
      </c>
      <c r="AP1" t="s">
        <v>479</v>
      </c>
      <c r="AQ1" t="s">
        <v>480</v>
      </c>
      <c r="AR1" t="s">
        <v>481</v>
      </c>
      <c r="AS1" t="s">
        <v>405</v>
      </c>
      <c r="AU1" t="s">
        <v>406</v>
      </c>
      <c r="AV1" t="s">
        <v>478</v>
      </c>
      <c r="AW1" t="s">
        <v>479</v>
      </c>
      <c r="AX1" t="s">
        <v>480</v>
      </c>
      <c r="AY1" t="s">
        <v>481</v>
      </c>
      <c r="BA1" t="s">
        <v>538</v>
      </c>
      <c r="BB1" t="s">
        <v>478</v>
      </c>
      <c r="BC1" t="s">
        <v>479</v>
      </c>
      <c r="BD1" t="s">
        <v>480</v>
      </c>
      <c r="BE1" t="s">
        <v>481</v>
      </c>
      <c r="BG1" t="s">
        <v>409</v>
      </c>
      <c r="BH1" t="s">
        <v>478</v>
      </c>
      <c r="BI1" t="s">
        <v>479</v>
      </c>
      <c r="BJ1" t="s">
        <v>480</v>
      </c>
      <c r="BK1" t="s">
        <v>481</v>
      </c>
    </row>
    <row r="2" spans="1:63">
      <c r="A2" t="s">
        <v>637</v>
      </c>
      <c r="B2" t="s">
        <v>261</v>
      </c>
      <c r="C2" t="s">
        <v>638</v>
      </c>
      <c r="D2">
        <v>46001</v>
      </c>
      <c r="E2">
        <v>4601</v>
      </c>
      <c r="F2">
        <v>46</v>
      </c>
      <c r="G2">
        <v>46001</v>
      </c>
      <c r="H2">
        <v>21253</v>
      </c>
      <c r="I2">
        <v>1912</v>
      </c>
      <c r="J2">
        <v>8202</v>
      </c>
      <c r="K2">
        <v>1913</v>
      </c>
      <c r="L2">
        <v>33299</v>
      </c>
      <c r="M2" s="3">
        <f>H2/$L2*100</f>
        <v>63.824739481666114</v>
      </c>
      <c r="N2" s="3">
        <f>I2/$L2*100</f>
        <v>5.7419141715967443</v>
      </c>
      <c r="O2" s="3">
        <f>J2/$L2*100</f>
        <v>24.631370311420763</v>
      </c>
      <c r="P2" s="3">
        <f>K2/$L2*100</f>
        <v>5.7449172647827265</v>
      </c>
      <c r="Q2">
        <v>54.8</v>
      </c>
      <c r="R2">
        <v>12.7</v>
      </c>
      <c r="S2">
        <v>28.9</v>
      </c>
      <c r="T2">
        <v>3.2</v>
      </c>
      <c r="U2">
        <f>IF(M2=MAX($M2:$P2),1,0)</f>
        <v>1</v>
      </c>
      <c r="V2">
        <f>IF(N2=MAX($M2:$P2),1,0)</f>
        <v>0</v>
      </c>
      <c r="W2">
        <f>IF(O2=MAX($M2:$P2),1,0)</f>
        <v>0</v>
      </c>
      <c r="X2">
        <f>IF(P2=MAX($M2:$P2),1,0)</f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O2" s="8">
        <f t="shared" ref="AO2:AO29" si="0">(1-BH2*AI$11-(1-BH2)*AI$13)*AV2+BH2*AI$11*(AI$6+AI$6/AI$10*(AV2-AI$6))+(1-BH2)*AI$13*(AV2+(AI$6-AI$12)/(100-AI$12)*(AI$6-AV2))</f>
        <v>49.251380624188918</v>
      </c>
      <c r="AP2" s="8">
        <f t="shared" ref="AP2:AP29" si="1">(1-BI2*AJ$11-(1-BI2)*AJ$13)*AW2+BI2*AJ$11*(AJ$6+AJ$6/AJ$10*(AW2-AJ$6))+(1-BI2)*AJ$13*(AW2+(AJ$6-AJ$12)/(100-AJ$12)*(AJ$6-AW2))</f>
        <v>26.635353126325132</v>
      </c>
      <c r="AQ2" s="8">
        <f t="shared" ref="AQ2:AQ29" si="2">(1-BJ2*AK$11-(1-BJ2)*AK$13)*AX2+BJ2*AK$11*(AK$6+AK$6/AK$10*(AX2-AK$6))+(1-BJ2)*AK$13*(AX2+(AK$6-AK$12)/(100-AK$12)*(AK$6-AX2))</f>
        <v>17.502568419519022</v>
      </c>
      <c r="AR2" s="8">
        <f t="shared" ref="AR2:AR29" si="3">(1-BK2*AL$11-(1-BK2)*AL$13)*AY2+BK2*AL$11*(AL$6+AL$6/AL$10*(AY2-AL$6))+(1-BK2)*AL$13*(AY2+(AL$6-AL$12)/(100-AL$12)*(AL$6-AY2))</f>
        <v>6.165541632955744</v>
      </c>
      <c r="AS2" s="8">
        <f>SUM(AO2:AR2)</f>
        <v>99.554843802988813</v>
      </c>
      <c r="AV2" s="3">
        <f t="array" ref="AV2">MIN(100,MAX(0,M2-AC2*5+$AJ$16*(U2*AI$26+SUMPRODUCT($Y2:$AB2,TRANSPOSE(AI$27:AI$30)))+$AK$16*(U2*AI$31+SUMPRODUCT($Y2:$AB2,TRANSPOSE(AI$32:AI$35)))+$AL$16*(U2*AI$36+SUMPRODUCT($Y2:$AB2,TRANSPOSE(AI$37:AI$40)))))</f>
        <v>49.251380624188918</v>
      </c>
      <c r="AW2" s="3">
        <f t="array" ref="AW2">MIN(100,MAX(0,N2-AD2*5+$AI$17*(V2*AJ$26+SUMPRODUCT($Y2:$AB2,TRANSPOSE(AJ$27:AJ$30)))+$AK$17*(V2*AJ$31+SUMPRODUCT($Y2:$AB2,TRANSPOSE(AJ$32:AJ$35)))+$AL$17*(V2*AJ$36+SUMPRODUCT($Y2:$AB2,TRANSPOSE(AJ$37:AJ$40)))))</f>
        <v>26.573341324604023</v>
      </c>
      <c r="AX2" s="3">
        <f t="array" ref="AX2">MIN(100,MAX(0,O2-AE2*5+$AI$18*(W2*AK$26+SUMPRODUCT($Y2:$AB2,TRANSPOSE(AK$27:AK$30)))+$AJ$18*(W2*AK$31+SUMPRODUCT($Y2:$AB2,TRANSPOSE(AK$32:AK$35)))+$AL$18*(W2*AK$36+SUMPRODUCT($Y2:$AB2,TRANSPOSE(AK$37:AK$40)))))</f>
        <v>17.502568419519022</v>
      </c>
      <c r="AY2" s="3">
        <f t="array" ref="AY2">MIN(100,MAX(0,P2+$AI$19*(X2*AL$26+SUMPRODUCT($Y2:$AB2,TRANSPOSE(AL$27:AL$30)))+$AJ$19*(X2*AL$31+SUMPRODUCT($Y2:$AB2,TRANSPOSE(AL$32:AL$35)))+$AK$19*(X2*AL$36+SUMPRODUCT($Y2:$AB2,TRANSPOSE(AL$37:AL$40)))))</f>
        <v>6.165541632955744</v>
      </c>
      <c r="BB2">
        <f>IF(AO2=MAX($AO2:$AR2),1,0)</f>
        <v>1</v>
      </c>
      <c r="BC2">
        <f>IF(AP2=MAX($AO2:$AR2),1,0)</f>
        <v>0</v>
      </c>
      <c r="BD2">
        <f>IF(AQ2=MAX($AO2:$AR2),1,0)</f>
        <v>0</v>
      </c>
      <c r="BE2">
        <f>IF(AR2=MAX($AO2:$AR2),1,0)</f>
        <v>0</v>
      </c>
      <c r="BH2">
        <f>IF(AV2&gt;AI$6,1,0)</f>
        <v>1</v>
      </c>
      <c r="BI2">
        <f>IF(AW2&gt;AJ$6,1,0)</f>
        <v>0</v>
      </c>
      <c r="BJ2">
        <f>IF(AX2&gt;AK$6,1,0)</f>
        <v>0</v>
      </c>
      <c r="BK2">
        <f>IF(AY2&gt;AL$6,1,0)</f>
        <v>1</v>
      </c>
    </row>
    <row r="3" spans="1:63">
      <c r="A3" t="s">
        <v>637</v>
      </c>
      <c r="B3" t="s">
        <v>262</v>
      </c>
      <c r="C3" t="s">
        <v>639</v>
      </c>
      <c r="D3">
        <v>46002</v>
      </c>
      <c r="E3">
        <v>4602</v>
      </c>
      <c r="F3">
        <v>46</v>
      </c>
      <c r="G3">
        <v>46002</v>
      </c>
      <c r="H3">
        <v>23264</v>
      </c>
      <c r="I3">
        <v>7433</v>
      </c>
      <c r="J3">
        <v>8134</v>
      </c>
      <c r="K3">
        <v>1587</v>
      </c>
      <c r="L3">
        <v>40418</v>
      </c>
      <c r="M3" s="3">
        <f t="shared" ref="M3:M29" si="4">H3/$L3*100</f>
        <v>57.55851353357415</v>
      </c>
      <c r="N3" s="3">
        <f t="shared" ref="N3:N29" si="5">I3/$L3*100</f>
        <v>18.390321144044734</v>
      </c>
      <c r="O3" s="3">
        <f t="shared" ref="O3:O29" si="6">J3/$L3*100</f>
        <v>20.1246969172151</v>
      </c>
      <c r="P3" s="3">
        <f t="shared" ref="P3:P29" si="7">K3/$L3*100</f>
        <v>3.9264684051660148</v>
      </c>
      <c r="Q3">
        <v>54.8</v>
      </c>
      <c r="R3">
        <v>12.7</v>
      </c>
      <c r="S3">
        <v>28.9</v>
      </c>
      <c r="T3">
        <v>3.2</v>
      </c>
      <c r="U3">
        <f t="shared" ref="U3:U27" si="8">IF(M3=MAX($M3:$P3),1,0)</f>
        <v>1</v>
      </c>
      <c r="V3">
        <f t="shared" ref="V3:V29" si="9">IF(N3=MAX($M3:$P3),1,0)</f>
        <v>0</v>
      </c>
      <c r="W3">
        <f t="shared" ref="W3:W29" si="10">IF(O3=MAX($M3:$P3),1,0)</f>
        <v>0</v>
      </c>
      <c r="X3">
        <f t="shared" ref="X3:X29" si="11">IF(P3=MAX($M3:$P3),1,0)</f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O3" s="8">
        <f t="shared" si="0"/>
        <v>42.929808657661866</v>
      </c>
      <c r="AP3" s="8">
        <f t="shared" si="1"/>
        <v>39.207068341826812</v>
      </c>
      <c r="AQ3" s="8">
        <f t="shared" si="2"/>
        <v>13.023124461951069</v>
      </c>
      <c r="AR3" s="8">
        <f t="shared" si="3"/>
        <v>4.3898887549368197</v>
      </c>
      <c r="AS3" s="8">
        <f t="shared" ref="AS3:AS29" si="12">SUM(AO3:AR3)</f>
        <v>99.549890216376568</v>
      </c>
      <c r="AV3" s="3">
        <f t="array" ref="AV3">MIN(100,MAX(0,M3-AC3*5+$AJ$16*(U3*AI$26+SUMPRODUCT($Y3:$AB3,TRANSPOSE(AI$27:AI$30)))+$AK$16*(U3*AI$31+SUMPRODUCT($Y3:$AB3,TRANSPOSE(AI$32:AI$35)))+$AL$16*(U3*AI$36+SUMPRODUCT($Y3:$AB3,TRANSPOSE(AI$37:AI$40)))))</f>
        <v>42.929808657661866</v>
      </c>
      <c r="AW3" s="3">
        <f t="array" ref="AW3">MIN(100,MAX(0,N3-AD3*5+$AI$17*(V3*AJ$26+SUMPRODUCT($Y3:$AB3,TRANSPOSE(AJ$27:AJ$30)))+$AK$17*(V3*AJ$31+SUMPRODUCT($Y3:$AB3,TRANSPOSE(AJ$32:AJ$35)))+$AL$17*(V3*AJ$36+SUMPRODUCT($Y3:$AB3,TRANSPOSE(AJ$37:AJ$40)))))</f>
        <v>39.207068341826812</v>
      </c>
      <c r="AX3" s="3">
        <f t="array" ref="AX3">MIN(100,MAX(0,O3-AE3*5+$AI$18*(W3*AK$26+SUMPRODUCT($Y3:$AB3,TRANSPOSE(AK$27:AK$30)))+$AJ$18*(W3*AK$31+SUMPRODUCT($Y3:$AB3,TRANSPOSE(AK$32:AK$35)))+$AL$18*(W3*AK$36+SUMPRODUCT($Y3:$AB3,TRANSPOSE(AK$37:AK$40)))))</f>
        <v>13.023124461951069</v>
      </c>
      <c r="AY3" s="3">
        <f t="array" ref="AY3">MIN(100,MAX(0,P3+$AI$19*(X3*AL$26+SUMPRODUCT($Y3:$AB3,TRANSPOSE(AL$27:AL$30)))+$AJ$19*(X3*AL$31+SUMPRODUCT($Y3:$AB3,TRANSPOSE(AL$32:AL$35)))+$AK$19*(X3*AL$36+SUMPRODUCT($Y3:$AB3,TRANSPOSE(AL$37:AL$40)))))</f>
        <v>4.3898887549368197</v>
      </c>
      <c r="BB3">
        <f t="shared" ref="BB3:BB29" si="13">IF(AO3=MAX($AO3:$AR3),1,0)</f>
        <v>1</v>
      </c>
      <c r="BC3">
        <f t="shared" ref="BC3:BC29" si="14">IF(AP3=MAX($AO3:$AR3),1,0)</f>
        <v>0</v>
      </c>
      <c r="BD3">
        <f t="shared" ref="BD3:BD29" si="15">IF(AQ3=MAX($AO3:$AR3),1,0)</f>
        <v>0</v>
      </c>
      <c r="BE3">
        <f t="shared" ref="BE3:BE29" si="16">IF(AR3=MAX($AO3:$AR3),1,0)</f>
        <v>0</v>
      </c>
      <c r="BH3">
        <f t="shared" ref="BH3:BH29" si="17">IF(AV3&gt;AI$6,1,0)</f>
        <v>1</v>
      </c>
      <c r="BI3">
        <f t="shared" ref="BI3:BI29" si="18">IF(AW3&gt;AJ$6,1,0)</f>
        <v>1</v>
      </c>
      <c r="BJ3">
        <f t="shared" ref="BJ3:BJ29" si="19">IF(AX3&gt;AK$6,1,0)</f>
        <v>0</v>
      </c>
      <c r="BK3">
        <f t="shared" ref="BK3:BK29" si="20">IF(AY3&gt;AL$6,1,0)</f>
        <v>1</v>
      </c>
    </row>
    <row r="4" spans="1:63">
      <c r="A4" t="s">
        <v>637</v>
      </c>
      <c r="B4" t="s">
        <v>263</v>
      </c>
      <c r="C4" t="s">
        <v>640</v>
      </c>
      <c r="D4">
        <v>46003</v>
      </c>
      <c r="E4">
        <v>4601</v>
      </c>
      <c r="F4">
        <v>46</v>
      </c>
      <c r="G4">
        <v>46003</v>
      </c>
      <c r="H4">
        <v>5540</v>
      </c>
      <c r="I4">
        <v>4212</v>
      </c>
      <c r="J4">
        <v>10962</v>
      </c>
      <c r="K4">
        <v>491</v>
      </c>
      <c r="L4">
        <v>21205</v>
      </c>
      <c r="M4" s="3">
        <f t="shared" si="4"/>
        <v>26.125913699599153</v>
      </c>
      <c r="N4" s="3">
        <f t="shared" si="5"/>
        <v>19.863239801933506</v>
      </c>
      <c r="O4" s="3">
        <f t="shared" si="6"/>
        <v>51.695354869134633</v>
      </c>
      <c r="P4" s="3">
        <f t="shared" si="7"/>
        <v>2.3154916293327044</v>
      </c>
      <c r="Q4">
        <v>54.8</v>
      </c>
      <c r="R4">
        <v>12.7</v>
      </c>
      <c r="S4">
        <v>28.9</v>
      </c>
      <c r="T4">
        <v>3.2</v>
      </c>
      <c r="U4">
        <f t="shared" si="8"/>
        <v>0</v>
      </c>
      <c r="V4">
        <f t="shared" si="9"/>
        <v>0</v>
      </c>
      <c r="W4">
        <f t="shared" si="10"/>
        <v>1</v>
      </c>
      <c r="X4">
        <f t="shared" si="11"/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I4" t="s">
        <v>478</v>
      </c>
      <c r="AJ4" t="s">
        <v>479</v>
      </c>
      <c r="AK4" t="s">
        <v>480</v>
      </c>
      <c r="AL4" t="s">
        <v>481</v>
      </c>
      <c r="AO4" s="8">
        <f t="shared" si="0"/>
        <v>12.002244241561073</v>
      </c>
      <c r="AP4" s="8">
        <f t="shared" si="1"/>
        <v>40.694666954940786</v>
      </c>
      <c r="AQ4" s="8">
        <f t="shared" si="2"/>
        <v>44.595746312939021</v>
      </c>
      <c r="AR4" s="8">
        <f t="shared" si="3"/>
        <v>2.7361159975057219</v>
      </c>
      <c r="AS4" s="8">
        <f t="shared" si="12"/>
        <v>100.02877350694661</v>
      </c>
      <c r="AV4" s="3">
        <f t="array" ref="AV4">MIN(100,MAX(0,M4-AC4*5+$AJ$16*(U4*AI$26+SUMPRODUCT($Y4:$AB4,TRANSPOSE(AI$27:AI$30)))+$AK$16*(U4*AI$31+SUMPRODUCT($Y4:$AB4,TRANSPOSE(AI$32:AI$35)))+$AL$16*(U4*AI$36+SUMPRODUCT($Y4:$AB4,TRANSPOSE(AI$37:AI$40)))))</f>
        <v>12.002244241561073</v>
      </c>
      <c r="AW4" s="3">
        <f t="array" ref="AW4">MIN(100,MAX(0,N4-AD4*5+$AI$17*(V4*AJ$26+SUMPRODUCT($Y4:$AB4,TRANSPOSE(AJ$27:AJ$30)))+$AK$17*(V4*AJ$31+SUMPRODUCT($Y4:$AB4,TRANSPOSE(AJ$32:AJ$35)))+$AL$17*(V4*AJ$36+SUMPRODUCT($Y4:$AB4,TRANSPOSE(AJ$37:AJ$40)))))</f>
        <v>40.694666954940786</v>
      </c>
      <c r="AX4" s="3">
        <f t="array" ref="AX4">MIN(100,MAX(0,O4-AE4*5+$AI$18*(W4*AK$26+SUMPRODUCT($Y4:$AB4,TRANSPOSE(AK$27:AK$30)))+$AJ$18*(W4*AK$31+SUMPRODUCT($Y4:$AB4,TRANSPOSE(AK$32:AK$35)))+$AL$18*(W4*AK$36+SUMPRODUCT($Y4:$AB4,TRANSPOSE(AK$37:AK$40)))))</f>
        <v>44.595746312939021</v>
      </c>
      <c r="AY4" s="3">
        <f t="array" ref="AY4">MIN(100,MAX(0,P4+$AI$19*(X4*AL$26+SUMPRODUCT($Y4:$AB4,TRANSPOSE(AL$27:AL$30)))+$AJ$19*(X4*AL$31+SUMPRODUCT($Y4:$AB4,TRANSPOSE(AL$32:AL$35)))+$AK$19*(X4*AL$36+SUMPRODUCT($Y4:$AB4,TRANSPOSE(AL$37:AL$40)))))</f>
        <v>2.7361159975057219</v>
      </c>
      <c r="BB4">
        <f t="shared" si="13"/>
        <v>0</v>
      </c>
      <c r="BC4">
        <f t="shared" si="14"/>
        <v>0</v>
      </c>
      <c r="BD4">
        <f t="shared" si="15"/>
        <v>1</v>
      </c>
      <c r="BE4">
        <f t="shared" si="16"/>
        <v>0</v>
      </c>
      <c r="BH4">
        <f t="shared" si="17"/>
        <v>0</v>
      </c>
      <c r="BI4">
        <f t="shared" si="18"/>
        <v>1</v>
      </c>
      <c r="BJ4">
        <f t="shared" si="19"/>
        <v>1</v>
      </c>
      <c r="BK4">
        <f t="shared" si="20"/>
        <v>0</v>
      </c>
    </row>
    <row r="5" spans="1:63">
      <c r="A5" t="s">
        <v>637</v>
      </c>
      <c r="B5" t="s">
        <v>264</v>
      </c>
      <c r="C5" t="s">
        <v>641</v>
      </c>
      <c r="D5">
        <v>46004</v>
      </c>
      <c r="E5">
        <v>4601</v>
      </c>
      <c r="F5">
        <v>46</v>
      </c>
      <c r="G5">
        <v>46004</v>
      </c>
      <c r="H5">
        <v>22213</v>
      </c>
      <c r="I5">
        <v>2179</v>
      </c>
      <c r="J5">
        <v>8541</v>
      </c>
      <c r="K5">
        <v>1468</v>
      </c>
      <c r="L5">
        <v>34430</v>
      </c>
      <c r="M5" s="3">
        <f t="shared" si="4"/>
        <v>64.516410107464424</v>
      </c>
      <c r="N5" s="3">
        <f t="shared" si="5"/>
        <v>6.3287830380482131</v>
      </c>
      <c r="O5" s="3">
        <f t="shared" si="6"/>
        <v>24.806854487365669</v>
      </c>
      <c r="P5" s="3">
        <f t="shared" si="7"/>
        <v>4.2637234969503339</v>
      </c>
      <c r="Q5">
        <v>54.8</v>
      </c>
      <c r="R5">
        <v>12.7</v>
      </c>
      <c r="S5">
        <v>28.9</v>
      </c>
      <c r="T5">
        <v>3.2</v>
      </c>
      <c r="U5">
        <f t="shared" si="8"/>
        <v>1</v>
      </c>
      <c r="V5">
        <f t="shared" si="9"/>
        <v>0</v>
      </c>
      <c r="W5">
        <f t="shared" si="10"/>
        <v>0</v>
      </c>
      <c r="X5">
        <f t="shared" si="11"/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H5">
        <v>2011</v>
      </c>
      <c r="AI5">
        <v>54.8</v>
      </c>
      <c r="AJ5">
        <v>12.7</v>
      </c>
      <c r="AK5">
        <v>28.9</v>
      </c>
      <c r="AL5">
        <v>3.2</v>
      </c>
      <c r="AM5">
        <f>SUM(AI5:AL5)</f>
        <v>99.600000000000009</v>
      </c>
      <c r="AO5" s="8">
        <f t="shared" si="0"/>
        <v>49.943051249987228</v>
      </c>
      <c r="AP5" s="8">
        <f t="shared" si="1"/>
        <v>27.217036818322427</v>
      </c>
      <c r="AQ5" s="8">
        <f t="shared" si="2"/>
        <v>17.678052595463928</v>
      </c>
      <c r="AR5" s="8">
        <f t="shared" si="3"/>
        <v>4.6843478651233514</v>
      </c>
      <c r="AS5" s="8">
        <f t="shared" si="12"/>
        <v>99.522488528896929</v>
      </c>
      <c r="AV5" s="3">
        <f t="array" ref="AV5">MIN(100,MAX(0,M5-AC5*5+$AJ$16*(U5*AI$26+SUMPRODUCT($Y5:$AB5,TRANSPOSE(AI$27:AI$30)))+$AK$16*(U5*AI$31+SUMPRODUCT($Y5:$AB5,TRANSPOSE(AI$32:AI$35)))+$AL$16*(U5*AI$36+SUMPRODUCT($Y5:$AB5,TRANSPOSE(AI$37:AI$40)))))</f>
        <v>49.943051249987228</v>
      </c>
      <c r="AW5" s="3">
        <f t="array" ref="AW5">MIN(100,MAX(0,N5-AD5*5+$AI$17*(V5*AJ$26+SUMPRODUCT($Y5:$AB5,TRANSPOSE(AJ$27:AJ$30)))+$AK$17*(V5*AJ$31+SUMPRODUCT($Y5:$AB5,TRANSPOSE(AJ$32:AJ$35)))+$AL$17*(V5*AJ$36+SUMPRODUCT($Y5:$AB5,TRANSPOSE(AJ$37:AJ$40)))))</f>
        <v>27.160210191055498</v>
      </c>
      <c r="AX5" s="3">
        <f t="array" ref="AX5">MIN(100,MAX(0,O5-AE5*5+$AI$18*(W5*AK$26+SUMPRODUCT($Y5:$AB5,TRANSPOSE(AK$27:AK$30)))+$AJ$18*(W5*AK$31+SUMPRODUCT($Y5:$AB5,TRANSPOSE(AK$32:AK$35)))+$AL$18*(W5*AK$36+SUMPRODUCT($Y5:$AB5,TRANSPOSE(AK$37:AK$40)))))</f>
        <v>17.678052595463928</v>
      </c>
      <c r="AY5" s="3">
        <f t="array" ref="AY5">MIN(100,MAX(0,P5+$AI$19*(X5*AL$26+SUMPRODUCT($Y5:$AB5,TRANSPOSE(AL$27:AL$30)))+$AJ$19*(X5*AL$31+SUMPRODUCT($Y5:$AB5,TRANSPOSE(AL$32:AL$35)))+$AK$19*(X5*AL$36+SUMPRODUCT($Y5:$AB5,TRANSPOSE(AL$37:AL$40)))))</f>
        <v>4.6843478651233514</v>
      </c>
      <c r="BB5">
        <f t="shared" si="13"/>
        <v>1</v>
      </c>
      <c r="BC5">
        <f t="shared" si="14"/>
        <v>0</v>
      </c>
      <c r="BD5">
        <f t="shared" si="15"/>
        <v>0</v>
      </c>
      <c r="BE5">
        <f t="shared" si="16"/>
        <v>0</v>
      </c>
      <c r="BH5">
        <f t="shared" si="17"/>
        <v>1</v>
      </c>
      <c r="BI5">
        <f t="shared" si="18"/>
        <v>0</v>
      </c>
      <c r="BJ5">
        <f t="shared" si="19"/>
        <v>0</v>
      </c>
      <c r="BK5">
        <f t="shared" si="20"/>
        <v>1</v>
      </c>
    </row>
    <row r="6" spans="1:63">
      <c r="A6" t="s">
        <v>637</v>
      </c>
      <c r="B6" t="s">
        <v>265</v>
      </c>
      <c r="C6" t="s">
        <v>642</v>
      </c>
      <c r="D6">
        <v>46005</v>
      </c>
      <c r="E6">
        <v>4602</v>
      </c>
      <c r="F6">
        <v>46</v>
      </c>
      <c r="G6">
        <v>46005</v>
      </c>
      <c r="H6">
        <v>16086</v>
      </c>
      <c r="I6">
        <v>1779</v>
      </c>
      <c r="J6">
        <v>15364</v>
      </c>
      <c r="K6">
        <v>1053</v>
      </c>
      <c r="L6">
        <v>34289</v>
      </c>
      <c r="M6" s="3">
        <f t="shared" si="4"/>
        <v>46.913004170433666</v>
      </c>
      <c r="N6" s="3">
        <f t="shared" si="5"/>
        <v>5.188252792440724</v>
      </c>
      <c r="O6" s="3">
        <f t="shared" si="6"/>
        <v>44.807372626789935</v>
      </c>
      <c r="P6" s="3">
        <f t="shared" si="7"/>
        <v>3.0709557000787422</v>
      </c>
      <c r="Q6">
        <v>54.8</v>
      </c>
      <c r="R6">
        <v>12.7</v>
      </c>
      <c r="S6">
        <v>28.9</v>
      </c>
      <c r="T6">
        <v>3.2</v>
      </c>
      <c r="U6">
        <f t="shared" si="8"/>
        <v>1</v>
      </c>
      <c r="V6">
        <f t="shared" si="9"/>
        <v>0</v>
      </c>
      <c r="W6">
        <f t="shared" si="10"/>
        <v>0</v>
      </c>
      <c r="X6">
        <f t="shared" si="11"/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H6">
        <v>2015</v>
      </c>
      <c r="AI6">
        <f>projections!C7</f>
        <v>40.605482885714672</v>
      </c>
      <c r="AJ6">
        <f>projections!D7</f>
        <v>33.591966465235735</v>
      </c>
      <c r="AK6">
        <f>projections!E7</f>
        <v>21.760170292963746</v>
      </c>
      <c r="AL6">
        <f>projections!F7</f>
        <v>3.6419589099295941</v>
      </c>
      <c r="AM6" s="3">
        <f>SUM(AI6:AL6)</f>
        <v>99.599578553843756</v>
      </c>
      <c r="AO6" s="8">
        <f t="shared" si="0"/>
        <v>32.284299294521382</v>
      </c>
      <c r="AP6" s="8">
        <f t="shared" si="1"/>
        <v>26.07203326971646</v>
      </c>
      <c r="AQ6" s="8">
        <f t="shared" si="2"/>
        <v>37.705800171525901</v>
      </c>
      <c r="AR6" s="8">
        <f t="shared" si="3"/>
        <v>3.5343760498495467</v>
      </c>
      <c r="AS6" s="8">
        <f t="shared" si="12"/>
        <v>99.596508785613295</v>
      </c>
      <c r="AV6" s="3">
        <f t="array" ref="AV6">MIN(100,MAX(0,M6-AC6*5+$AJ$16*(U6*AI$26+SUMPRODUCT($Y6:$AB6,TRANSPOSE(AI$27:AI$30)))+$AK$16*(U6*AI$31+SUMPRODUCT($Y6:$AB6,TRANSPOSE(AI$32:AI$35)))+$AL$16*(U6*AI$36+SUMPRODUCT($Y6:$AB6,TRANSPOSE(AI$37:AI$40)))))</f>
        <v>32.284299294521382</v>
      </c>
      <c r="AW6" s="3">
        <f t="array" ref="AW6">MIN(100,MAX(0,N6-AD6*5+$AI$17*(V6*AJ$26+SUMPRODUCT($Y6:$AB6,TRANSPOSE(AJ$27:AJ$30)))+$AK$17*(V6*AJ$31+SUMPRODUCT($Y6:$AB6,TRANSPOSE(AJ$32:AJ$35)))+$AL$17*(V6*AJ$36+SUMPRODUCT($Y6:$AB6,TRANSPOSE(AJ$37:AJ$40)))))</f>
        <v>26.004999990222796</v>
      </c>
      <c r="AX6" s="3">
        <f t="array" ref="AX6">MIN(100,MAX(0,O6-AE6*5+$AI$18*(W6*AK$26+SUMPRODUCT($Y6:$AB6,TRANSPOSE(AK$27:AK$30)))+$AJ$18*(W6*AK$31+SUMPRODUCT($Y6:$AB6,TRANSPOSE(AK$32:AK$35)))+$AL$18*(W6*AK$36+SUMPRODUCT($Y6:$AB6,TRANSPOSE(AK$37:AK$40)))))</f>
        <v>37.705800171525901</v>
      </c>
      <c r="AY6" s="3">
        <f t="array" ref="AY6">MIN(100,MAX(0,P6+$AI$19*(X6*AL$26+SUMPRODUCT($Y6:$AB6,TRANSPOSE(AL$27:AL$30)))+$AJ$19*(X6*AL$31+SUMPRODUCT($Y6:$AB6,TRANSPOSE(AL$32:AL$35)))+$AK$19*(X6*AL$36+SUMPRODUCT($Y6:$AB6,TRANSPOSE(AL$37:AL$40)))))</f>
        <v>3.5343760498495467</v>
      </c>
      <c r="BB6">
        <f t="shared" si="13"/>
        <v>0</v>
      </c>
      <c r="BC6">
        <f t="shared" si="14"/>
        <v>0</v>
      </c>
      <c r="BD6">
        <f t="shared" si="15"/>
        <v>1</v>
      </c>
      <c r="BE6">
        <f t="shared" si="16"/>
        <v>0</v>
      </c>
      <c r="BH6">
        <f t="shared" si="17"/>
        <v>0</v>
      </c>
      <c r="BI6">
        <f t="shared" si="18"/>
        <v>0</v>
      </c>
      <c r="BJ6">
        <f t="shared" si="19"/>
        <v>1</v>
      </c>
      <c r="BK6">
        <f t="shared" si="20"/>
        <v>0</v>
      </c>
    </row>
    <row r="7" spans="1:63">
      <c r="A7" t="s">
        <v>637</v>
      </c>
      <c r="B7" t="s">
        <v>266</v>
      </c>
      <c r="C7" t="s">
        <v>643</v>
      </c>
      <c r="D7">
        <v>46006</v>
      </c>
      <c r="E7">
        <v>4602</v>
      </c>
      <c r="F7">
        <v>46</v>
      </c>
      <c r="G7">
        <v>46006</v>
      </c>
      <c r="H7">
        <v>21417</v>
      </c>
      <c r="I7">
        <v>2888</v>
      </c>
      <c r="J7">
        <v>11007</v>
      </c>
      <c r="K7">
        <v>970</v>
      </c>
      <c r="L7">
        <v>36629</v>
      </c>
      <c r="M7" s="3">
        <f t="shared" si="4"/>
        <v>58.470064702831095</v>
      </c>
      <c r="N7" s="3">
        <f t="shared" si="5"/>
        <v>7.884463130306588</v>
      </c>
      <c r="O7" s="3">
        <f t="shared" si="6"/>
        <v>30.049960413879713</v>
      </c>
      <c r="P7" s="3">
        <f t="shared" si="7"/>
        <v>2.6481749433508965</v>
      </c>
      <c r="Q7">
        <v>54.8</v>
      </c>
      <c r="R7">
        <v>12.7</v>
      </c>
      <c r="S7">
        <v>28.9</v>
      </c>
      <c r="T7">
        <v>3.2</v>
      </c>
      <c r="U7" s="54">
        <v>0</v>
      </c>
      <c r="V7">
        <f t="shared" si="9"/>
        <v>0</v>
      </c>
      <c r="W7">
        <f t="shared" si="10"/>
        <v>0</v>
      </c>
      <c r="X7">
        <f t="shared" si="11"/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H7" t="s">
        <v>415</v>
      </c>
      <c r="AI7">
        <f>AI6-AI5</f>
        <v>-14.194517114285325</v>
      </c>
      <c r="AJ7">
        <f>AJ6-AJ5</f>
        <v>20.891966465235736</v>
      </c>
      <c r="AK7">
        <f>AK6-AK5</f>
        <v>-7.1398297070362524</v>
      </c>
      <c r="AL7">
        <f>AL6-AL5</f>
        <v>0.44195890992959397</v>
      </c>
      <c r="AO7" s="8">
        <f t="shared" si="0"/>
        <v>39.346395244793015</v>
      </c>
      <c r="AP7" s="8">
        <f t="shared" si="1"/>
        <v>28.758971978562112</v>
      </c>
      <c r="AQ7" s="8">
        <f t="shared" si="2"/>
        <v>22.921158521977972</v>
      </c>
      <c r="AR7" s="8">
        <f t="shared" si="3"/>
        <v>3.0687993115239141</v>
      </c>
      <c r="AS7" s="8">
        <f t="shared" si="12"/>
        <v>94.095325056857021</v>
      </c>
      <c r="AV7" s="3">
        <f t="array" ref="AV7">MIN(100,MAX(0,M7-AC7*5+$AJ$16*(U7*AI$26+SUMPRODUCT($Y7:$AB7,TRANSPOSE(AI$27:AI$30)))+$AK$16*(U7*AI$31+SUMPRODUCT($Y7:$AB7,TRANSPOSE(AI$32:AI$35)))+$AL$16*(U7*AI$36+SUMPRODUCT($Y7:$AB7,TRANSPOSE(AI$37:AI$40)))))</f>
        <v>39.346395244793015</v>
      </c>
      <c r="AW7" s="3">
        <f t="array" ref="AW7">MIN(100,MAX(0,N7-AD7*5+$AI$17*(V7*AJ$26+SUMPRODUCT($Y7:$AB7,TRANSPOSE(AJ$27:AJ$30)))+$AK$17*(V7*AJ$31+SUMPRODUCT($Y7:$AB7,TRANSPOSE(AJ$32:AJ$35)))+$AL$17*(V7*AJ$36+SUMPRODUCT($Y7:$AB7,TRANSPOSE(AJ$37:AJ$40)))))</f>
        <v>28.715890283313868</v>
      </c>
      <c r="AX7" s="3">
        <f t="array" ref="AX7">MIN(100,MAX(0,O7-AE7*5+$AI$18*(W7*AK$26+SUMPRODUCT($Y7:$AB7,TRANSPOSE(AK$27:AK$30)))+$AJ$18*(W7*AK$31+SUMPRODUCT($Y7:$AB7,TRANSPOSE(AK$32:AK$35)))+$AL$18*(W7*AK$36+SUMPRODUCT($Y7:$AB7,TRANSPOSE(AK$37:AK$40)))))</f>
        <v>22.921158521977972</v>
      </c>
      <c r="AY7" s="3">
        <f t="array" ref="AY7">MIN(100,MAX(0,P7+$AI$19*(X7*AL$26+SUMPRODUCT($Y7:$AB7,TRANSPOSE(AL$27:AL$30)))+$AJ$19*(X7*AL$31+SUMPRODUCT($Y7:$AB7,TRANSPOSE(AL$32:AL$35)))+$AK$19*(X7*AL$36+SUMPRODUCT($Y7:$AB7,TRANSPOSE(AL$37:AL$40)))))</f>
        <v>3.0687993115239141</v>
      </c>
      <c r="BB7">
        <f t="shared" si="13"/>
        <v>1</v>
      </c>
      <c r="BC7">
        <f t="shared" si="14"/>
        <v>0</v>
      </c>
      <c r="BD7">
        <f t="shared" si="15"/>
        <v>0</v>
      </c>
      <c r="BE7">
        <f t="shared" si="16"/>
        <v>0</v>
      </c>
      <c r="BH7">
        <f t="shared" si="17"/>
        <v>0</v>
      </c>
      <c r="BI7">
        <f t="shared" si="18"/>
        <v>0</v>
      </c>
      <c r="BJ7">
        <f t="shared" si="19"/>
        <v>1</v>
      </c>
      <c r="BK7">
        <f t="shared" si="20"/>
        <v>0</v>
      </c>
    </row>
    <row r="8" spans="1:63">
      <c r="A8" t="s">
        <v>637</v>
      </c>
      <c r="B8" t="s">
        <v>267</v>
      </c>
      <c r="C8" t="s">
        <v>644</v>
      </c>
      <c r="D8">
        <v>46007</v>
      </c>
      <c r="E8">
        <v>4601</v>
      </c>
      <c r="F8">
        <v>46</v>
      </c>
      <c r="G8">
        <v>46007</v>
      </c>
      <c r="H8">
        <v>25738</v>
      </c>
      <c r="I8">
        <v>2031</v>
      </c>
      <c r="J8">
        <v>3467</v>
      </c>
      <c r="K8">
        <v>1916</v>
      </c>
      <c r="L8">
        <v>33960</v>
      </c>
      <c r="M8" s="3">
        <f t="shared" si="4"/>
        <v>75.789163722025904</v>
      </c>
      <c r="N8" s="3">
        <f t="shared" si="5"/>
        <v>5.9805653710247348</v>
      </c>
      <c r="O8" s="3">
        <f t="shared" si="6"/>
        <v>10.20906949352179</v>
      </c>
      <c r="P8" s="3">
        <f t="shared" si="7"/>
        <v>5.6419316843345113</v>
      </c>
      <c r="Q8">
        <v>54.8</v>
      </c>
      <c r="R8">
        <v>12.7</v>
      </c>
      <c r="S8">
        <v>28.9</v>
      </c>
      <c r="T8">
        <v>3.2</v>
      </c>
      <c r="U8">
        <f t="shared" si="8"/>
        <v>1</v>
      </c>
      <c r="V8">
        <f t="shared" si="9"/>
        <v>0</v>
      </c>
      <c r="W8">
        <f t="shared" si="10"/>
        <v>0</v>
      </c>
      <c r="X8">
        <f t="shared" si="11"/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H8" t="s">
        <v>470</v>
      </c>
      <c r="AI8">
        <f>IF(AI7&gt;0,AI7,0)</f>
        <v>0</v>
      </c>
      <c r="AJ8">
        <f>IF(AJ7&gt;0,AJ7,0)</f>
        <v>20.891966465235736</v>
      </c>
      <c r="AK8">
        <f>IF(AK7&gt;0,AK7,0)</f>
        <v>0</v>
      </c>
      <c r="AL8">
        <f>IF(AL7&gt;0,AL7,0)</f>
        <v>0.44195890992959397</v>
      </c>
      <c r="AM8">
        <f>SUM(AI8:AL8)</f>
        <v>21.333925375165329</v>
      </c>
      <c r="AO8" s="8">
        <f t="shared" si="0"/>
        <v>61.215804864548709</v>
      </c>
      <c r="AP8" s="8">
        <f t="shared" si="1"/>
        <v>26.871895765947905</v>
      </c>
      <c r="AQ8" s="8">
        <f t="shared" si="2"/>
        <v>3.0802676016200476</v>
      </c>
      <c r="AR8" s="8">
        <f t="shared" si="3"/>
        <v>6.0625560525075288</v>
      </c>
      <c r="AS8" s="8">
        <f t="shared" si="12"/>
        <v>97.230524284624195</v>
      </c>
      <c r="AV8" s="3">
        <f t="array" ref="AV8">MIN(100,MAX(0,M8-AC8*5+$AJ$16*(U8*AI$26+SUMPRODUCT($Y8:$AB8,TRANSPOSE(AI$27:AI$30)))+$AK$16*(U8*AI$31+SUMPRODUCT($Y8:$AB8,TRANSPOSE(AI$32:AI$35)))+$AL$16*(U8*AI$36+SUMPRODUCT($Y8:$AB8,TRANSPOSE(AI$37:AI$40)))))</f>
        <v>61.215804864548709</v>
      </c>
      <c r="AW8" s="3">
        <f t="array" ref="AW8">MIN(100,MAX(0,N8-AD8*5+$AI$17*(V8*AJ$26+SUMPRODUCT($Y8:$AB8,TRANSPOSE(AJ$27:AJ$30)))+$AK$17*(V8*AJ$31+SUMPRODUCT($Y8:$AB8,TRANSPOSE(AJ$32:AJ$35)))+$AL$17*(V8*AJ$36+SUMPRODUCT($Y8:$AB8,TRANSPOSE(AJ$37:AJ$40)))))</f>
        <v>26.811992524032014</v>
      </c>
      <c r="AX8" s="3">
        <f t="array" ref="AX8">MIN(100,MAX(0,O8-AE8*5+$AI$18*(W8*AK$26+SUMPRODUCT($Y8:$AB8,TRANSPOSE(AK$27:AK$30)))+$AJ$18*(W8*AK$31+SUMPRODUCT($Y8:$AB8,TRANSPOSE(AK$32:AK$35)))+$AL$18*(W8*AK$36+SUMPRODUCT($Y8:$AB8,TRANSPOSE(AK$37:AK$40)))))</f>
        <v>3.0802676016200476</v>
      </c>
      <c r="AY8" s="3">
        <f t="array" ref="AY8">MIN(100,MAX(0,P8+$AI$19*(X8*AL$26+SUMPRODUCT($Y8:$AB8,TRANSPOSE(AL$27:AL$30)))+$AJ$19*(X8*AL$31+SUMPRODUCT($Y8:$AB8,TRANSPOSE(AL$32:AL$35)))+$AK$19*(X8*AL$36+SUMPRODUCT($Y8:$AB8,TRANSPOSE(AL$37:AL$40)))))</f>
        <v>6.0625560525075288</v>
      </c>
      <c r="BB8">
        <f t="shared" si="13"/>
        <v>1</v>
      </c>
      <c r="BC8">
        <f t="shared" si="14"/>
        <v>0</v>
      </c>
      <c r="BD8">
        <f t="shared" si="15"/>
        <v>0</v>
      </c>
      <c r="BE8">
        <f t="shared" si="16"/>
        <v>0</v>
      </c>
      <c r="BH8">
        <f t="shared" si="17"/>
        <v>1</v>
      </c>
      <c r="BI8">
        <f t="shared" si="18"/>
        <v>0</v>
      </c>
      <c r="BJ8">
        <f t="shared" si="19"/>
        <v>0</v>
      </c>
      <c r="BK8">
        <f t="shared" si="20"/>
        <v>1</v>
      </c>
    </row>
    <row r="9" spans="1:63">
      <c r="A9" t="s">
        <v>637</v>
      </c>
      <c r="B9" t="s">
        <v>268</v>
      </c>
      <c r="C9" t="s">
        <v>268</v>
      </c>
      <c r="D9">
        <v>46008</v>
      </c>
      <c r="E9">
        <v>4601</v>
      </c>
      <c r="F9">
        <v>46</v>
      </c>
      <c r="G9">
        <v>46008</v>
      </c>
      <c r="H9">
        <v>24628</v>
      </c>
      <c r="I9">
        <v>2355</v>
      </c>
      <c r="J9">
        <v>6358</v>
      </c>
      <c r="K9">
        <v>1039</v>
      </c>
      <c r="L9">
        <v>35004</v>
      </c>
      <c r="M9" s="3">
        <f t="shared" si="4"/>
        <v>70.357673408753286</v>
      </c>
      <c r="N9" s="3">
        <f t="shared" si="5"/>
        <v>6.7278025368529306</v>
      </c>
      <c r="O9" s="3">
        <f t="shared" si="6"/>
        <v>18.163638441320991</v>
      </c>
      <c r="P9" s="3">
        <f t="shared" si="7"/>
        <v>2.968232202034053</v>
      </c>
      <c r="Q9">
        <v>54.8</v>
      </c>
      <c r="R9">
        <v>12.7</v>
      </c>
      <c r="S9">
        <v>28.9</v>
      </c>
      <c r="T9">
        <v>3.2</v>
      </c>
      <c r="U9">
        <f t="shared" si="8"/>
        <v>1</v>
      </c>
      <c r="V9">
        <f t="shared" si="9"/>
        <v>0</v>
      </c>
      <c r="W9">
        <f t="shared" si="10"/>
        <v>0</v>
      </c>
      <c r="X9">
        <f t="shared" si="11"/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H9" t="s">
        <v>472</v>
      </c>
      <c r="AI9">
        <f>IF(AI7&lt;0,AI7,0)</f>
        <v>-14.194517114285325</v>
      </c>
      <c r="AJ9">
        <f>IF(AJ7&lt;0,AJ7,0)</f>
        <v>0</v>
      </c>
      <c r="AK9">
        <f>IF(AK7&lt;0,AK7,0)</f>
        <v>-7.1398297070362524</v>
      </c>
      <c r="AL9">
        <f>IF(AL7&lt;0,AL7,0)</f>
        <v>0</v>
      </c>
      <c r="AM9">
        <f>SUM(AI9:AL9)</f>
        <v>-21.334346821321578</v>
      </c>
      <c r="AO9" s="8">
        <f t="shared" si="0"/>
        <v>55.78431455127609</v>
      </c>
      <c r="AP9" s="8">
        <f t="shared" si="1"/>
        <v>27.612530852018669</v>
      </c>
      <c r="AQ9" s="8">
        <f t="shared" si="2"/>
        <v>11.03483654941925</v>
      </c>
      <c r="AR9" s="8">
        <f t="shared" si="3"/>
        <v>3.3888565702070705</v>
      </c>
      <c r="AS9" s="8">
        <f t="shared" si="12"/>
        <v>97.820538522921083</v>
      </c>
      <c r="AV9" s="3">
        <f t="array" ref="AV9">MIN(100,MAX(0,M9-AC9*5+$AJ$16*(U9*AI$26+SUMPRODUCT($Y9:$AB9,TRANSPOSE(AI$27:AI$30)))+$AK$16*(U9*AI$31+SUMPRODUCT($Y9:$AB9,TRANSPOSE(AI$32:AI$35)))+$AL$16*(U9*AI$36+SUMPRODUCT($Y9:$AB9,TRANSPOSE(AI$37:AI$40)))))</f>
        <v>55.78431455127609</v>
      </c>
      <c r="AW9" s="3">
        <f t="array" ref="AW9">MIN(100,MAX(0,N9-AD9*5+$AI$17*(V9*AJ$26+SUMPRODUCT($Y9:$AB9,TRANSPOSE(AJ$27:AJ$30)))+$AK$17*(V9*AJ$31+SUMPRODUCT($Y9:$AB9,TRANSPOSE(AJ$32:AJ$35)))+$AL$17*(V9*AJ$36+SUMPRODUCT($Y9:$AB9,TRANSPOSE(AJ$37:AJ$40)))))</f>
        <v>27.55922968986021</v>
      </c>
      <c r="AX9" s="3">
        <f t="array" ref="AX9">MIN(100,MAX(0,O9-AE9*5+$AI$18*(W9*AK$26+SUMPRODUCT($Y9:$AB9,TRANSPOSE(AK$27:AK$30)))+$AJ$18*(W9*AK$31+SUMPRODUCT($Y9:$AB9,TRANSPOSE(AK$32:AK$35)))+$AL$18*(W9*AK$36+SUMPRODUCT($Y9:$AB9,TRANSPOSE(AK$37:AK$40)))))</f>
        <v>11.03483654941925</v>
      </c>
      <c r="AY9" s="3">
        <f t="array" ref="AY9">MIN(100,MAX(0,P9+$AI$19*(X9*AL$26+SUMPRODUCT($Y9:$AB9,TRANSPOSE(AL$27:AL$30)))+$AJ$19*(X9*AL$31+SUMPRODUCT($Y9:$AB9,TRANSPOSE(AL$32:AL$35)))+$AK$19*(X9*AL$36+SUMPRODUCT($Y9:$AB9,TRANSPOSE(AL$37:AL$40)))))</f>
        <v>3.3888565702070705</v>
      </c>
      <c r="BB9">
        <f t="shared" si="13"/>
        <v>1</v>
      </c>
      <c r="BC9">
        <f t="shared" si="14"/>
        <v>0</v>
      </c>
      <c r="BD9">
        <f t="shared" si="15"/>
        <v>0</v>
      </c>
      <c r="BE9">
        <f t="shared" si="16"/>
        <v>0</v>
      </c>
      <c r="BH9">
        <f t="shared" si="17"/>
        <v>1</v>
      </c>
      <c r="BI9">
        <f t="shared" si="18"/>
        <v>0</v>
      </c>
      <c r="BJ9">
        <f t="shared" si="19"/>
        <v>0</v>
      </c>
      <c r="BK9">
        <f t="shared" si="20"/>
        <v>0</v>
      </c>
    </row>
    <row r="10" spans="1:63">
      <c r="A10" t="s">
        <v>637</v>
      </c>
      <c r="B10" t="s">
        <v>269</v>
      </c>
      <c r="C10" t="s">
        <v>645</v>
      </c>
      <c r="D10">
        <v>46009</v>
      </c>
      <c r="E10">
        <v>4601</v>
      </c>
      <c r="F10">
        <v>46</v>
      </c>
      <c r="G10">
        <v>46009</v>
      </c>
      <c r="H10">
        <v>20261</v>
      </c>
      <c r="I10">
        <v>12611</v>
      </c>
      <c r="J10">
        <v>6382</v>
      </c>
      <c r="K10">
        <v>1165</v>
      </c>
      <c r="L10">
        <v>40419</v>
      </c>
      <c r="M10" s="3">
        <f t="shared" si="4"/>
        <v>50.127415324476111</v>
      </c>
      <c r="N10" s="3">
        <f t="shared" si="5"/>
        <v>31.200672950839952</v>
      </c>
      <c r="O10" s="3">
        <f t="shared" si="6"/>
        <v>15.789603899156338</v>
      </c>
      <c r="P10" s="3">
        <f t="shared" si="7"/>
        <v>2.8823078255275982</v>
      </c>
      <c r="Q10">
        <v>54.8</v>
      </c>
      <c r="R10">
        <v>12.7</v>
      </c>
      <c r="S10">
        <v>28.9</v>
      </c>
      <c r="T10">
        <v>3.2</v>
      </c>
      <c r="U10" s="54">
        <v>0</v>
      </c>
      <c r="V10">
        <f t="shared" si="9"/>
        <v>0</v>
      </c>
      <c r="W10">
        <f t="shared" si="10"/>
        <v>0</v>
      </c>
      <c r="X10">
        <f t="shared" si="11"/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H10" t="s">
        <v>417</v>
      </c>
      <c r="AI10">
        <v>37</v>
      </c>
      <c r="AJ10">
        <v>10</v>
      </c>
      <c r="AK10">
        <v>20</v>
      </c>
      <c r="AL10">
        <v>1.5</v>
      </c>
      <c r="AO10" s="8">
        <f t="shared" si="0"/>
        <v>35.94839984800295</v>
      </c>
      <c r="AP10" s="8">
        <f t="shared" si="1"/>
        <v>52.017420148622023</v>
      </c>
      <c r="AQ10" s="8">
        <f t="shared" si="2"/>
        <v>8.6880314438923065</v>
      </c>
      <c r="AR10" s="8">
        <f t="shared" si="3"/>
        <v>3.3457281752984027</v>
      </c>
      <c r="AS10" s="8">
        <f t="shared" si="12"/>
        <v>99.999579615815691</v>
      </c>
      <c r="AV10" s="3">
        <f t="array" ref="AV10">MIN(100,MAX(0,M10-AC10*5+$AJ$16*(U10*AI$26+SUMPRODUCT($Y10:$AB10,TRANSPOSE(AI$27:AI$30)))+$AK$16*(U10*AI$31+SUMPRODUCT($Y10:$AB10,TRANSPOSE(AI$32:AI$35)))+$AL$16*(U10*AI$36+SUMPRODUCT($Y10:$AB10,TRANSPOSE(AI$37:AI$40)))))</f>
        <v>35.94839984800295</v>
      </c>
      <c r="AW10" s="3">
        <f t="array" ref="AW10">MIN(100,MAX(0,N10-AD10*5+$AI$17*(V10*AJ$26+SUMPRODUCT($Y10:$AB10,TRANSPOSE(AJ$27:AJ$30)))+$AK$17*(V10*AJ$31+SUMPRODUCT($Y10:$AB10,TRANSPOSE(AJ$32:AJ$35)))+$AL$17*(V10*AJ$36+SUMPRODUCT($Y10:$AB10,TRANSPOSE(AJ$37:AJ$40)))))</f>
        <v>52.017420148622023</v>
      </c>
      <c r="AX10" s="3">
        <f t="array" ref="AX10">MIN(100,MAX(0,O10-AE10*5+$AI$18*(W10*AK$26+SUMPRODUCT($Y10:$AB10,TRANSPOSE(AK$27:AK$30)))+$AJ$18*(W10*AK$31+SUMPRODUCT($Y10:$AB10,TRANSPOSE(AK$32:AK$35)))+$AL$18*(W10*AK$36+SUMPRODUCT($Y10:$AB10,TRANSPOSE(AK$37:AK$40)))))</f>
        <v>8.6880314438923065</v>
      </c>
      <c r="AY10" s="3">
        <f t="array" ref="AY10">MIN(100,MAX(0,P10+$AI$19*(X10*AL$26+SUMPRODUCT($Y10:$AB10,TRANSPOSE(AL$27:AL$30)))+$AJ$19*(X10*AL$31+SUMPRODUCT($Y10:$AB10,TRANSPOSE(AL$32:AL$35)))+$AK$19*(X10*AL$36+SUMPRODUCT($Y10:$AB10,TRANSPOSE(AL$37:AL$40)))))</f>
        <v>3.3457281752984027</v>
      </c>
      <c r="BB10">
        <f t="shared" si="13"/>
        <v>0</v>
      </c>
      <c r="BC10">
        <f t="shared" si="14"/>
        <v>1</v>
      </c>
      <c r="BD10">
        <f t="shared" si="15"/>
        <v>0</v>
      </c>
      <c r="BE10">
        <f t="shared" si="16"/>
        <v>0</v>
      </c>
      <c r="BH10">
        <f t="shared" si="17"/>
        <v>0</v>
      </c>
      <c r="BI10">
        <f t="shared" si="18"/>
        <v>1</v>
      </c>
      <c r="BJ10">
        <f t="shared" si="19"/>
        <v>0</v>
      </c>
      <c r="BK10">
        <f t="shared" si="20"/>
        <v>0</v>
      </c>
    </row>
    <row r="11" spans="1:63">
      <c r="A11" t="s">
        <v>637</v>
      </c>
      <c r="B11" t="s">
        <v>270</v>
      </c>
      <c r="C11" t="s">
        <v>646</v>
      </c>
      <c r="D11">
        <v>46010</v>
      </c>
      <c r="E11">
        <v>4601</v>
      </c>
      <c r="F11">
        <v>46</v>
      </c>
      <c r="G11">
        <v>46010</v>
      </c>
      <c r="H11">
        <v>28380</v>
      </c>
      <c r="I11">
        <v>2072</v>
      </c>
      <c r="J11">
        <v>10695</v>
      </c>
      <c r="K11">
        <v>1482</v>
      </c>
      <c r="L11">
        <v>42683</v>
      </c>
      <c r="M11" s="3">
        <f t="shared" si="4"/>
        <v>66.490171731134168</v>
      </c>
      <c r="N11" s="3">
        <f t="shared" si="5"/>
        <v>4.8543916781856948</v>
      </c>
      <c r="O11" s="3">
        <f t="shared" si="6"/>
        <v>25.056814188318533</v>
      </c>
      <c r="P11" s="3">
        <f t="shared" si="7"/>
        <v>3.472108333528571</v>
      </c>
      <c r="Q11">
        <v>54.8</v>
      </c>
      <c r="R11">
        <v>12.7</v>
      </c>
      <c r="S11">
        <v>28.9</v>
      </c>
      <c r="T11">
        <v>3.2</v>
      </c>
      <c r="U11">
        <f t="shared" si="8"/>
        <v>1</v>
      </c>
      <c r="V11">
        <f t="shared" si="9"/>
        <v>0</v>
      </c>
      <c r="W11">
        <f t="shared" si="10"/>
        <v>0</v>
      </c>
      <c r="X11">
        <f t="shared" si="11"/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H11" t="s">
        <v>419</v>
      </c>
      <c r="AI11">
        <f>IF(AI6&lt;AI10,1,0)</f>
        <v>0</v>
      </c>
      <c r="AJ11">
        <f>IF(AJ6&lt;AJ10,1,0)</f>
        <v>0</v>
      </c>
      <c r="AK11">
        <f>IF(AK6&lt;AK10,1,0)</f>
        <v>0</v>
      </c>
      <c r="AL11">
        <f>IF(AL6&lt;AL10,1,0)</f>
        <v>0</v>
      </c>
      <c r="AO11" s="8">
        <f t="shared" si="0"/>
        <v>51.916812873656973</v>
      </c>
      <c r="AP11" s="8">
        <f t="shared" si="1"/>
        <v>25.755672178484858</v>
      </c>
      <c r="AQ11" s="8">
        <f t="shared" si="2"/>
        <v>17.928012296416792</v>
      </c>
      <c r="AR11" s="8">
        <f t="shared" si="3"/>
        <v>3.8927327017015885</v>
      </c>
      <c r="AS11" s="8">
        <f t="shared" si="12"/>
        <v>99.493230050260223</v>
      </c>
      <c r="AV11" s="3">
        <f t="array" ref="AV11">MIN(100,MAX(0,M11-AC11*5+$AJ$16*(U11*AI$26+SUMPRODUCT($Y11:$AB11,TRANSPOSE(AI$27:AI$30)))+$AK$16*(U11*AI$31+SUMPRODUCT($Y11:$AB11,TRANSPOSE(AI$32:AI$35)))+$AL$16*(U11*AI$36+SUMPRODUCT($Y11:$AB11,TRANSPOSE(AI$37:AI$40)))))</f>
        <v>51.916812873656973</v>
      </c>
      <c r="AW11" s="3">
        <f t="array" ref="AW11">MIN(100,MAX(0,N11-AD11*5+$AI$17*(V11*AJ$26+SUMPRODUCT($Y11:$AB11,TRANSPOSE(AJ$27:AJ$30)))+$AK$17*(V11*AJ$31+SUMPRODUCT($Y11:$AB11,TRANSPOSE(AJ$32:AJ$35)))+$AL$17*(V11*AJ$36+SUMPRODUCT($Y11:$AB11,TRANSPOSE(AJ$37:AJ$40)))))</f>
        <v>25.685818831192975</v>
      </c>
      <c r="AX11" s="3">
        <f t="array" ref="AX11">MIN(100,MAX(0,O11-AE11*5+$AI$18*(W11*AK$26+SUMPRODUCT($Y11:$AB11,TRANSPOSE(AK$27:AK$30)))+$AJ$18*(W11*AK$31+SUMPRODUCT($Y11:$AB11,TRANSPOSE(AK$32:AK$35)))+$AL$18*(W11*AK$36+SUMPRODUCT($Y11:$AB11,TRANSPOSE(AK$37:AK$40)))))</f>
        <v>17.928012296416792</v>
      </c>
      <c r="AY11" s="3">
        <f t="array" ref="AY11">MIN(100,MAX(0,P11+$AI$19*(X11*AL$26+SUMPRODUCT($Y11:$AB11,TRANSPOSE(AL$27:AL$30)))+$AJ$19*(X11*AL$31+SUMPRODUCT($Y11:$AB11,TRANSPOSE(AL$32:AL$35)))+$AK$19*(X11*AL$36+SUMPRODUCT($Y11:$AB11,TRANSPOSE(AL$37:AL$40)))))</f>
        <v>3.8927327017015885</v>
      </c>
      <c r="BB11">
        <f t="shared" si="13"/>
        <v>1</v>
      </c>
      <c r="BC11">
        <f t="shared" si="14"/>
        <v>0</v>
      </c>
      <c r="BD11">
        <f t="shared" si="15"/>
        <v>0</v>
      </c>
      <c r="BE11">
        <f t="shared" si="16"/>
        <v>0</v>
      </c>
      <c r="BH11">
        <f t="shared" si="17"/>
        <v>1</v>
      </c>
      <c r="BI11">
        <f t="shared" si="18"/>
        <v>0</v>
      </c>
      <c r="BJ11">
        <f t="shared" si="19"/>
        <v>0</v>
      </c>
      <c r="BK11">
        <f t="shared" si="20"/>
        <v>1</v>
      </c>
    </row>
    <row r="12" spans="1:63">
      <c r="A12" t="s">
        <v>637</v>
      </c>
      <c r="B12" t="s">
        <v>271</v>
      </c>
      <c r="C12" t="s">
        <v>271</v>
      </c>
      <c r="D12">
        <v>46011</v>
      </c>
      <c r="E12">
        <v>4602</v>
      </c>
      <c r="F12">
        <v>46</v>
      </c>
      <c r="G12">
        <v>46011</v>
      </c>
      <c r="H12">
        <v>7173</v>
      </c>
      <c r="I12">
        <v>2872</v>
      </c>
      <c r="J12">
        <v>13928</v>
      </c>
      <c r="K12">
        <v>1830</v>
      </c>
      <c r="L12">
        <v>25955</v>
      </c>
      <c r="M12" s="3">
        <f t="shared" si="4"/>
        <v>27.636293585051046</v>
      </c>
      <c r="N12" s="3">
        <f t="shared" si="5"/>
        <v>11.065305336158735</v>
      </c>
      <c r="O12" s="3">
        <f t="shared" si="6"/>
        <v>53.662107493739164</v>
      </c>
      <c r="P12" s="3">
        <f t="shared" si="7"/>
        <v>7.0506646118281644</v>
      </c>
      <c r="Q12">
        <v>54.8</v>
      </c>
      <c r="R12">
        <v>12.7</v>
      </c>
      <c r="S12">
        <v>28.9</v>
      </c>
      <c r="T12">
        <v>3.2</v>
      </c>
      <c r="U12">
        <f t="shared" si="8"/>
        <v>0</v>
      </c>
      <c r="V12">
        <f t="shared" si="9"/>
        <v>0</v>
      </c>
      <c r="W12">
        <f t="shared" si="10"/>
        <v>1</v>
      </c>
      <c r="X12">
        <f t="shared" si="11"/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H12" t="s">
        <v>544</v>
      </c>
      <c r="AI12">
        <v>60</v>
      </c>
      <c r="AJ12">
        <v>33</v>
      </c>
      <c r="AK12">
        <v>31</v>
      </c>
      <c r="AL12">
        <v>8</v>
      </c>
      <c r="AO12" s="8">
        <f t="shared" si="0"/>
        <v>13.457278108577878</v>
      </c>
      <c r="AP12" s="8">
        <f t="shared" si="1"/>
        <v>31.897160171340296</v>
      </c>
      <c r="AQ12" s="8">
        <f t="shared" si="2"/>
        <v>46.589728374181263</v>
      </c>
      <c r="AR12" s="8">
        <f t="shared" si="3"/>
        <v>7.5140849615989689</v>
      </c>
      <c r="AS12" s="8">
        <f t="shared" si="12"/>
        <v>99.458251615698401</v>
      </c>
      <c r="AV12" s="3">
        <f t="array" ref="AV12">MIN(100,MAX(0,M12-AC12*5+$AJ$16*(U12*AI$26+SUMPRODUCT($Y12:$AB12,TRANSPOSE(AI$27:AI$30)))+$AK$16*(U12*AI$31+SUMPRODUCT($Y12:$AB12,TRANSPOSE(AI$32:AI$35)))+$AL$16*(U12*AI$36+SUMPRODUCT($Y12:$AB12,TRANSPOSE(AI$37:AI$40)))))</f>
        <v>13.457278108577878</v>
      </c>
      <c r="AW12" s="3">
        <f t="array" ref="AW12">MIN(100,MAX(0,N12-AD12*5+$AI$17*(V12*AJ$26+SUMPRODUCT($Y12:$AB12,TRANSPOSE(AJ$27:AJ$30)))+$AK$17*(V12*AJ$31+SUMPRODUCT($Y12:$AB12,TRANSPOSE(AJ$32:AJ$35)))+$AL$17*(V12*AJ$36+SUMPRODUCT($Y12:$AB12,TRANSPOSE(AJ$37:AJ$40)))))</f>
        <v>31.882052533940804</v>
      </c>
      <c r="AX12" s="3">
        <f t="array" ref="AX12">MIN(100,MAX(0,O12-AE12*5+$AI$18*(W12*AK$26+SUMPRODUCT($Y12:$AB12,TRANSPOSE(AK$27:AK$30)))+$AJ$18*(W12*AK$31+SUMPRODUCT($Y12:$AB12,TRANSPOSE(AK$32:AK$35)))+$AL$18*(W12*AK$36+SUMPRODUCT($Y12:$AB12,TRANSPOSE(AK$37:AK$40)))))</f>
        <v>46.589728374181263</v>
      </c>
      <c r="AY12" s="3">
        <f t="array" ref="AY12">MIN(100,MAX(0,P12+$AI$19*(X12*AL$26+SUMPRODUCT($Y12:$AB12,TRANSPOSE(AL$27:AL$30)))+$AJ$19*(X12*AL$31+SUMPRODUCT($Y12:$AB12,TRANSPOSE(AL$32:AL$35)))+$AK$19*(X12*AL$36+SUMPRODUCT($Y12:$AB12,TRANSPOSE(AL$37:AL$40)))))</f>
        <v>7.5140849615989689</v>
      </c>
      <c r="BB12">
        <f t="shared" si="13"/>
        <v>0</v>
      </c>
      <c r="BC12">
        <f t="shared" si="14"/>
        <v>0</v>
      </c>
      <c r="BD12">
        <f t="shared" si="15"/>
        <v>1</v>
      </c>
      <c r="BE12">
        <f t="shared" si="16"/>
        <v>0</v>
      </c>
      <c r="BH12">
        <f t="shared" si="17"/>
        <v>0</v>
      </c>
      <c r="BI12">
        <f t="shared" si="18"/>
        <v>0</v>
      </c>
      <c r="BJ12">
        <f t="shared" si="19"/>
        <v>1</v>
      </c>
      <c r="BK12">
        <f t="shared" si="20"/>
        <v>1</v>
      </c>
    </row>
    <row r="13" spans="1:63">
      <c r="A13" t="s">
        <v>637</v>
      </c>
      <c r="B13" t="s">
        <v>272</v>
      </c>
      <c r="C13" t="s">
        <v>272</v>
      </c>
      <c r="D13">
        <v>46012</v>
      </c>
      <c r="E13">
        <v>4602</v>
      </c>
      <c r="F13">
        <v>46</v>
      </c>
      <c r="G13">
        <v>46012</v>
      </c>
      <c r="H13">
        <v>7295</v>
      </c>
      <c r="I13">
        <v>9331</v>
      </c>
      <c r="J13">
        <v>9440</v>
      </c>
      <c r="K13">
        <v>475</v>
      </c>
      <c r="L13">
        <v>26667</v>
      </c>
      <c r="M13" s="3">
        <f t="shared" si="4"/>
        <v>27.355908051149356</v>
      </c>
      <c r="N13" s="3">
        <f t="shared" si="5"/>
        <v>34.990812614842312</v>
      </c>
      <c r="O13" s="3">
        <f t="shared" si="6"/>
        <v>35.399557505531185</v>
      </c>
      <c r="P13" s="3">
        <f t="shared" si="7"/>
        <v>1.7812277346533167</v>
      </c>
      <c r="Q13">
        <v>54.8</v>
      </c>
      <c r="R13">
        <v>12.7</v>
      </c>
      <c r="S13">
        <v>28.9</v>
      </c>
      <c r="T13">
        <v>3.2</v>
      </c>
      <c r="U13">
        <f t="shared" si="8"/>
        <v>0</v>
      </c>
      <c r="V13">
        <f t="shared" si="9"/>
        <v>0</v>
      </c>
      <c r="W13">
        <f t="shared" si="10"/>
        <v>1</v>
      </c>
      <c r="X13">
        <f t="shared" si="11"/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H13" t="s">
        <v>545</v>
      </c>
      <c r="AI13">
        <f>IF(AI6&gt;AI12,1,0)</f>
        <v>0</v>
      </c>
      <c r="AJ13">
        <f>IF(AJ6&gt;AJ12,1,0)</f>
        <v>1</v>
      </c>
      <c r="AK13">
        <f>IF(AK6&gt;AK12,1,0)</f>
        <v>0</v>
      </c>
      <c r="AL13">
        <f>IF(AL6&gt;AL12,1,0)</f>
        <v>0</v>
      </c>
      <c r="AO13" s="8">
        <f t="shared" si="0"/>
        <v>13.176892574676188</v>
      </c>
      <c r="AP13" s="8">
        <f t="shared" si="1"/>
        <v>55.80755981262439</v>
      </c>
      <c r="AQ13" s="8">
        <f t="shared" si="2"/>
        <v>28.32717838597328</v>
      </c>
      <c r="AR13" s="8">
        <f t="shared" si="3"/>
        <v>2.2446480844241212</v>
      </c>
      <c r="AS13" s="8">
        <f t="shared" si="12"/>
        <v>99.55627885769799</v>
      </c>
      <c r="AV13" s="3">
        <f t="array" ref="AV13">MIN(100,MAX(0,M13-AC13*5+$AJ$16*(U13*AI$26+SUMPRODUCT($Y13:$AB13,TRANSPOSE(AI$27:AI$30)))+$AK$16*(U13*AI$31+SUMPRODUCT($Y13:$AB13,TRANSPOSE(AI$32:AI$35)))+$AL$16*(U13*AI$36+SUMPRODUCT($Y13:$AB13,TRANSPOSE(AI$37:AI$40)))))</f>
        <v>13.176892574676188</v>
      </c>
      <c r="AW13" s="3">
        <f t="array" ref="AW13">MIN(100,MAX(0,N13-AD13*5+$AI$17*(V13*AJ$26+SUMPRODUCT($Y13:$AB13,TRANSPOSE(AJ$27:AJ$30)))+$AK$17*(V13*AJ$31+SUMPRODUCT($Y13:$AB13,TRANSPOSE(AJ$32:AJ$35)))+$AL$17*(V13*AJ$36+SUMPRODUCT($Y13:$AB13,TRANSPOSE(AJ$37:AJ$40)))))</f>
        <v>55.80755981262439</v>
      </c>
      <c r="AX13" s="3">
        <f t="array" ref="AX13">MIN(100,MAX(0,O13-AE13*5+$AI$18*(W13*AK$26+SUMPRODUCT($Y13:$AB13,TRANSPOSE(AK$27:AK$30)))+$AJ$18*(W13*AK$31+SUMPRODUCT($Y13:$AB13,TRANSPOSE(AK$32:AK$35)))+$AL$18*(W13*AK$36+SUMPRODUCT($Y13:$AB13,TRANSPOSE(AK$37:AK$40)))))</f>
        <v>28.32717838597328</v>
      </c>
      <c r="AY13" s="3">
        <f t="array" ref="AY13">MIN(100,MAX(0,P13+$AI$19*(X13*AL$26+SUMPRODUCT($Y13:$AB13,TRANSPOSE(AL$27:AL$30)))+$AJ$19*(X13*AL$31+SUMPRODUCT($Y13:$AB13,TRANSPOSE(AL$32:AL$35)))+$AK$19*(X13*AL$36+SUMPRODUCT($Y13:$AB13,TRANSPOSE(AL$37:AL$40)))))</f>
        <v>2.2446480844241212</v>
      </c>
      <c r="BB13">
        <f t="shared" si="13"/>
        <v>0</v>
      </c>
      <c r="BC13">
        <f t="shared" si="14"/>
        <v>1</v>
      </c>
      <c r="BD13">
        <f t="shared" si="15"/>
        <v>0</v>
      </c>
      <c r="BE13">
        <f t="shared" si="16"/>
        <v>0</v>
      </c>
      <c r="BH13">
        <f t="shared" si="17"/>
        <v>0</v>
      </c>
      <c r="BI13">
        <f t="shared" si="18"/>
        <v>1</v>
      </c>
      <c r="BJ13">
        <f t="shared" si="19"/>
        <v>1</v>
      </c>
      <c r="BK13">
        <f t="shared" si="20"/>
        <v>0</v>
      </c>
    </row>
    <row r="14" spans="1:63">
      <c r="A14" t="s">
        <v>637</v>
      </c>
      <c r="B14" t="s">
        <v>273</v>
      </c>
      <c r="C14" t="s">
        <v>273</v>
      </c>
      <c r="D14">
        <v>46013</v>
      </c>
      <c r="E14">
        <v>4602</v>
      </c>
      <c r="F14">
        <v>46</v>
      </c>
      <c r="G14">
        <v>46013</v>
      </c>
      <c r="H14">
        <v>20509</v>
      </c>
      <c r="I14">
        <v>12684</v>
      </c>
      <c r="J14">
        <v>5604</v>
      </c>
      <c r="K14">
        <v>846</v>
      </c>
      <c r="L14">
        <v>39643</v>
      </c>
      <c r="M14" s="3">
        <f t="shared" si="4"/>
        <v>51.734227984764011</v>
      </c>
      <c r="N14" s="3">
        <f t="shared" si="5"/>
        <v>31.995560376359006</v>
      </c>
      <c r="O14" s="3">
        <f t="shared" si="6"/>
        <v>14.13616527508009</v>
      </c>
      <c r="P14" s="3">
        <f t="shared" si="7"/>
        <v>2.1340463637968874</v>
      </c>
      <c r="Q14">
        <v>54.8</v>
      </c>
      <c r="R14">
        <v>12.7</v>
      </c>
      <c r="S14">
        <v>28.9</v>
      </c>
      <c r="T14">
        <v>3.2</v>
      </c>
      <c r="U14" s="54">
        <v>0</v>
      </c>
      <c r="V14">
        <f t="shared" si="9"/>
        <v>0</v>
      </c>
      <c r="W14">
        <f t="shared" si="10"/>
        <v>0</v>
      </c>
      <c r="X14">
        <f t="shared" si="11"/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O14" s="8">
        <f t="shared" si="0"/>
        <v>32.55521250829085</v>
      </c>
      <c r="AP14" s="8">
        <f t="shared" si="1"/>
        <v>52.81230757414108</v>
      </c>
      <c r="AQ14" s="8">
        <f t="shared" si="2"/>
        <v>7.0345928198160586</v>
      </c>
      <c r="AR14" s="8">
        <f t="shared" si="3"/>
        <v>2.5974667135676919</v>
      </c>
      <c r="AS14" s="8">
        <f t="shared" si="12"/>
        <v>94.999579615815676</v>
      </c>
      <c r="AV14" s="3">
        <f t="array" ref="AV14">MIN(100,MAX(0,M14-AC14*5+$AJ$16*(U14*AI$26+SUMPRODUCT($Y14:$AB14,TRANSPOSE(AI$27:AI$30)))+$AK$16*(U14*AI$31+SUMPRODUCT($Y14:$AB14,TRANSPOSE(AI$32:AI$35)))+$AL$16*(U14*AI$36+SUMPRODUCT($Y14:$AB14,TRANSPOSE(AI$37:AI$40)))))</f>
        <v>32.55521250829085</v>
      </c>
      <c r="AW14" s="3">
        <f t="array" ref="AW14">MIN(100,MAX(0,N14-AD14*5+$AI$17*(V14*AJ$26+SUMPRODUCT($Y14:$AB14,TRANSPOSE(AJ$27:AJ$30)))+$AK$17*(V14*AJ$31+SUMPRODUCT($Y14:$AB14,TRANSPOSE(AJ$32:AJ$35)))+$AL$17*(V14*AJ$36+SUMPRODUCT($Y14:$AB14,TRANSPOSE(AJ$37:AJ$40)))))</f>
        <v>52.81230757414108</v>
      </c>
      <c r="AX14" s="3">
        <f t="array" ref="AX14">MIN(100,MAX(0,O14-AE14*5+$AI$18*(W14*AK$26+SUMPRODUCT($Y14:$AB14,TRANSPOSE(AK$27:AK$30)))+$AJ$18*(W14*AK$31+SUMPRODUCT($Y14:$AB14,TRANSPOSE(AK$32:AK$35)))+$AL$18*(W14*AK$36+SUMPRODUCT($Y14:$AB14,TRANSPOSE(AK$37:AK$40)))))</f>
        <v>7.0345928198160586</v>
      </c>
      <c r="AY14" s="3">
        <f t="array" ref="AY14">MIN(100,MAX(0,P14+$AI$19*(X14*AL$26+SUMPRODUCT($Y14:$AB14,TRANSPOSE(AL$27:AL$30)))+$AJ$19*(X14*AL$31+SUMPRODUCT($Y14:$AB14,TRANSPOSE(AL$32:AL$35)))+$AK$19*(X14*AL$36+SUMPRODUCT($Y14:$AB14,TRANSPOSE(AL$37:AL$40)))))</f>
        <v>2.5974667135676919</v>
      </c>
      <c r="BB14">
        <f t="shared" si="13"/>
        <v>0</v>
      </c>
      <c r="BC14">
        <f t="shared" si="14"/>
        <v>1</v>
      </c>
      <c r="BD14">
        <f t="shared" si="15"/>
        <v>0</v>
      </c>
      <c r="BE14">
        <f t="shared" si="16"/>
        <v>0</v>
      </c>
      <c r="BH14">
        <f t="shared" si="17"/>
        <v>0</v>
      </c>
      <c r="BI14">
        <f t="shared" si="18"/>
        <v>1</v>
      </c>
      <c r="BJ14">
        <f t="shared" si="19"/>
        <v>0</v>
      </c>
      <c r="BK14">
        <f t="shared" si="20"/>
        <v>0</v>
      </c>
    </row>
    <row r="15" spans="1:63">
      <c r="A15" t="s">
        <v>637</v>
      </c>
      <c r="B15" t="s">
        <v>274</v>
      </c>
      <c r="C15" t="s">
        <v>274</v>
      </c>
      <c r="D15">
        <v>46014</v>
      </c>
      <c r="E15">
        <v>4602</v>
      </c>
      <c r="F15">
        <v>46</v>
      </c>
      <c r="G15">
        <v>46014</v>
      </c>
      <c r="H15">
        <v>19185</v>
      </c>
      <c r="I15">
        <v>17057</v>
      </c>
      <c r="J15">
        <v>8554</v>
      </c>
      <c r="K15">
        <v>1502</v>
      </c>
      <c r="L15">
        <v>46620</v>
      </c>
      <c r="M15" s="3">
        <f t="shared" si="4"/>
        <v>41.151866151866152</v>
      </c>
      <c r="N15" s="3">
        <f t="shared" si="5"/>
        <v>36.587301587301582</v>
      </c>
      <c r="O15" s="3">
        <f t="shared" si="6"/>
        <v>18.348348348348349</v>
      </c>
      <c r="P15" s="3">
        <f t="shared" si="7"/>
        <v>3.2217932217932219</v>
      </c>
      <c r="Q15">
        <v>54.8</v>
      </c>
      <c r="R15">
        <v>12.7</v>
      </c>
      <c r="S15">
        <v>28.9</v>
      </c>
      <c r="T15">
        <v>3.2</v>
      </c>
      <c r="U15">
        <f t="shared" si="8"/>
        <v>1</v>
      </c>
      <c r="V15">
        <f t="shared" si="9"/>
        <v>0</v>
      </c>
      <c r="W15">
        <f t="shared" si="10"/>
        <v>0</v>
      </c>
      <c r="X15">
        <f t="shared" si="11"/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I15" t="s">
        <v>478</v>
      </c>
      <c r="AJ15" t="s">
        <v>479</v>
      </c>
      <c r="AK15" t="s">
        <v>480</v>
      </c>
      <c r="AL15" t="s">
        <v>481</v>
      </c>
      <c r="AM15" t="s">
        <v>405</v>
      </c>
      <c r="AO15" s="8">
        <f t="shared" si="0"/>
        <v>29.023161275953868</v>
      </c>
      <c r="AP15" s="8">
        <f t="shared" si="1"/>
        <v>51.40404878508366</v>
      </c>
      <c r="AQ15" s="8">
        <f t="shared" si="2"/>
        <v>13.746775893084317</v>
      </c>
      <c r="AR15" s="8">
        <f t="shared" si="3"/>
        <v>3.6852135715640264</v>
      </c>
      <c r="AS15" s="8">
        <f t="shared" si="12"/>
        <v>97.859199525685867</v>
      </c>
      <c r="AV15" s="43">
        <f t="array" ref="AV15">MIN(100,MAX(0,M15+2.5-AC15*5+$AJ$16*(U15*AI$26+SUMPRODUCT($Y15:$AB15,TRANSPOSE(AI$27:AI$30)))+$AK$16*(U15*AI$31+SUMPRODUCT($Y15:$AB15,TRANSPOSE(AI$32:AI$35)))+$AL$16*(U15*AI$36+SUMPRODUCT($Y15:$AB15,TRANSPOSE(AI$37:AI$40)))))</f>
        <v>29.023161275953868</v>
      </c>
      <c r="AW15" s="43">
        <f t="array" ref="AW15">MIN(100,MAX(0,N15-6-AD15*5+$AI$17*(V15*AJ$26+SUMPRODUCT($Y15:$AB15,TRANSPOSE(AJ$27:AJ$30)))+$AK$17*(V15*AJ$31+SUMPRODUCT($Y15:$AB15,TRANSPOSE(AJ$32:AJ$35)))+$AL$17*(V15*AJ$36+SUMPRODUCT($Y15:$AB15,TRANSPOSE(AJ$37:AJ$40)))))</f>
        <v>51.40404878508366</v>
      </c>
      <c r="AX15" s="43">
        <f t="array" ref="AX15">MIN(100,MAX(0,O15+2.5-AE15*5+$AI$18*(W15*AK$26+SUMPRODUCT($Y15:$AB15,TRANSPOSE(AK$27:AK$30)))+$AJ$18*(W15*AK$31+SUMPRODUCT($Y15:$AB15,TRANSPOSE(AK$32:AK$35)))+$AL$18*(W15*AK$36+SUMPRODUCT($Y15:$AB15,TRANSPOSE(AK$37:AK$40)))))</f>
        <v>13.746775893084317</v>
      </c>
      <c r="AY15" s="3">
        <f t="array" ref="AY15">MIN(100,MAX(0,P15+$AI$19*(X15*AL$26+SUMPRODUCT($Y15:$AB15,TRANSPOSE(AL$27:AL$30)))+$AJ$19*(X15*AL$31+SUMPRODUCT($Y15:$AB15,TRANSPOSE(AL$32:AL$35)))+$AK$19*(X15*AL$36+SUMPRODUCT($Y15:$AB15,TRANSPOSE(AL$37:AL$40)))))</f>
        <v>3.6852135715640264</v>
      </c>
      <c r="BB15">
        <f t="shared" si="13"/>
        <v>0</v>
      </c>
      <c r="BC15">
        <f t="shared" si="14"/>
        <v>1</v>
      </c>
      <c r="BD15">
        <f t="shared" si="15"/>
        <v>0</v>
      </c>
      <c r="BE15">
        <f t="shared" si="16"/>
        <v>0</v>
      </c>
      <c r="BH15">
        <f t="shared" si="17"/>
        <v>0</v>
      </c>
      <c r="BI15">
        <f t="shared" si="18"/>
        <v>1</v>
      </c>
      <c r="BJ15">
        <f t="shared" si="19"/>
        <v>0</v>
      </c>
      <c r="BK15">
        <f t="shared" si="20"/>
        <v>1</v>
      </c>
    </row>
    <row r="16" spans="1:63">
      <c r="A16" t="s">
        <v>647</v>
      </c>
      <c r="B16" t="s">
        <v>276</v>
      </c>
      <c r="C16" t="s">
        <v>648</v>
      </c>
      <c r="D16">
        <v>47001</v>
      </c>
      <c r="E16">
        <v>4701</v>
      </c>
      <c r="F16">
        <v>47</v>
      </c>
      <c r="G16">
        <v>47001</v>
      </c>
      <c r="H16">
        <v>17168</v>
      </c>
      <c r="I16">
        <v>881</v>
      </c>
      <c r="J16">
        <v>7304</v>
      </c>
      <c r="K16">
        <v>680</v>
      </c>
      <c r="L16">
        <v>26033</v>
      </c>
      <c r="M16" s="3">
        <f t="shared" si="4"/>
        <v>65.947067183958822</v>
      </c>
      <c r="N16" s="3">
        <f t="shared" si="5"/>
        <v>3.3841662505281755</v>
      </c>
      <c r="O16" s="3">
        <f t="shared" si="6"/>
        <v>28.056697268851071</v>
      </c>
      <c r="P16" s="3">
        <f t="shared" si="7"/>
        <v>2.6120692966619292</v>
      </c>
      <c r="Q16">
        <v>54.8</v>
      </c>
      <c r="R16">
        <v>12.7</v>
      </c>
      <c r="S16">
        <v>28.9</v>
      </c>
      <c r="T16">
        <v>3.2</v>
      </c>
      <c r="U16">
        <f t="shared" si="8"/>
        <v>1</v>
      </c>
      <c r="V16">
        <f t="shared" si="9"/>
        <v>0</v>
      </c>
      <c r="W16">
        <f t="shared" si="10"/>
        <v>0</v>
      </c>
      <c r="X16">
        <f t="shared" si="11"/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H16" t="s">
        <v>478</v>
      </c>
      <c r="AI16">
        <f>IF(OR($AM8=0,$AM9=0),$AI7/4,AI$9/$AM$9*$AI$8+AI$8/$AM$8*$AI$9)</f>
        <v>0</v>
      </c>
      <c r="AJ16">
        <f>IF(OR($AM8=0,$AM9=0),$AI7/4,AJ$9/$AM$9*$AI$8+AJ$8/$AM$8*$AI$9)</f>
        <v>-13.900459963503815</v>
      </c>
      <c r="AK16">
        <f t="shared" ref="AK16:AL16" si="21">IF(OR($AM8=0,$AM9=0),$AI7/4,AK$9/$AM$9*$AI$8+AK$8/$AM$8*$AI$9)</f>
        <v>0</v>
      </c>
      <c r="AL16">
        <f t="shared" si="21"/>
        <v>-0.29405715078151162</v>
      </c>
      <c r="AM16">
        <f>SUM(AI16:AL16)</f>
        <v>-14.194517114285327</v>
      </c>
      <c r="AO16" s="8">
        <f t="shared" si="0"/>
        <v>50.932628583084941</v>
      </c>
      <c r="AP16" s="8">
        <f t="shared" si="1"/>
        <v>23.706152115569111</v>
      </c>
      <c r="AQ16" s="8">
        <f t="shared" si="2"/>
        <v>21.943697498685079</v>
      </c>
      <c r="AR16" s="8">
        <f t="shared" si="3"/>
        <v>3.0555468590232273</v>
      </c>
      <c r="AS16" s="8">
        <f t="shared" si="12"/>
        <v>99.638025056362352</v>
      </c>
      <c r="AV16" s="3">
        <f t="array" ref="AV16">MIN(100,MAX(0,M16-AC16*5+$AJ$16*(U16*AI$26+SUMPRODUCT($Y16:$AB16,TRANSPOSE(AI$27:AI$30)))+$AK$16*(U16*AI$31+SUMPRODUCT($Y16:$AB16,TRANSPOSE(AI$32:AI$35)))+$AL$16*(U16*AI$36+SUMPRODUCT($Y16:$AB16,TRANSPOSE(AI$37:AI$40)))))</f>
        <v>50.932628583084941</v>
      </c>
      <c r="AW16" s="3">
        <f t="array" ref="AW16">MIN(100,MAX(0,N16-AD16*5+$AI$17*(V16*AJ$26+SUMPRODUCT($Y16:$AB16,TRANSPOSE(AJ$27:AJ$30)))+$AK$17*(V16*AJ$31+SUMPRODUCT($Y16:$AB16,TRANSPOSE(AJ$32:AJ$35)))+$AL$17*(V16*AJ$36+SUMPRODUCT($Y16:$AB16,TRANSPOSE(AJ$37:AJ$40)))))</f>
        <v>23.618029184275183</v>
      </c>
      <c r="AX16" s="3">
        <f t="array" ref="AX16">MIN(100,MAX(0,O16-AE16*5+$AI$18*(W16*AK$26+SUMPRODUCT($Y16:$AB16,TRANSPOSE(AK$27:AK$30)))+$AJ$18*(W16*AK$31+SUMPRODUCT($Y16:$AB16,TRANSPOSE(AK$32:AK$35)))+$AL$18*(W16*AK$36+SUMPRODUCT($Y16:$AB16,TRANSPOSE(AK$37:AK$40)))))</f>
        <v>21.943697498685079</v>
      </c>
      <c r="AY16" s="3">
        <f t="array" ref="AY16">MIN(100,MAX(0,P16+$AI$19*(X16*AL$26+SUMPRODUCT($Y16:$AB16,TRANSPOSE(AL$27:AL$30)))+$AJ$19*(X16*AL$31+SUMPRODUCT($Y16:$AB16,TRANSPOSE(AL$32:AL$35)))+$AK$19*(X16*AL$36+SUMPRODUCT($Y16:$AB16,TRANSPOSE(AL$37:AL$40)))))</f>
        <v>3.0555468590232273</v>
      </c>
      <c r="BB16">
        <f t="shared" si="13"/>
        <v>1</v>
      </c>
      <c r="BC16">
        <f t="shared" si="14"/>
        <v>0</v>
      </c>
      <c r="BD16">
        <f t="shared" si="15"/>
        <v>0</v>
      </c>
      <c r="BE16">
        <f t="shared" si="16"/>
        <v>0</v>
      </c>
      <c r="BH16">
        <f t="shared" si="17"/>
        <v>1</v>
      </c>
      <c r="BI16">
        <f t="shared" si="18"/>
        <v>0</v>
      </c>
      <c r="BJ16">
        <f t="shared" si="19"/>
        <v>1</v>
      </c>
      <c r="BK16">
        <f t="shared" si="20"/>
        <v>0</v>
      </c>
    </row>
    <row r="17" spans="1:63">
      <c r="A17" t="s">
        <v>647</v>
      </c>
      <c r="B17" t="s">
        <v>277</v>
      </c>
      <c r="C17" t="s">
        <v>649</v>
      </c>
      <c r="D17">
        <v>47002</v>
      </c>
      <c r="E17">
        <v>4702</v>
      </c>
      <c r="F17">
        <v>47</v>
      </c>
      <c r="G17">
        <v>47002</v>
      </c>
      <c r="H17">
        <v>22871</v>
      </c>
      <c r="I17">
        <v>1894</v>
      </c>
      <c r="J17">
        <v>6742</v>
      </c>
      <c r="K17">
        <v>901</v>
      </c>
      <c r="L17">
        <v>32407</v>
      </c>
      <c r="M17" s="3">
        <f t="shared" si="4"/>
        <v>70.574258647823001</v>
      </c>
      <c r="N17" s="3">
        <f t="shared" si="5"/>
        <v>5.8444163298052887</v>
      </c>
      <c r="O17" s="3">
        <f t="shared" si="6"/>
        <v>20.804147252136886</v>
      </c>
      <c r="P17" s="3">
        <f t="shared" si="7"/>
        <v>2.7802635233128643</v>
      </c>
      <c r="Q17">
        <v>54.8</v>
      </c>
      <c r="R17">
        <v>12.7</v>
      </c>
      <c r="S17">
        <v>28.9</v>
      </c>
      <c r="T17">
        <v>3.2</v>
      </c>
      <c r="U17">
        <f t="shared" si="8"/>
        <v>1</v>
      </c>
      <c r="V17">
        <f t="shared" si="9"/>
        <v>0</v>
      </c>
      <c r="W17">
        <f t="shared" si="10"/>
        <v>0</v>
      </c>
      <c r="X17">
        <f t="shared" si="11"/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H17" t="s">
        <v>479</v>
      </c>
      <c r="AI17">
        <f>IF(OR($AM8=0,$AM9=0),$AJ7/4,AI$9/$AM$9*$AJ$8+AI$8/$AM$8*$AJ$9)</f>
        <v>13.900185368951153</v>
      </c>
      <c r="AJ17">
        <f>IF(OR($AM8=0,$AM9=0),$AJ7/4,AJ$9/$AM$9*$AJ$8+AJ$8/$AM$8*$AJ$9)</f>
        <v>0</v>
      </c>
      <c r="AK17">
        <f>IF(OR($AM8=0,$AM9=0),$AJ7/4,AK$9/$AM$9*$AJ$8+AK$8/$AM$8*$AJ$9)</f>
        <v>6.9917810962845826</v>
      </c>
      <c r="AL17">
        <f>IF(OR($AM8=0,$AM9=0),$AJ7/4,AL$9/$AM$9*$AJ$8+AL$8/$AM$8*$AJ$9)</f>
        <v>0</v>
      </c>
      <c r="AM17">
        <f>SUM(AI17:AL17)</f>
        <v>20.891966465235736</v>
      </c>
      <c r="AO17" s="8">
        <f t="shared" si="0"/>
        <v>55.55982004694912</v>
      </c>
      <c r="AP17" s="8">
        <f t="shared" si="1"/>
        <v>26.144665097189126</v>
      </c>
      <c r="AQ17" s="8">
        <f t="shared" si="2"/>
        <v>14.691147481970896</v>
      </c>
      <c r="AR17" s="8">
        <f t="shared" si="3"/>
        <v>3.2237410856741624</v>
      </c>
      <c r="AS17" s="8">
        <f t="shared" si="12"/>
        <v>99.619373711783311</v>
      </c>
      <c r="AV17" s="3">
        <f t="array" ref="AV17">MIN(100,MAX(0,M17-AC17*5+$AJ$16*(U17*AI$26+SUMPRODUCT($Y17:$AB17,TRANSPOSE(AI$27:AI$30)))+$AK$16*(U17*AI$31+SUMPRODUCT($Y17:$AB17,TRANSPOSE(AI$32:AI$35)))+$AL$16*(U17*AI$36+SUMPRODUCT($Y17:$AB17,TRANSPOSE(AI$37:AI$40)))))</f>
        <v>55.55982004694912</v>
      </c>
      <c r="AW17" s="3">
        <f t="array" ref="AW17">MIN(100,MAX(0,N17-AD17*5+$AI$17*(V17*AJ$26+SUMPRODUCT($Y17:$AB17,TRANSPOSE(AJ$27:AJ$30)))+$AK$17*(V17*AJ$31+SUMPRODUCT($Y17:$AB17,TRANSPOSE(AJ$32:AJ$35)))+$AL$17*(V17*AJ$36+SUMPRODUCT($Y17:$AB17,TRANSPOSE(AJ$37:AJ$40)))))</f>
        <v>26.078279263552297</v>
      </c>
      <c r="AX17" s="3">
        <f t="array" ref="AX17">MIN(100,MAX(0,O17-AE17*5+$AI$18*(W17*AK$26+SUMPRODUCT($Y17:$AB17,TRANSPOSE(AK$27:AK$30)))+$AJ$18*(W17*AK$31+SUMPRODUCT($Y17:$AB17,TRANSPOSE(AK$32:AK$35)))+$AL$18*(W17*AK$36+SUMPRODUCT($Y17:$AB17,TRANSPOSE(AK$37:AK$40)))))</f>
        <v>14.691147481970896</v>
      </c>
      <c r="AY17" s="3">
        <f t="array" ref="AY17">MIN(100,MAX(0,P17+$AI$19*(X17*AL$26+SUMPRODUCT($Y17:$AB17,TRANSPOSE(AL$27:AL$30)))+$AJ$19*(X17*AL$31+SUMPRODUCT($Y17:$AB17,TRANSPOSE(AL$32:AL$35)))+$AK$19*(X17*AL$36+SUMPRODUCT($Y17:$AB17,TRANSPOSE(AL$37:AL$40)))))</f>
        <v>3.2237410856741624</v>
      </c>
      <c r="BB17">
        <f t="shared" si="13"/>
        <v>1</v>
      </c>
      <c r="BC17">
        <f t="shared" si="14"/>
        <v>0</v>
      </c>
      <c r="BD17">
        <f t="shared" si="15"/>
        <v>0</v>
      </c>
      <c r="BE17">
        <f t="shared" si="16"/>
        <v>0</v>
      </c>
      <c r="BH17">
        <f t="shared" si="17"/>
        <v>1</v>
      </c>
      <c r="BI17">
        <f t="shared" si="18"/>
        <v>0</v>
      </c>
      <c r="BJ17">
        <f t="shared" si="19"/>
        <v>0</v>
      </c>
      <c r="BK17">
        <f t="shared" si="20"/>
        <v>0</v>
      </c>
    </row>
    <row r="18" spans="1:63">
      <c r="A18" t="s">
        <v>647</v>
      </c>
      <c r="B18" t="s">
        <v>278</v>
      </c>
      <c r="C18" t="s">
        <v>650</v>
      </c>
      <c r="D18">
        <v>47003</v>
      </c>
      <c r="E18">
        <v>4701</v>
      </c>
      <c r="F18">
        <v>47</v>
      </c>
      <c r="G18">
        <v>47003</v>
      </c>
      <c r="H18">
        <v>9767</v>
      </c>
      <c r="I18">
        <v>1097</v>
      </c>
      <c r="J18">
        <v>9454</v>
      </c>
      <c r="K18">
        <v>514</v>
      </c>
      <c r="L18">
        <v>20832</v>
      </c>
      <c r="M18" s="3">
        <f t="shared" si="4"/>
        <v>46.884600614439329</v>
      </c>
      <c r="N18" s="3">
        <f t="shared" si="5"/>
        <v>5.2659370199692779</v>
      </c>
      <c r="O18" s="3">
        <f t="shared" si="6"/>
        <v>45.382104454685098</v>
      </c>
      <c r="P18" s="3">
        <f t="shared" si="7"/>
        <v>2.4673579109062977</v>
      </c>
      <c r="Q18">
        <v>54.8</v>
      </c>
      <c r="R18">
        <v>12.7</v>
      </c>
      <c r="S18">
        <v>28.9</v>
      </c>
      <c r="T18">
        <v>3.2</v>
      </c>
      <c r="U18">
        <f t="shared" si="8"/>
        <v>1</v>
      </c>
      <c r="V18">
        <f t="shared" si="9"/>
        <v>0</v>
      </c>
      <c r="W18">
        <f t="shared" si="10"/>
        <v>0</v>
      </c>
      <c r="X18">
        <f t="shared" si="11"/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H18" t="s">
        <v>480</v>
      </c>
      <c r="AI18">
        <f>IF(OR($AM8=0,$AM9=0),$AK7/4,AI$9/$AM$9*$AK$8+AI$8/$AM$8*$AK$9)</f>
        <v>0</v>
      </c>
      <c r="AJ18">
        <f>IF(OR($AM8=0,$AM9=0),$AK7/4,AJ$9/$AM$9*$AK$8+AJ$8/$AM$8*$AK$9)</f>
        <v>-6.9919192171046634</v>
      </c>
      <c r="AK18">
        <f>IF(OR($AM8=0,$AM9=0),$AK7/4,AK$9/$AM$9*$AK$8+AK$8/$AM$8*$AK$9)</f>
        <v>0</v>
      </c>
      <c r="AL18">
        <f>IF(OR($AM8=0,$AM9=0),$AK7/4,AL$9/$AM$9*$AK$8+AL$8/$AM$8*$AK$9)</f>
        <v>-0.14791048993158956</v>
      </c>
      <c r="AM18">
        <f>SUM(AI18:AL18)</f>
        <v>-7.1398297070362533</v>
      </c>
      <c r="AO18" s="8">
        <f t="shared" si="0"/>
        <v>31.870162013565448</v>
      </c>
      <c r="AP18" s="8">
        <f t="shared" si="1"/>
        <v>25.571296837386779</v>
      </c>
      <c r="AQ18" s="8">
        <f t="shared" si="2"/>
        <v>39.269104684519107</v>
      </c>
      <c r="AR18" s="8">
        <f t="shared" si="3"/>
        <v>2.9108354732675963</v>
      </c>
      <c r="AS18" s="8">
        <f t="shared" si="12"/>
        <v>99.621399008738933</v>
      </c>
      <c r="AV18" s="3">
        <f t="array" ref="AV18">MIN(100,MAX(0,M18-AC18*5+$AJ$16*(U18*AI$26+SUMPRODUCT($Y18:$AB18,TRANSPOSE(AI$27:AI$30)))+$AK$16*(U18*AI$31+SUMPRODUCT($Y18:$AB18,TRANSPOSE(AI$32:AI$35)))+$AL$16*(U18*AI$36+SUMPRODUCT($Y18:$AB18,TRANSPOSE(AI$37:AI$40)))))</f>
        <v>31.870162013565448</v>
      </c>
      <c r="AW18" s="3">
        <f t="array" ref="AW18">MIN(100,MAX(0,N18-AD18*5+$AI$17*(V18*AJ$26+SUMPRODUCT($Y18:$AB18,TRANSPOSE(AJ$27:AJ$30)))+$AK$17*(V18*AJ$31+SUMPRODUCT($Y18:$AB18,TRANSPOSE(AJ$32:AJ$35)))+$AL$17*(V18*AJ$36+SUMPRODUCT($Y18:$AB18,TRANSPOSE(AJ$37:AJ$40)))))</f>
        <v>25.499799953716284</v>
      </c>
      <c r="AX18" s="3">
        <f t="array" ref="AX18">MIN(100,MAX(0,O18-AE18*5+$AI$18*(W18*AK$26+SUMPRODUCT($Y18:$AB18,TRANSPOSE(AK$27:AK$30)))+$AJ$18*(W18*AK$31+SUMPRODUCT($Y18:$AB18,TRANSPOSE(AK$32:AK$35)))+$AL$18*(W18*AK$36+SUMPRODUCT($Y18:$AB18,TRANSPOSE(AK$37:AK$40)))))</f>
        <v>39.269104684519107</v>
      </c>
      <c r="AY18" s="3">
        <f t="array" ref="AY18">MIN(100,MAX(0,P18+$AI$19*(X18*AL$26+SUMPRODUCT($Y18:$AB18,TRANSPOSE(AL$27:AL$30)))+$AJ$19*(X18*AL$31+SUMPRODUCT($Y18:$AB18,TRANSPOSE(AL$32:AL$35)))+$AK$19*(X18*AL$36+SUMPRODUCT($Y18:$AB18,TRANSPOSE(AL$37:AL$40)))))</f>
        <v>2.9108354732675963</v>
      </c>
      <c r="BB18">
        <f t="shared" si="13"/>
        <v>0</v>
      </c>
      <c r="BC18">
        <f t="shared" si="14"/>
        <v>0</v>
      </c>
      <c r="BD18">
        <f t="shared" si="15"/>
        <v>1</v>
      </c>
      <c r="BE18">
        <f t="shared" si="16"/>
        <v>0</v>
      </c>
      <c r="BH18">
        <f t="shared" si="17"/>
        <v>0</v>
      </c>
      <c r="BI18">
        <f t="shared" si="18"/>
        <v>0</v>
      </c>
      <c r="BJ18">
        <f t="shared" si="19"/>
        <v>1</v>
      </c>
      <c r="BK18">
        <f t="shared" si="20"/>
        <v>0</v>
      </c>
    </row>
    <row r="19" spans="1:63">
      <c r="A19" t="s">
        <v>647</v>
      </c>
      <c r="B19" t="s">
        <v>279</v>
      </c>
      <c r="C19" t="s">
        <v>651</v>
      </c>
      <c r="D19">
        <v>47004</v>
      </c>
      <c r="E19">
        <v>4701</v>
      </c>
      <c r="F19">
        <v>47</v>
      </c>
      <c r="G19">
        <v>47004</v>
      </c>
      <c r="H19">
        <v>22306</v>
      </c>
      <c r="I19">
        <v>1278</v>
      </c>
      <c r="J19">
        <v>7966</v>
      </c>
      <c r="K19">
        <v>854</v>
      </c>
      <c r="L19">
        <v>32638</v>
      </c>
      <c r="M19" s="3">
        <f t="shared" si="4"/>
        <v>68.343648507874249</v>
      </c>
      <c r="N19" s="3">
        <f t="shared" si="5"/>
        <v>3.9156811079110239</v>
      </c>
      <c r="O19" s="3">
        <f t="shared" si="6"/>
        <v>24.407132789999388</v>
      </c>
      <c r="P19" s="3">
        <f t="shared" si="7"/>
        <v>2.6165818984006375</v>
      </c>
      <c r="Q19">
        <v>54.8</v>
      </c>
      <c r="R19">
        <v>12.7</v>
      </c>
      <c r="S19">
        <v>28.9</v>
      </c>
      <c r="T19">
        <v>3.2</v>
      </c>
      <c r="U19">
        <f t="shared" si="8"/>
        <v>1</v>
      </c>
      <c r="V19">
        <f t="shared" si="9"/>
        <v>0</v>
      </c>
      <c r="W19">
        <f t="shared" si="10"/>
        <v>0</v>
      </c>
      <c r="X19">
        <f t="shared" si="11"/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H19" t="s">
        <v>481</v>
      </c>
      <c r="AI19">
        <f>IF(OR($AM8=0,$AM9=0),$AL7/4,AI$9/$AM$9*$AL$8+AI$8/$AM$8*$AL$9)</f>
        <v>0.29405134187360588</v>
      </c>
      <c r="AJ19">
        <f>IF(OR($AM8=0,$AM9=0),$AL7/4,AJ$9/$AM$9*$AL$8+AJ$8/$AM$8*$AL$9)</f>
        <v>0</v>
      </c>
      <c r="AK19">
        <f>IF(OR($AM8=0,$AM9=0),$AL7/4,AK$9/$AM$9*$AL$8+AK$8/$AM$8*$AL$9)</f>
        <v>0.14790756805598809</v>
      </c>
      <c r="AL19">
        <f>IF(OR($AM8=0,$AM9=0),$AL7/4,AL$9/$AM$9*$AL$8+AL$8/$AM$8*$AL$9)</f>
        <v>0</v>
      </c>
      <c r="AM19">
        <f>SUM(AI19:AL19)</f>
        <v>0.44195890992959397</v>
      </c>
      <c r="AO19" s="8">
        <f t="shared" si="0"/>
        <v>53.329209907000369</v>
      </c>
      <c r="AP19" s="8">
        <f t="shared" si="1"/>
        <v>24.232970868902033</v>
      </c>
      <c r="AQ19" s="8">
        <f t="shared" si="2"/>
        <v>18.294133019833396</v>
      </c>
      <c r="AR19" s="8">
        <f t="shared" si="3"/>
        <v>3.060059460761936</v>
      </c>
      <c r="AS19" s="8">
        <f t="shared" si="12"/>
        <v>98.916373256497735</v>
      </c>
      <c r="AV19" s="3">
        <f t="array" ref="AV19">MIN(100,MAX(0,M19-AC19*5+$AJ$16*(U19*AI$26+SUMPRODUCT($Y19:$AB19,TRANSPOSE(AI$27:AI$30)))+$AK$16*(U19*AI$31+SUMPRODUCT($Y19:$AB19,TRANSPOSE(AI$32:AI$35)))+$AL$16*(U19*AI$36+SUMPRODUCT($Y19:$AB19,TRANSPOSE(AI$37:AI$40)))))</f>
        <v>53.329209907000369</v>
      </c>
      <c r="AW19" s="3">
        <f t="array" ref="AW19">MIN(100,MAX(0,N19-AD19*5+$AI$17*(V19*AJ$26+SUMPRODUCT($Y19:$AB19,TRANSPOSE(AJ$27:AJ$30)))+$AK$17*(V19*AJ$31+SUMPRODUCT($Y19:$AB19,TRANSPOSE(AJ$32:AJ$35)))+$AL$17*(V19*AJ$36+SUMPRODUCT($Y19:$AB19,TRANSPOSE(AJ$37:AJ$40)))))</f>
        <v>24.149544041658032</v>
      </c>
      <c r="AX19" s="3">
        <f t="array" ref="AX19">MIN(100,MAX(0,O19-AE19*5+$AI$18*(W19*AK$26+SUMPRODUCT($Y19:$AB19,TRANSPOSE(AK$27:AK$30)))+$AJ$18*(W19*AK$31+SUMPRODUCT($Y19:$AB19,TRANSPOSE(AK$32:AK$35)))+$AL$18*(W19*AK$36+SUMPRODUCT($Y19:$AB19,TRANSPOSE(AK$37:AK$40)))))</f>
        <v>18.294133019833396</v>
      </c>
      <c r="AY19" s="3">
        <f t="array" ref="AY19">MIN(100,MAX(0,P19+$AI$19*(X19*AL$26+SUMPRODUCT($Y19:$AB19,TRANSPOSE(AL$27:AL$30)))+$AJ$19*(X19*AL$31+SUMPRODUCT($Y19:$AB19,TRANSPOSE(AL$32:AL$35)))+$AK$19*(X19*AL$36+SUMPRODUCT($Y19:$AB19,TRANSPOSE(AL$37:AL$40)))))</f>
        <v>3.060059460761936</v>
      </c>
      <c r="BB19">
        <f t="shared" si="13"/>
        <v>1</v>
      </c>
      <c r="BC19">
        <f t="shared" si="14"/>
        <v>0</v>
      </c>
      <c r="BD19">
        <f t="shared" si="15"/>
        <v>0</v>
      </c>
      <c r="BE19">
        <f t="shared" si="16"/>
        <v>0</v>
      </c>
      <c r="BH19">
        <f t="shared" si="17"/>
        <v>1</v>
      </c>
      <c r="BI19">
        <f t="shared" si="18"/>
        <v>0</v>
      </c>
      <c r="BJ19">
        <f t="shared" si="19"/>
        <v>0</v>
      </c>
      <c r="BK19">
        <f t="shared" si="20"/>
        <v>0</v>
      </c>
    </row>
    <row r="20" spans="1:63">
      <c r="A20" t="s">
        <v>647</v>
      </c>
      <c r="B20" t="s">
        <v>280</v>
      </c>
      <c r="C20" t="s">
        <v>652</v>
      </c>
      <c r="D20">
        <v>47005</v>
      </c>
      <c r="E20">
        <v>4702</v>
      </c>
      <c r="F20">
        <v>47</v>
      </c>
      <c r="G20">
        <v>47005</v>
      </c>
      <c r="H20">
        <v>22963</v>
      </c>
      <c r="I20">
        <v>1423</v>
      </c>
      <c r="J20">
        <v>12252</v>
      </c>
      <c r="K20">
        <v>1021</v>
      </c>
      <c r="L20">
        <v>37670</v>
      </c>
      <c r="M20" s="3">
        <f t="shared" si="4"/>
        <v>60.958322272365272</v>
      </c>
      <c r="N20" s="3">
        <f t="shared" si="5"/>
        <v>3.7775418104592515</v>
      </c>
      <c r="O20" s="3">
        <f t="shared" si="6"/>
        <v>32.524555349084153</v>
      </c>
      <c r="P20" s="3">
        <f t="shared" si="7"/>
        <v>2.7103796124236794</v>
      </c>
      <c r="Q20">
        <v>54.8</v>
      </c>
      <c r="R20">
        <v>12.7</v>
      </c>
      <c r="S20">
        <v>28.9</v>
      </c>
      <c r="T20">
        <v>3.2</v>
      </c>
      <c r="U20">
        <f t="shared" si="8"/>
        <v>1</v>
      </c>
      <c r="V20">
        <f t="shared" si="9"/>
        <v>0</v>
      </c>
      <c r="W20">
        <f t="shared" si="10"/>
        <v>0</v>
      </c>
      <c r="X20">
        <f t="shared" si="11"/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O20" s="8">
        <f t="shared" si="0"/>
        <v>45.943883671491392</v>
      </c>
      <c r="AP20" s="8">
        <f t="shared" si="1"/>
        <v>24.09605207639985</v>
      </c>
      <c r="AQ20" s="8">
        <f t="shared" si="2"/>
        <v>26.411555578918161</v>
      </c>
      <c r="AR20" s="8">
        <f t="shared" si="3"/>
        <v>3.153857174784978</v>
      </c>
      <c r="AS20" s="8">
        <f t="shared" si="12"/>
        <v>99.605348501594364</v>
      </c>
      <c r="AV20" s="3">
        <f t="array" ref="AV20">MIN(100,MAX(0,M20-AC20*5+$AJ$16*(U20*AI$26+SUMPRODUCT($Y20:$AB20,TRANSPOSE(AI$27:AI$30)))+$AK$16*(U20*AI$31+SUMPRODUCT($Y20:$AB20,TRANSPOSE(AI$32:AI$35)))+$AL$16*(U20*AI$36+SUMPRODUCT($Y20:$AB20,TRANSPOSE(AI$37:AI$40)))))</f>
        <v>45.943883671491392</v>
      </c>
      <c r="AW20" s="3">
        <f t="array" ref="AW20">MIN(100,MAX(0,N20-AD20*5+$AI$17*(V20*AJ$26+SUMPRODUCT($Y20:$AB20,TRANSPOSE(AJ$27:AJ$30)))+$AK$17*(V20*AJ$31+SUMPRODUCT($Y20:$AB20,TRANSPOSE(AJ$32:AJ$35)))+$AL$17*(V20*AJ$36+SUMPRODUCT($Y20:$AB20,TRANSPOSE(AJ$37:AJ$40)))))</f>
        <v>24.01140474420626</v>
      </c>
      <c r="AX20" s="3">
        <f t="array" ref="AX20">MIN(100,MAX(0,O20-AE20*5+$AI$18*(W20*AK$26+SUMPRODUCT($Y20:$AB20,TRANSPOSE(AK$27:AK$30)))+$AJ$18*(W20*AK$31+SUMPRODUCT($Y20:$AB20,TRANSPOSE(AK$32:AK$35)))+$AL$18*(W20*AK$36+SUMPRODUCT($Y20:$AB20,TRANSPOSE(AK$37:AK$40)))))</f>
        <v>26.411555578918161</v>
      </c>
      <c r="AY20" s="3">
        <f t="array" ref="AY20">MIN(100,MAX(0,P20+$AI$19*(X20*AL$26+SUMPRODUCT($Y20:$AB20,TRANSPOSE(AL$27:AL$30)))+$AJ$19*(X20*AL$31+SUMPRODUCT($Y20:$AB20,TRANSPOSE(AL$32:AL$35)))+$AK$19*(X20*AL$36+SUMPRODUCT($Y20:$AB20,TRANSPOSE(AL$37:AL$40)))))</f>
        <v>3.153857174784978</v>
      </c>
      <c r="BB20">
        <f t="shared" si="13"/>
        <v>1</v>
      </c>
      <c r="BC20">
        <f t="shared" si="14"/>
        <v>0</v>
      </c>
      <c r="BD20">
        <f t="shared" si="15"/>
        <v>0</v>
      </c>
      <c r="BE20">
        <f t="shared" si="16"/>
        <v>0</v>
      </c>
      <c r="BH20">
        <f t="shared" si="17"/>
        <v>1</v>
      </c>
      <c r="BI20">
        <f t="shared" si="18"/>
        <v>0</v>
      </c>
      <c r="BJ20">
        <f t="shared" si="19"/>
        <v>1</v>
      </c>
      <c r="BK20">
        <f t="shared" si="20"/>
        <v>0</v>
      </c>
    </row>
    <row r="21" spans="1:63">
      <c r="A21" t="s">
        <v>647</v>
      </c>
      <c r="B21" t="s">
        <v>281</v>
      </c>
      <c r="C21" t="s">
        <v>281</v>
      </c>
      <c r="D21">
        <v>47006</v>
      </c>
      <c r="E21">
        <v>4701</v>
      </c>
      <c r="F21">
        <v>47</v>
      </c>
      <c r="G21">
        <v>47006</v>
      </c>
      <c r="H21">
        <v>20774</v>
      </c>
      <c r="I21">
        <v>1144</v>
      </c>
      <c r="J21">
        <v>10482</v>
      </c>
      <c r="K21">
        <v>740</v>
      </c>
      <c r="L21">
        <v>33282</v>
      </c>
      <c r="M21" s="3">
        <f t="shared" si="4"/>
        <v>62.418123910822665</v>
      </c>
      <c r="N21" s="3">
        <f t="shared" si="5"/>
        <v>3.4372934318851032</v>
      </c>
      <c r="O21" s="3">
        <f t="shared" si="6"/>
        <v>31.494501532359838</v>
      </c>
      <c r="P21" s="3">
        <f t="shared" si="7"/>
        <v>2.2234240730725316</v>
      </c>
      <c r="Q21">
        <v>54.8</v>
      </c>
      <c r="R21">
        <v>12.7</v>
      </c>
      <c r="S21">
        <v>28.9</v>
      </c>
      <c r="T21">
        <v>3.2</v>
      </c>
      <c r="U21">
        <f t="shared" si="8"/>
        <v>1</v>
      </c>
      <c r="V21">
        <f t="shared" si="9"/>
        <v>0</v>
      </c>
      <c r="W21">
        <f t="shared" si="10"/>
        <v>0</v>
      </c>
      <c r="X21">
        <f t="shared" si="11"/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H21" t="s">
        <v>3</v>
      </c>
      <c r="AI21" s="3">
        <f>AO31</f>
        <v>39.04243101626183</v>
      </c>
      <c r="AJ21" s="3">
        <f t="shared" ref="AJ21:AL21" si="22">AP31</f>
        <v>32.971507013818055</v>
      </c>
      <c r="AK21" s="3">
        <f t="shared" si="22"/>
        <v>22.907225447029294</v>
      </c>
      <c r="AL21" s="3">
        <f t="shared" si="22"/>
        <v>3.5921690581687318</v>
      </c>
      <c r="AO21" s="8">
        <f t="shared" si="0"/>
        <v>47.403685309948784</v>
      </c>
      <c r="AP21" s="8">
        <f t="shared" si="1"/>
        <v>23.75880990125804</v>
      </c>
      <c r="AQ21" s="8">
        <f t="shared" si="2"/>
        <v>25.381501762193846</v>
      </c>
      <c r="AR21" s="8">
        <f t="shared" si="3"/>
        <v>2.6669016354338302</v>
      </c>
      <c r="AS21" s="8">
        <f t="shared" si="12"/>
        <v>99.210898608834498</v>
      </c>
      <c r="AV21" s="3">
        <f t="array" ref="AV21">MIN(100,MAX(0,M21-AC21*5+$AJ$16*(U21*AI$26+SUMPRODUCT($Y21:$AB21,TRANSPOSE(AI$27:AI$30)))+$AK$16*(U21*AI$31+SUMPRODUCT($Y21:$AB21,TRANSPOSE(AI$32:AI$35)))+$AL$16*(U21*AI$36+SUMPRODUCT($Y21:$AB21,TRANSPOSE(AI$37:AI$40)))))</f>
        <v>47.403685309948784</v>
      </c>
      <c r="AW21" s="3">
        <f t="array" ref="AW21">MIN(100,MAX(0,N21-AD21*5+$AI$17*(V21*AJ$26+SUMPRODUCT($Y21:$AB21,TRANSPOSE(AJ$27:AJ$30)))+$AK$17*(V21*AJ$31+SUMPRODUCT($Y21:$AB21,TRANSPOSE(AJ$32:AJ$35)))+$AL$17*(V21*AJ$36+SUMPRODUCT($Y21:$AB21,TRANSPOSE(AJ$37:AJ$40)))))</f>
        <v>23.671156365632111</v>
      </c>
      <c r="AX21" s="3">
        <f t="array" ref="AX21">MIN(100,MAX(0,O21-AE21*5+$AI$18*(W21*AK$26+SUMPRODUCT($Y21:$AB21,TRANSPOSE(AK$27:AK$30)))+$AJ$18*(W21*AK$31+SUMPRODUCT($Y21:$AB21,TRANSPOSE(AK$32:AK$35)))+$AL$18*(W21*AK$36+SUMPRODUCT($Y21:$AB21,TRANSPOSE(AK$37:AK$40)))))</f>
        <v>25.381501762193846</v>
      </c>
      <c r="AY21" s="3">
        <f t="array" ref="AY21">MIN(100,MAX(0,P21+$AI$19*(X21*AL$26+SUMPRODUCT($Y21:$AB21,TRANSPOSE(AL$27:AL$30)))+$AJ$19*(X21*AL$31+SUMPRODUCT($Y21:$AB21,TRANSPOSE(AL$32:AL$35)))+$AK$19*(X21*AL$36+SUMPRODUCT($Y21:$AB21,TRANSPOSE(AL$37:AL$40)))))</f>
        <v>2.6669016354338302</v>
      </c>
      <c r="BB21">
        <f t="shared" si="13"/>
        <v>1</v>
      </c>
      <c r="BC21">
        <f t="shared" si="14"/>
        <v>0</v>
      </c>
      <c r="BD21">
        <f t="shared" si="15"/>
        <v>0</v>
      </c>
      <c r="BE21">
        <f t="shared" si="16"/>
        <v>0</v>
      </c>
      <c r="BH21">
        <f t="shared" si="17"/>
        <v>1</v>
      </c>
      <c r="BI21">
        <f t="shared" si="18"/>
        <v>0</v>
      </c>
      <c r="BJ21">
        <f t="shared" si="19"/>
        <v>1</v>
      </c>
      <c r="BK21">
        <f t="shared" si="20"/>
        <v>0</v>
      </c>
    </row>
    <row r="22" spans="1:63">
      <c r="A22" t="s">
        <v>647</v>
      </c>
      <c r="B22" t="s">
        <v>282</v>
      </c>
      <c r="C22" t="s">
        <v>653</v>
      </c>
      <c r="D22">
        <v>47007</v>
      </c>
      <c r="E22">
        <v>4702</v>
      </c>
      <c r="F22">
        <v>47</v>
      </c>
      <c r="G22">
        <v>47007</v>
      </c>
      <c r="H22">
        <v>16894</v>
      </c>
      <c r="I22">
        <v>3157</v>
      </c>
      <c r="J22">
        <v>17400</v>
      </c>
      <c r="K22">
        <v>1060</v>
      </c>
      <c r="L22">
        <v>38512</v>
      </c>
      <c r="M22" s="3">
        <f t="shared" si="4"/>
        <v>43.866846697133361</v>
      </c>
      <c r="N22" s="3">
        <f t="shared" si="5"/>
        <v>8.1974449522226838</v>
      </c>
      <c r="O22" s="3">
        <f t="shared" si="6"/>
        <v>45.180722891566269</v>
      </c>
      <c r="P22" s="3">
        <f t="shared" si="7"/>
        <v>2.7523888658080597</v>
      </c>
      <c r="Q22">
        <v>54.8</v>
      </c>
      <c r="R22">
        <v>12.7</v>
      </c>
      <c r="S22">
        <v>28.9</v>
      </c>
      <c r="T22">
        <v>3.2</v>
      </c>
      <c r="U22">
        <f t="shared" si="8"/>
        <v>0</v>
      </c>
      <c r="V22">
        <f t="shared" si="9"/>
        <v>0</v>
      </c>
      <c r="W22">
        <f t="shared" si="10"/>
        <v>1</v>
      </c>
      <c r="X22">
        <f t="shared" si="11"/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H22" t="s">
        <v>425</v>
      </c>
      <c r="AI22">
        <f>BB31</f>
        <v>17</v>
      </c>
      <c r="AJ22">
        <f>BC31</f>
        <v>5</v>
      </c>
      <c r="AK22">
        <f>BD31</f>
        <v>6</v>
      </c>
      <c r="AL22">
        <f>BE31</f>
        <v>0</v>
      </c>
      <c r="AO22" s="8">
        <f t="shared" si="0"/>
        <v>34.447840567708404</v>
      </c>
      <c r="AP22" s="8">
        <f t="shared" si="1"/>
        <v>29.635374149726335</v>
      </c>
      <c r="AQ22" s="8">
        <f t="shared" si="2"/>
        <v>33.277898684544581</v>
      </c>
      <c r="AR22" s="8">
        <f t="shared" si="3"/>
        <v>3.2003210646377149</v>
      </c>
      <c r="AS22" s="8">
        <f t="shared" si="12"/>
        <v>100.56143446661704</v>
      </c>
      <c r="AV22" s="43">
        <f t="array" ref="AV22">MIN(100,MAX(0,M22+5-AC22*5+$AJ$16*(U22*AI$26+SUMPRODUCT($Y22:$AB22,TRANSPOSE(AI$27:AI$30)))+$AK$16*(U22*AI$31+SUMPRODUCT($Y22:$AB22,TRANSPOSE(AI$32:AI$35)))+$AL$16*(U22*AI$36+SUMPRODUCT($Y22:$AB22,TRANSPOSE(AI$37:AI$40)))))</f>
        <v>34.447840567708404</v>
      </c>
      <c r="AW22" s="3">
        <f t="array" ref="AW22">MIN(100,MAX(0,N22-AD22*5+$AI$17*(V22*AJ$26+SUMPRODUCT($Y22:$AB22,TRANSPOSE(AJ$27:AJ$30)))+$AK$17*(V22*AJ$31+SUMPRODUCT($Y22:$AB22,TRANSPOSE(AJ$32:AJ$35)))+$AL$17*(V22*AJ$36+SUMPRODUCT($Y22:$AB22,TRANSPOSE(AJ$37:AJ$40)))))</f>
        <v>29.600104772774149</v>
      </c>
      <c r="AX22" s="43">
        <f t="array" ref="AX22">MIN(100,MAX(0,O22-4.5-AE22*5+$AI$18*(W22*AK$26+SUMPRODUCT($Y22:$AB22,TRANSPOSE(AK$27:AK$30)))+$AJ$18*(W22*AK$31+SUMPRODUCT($Y22:$AB22,TRANSPOSE(AK$32:AK$35)))+$AL$18*(W22*AK$36+SUMPRODUCT($Y22:$AB22,TRANSPOSE(AK$37:AK$40)))))</f>
        <v>33.277898684544581</v>
      </c>
      <c r="AY22" s="3">
        <f t="array" ref="AY22">MIN(100,MAX(0,P22+$AI$19*(X22*AL$26+SUMPRODUCT($Y22:$AB22,TRANSPOSE(AL$27:AL$30)))+$AJ$19*(X22*AL$31+SUMPRODUCT($Y22:$AB22,TRANSPOSE(AL$32:AL$35)))+$AK$19*(X22*AL$36+SUMPRODUCT($Y22:$AB22,TRANSPOSE(AL$37:AL$40)))))</f>
        <v>3.2003210646377149</v>
      </c>
      <c r="BB22">
        <f t="shared" si="13"/>
        <v>1</v>
      </c>
      <c r="BC22">
        <f t="shared" si="14"/>
        <v>0</v>
      </c>
      <c r="BD22">
        <f t="shared" si="15"/>
        <v>0</v>
      </c>
      <c r="BE22">
        <f t="shared" si="16"/>
        <v>0</v>
      </c>
      <c r="BH22">
        <f t="shared" si="17"/>
        <v>0</v>
      </c>
      <c r="BI22">
        <f t="shared" si="18"/>
        <v>0</v>
      </c>
      <c r="BJ22">
        <f t="shared" si="19"/>
        <v>1</v>
      </c>
      <c r="BK22">
        <f t="shared" si="20"/>
        <v>0</v>
      </c>
    </row>
    <row r="23" spans="1:63">
      <c r="A23" t="s">
        <v>647</v>
      </c>
      <c r="B23" t="s">
        <v>283</v>
      </c>
      <c r="C23" t="s">
        <v>654</v>
      </c>
      <c r="D23">
        <v>47008</v>
      </c>
      <c r="E23">
        <v>4702</v>
      </c>
      <c r="F23">
        <v>47</v>
      </c>
      <c r="G23">
        <v>47008</v>
      </c>
      <c r="H23">
        <v>16197</v>
      </c>
      <c r="I23">
        <v>1449</v>
      </c>
      <c r="J23">
        <v>11769</v>
      </c>
      <c r="K23">
        <v>908</v>
      </c>
      <c r="L23">
        <v>30451</v>
      </c>
      <c r="M23" s="3">
        <f t="shared" si="4"/>
        <v>53.19037141637385</v>
      </c>
      <c r="N23" s="3">
        <f t="shared" si="5"/>
        <v>4.7584644182457057</v>
      </c>
      <c r="O23" s="3">
        <f t="shared" si="6"/>
        <v>38.648977045088834</v>
      </c>
      <c r="P23" s="3">
        <f t="shared" si="7"/>
        <v>2.9818396768579025</v>
      </c>
      <c r="Q23">
        <v>54.8</v>
      </c>
      <c r="R23">
        <v>12.7</v>
      </c>
      <c r="S23">
        <v>28.9</v>
      </c>
      <c r="T23">
        <v>3.2</v>
      </c>
      <c r="U23">
        <f t="shared" si="8"/>
        <v>1</v>
      </c>
      <c r="V23">
        <f t="shared" si="9"/>
        <v>0</v>
      </c>
      <c r="W23">
        <f t="shared" si="10"/>
        <v>0</v>
      </c>
      <c r="X23">
        <f t="shared" si="11"/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O23" s="8">
        <f t="shared" si="0"/>
        <v>38.321675887509777</v>
      </c>
      <c r="AP23" s="8">
        <f t="shared" si="1"/>
        <v>26.226778110536117</v>
      </c>
      <c r="AQ23" s="8">
        <f t="shared" si="2"/>
        <v>31.216959502361018</v>
      </c>
      <c r="AR23" s="8">
        <f t="shared" si="3"/>
        <v>3.4297718756875577</v>
      </c>
      <c r="AS23" s="8">
        <f t="shared" si="12"/>
        <v>99.195185376094472</v>
      </c>
      <c r="AV23" s="3">
        <f t="array" ref="AV23">MIN(100,MAX(0,M23-AC23*5+$AJ$16*(U23*AI$26+SUMPRODUCT($Y23:$AB23,TRANSPOSE(AI$27:AI$30)))+$AK$16*(U23*AI$31+SUMPRODUCT($Y23:$AB23,TRANSPOSE(AI$32:AI$35)))+$AL$16*(U23*AI$36+SUMPRODUCT($Y23:$AB23,TRANSPOSE(AI$37:AI$40)))))</f>
        <v>38.321675887509777</v>
      </c>
      <c r="AW23" s="3">
        <f t="array" ref="AW23">MIN(100,MAX(0,N23-AD23*5+$AI$17*(V23*AJ$26+SUMPRODUCT($Y23:$AB23,TRANSPOSE(AJ$27:AJ$30)))+$AK$17*(V23*AJ$31+SUMPRODUCT($Y23:$AB23,TRANSPOSE(AJ$32:AJ$35)))+$AL$17*(V23*AJ$36+SUMPRODUCT($Y23:$AB23,TRANSPOSE(AJ$37:AJ$40)))))</f>
        <v>26.161124238797171</v>
      </c>
      <c r="AX23" s="3">
        <f t="array" ref="AX23">MIN(100,MAX(0,O23-AE23*5+$AI$18*(W23*AK$26+SUMPRODUCT($Y23:$AB23,TRANSPOSE(AK$27:AK$30)))+$AJ$18*(W23*AK$31+SUMPRODUCT($Y23:$AB23,TRANSPOSE(AK$32:AK$35)))+$AL$18*(W23*AK$36+SUMPRODUCT($Y23:$AB23,TRANSPOSE(AK$37:AK$40)))))</f>
        <v>31.216959502361018</v>
      </c>
      <c r="AY23" s="3">
        <f t="array" ref="AY23">MIN(100,MAX(0,P23+$AI$19*(X23*AL$26+SUMPRODUCT($Y23:$AB23,TRANSPOSE(AL$27:AL$30)))+$AJ$19*(X23*AL$31+SUMPRODUCT($Y23:$AB23,TRANSPOSE(AL$32:AL$35)))+$AK$19*(X23*AL$36+SUMPRODUCT($Y23:$AB23,TRANSPOSE(AL$37:AL$40)))))</f>
        <v>3.4297718756875577</v>
      </c>
      <c r="BB23">
        <f t="shared" si="13"/>
        <v>1</v>
      </c>
      <c r="BC23">
        <f t="shared" si="14"/>
        <v>0</v>
      </c>
      <c r="BD23">
        <f t="shared" si="15"/>
        <v>0</v>
      </c>
      <c r="BE23">
        <f t="shared" si="16"/>
        <v>0</v>
      </c>
      <c r="BH23">
        <f t="shared" si="17"/>
        <v>0</v>
      </c>
      <c r="BI23">
        <f t="shared" si="18"/>
        <v>0</v>
      </c>
      <c r="BJ23">
        <f t="shared" si="19"/>
        <v>1</v>
      </c>
      <c r="BK23">
        <f t="shared" si="20"/>
        <v>0</v>
      </c>
    </row>
    <row r="24" spans="1:63">
      <c r="A24" t="s">
        <v>647</v>
      </c>
      <c r="B24" t="s">
        <v>284</v>
      </c>
      <c r="C24" t="s">
        <v>655</v>
      </c>
      <c r="D24">
        <v>47009</v>
      </c>
      <c r="E24">
        <v>4702</v>
      </c>
      <c r="F24">
        <v>47</v>
      </c>
      <c r="G24">
        <v>47009</v>
      </c>
      <c r="H24">
        <v>13056</v>
      </c>
      <c r="I24">
        <v>15271</v>
      </c>
      <c r="J24">
        <v>7341</v>
      </c>
      <c r="K24">
        <v>898</v>
      </c>
      <c r="L24">
        <v>36566</v>
      </c>
      <c r="M24" s="3">
        <f t="shared" si="4"/>
        <v>35.705300005469567</v>
      </c>
      <c r="N24" s="3">
        <f t="shared" si="5"/>
        <v>41.762839796532297</v>
      </c>
      <c r="O24" s="3">
        <f t="shared" si="6"/>
        <v>20.07602691024449</v>
      </c>
      <c r="P24" s="3">
        <f t="shared" si="7"/>
        <v>2.4558332877536513</v>
      </c>
      <c r="Q24">
        <v>54.8</v>
      </c>
      <c r="R24">
        <v>12.7</v>
      </c>
      <c r="S24">
        <v>28.9</v>
      </c>
      <c r="T24">
        <v>3.2</v>
      </c>
      <c r="U24">
        <f t="shared" si="8"/>
        <v>0</v>
      </c>
      <c r="V24">
        <f t="shared" si="9"/>
        <v>1</v>
      </c>
      <c r="W24">
        <f t="shared" si="10"/>
        <v>0</v>
      </c>
      <c r="X24">
        <f t="shared" si="11"/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O24" s="8">
        <f t="shared" si="0"/>
        <v>21.28629387604461</v>
      </c>
      <c r="AP24" s="8">
        <f t="shared" si="1"/>
        <v>65.266640200835511</v>
      </c>
      <c r="AQ24" s="8">
        <f t="shared" si="2"/>
        <v>12.644009367516672</v>
      </c>
      <c r="AR24" s="8">
        <f t="shared" si="3"/>
        <v>2.9037654865833065</v>
      </c>
      <c r="AS24" s="8">
        <f t="shared" si="12"/>
        <v>102.1007089309801</v>
      </c>
      <c r="AV24" s="3">
        <f t="array" ref="AV24">MIN(100,MAX(0,M24-AC24*5+$AJ$16*(U24*AI$26+SUMPRODUCT($Y24:$AB24,TRANSPOSE(AI$27:AI$30)))+$AK$16*(U24*AI$31+SUMPRODUCT($Y24:$AB24,TRANSPOSE(AI$32:AI$35)))+$AL$16*(U24*AI$36+SUMPRODUCT($Y24:$AB24,TRANSPOSE(AI$37:AI$40)))))</f>
        <v>21.28629387604461</v>
      </c>
      <c r="AW24" s="3">
        <f t="array" ref="AW24">MIN(100,MAX(0,N24-AD24*5+$AI$17*(V24*AJ$26+SUMPRODUCT($Y24:$AB24,TRANSPOSE(AJ$27:AJ$30)))+$AK$17*(V24*AJ$31+SUMPRODUCT($Y24:$AB24,TRANSPOSE(AJ$32:AJ$35)))+$AL$17*(V24*AJ$36+SUMPRODUCT($Y24:$AB24,TRANSPOSE(AJ$37:AJ$40)))))</f>
        <v>65.266640200835511</v>
      </c>
      <c r="AX24" s="3">
        <f t="array" ref="AX24">MIN(100,MAX(0,O24-AE24*5+$AI$18*(W24*AK$26+SUMPRODUCT($Y24:$AB24,TRANSPOSE(AK$27:AK$30)))+$AJ$18*(W24*AK$31+SUMPRODUCT($Y24:$AB24,TRANSPOSE(AK$32:AK$35)))+$AL$18*(W24*AK$36+SUMPRODUCT($Y24:$AB24,TRANSPOSE(AK$37:AK$40)))))</f>
        <v>12.644009367516672</v>
      </c>
      <c r="AY24" s="3">
        <f t="array" ref="AY24">MIN(100,MAX(0,P24+$AI$19*(X24*AL$26+SUMPRODUCT($Y24:$AB24,TRANSPOSE(AL$27:AL$30)))+$AJ$19*(X24*AL$31+SUMPRODUCT($Y24:$AB24,TRANSPOSE(AL$32:AL$35)))+$AK$19*(X24*AL$36+SUMPRODUCT($Y24:$AB24,TRANSPOSE(AL$37:AL$40)))))</f>
        <v>2.9037654865833065</v>
      </c>
      <c r="BB24">
        <f t="shared" si="13"/>
        <v>0</v>
      </c>
      <c r="BC24">
        <f t="shared" si="14"/>
        <v>1</v>
      </c>
      <c r="BD24">
        <f t="shared" si="15"/>
        <v>0</v>
      </c>
      <c r="BE24">
        <f t="shared" si="16"/>
        <v>0</v>
      </c>
      <c r="BH24">
        <f t="shared" si="17"/>
        <v>0</v>
      </c>
      <c r="BI24">
        <f t="shared" si="18"/>
        <v>1</v>
      </c>
      <c r="BJ24">
        <f t="shared" si="19"/>
        <v>0</v>
      </c>
      <c r="BK24">
        <f t="shared" si="20"/>
        <v>0</v>
      </c>
    </row>
    <row r="25" spans="1:63">
      <c r="A25" t="s">
        <v>647</v>
      </c>
      <c r="B25" t="s">
        <v>285</v>
      </c>
      <c r="C25" t="s">
        <v>656</v>
      </c>
      <c r="D25">
        <v>47010</v>
      </c>
      <c r="E25">
        <v>4702</v>
      </c>
      <c r="F25">
        <v>47</v>
      </c>
      <c r="G25">
        <v>47010</v>
      </c>
      <c r="H25">
        <v>18118</v>
      </c>
      <c r="I25">
        <v>2641</v>
      </c>
      <c r="J25">
        <v>14372</v>
      </c>
      <c r="K25">
        <v>900</v>
      </c>
      <c r="L25">
        <v>36075</v>
      </c>
      <c r="M25" s="3">
        <f t="shared" si="4"/>
        <v>50.223146223146223</v>
      </c>
      <c r="N25" s="3">
        <f t="shared" si="5"/>
        <v>7.3208593208593218</v>
      </c>
      <c r="O25" s="3">
        <f t="shared" si="6"/>
        <v>39.839223839223841</v>
      </c>
      <c r="P25" s="3">
        <f t="shared" si="7"/>
        <v>2.4948024948024949</v>
      </c>
      <c r="Q25">
        <v>54.8</v>
      </c>
      <c r="R25">
        <v>12.7</v>
      </c>
      <c r="S25">
        <v>28.9</v>
      </c>
      <c r="T25">
        <v>3.2</v>
      </c>
      <c r="U25" s="54">
        <v>0</v>
      </c>
      <c r="V25">
        <f t="shared" si="9"/>
        <v>0</v>
      </c>
      <c r="W25">
        <f t="shared" si="10"/>
        <v>0</v>
      </c>
      <c r="X25">
        <f t="shared" si="11"/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H25" t="s">
        <v>551</v>
      </c>
      <c r="AI25" t="s">
        <v>478</v>
      </c>
      <c r="AJ25" t="s">
        <v>479</v>
      </c>
      <c r="AK25" t="s">
        <v>480</v>
      </c>
      <c r="AL25" t="s">
        <v>481</v>
      </c>
      <c r="AO25" s="8">
        <f t="shared" si="0"/>
        <v>30.804140093721266</v>
      </c>
      <c r="AP25" s="8">
        <f t="shared" si="1"/>
        <v>28.766533433253638</v>
      </c>
      <c r="AQ25" s="8">
        <f t="shared" si="2"/>
        <v>32.407206296496021</v>
      </c>
      <c r="AR25" s="8">
        <f t="shared" si="3"/>
        <v>2.9427346936321501</v>
      </c>
      <c r="AS25" s="8">
        <f t="shared" si="12"/>
        <v>94.920614517103061</v>
      </c>
      <c r="AV25" s="3">
        <f t="array" ref="AV25">MIN(100,MAX(0,M25-AC25*5+$AJ$16*(U25*AI$26+SUMPRODUCT($Y25:$AB25,TRANSPOSE(AI$27:AI$30)))+$AK$16*(U25*AI$31+SUMPRODUCT($Y25:$AB25,TRANSPOSE(AI$32:AI$35)))+$AL$16*(U25*AI$36+SUMPRODUCT($Y25:$AB25,TRANSPOSE(AI$37:AI$40)))))</f>
        <v>30.804140093721266</v>
      </c>
      <c r="AW25" s="3">
        <f t="array" ref="AW25">MIN(100,MAX(0,N25-AD25*5+$AI$17*(V25*AJ$26+SUMPRODUCT($Y25:$AB25,TRANSPOSE(AJ$27:AJ$30)))+$AK$17*(V25*AJ$31+SUMPRODUCT($Y25:$AB25,TRANSPOSE(AJ$32:AJ$35)))+$AL$17*(V25*AJ$36+SUMPRODUCT($Y25:$AB25,TRANSPOSE(AJ$37:AJ$40)))))</f>
        <v>28.723519141410787</v>
      </c>
      <c r="AX25" s="3">
        <f t="array" ref="AX25">MIN(100,MAX(0,O25-AE25*5+$AI$18*(W25*AK$26+SUMPRODUCT($Y25:$AB25,TRANSPOSE(AK$27:AK$30)))+$AJ$18*(W25*AK$31+SUMPRODUCT($Y25:$AB25,TRANSPOSE(AK$32:AK$35)))+$AL$18*(W25*AK$36+SUMPRODUCT($Y25:$AB25,TRANSPOSE(AK$37:AK$40)))))</f>
        <v>32.407206296496021</v>
      </c>
      <c r="AY25" s="3">
        <f t="array" ref="AY25">MIN(100,MAX(0,P25+$AI$19*(X25*AL$26+SUMPRODUCT($Y25:$AB25,TRANSPOSE(AL$27:AL$30)))+$AJ$19*(X25*AL$31+SUMPRODUCT($Y25:$AB25,TRANSPOSE(AL$32:AL$35)))+$AK$19*(X25*AL$36+SUMPRODUCT($Y25:$AB25,TRANSPOSE(AL$37:AL$40)))))</f>
        <v>2.9427346936321501</v>
      </c>
      <c r="BB25">
        <f t="shared" si="13"/>
        <v>0</v>
      </c>
      <c r="BC25">
        <f t="shared" si="14"/>
        <v>0</v>
      </c>
      <c r="BD25">
        <f t="shared" si="15"/>
        <v>1</v>
      </c>
      <c r="BE25">
        <f t="shared" si="16"/>
        <v>0</v>
      </c>
      <c r="BH25">
        <f t="shared" si="17"/>
        <v>0</v>
      </c>
      <c r="BI25">
        <f t="shared" si="18"/>
        <v>0</v>
      </c>
      <c r="BJ25">
        <f t="shared" si="19"/>
        <v>1</v>
      </c>
      <c r="BK25">
        <f t="shared" si="20"/>
        <v>0</v>
      </c>
    </row>
    <row r="26" spans="1:63">
      <c r="A26" t="s">
        <v>647</v>
      </c>
      <c r="B26" t="s">
        <v>286</v>
      </c>
      <c r="C26" t="s">
        <v>657</v>
      </c>
      <c r="D26">
        <v>47011</v>
      </c>
      <c r="E26">
        <v>4702</v>
      </c>
      <c r="F26">
        <v>47</v>
      </c>
      <c r="G26">
        <v>47011</v>
      </c>
      <c r="H26">
        <v>17067</v>
      </c>
      <c r="I26">
        <v>3374</v>
      </c>
      <c r="J26">
        <v>13344</v>
      </c>
      <c r="K26">
        <v>1026</v>
      </c>
      <c r="L26">
        <v>35120</v>
      </c>
      <c r="M26" s="3">
        <f t="shared" si="4"/>
        <v>48.596241457858767</v>
      </c>
      <c r="N26" s="3">
        <f t="shared" si="5"/>
        <v>9.6070615034168565</v>
      </c>
      <c r="O26" s="3">
        <f t="shared" si="6"/>
        <v>37.995444191343964</v>
      </c>
      <c r="P26" s="3">
        <f t="shared" si="7"/>
        <v>2.9214123006833712</v>
      </c>
      <c r="Q26">
        <v>54.8</v>
      </c>
      <c r="R26">
        <v>12.7</v>
      </c>
      <c r="S26">
        <v>28.9</v>
      </c>
      <c r="T26">
        <v>3.2</v>
      </c>
      <c r="U26">
        <f t="shared" si="8"/>
        <v>1</v>
      </c>
      <c r="V26">
        <f t="shared" si="9"/>
        <v>0</v>
      </c>
      <c r="W26">
        <f t="shared" si="10"/>
        <v>0</v>
      </c>
      <c r="X26">
        <f t="shared" si="11"/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H26" t="s">
        <v>429</v>
      </c>
      <c r="AI26" s="45">
        <f>AI55</f>
        <v>3.16805E-2</v>
      </c>
      <c r="AJ26" s="46">
        <f>AJ55</f>
        <v>0.1005717</v>
      </c>
      <c r="AK26" s="46">
        <f>AK55</f>
        <v>-4.0888000000000001E-3</v>
      </c>
      <c r="AL26" s="46">
        <f>AL55</f>
        <v>0</v>
      </c>
      <c r="AO26" s="8">
        <f t="shared" si="0"/>
        <v>33.727545928994694</v>
      </c>
      <c r="AP26" s="8">
        <f t="shared" si="1"/>
        <v>31.032536287082475</v>
      </c>
      <c r="AQ26" s="8">
        <f t="shared" si="2"/>
        <v>30.563426648616147</v>
      </c>
      <c r="AR26" s="8">
        <f t="shared" si="3"/>
        <v>3.3693444995130264</v>
      </c>
      <c r="AS26" s="8">
        <f t="shared" si="12"/>
        <v>98.692853364206343</v>
      </c>
      <c r="AV26" s="3">
        <f t="array" ref="AV26">MIN(100,MAX(0,M26-AC26*5+$AJ$16*(U26*AI$26+SUMPRODUCT($Y26:$AB26,TRANSPOSE(AI$27:AI$30)))+$AK$16*(U26*AI$31+SUMPRODUCT($Y26:$AB26,TRANSPOSE(AI$32:AI$35)))+$AL$16*(U26*AI$36+SUMPRODUCT($Y26:$AB26,TRANSPOSE(AI$37:AI$40)))))</f>
        <v>33.727545928994694</v>
      </c>
      <c r="AW26" s="3">
        <f t="array" ref="AW26">MIN(100,MAX(0,N26-AD26*5+$AI$17*(V26*AJ$26+SUMPRODUCT($Y26:$AB26,TRANSPOSE(AJ$27:AJ$30)))+$AK$17*(V26*AJ$31+SUMPRODUCT($Y26:$AB26,TRANSPOSE(AJ$32:AJ$35)))+$AL$17*(V26*AJ$36+SUMPRODUCT($Y26:$AB26,TRANSPOSE(AJ$37:AJ$40)))))</f>
        <v>31.009721323968321</v>
      </c>
      <c r="AX26" s="3">
        <f t="array" ref="AX26">MIN(100,MAX(0,O26-AE26*5+$AI$18*(W26*AK$26+SUMPRODUCT($Y26:$AB26,TRANSPOSE(AK$27:AK$30)))+$AJ$18*(W26*AK$31+SUMPRODUCT($Y26:$AB26,TRANSPOSE(AK$32:AK$35)))+$AL$18*(W26*AK$36+SUMPRODUCT($Y26:$AB26,TRANSPOSE(AK$37:AK$40)))))</f>
        <v>30.563426648616147</v>
      </c>
      <c r="AY26" s="3">
        <f t="array" ref="AY26">MIN(100,MAX(0,P26+$AI$19*(X26*AL$26+SUMPRODUCT($Y26:$AB26,TRANSPOSE(AL$27:AL$30)))+$AJ$19*(X26*AL$31+SUMPRODUCT($Y26:$AB26,TRANSPOSE(AL$32:AL$35)))+$AK$19*(X26*AL$36+SUMPRODUCT($Y26:$AB26,TRANSPOSE(AL$37:AL$40)))))</f>
        <v>3.3693444995130264</v>
      </c>
      <c r="BB26">
        <f t="shared" si="13"/>
        <v>1</v>
      </c>
      <c r="BC26">
        <f t="shared" si="14"/>
        <v>0</v>
      </c>
      <c r="BD26">
        <f t="shared" si="15"/>
        <v>0</v>
      </c>
      <c r="BE26">
        <f t="shared" si="16"/>
        <v>0</v>
      </c>
      <c r="BH26">
        <f t="shared" si="17"/>
        <v>0</v>
      </c>
      <c r="BI26">
        <f t="shared" si="18"/>
        <v>0</v>
      </c>
      <c r="BJ26">
        <f t="shared" si="19"/>
        <v>1</v>
      </c>
      <c r="BK26">
        <f t="shared" si="20"/>
        <v>0</v>
      </c>
    </row>
    <row r="27" spans="1:63">
      <c r="A27" t="s">
        <v>647</v>
      </c>
      <c r="B27" t="s">
        <v>287</v>
      </c>
      <c r="C27" t="s">
        <v>287</v>
      </c>
      <c r="D27">
        <v>47012</v>
      </c>
      <c r="E27">
        <v>4701</v>
      </c>
      <c r="F27">
        <v>47</v>
      </c>
      <c r="G27">
        <v>47012</v>
      </c>
      <c r="H27">
        <v>12955</v>
      </c>
      <c r="I27">
        <v>1147</v>
      </c>
      <c r="J27">
        <v>15573</v>
      </c>
      <c r="K27">
        <v>782</v>
      </c>
      <c r="L27">
        <v>30457</v>
      </c>
      <c r="M27" s="3">
        <f t="shared" si="4"/>
        <v>42.535377745674232</v>
      </c>
      <c r="N27" s="3">
        <f t="shared" si="5"/>
        <v>3.7659651311685325</v>
      </c>
      <c r="O27" s="3">
        <f t="shared" si="6"/>
        <v>51.131102866336143</v>
      </c>
      <c r="P27" s="3">
        <f t="shared" si="7"/>
        <v>2.5675542568210923</v>
      </c>
      <c r="Q27">
        <v>54.8</v>
      </c>
      <c r="R27">
        <v>12.7</v>
      </c>
      <c r="S27">
        <v>28.9</v>
      </c>
      <c r="T27">
        <v>3.2</v>
      </c>
      <c r="U27">
        <f t="shared" si="8"/>
        <v>0</v>
      </c>
      <c r="V27">
        <f t="shared" si="9"/>
        <v>0</v>
      </c>
      <c r="W27">
        <f t="shared" si="10"/>
        <v>1</v>
      </c>
      <c r="X27">
        <f t="shared" si="11"/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H27" t="s">
        <v>633</v>
      </c>
      <c r="AI27" s="45">
        <f>AVERAGE(AI56:AJ56)</f>
        <v>0.99594879999999997</v>
      </c>
      <c r="AJ27" s="46">
        <f>AI27</f>
        <v>0.99594879999999997</v>
      </c>
      <c r="AK27" s="46">
        <f>AI32</f>
        <v>0.96486324999999995</v>
      </c>
      <c r="AL27" s="46">
        <f>AI37</f>
        <v>0.95057385000000005</v>
      </c>
      <c r="AO27" s="8">
        <f t="shared" si="0"/>
        <v>28.116371616249275</v>
      </c>
      <c r="AP27" s="8">
        <f t="shared" si="1"/>
        <v>29.207706591127259</v>
      </c>
      <c r="AQ27" s="8">
        <f t="shared" si="2"/>
        <v>37.228278659314455</v>
      </c>
      <c r="AR27" s="8">
        <f t="shared" si="3"/>
        <v>3.0154864556507475</v>
      </c>
      <c r="AS27" s="8">
        <f t="shared" si="12"/>
        <v>97.56784332234173</v>
      </c>
      <c r="AV27" s="3">
        <f t="array" ref="AV27">MIN(100,MAX(0,M27-AC27*5+$AJ$16*(U27*AI$26+SUMPRODUCT($Y27:$AB27,TRANSPOSE(AI$27:AI$30)))+$AK$16*(U27*AI$31+SUMPRODUCT($Y27:$AB27,TRANSPOSE(AI$32:AI$35)))+$AL$16*(U27*AI$36+SUMPRODUCT($Y27:$AB27,TRANSPOSE(AI$37:AI$40)))))</f>
        <v>28.116371616249275</v>
      </c>
      <c r="AW27" s="43">
        <f t="array" ref="AW27">MIN(100,MAX(0,N27+4-AD27*5+$AI$17*(V27*AJ$26+SUMPRODUCT($Y27:$AB27,TRANSPOSE(AJ$27:AJ$30)))+$AK$17*(V27*AJ$31+SUMPRODUCT($Y27:$AB27,TRANSPOSE(AJ$32:AJ$35)))+$AL$17*(V27*AJ$36+SUMPRODUCT($Y27:$AB27,TRANSPOSE(AJ$37:AJ$40)))))</f>
        <v>29.168624951719998</v>
      </c>
      <c r="AX27" s="43">
        <f t="array" ref="AX27">MIN(100,MAX(0,O27-6.5-AE27*5+$AI$18*(W27*AK$26+SUMPRODUCT($Y27:$AB27,TRANSPOSE(AK$27:AK$30)))+$AJ$18*(W27*AK$31+SUMPRODUCT($Y27:$AB27,TRANSPOSE(AK$32:AK$35)))+$AL$18*(W27*AK$36+SUMPRODUCT($Y27:$AB27,TRANSPOSE(AK$37:AK$40)))))</f>
        <v>37.228278659314455</v>
      </c>
      <c r="AY27" s="3">
        <f t="array" ref="AY27">MIN(100,MAX(0,P27+$AI$19*(X27*AL$26+SUMPRODUCT($Y27:$AB27,TRANSPOSE(AL$27:AL$30)))+$AJ$19*(X27*AL$31+SUMPRODUCT($Y27:$AB27,TRANSPOSE(AL$32:AL$35)))+$AK$19*(X27*AL$36+SUMPRODUCT($Y27:$AB27,TRANSPOSE(AL$37:AL$40)))))</f>
        <v>3.0154864556507475</v>
      </c>
      <c r="BB27">
        <f t="shared" si="13"/>
        <v>0</v>
      </c>
      <c r="BC27">
        <f t="shared" si="14"/>
        <v>0</v>
      </c>
      <c r="BD27">
        <f t="shared" si="15"/>
        <v>1</v>
      </c>
      <c r="BE27">
        <f t="shared" si="16"/>
        <v>0</v>
      </c>
      <c r="BH27">
        <f t="shared" si="17"/>
        <v>0</v>
      </c>
      <c r="BI27">
        <f t="shared" si="18"/>
        <v>0</v>
      </c>
      <c r="BJ27">
        <f t="shared" si="19"/>
        <v>1</v>
      </c>
      <c r="BK27">
        <f t="shared" si="20"/>
        <v>0</v>
      </c>
    </row>
    <row r="28" spans="1:63">
      <c r="A28" t="s">
        <v>647</v>
      </c>
      <c r="B28" t="s">
        <v>288</v>
      </c>
      <c r="C28" t="s">
        <v>658</v>
      </c>
      <c r="D28">
        <v>47013</v>
      </c>
      <c r="E28">
        <v>4702</v>
      </c>
      <c r="F28">
        <v>47</v>
      </c>
      <c r="G28">
        <v>47013</v>
      </c>
      <c r="H28">
        <v>22424</v>
      </c>
      <c r="I28">
        <v>1719</v>
      </c>
      <c r="J28">
        <v>5689</v>
      </c>
      <c r="K28">
        <v>944</v>
      </c>
      <c r="L28">
        <v>30776</v>
      </c>
      <c r="M28" s="3">
        <f>H28/$L28*100</f>
        <v>72.861970366519373</v>
      </c>
      <c r="N28" s="3">
        <f t="shared" si="5"/>
        <v>5.5855211853392257</v>
      </c>
      <c r="O28" s="3">
        <f t="shared" si="6"/>
        <v>18.48518325968287</v>
      </c>
      <c r="P28" s="3">
        <f t="shared" si="7"/>
        <v>3.0673251884585389</v>
      </c>
      <c r="Q28">
        <v>54.8</v>
      </c>
      <c r="R28">
        <v>12.7</v>
      </c>
      <c r="S28">
        <v>28.9</v>
      </c>
      <c r="T28">
        <v>3.2</v>
      </c>
      <c r="U28" s="54">
        <v>0</v>
      </c>
      <c r="V28">
        <f t="shared" si="9"/>
        <v>0</v>
      </c>
      <c r="W28">
        <f t="shared" si="10"/>
        <v>0</v>
      </c>
      <c r="X28">
        <f t="shared" si="11"/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H28" t="s">
        <v>634</v>
      </c>
      <c r="AI28" s="45">
        <f>AVERAGE(AI57:AJ57)</f>
        <v>1.8785499999999997E-3</v>
      </c>
      <c r="AJ28" s="46">
        <f t="shared" ref="AJ28:AJ30" si="23">AI28</f>
        <v>1.8785499999999997E-3</v>
      </c>
      <c r="AK28" s="46">
        <f t="shared" ref="AK28:AK30" si="24">AI33</f>
        <v>9.1819750000000006E-2</v>
      </c>
      <c r="AL28" s="46">
        <f t="shared" ref="AL28:AL30" si="25">AI38</f>
        <v>9.9413699999999994E-2</v>
      </c>
      <c r="AO28" s="8">
        <f t="shared" si="0"/>
        <v>53.297221165084608</v>
      </c>
      <c r="AP28" s="8">
        <f t="shared" si="1"/>
        <v>25.888057374268381</v>
      </c>
      <c r="AQ28" s="8">
        <f t="shared" si="2"/>
        <v>12.37218348951688</v>
      </c>
      <c r="AR28" s="8">
        <f t="shared" si="3"/>
        <v>3.5108027508198374</v>
      </c>
      <c r="AS28" s="8">
        <f t="shared" si="12"/>
        <v>95.068264779689713</v>
      </c>
      <c r="AV28" s="3">
        <f t="array" ref="AV28">MIN(100,MAX(0,M28-AC28*5+$AJ$16*(U28*AI$26+SUMPRODUCT($Y28:$AB28,TRANSPOSE(AI$27:AI$30)))+$AK$16*(U28*AI$31+SUMPRODUCT($Y28:$AB28,TRANSPOSE(AI$32:AI$35)))+$AL$16*(U28*AI$36+SUMPRODUCT($Y28:$AB28,TRANSPOSE(AI$37:AI$40)))))</f>
        <v>53.297221165084608</v>
      </c>
      <c r="AW28" s="3">
        <f t="array" ref="AW28">MIN(100,MAX(0,N28-AD28*5+$AI$17*(V28*AJ$26+SUMPRODUCT($Y28:$AB28,TRANSPOSE(AJ$27:AJ$30)))+$AK$17*(V28*AJ$31+SUMPRODUCT($Y28:$AB28,TRANSPOSE(AJ$32:AJ$35)))+$AL$17*(V28*AJ$36+SUMPRODUCT($Y28:$AB28,TRANSPOSE(AJ$37:AJ$40)))))</f>
        <v>25.819384119086234</v>
      </c>
      <c r="AX28" s="3">
        <f t="array" ref="AX28">MIN(100,MAX(0,O28-AE28*5+$AI$18*(W28*AK$26+SUMPRODUCT($Y28:$AB28,TRANSPOSE(AK$27:AK$30)))+$AJ$18*(W28*AK$31+SUMPRODUCT($Y28:$AB28,TRANSPOSE(AK$32:AK$35)))+$AL$18*(W28*AK$36+SUMPRODUCT($Y28:$AB28,TRANSPOSE(AK$37:AK$40)))))</f>
        <v>12.37218348951688</v>
      </c>
      <c r="AY28" s="3">
        <f t="array" ref="AY28">MIN(100,MAX(0,P28+$AI$19*(X28*AL$26+SUMPRODUCT($Y28:$AB28,TRANSPOSE(AL$27:AL$30)))+$AJ$19*(X28*AL$31+SUMPRODUCT($Y28:$AB28,TRANSPOSE(AL$32:AL$35)))+$AK$19*(X28*AL$36+SUMPRODUCT($Y28:$AB28,TRANSPOSE(AL$37:AL$40)))))</f>
        <v>3.5108027508198374</v>
      </c>
      <c r="BB28">
        <f t="shared" si="13"/>
        <v>1</v>
      </c>
      <c r="BC28">
        <f t="shared" si="14"/>
        <v>0</v>
      </c>
      <c r="BD28">
        <f t="shared" si="15"/>
        <v>0</v>
      </c>
      <c r="BE28">
        <f t="shared" si="16"/>
        <v>0</v>
      </c>
      <c r="BH28">
        <f t="shared" si="17"/>
        <v>1</v>
      </c>
      <c r="BI28">
        <f t="shared" si="18"/>
        <v>0</v>
      </c>
      <c r="BJ28">
        <f t="shared" si="19"/>
        <v>0</v>
      </c>
      <c r="BK28">
        <f t="shared" si="20"/>
        <v>0</v>
      </c>
    </row>
    <row r="29" spans="1:63">
      <c r="A29" t="s">
        <v>647</v>
      </c>
      <c r="B29" t="s">
        <v>289</v>
      </c>
      <c r="C29" t="s">
        <v>659</v>
      </c>
      <c r="D29">
        <v>47014</v>
      </c>
      <c r="E29">
        <v>4701</v>
      </c>
      <c r="F29">
        <v>47</v>
      </c>
      <c r="G29">
        <v>47014</v>
      </c>
      <c r="H29">
        <v>23607</v>
      </c>
      <c r="I29">
        <v>2266</v>
      </c>
      <c r="J29">
        <v>7526</v>
      </c>
      <c r="K29">
        <v>817</v>
      </c>
      <c r="L29">
        <v>34274</v>
      </c>
      <c r="M29" s="3">
        <f t="shared" si="4"/>
        <v>68.877283071716164</v>
      </c>
      <c r="N29" s="3">
        <f t="shared" si="5"/>
        <v>6.6114255704032203</v>
      </c>
      <c r="O29" s="3">
        <f t="shared" si="6"/>
        <v>21.958335764719614</v>
      </c>
      <c r="P29" s="3">
        <f t="shared" si="7"/>
        <v>2.3837311081286106</v>
      </c>
      <c r="Q29">
        <v>54.8</v>
      </c>
      <c r="R29">
        <v>12.7</v>
      </c>
      <c r="S29">
        <v>28.9</v>
      </c>
      <c r="T29">
        <v>3.2</v>
      </c>
      <c r="U29" s="54">
        <v>0</v>
      </c>
      <c r="V29">
        <f t="shared" si="9"/>
        <v>0</v>
      </c>
      <c r="W29">
        <f t="shared" si="10"/>
        <v>0</v>
      </c>
      <c r="X29">
        <f t="shared" si="11"/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H29" t="s">
        <v>635</v>
      </c>
      <c r="AI29" s="45">
        <f>AVERAGE(AI58:AJ58)</f>
        <v>1.0253589999999999</v>
      </c>
      <c r="AJ29" s="46">
        <f t="shared" si="23"/>
        <v>1.0253589999999999</v>
      </c>
      <c r="AK29" s="46">
        <f t="shared" si="24"/>
        <v>0.92151209999999995</v>
      </c>
      <c r="AL29" s="46">
        <f t="shared" si="25"/>
        <v>1.0602955000000001</v>
      </c>
      <c r="AO29" s="8">
        <f t="shared" si="0"/>
        <v>49.312533870281399</v>
      </c>
      <c r="AP29" s="8">
        <f t="shared" si="1"/>
        <v>26.904897565414519</v>
      </c>
      <c r="AQ29" s="8">
        <f t="shared" si="2"/>
        <v>15.845335994553624</v>
      </c>
      <c r="AR29" s="8">
        <f t="shared" si="3"/>
        <v>2.8272086704899086</v>
      </c>
      <c r="AS29" s="8">
        <f t="shared" si="12"/>
        <v>94.889976100739446</v>
      </c>
      <c r="AV29" s="3">
        <f t="array" ref="AV29">MIN(100,MAX(0,M29-AC29*5+$AJ$16*(U29*AI$26+SUMPRODUCT($Y29:$AB29,TRANSPOSE(AI$27:AI$30)))+$AK$16*(U29*AI$31+SUMPRODUCT($Y29:$AB29,TRANSPOSE(AI$32:AI$35)))+$AL$16*(U29*AI$36+SUMPRODUCT($Y29:$AB29,TRANSPOSE(AI$37:AI$40)))))</f>
        <v>49.312533870281399</v>
      </c>
      <c r="AW29" s="3">
        <f t="array" ref="AW29">MIN(100,MAX(0,N29-AD29*5+$AI$17*(V29*AJ$26+SUMPRODUCT($Y29:$AB29,TRANSPOSE(AJ$27:AJ$30)))+$AK$17*(V29*AJ$31+SUMPRODUCT($Y29:$AB29,TRANSPOSE(AJ$32:AJ$35)))+$AL$17*(V29*AJ$36+SUMPRODUCT($Y29:$AB29,TRANSPOSE(AJ$37:AJ$40)))))</f>
        <v>26.845288504150226</v>
      </c>
      <c r="AX29" s="3">
        <f t="array" ref="AX29">MIN(100,MAX(0,O29-AE29*5+$AI$18*(W29*AK$26+SUMPRODUCT($Y29:$AB29,TRANSPOSE(AK$27:AK$30)))+$AJ$18*(W29*AK$31+SUMPRODUCT($Y29:$AB29,TRANSPOSE(AK$32:AK$35)))+$AL$18*(W29*AK$36+SUMPRODUCT($Y29:$AB29,TRANSPOSE(AK$37:AK$40)))))</f>
        <v>15.845335994553624</v>
      </c>
      <c r="AY29" s="3">
        <f t="array" ref="AY29">MIN(100,MAX(0,P29+$AI$19*(X29*AL$26+SUMPRODUCT($Y29:$AB29,TRANSPOSE(AL$27:AL$30)))+$AJ$19*(X29*AL$31+SUMPRODUCT($Y29:$AB29,TRANSPOSE(AL$32:AL$35)))+$AK$19*(X29*AL$36+SUMPRODUCT($Y29:$AB29,TRANSPOSE(AL$37:AL$40)))))</f>
        <v>2.8272086704899086</v>
      </c>
      <c r="BB29">
        <f t="shared" si="13"/>
        <v>1</v>
      </c>
      <c r="BC29">
        <f t="shared" si="14"/>
        <v>0</v>
      </c>
      <c r="BD29">
        <f t="shared" si="15"/>
        <v>0</v>
      </c>
      <c r="BE29">
        <f t="shared" si="16"/>
        <v>0</v>
      </c>
      <c r="BH29">
        <f t="shared" si="17"/>
        <v>1</v>
      </c>
      <c r="BI29">
        <f t="shared" si="18"/>
        <v>0</v>
      </c>
      <c r="BJ29">
        <f t="shared" si="19"/>
        <v>0</v>
      </c>
      <c r="BK29">
        <f t="shared" si="20"/>
        <v>0</v>
      </c>
    </row>
    <row r="30" spans="1:63">
      <c r="AH30" t="s">
        <v>636</v>
      </c>
      <c r="AI30" s="45">
        <f>AVERAGE(AI59:AJ59)</f>
        <v>-9.3174E-3</v>
      </c>
      <c r="AJ30" s="46">
        <f t="shared" si="23"/>
        <v>-9.3174E-3</v>
      </c>
      <c r="AK30" s="46">
        <f t="shared" si="24"/>
        <v>0.13265874999999999</v>
      </c>
      <c r="AL30" s="46">
        <f t="shared" si="25"/>
        <v>-5.51829E-2</v>
      </c>
    </row>
    <row r="31" spans="1:63">
      <c r="M31" s="3">
        <f>AVERAGE(M2:M29)</f>
        <v>54.251211563427262</v>
      </c>
      <c r="N31" s="3">
        <f>AVERAGE(N2:N29)</f>
        <v>12.144071584238622</v>
      </c>
      <c r="O31" s="3">
        <f>AVERAGE(O2:O29)</f>
        <v>30.102323917362309</v>
      </c>
      <c r="P31" s="3">
        <f>AVERAGE(P2:P29)</f>
        <v>3.1484645325446219</v>
      </c>
      <c r="AH31" t="s">
        <v>429</v>
      </c>
      <c r="AI31" s="47">
        <f>AI26</f>
        <v>3.16805E-2</v>
      </c>
      <c r="AJ31" s="47">
        <f t="shared" ref="AJ31:AL31" si="26">AJ26</f>
        <v>0.1005717</v>
      </c>
      <c r="AK31" s="45">
        <f t="shared" si="26"/>
        <v>-4.0888000000000001E-3</v>
      </c>
      <c r="AL31" s="45">
        <f t="shared" si="26"/>
        <v>0</v>
      </c>
      <c r="AN31" t="s">
        <v>443</v>
      </c>
      <c r="AO31" s="3">
        <f>AVERAGE(AO2:AO29)</f>
        <v>39.04243101626183</v>
      </c>
      <c r="AP31" s="3">
        <f>AVERAGE(AP2:AP29)</f>
        <v>32.971507013818055</v>
      </c>
      <c r="AQ31" s="3">
        <f>AVERAGE(AQ2:AQ29)</f>
        <v>22.907225447029294</v>
      </c>
      <c r="AR31" s="3">
        <f>AVERAGE(AR2:AR29)</f>
        <v>3.5921690581687318</v>
      </c>
      <c r="AS31" s="3"/>
      <c r="AV31" s="3">
        <f>AVERAGE(AV2:AV29)</f>
        <v>39.04243101626183</v>
      </c>
      <c r="AW31" s="3">
        <f>AVERAGE(AW2:AW29)</f>
        <v>32.92711527825869</v>
      </c>
      <c r="AX31" s="3">
        <f>AVERAGE(AX2:AX29)</f>
        <v>22.907225447029294</v>
      </c>
      <c r="AY31" s="3">
        <f>AVERAGE(AY2:AY29)</f>
        <v>3.5921690581687318</v>
      </c>
      <c r="BA31" t="s">
        <v>405</v>
      </c>
      <c r="BB31">
        <f>SUM(BB2:BB29)</f>
        <v>17</v>
      </c>
      <c r="BC31">
        <f>SUM(BC2:BC29)</f>
        <v>5</v>
      </c>
      <c r="BD31">
        <f>SUM(BD2:BD29)</f>
        <v>6</v>
      </c>
      <c r="BE31">
        <f>SUM(BE2:BE29)</f>
        <v>0</v>
      </c>
    </row>
    <row r="32" spans="1:63">
      <c r="AH32" t="s">
        <v>633</v>
      </c>
      <c r="AI32" s="47">
        <f>AVERAGE(AI56,AK56)</f>
        <v>0.96486324999999995</v>
      </c>
      <c r="AJ32" s="47">
        <f>AVERAGE(AJ56:AK56)</f>
        <v>0.99939544999999996</v>
      </c>
      <c r="AK32" s="45">
        <f>AJ32</f>
        <v>0.99939544999999996</v>
      </c>
      <c r="AL32" s="45">
        <f>AJ37</f>
        <v>0.98510604999999996</v>
      </c>
    </row>
    <row r="33" spans="10:38">
      <c r="AH33" t="s">
        <v>634</v>
      </c>
      <c r="AI33" s="47">
        <f>AVERAGE(AI57,AK57)</f>
        <v>9.1819750000000006E-2</v>
      </c>
      <c r="AJ33" s="47">
        <f>AVERAGE(AJ57:AK57)</f>
        <v>-5.8343000000000006E-3</v>
      </c>
      <c r="AK33" s="45">
        <f t="shared" ref="AK33:AK35" si="27">AJ33</f>
        <v>-5.8343000000000006E-3</v>
      </c>
      <c r="AL33" s="45">
        <f t="shared" ref="AL33:AL35" si="28">AJ38</f>
        <v>1.7596500000000015E-3</v>
      </c>
    </row>
    <row r="34" spans="10:38">
      <c r="J34" t="s">
        <v>660</v>
      </c>
      <c r="AH34" t="s">
        <v>635</v>
      </c>
      <c r="AI34" s="47">
        <f>AVERAGE(AI58,AK58)</f>
        <v>0.92151209999999995</v>
      </c>
      <c r="AJ34" s="47">
        <f>AVERAGE(AJ58:AK58)</f>
        <v>0.85545910000000003</v>
      </c>
      <c r="AK34" s="45">
        <f t="shared" si="27"/>
        <v>0.85545910000000003</v>
      </c>
      <c r="AL34" s="45">
        <f t="shared" si="28"/>
        <v>0.99424250000000003</v>
      </c>
    </row>
    <row r="35" spans="10:38">
      <c r="AH35" t="s">
        <v>636</v>
      </c>
      <c r="AI35" s="47">
        <f>AVERAGE(AI59,AK59)</f>
        <v>0.13265874999999999</v>
      </c>
      <c r="AJ35" s="47">
        <f>AVERAGE(AJ59:AK59)</f>
        <v>0.18569094999999999</v>
      </c>
      <c r="AK35" s="45">
        <f t="shared" si="27"/>
        <v>0.18569094999999999</v>
      </c>
      <c r="AL35" s="45">
        <f t="shared" si="28"/>
        <v>-2.1507000000000019E-3</v>
      </c>
    </row>
    <row r="36" spans="10:38">
      <c r="J36" t="s">
        <v>268</v>
      </c>
      <c r="R36" t="s">
        <v>521</v>
      </c>
      <c r="AH36" t="s">
        <v>429</v>
      </c>
      <c r="AI36" s="44">
        <f>AI26</f>
        <v>3.16805E-2</v>
      </c>
      <c r="AJ36" s="44">
        <f t="shared" ref="AJ36:AL36" si="29">AJ26</f>
        <v>0.1005717</v>
      </c>
      <c r="AK36" s="44">
        <f t="shared" si="29"/>
        <v>-4.0888000000000001E-3</v>
      </c>
      <c r="AL36" s="47">
        <f t="shared" si="29"/>
        <v>0</v>
      </c>
    </row>
    <row r="37" spans="10:38">
      <c r="L37">
        <v>2011</v>
      </c>
      <c r="M37">
        <v>70.599999999999994</v>
      </c>
      <c r="N37">
        <v>6.7</v>
      </c>
      <c r="O37">
        <v>17.899999999999999</v>
      </c>
      <c r="P37">
        <v>3</v>
      </c>
      <c r="AH37" t="s">
        <v>633</v>
      </c>
      <c r="AI37" s="44">
        <f>AVERAGE(AI56,AL56)</f>
        <v>0.95057385000000005</v>
      </c>
      <c r="AJ37" s="44">
        <f>AVERAGE(AJ56,AL56)</f>
        <v>0.98510604999999996</v>
      </c>
      <c r="AK37" s="44">
        <f>AVERAGE(AK56:AL56)</f>
        <v>0.95402049999999994</v>
      </c>
      <c r="AL37" s="47">
        <f>AK37</f>
        <v>0.95402049999999994</v>
      </c>
    </row>
    <row r="38" spans="10:38">
      <c r="J38" s="53">
        <v>41579</v>
      </c>
      <c r="L38" t="s">
        <v>522</v>
      </c>
      <c r="M38">
        <v>58.2</v>
      </c>
      <c r="N38">
        <v>29.94</v>
      </c>
      <c r="O38">
        <v>8.2200000000000006</v>
      </c>
      <c r="P38">
        <v>3.64</v>
      </c>
      <c r="R38">
        <v>34</v>
      </c>
      <c r="S38">
        <v>34</v>
      </c>
      <c r="T38">
        <v>22</v>
      </c>
      <c r="U38">
        <v>4</v>
      </c>
      <c r="AH38" t="s">
        <v>634</v>
      </c>
      <c r="AI38" s="44">
        <f>AVERAGE(AI57,AL57)</f>
        <v>9.9413699999999994E-2</v>
      </c>
      <c r="AJ38" s="44">
        <f>AVERAGE(AJ57,AL57)</f>
        <v>1.7596500000000015E-3</v>
      </c>
      <c r="AK38" s="44">
        <f>AVERAGE(AK57:AL57)</f>
        <v>9.170085E-2</v>
      </c>
      <c r="AL38" s="47">
        <f t="shared" ref="AL38:AL40" si="30">AK38</f>
        <v>9.170085E-2</v>
      </c>
    </row>
    <row r="39" spans="10:38">
      <c r="L39" t="s">
        <v>442</v>
      </c>
      <c r="M39">
        <f>M37+(R38-AI$5)</f>
        <v>49.8</v>
      </c>
      <c r="N39">
        <f>N37+(S38-AJ$5)</f>
        <v>28</v>
      </c>
      <c r="O39">
        <f>O37+(T38-AK$5)</f>
        <v>11</v>
      </c>
      <c r="P39">
        <f>P37+(U38-AL$5)</f>
        <v>3.8</v>
      </c>
      <c r="AH39" t="s">
        <v>635</v>
      </c>
      <c r="AI39" s="44">
        <f>AVERAGE(AI58,AL58)</f>
        <v>1.0602955000000001</v>
      </c>
      <c r="AJ39" s="44">
        <f>AVERAGE(AJ58,AL58)</f>
        <v>0.99424250000000003</v>
      </c>
      <c r="AK39" s="44">
        <f>AVERAGE(AK58:AL58)</f>
        <v>0.89039559999999995</v>
      </c>
      <c r="AL39" s="47">
        <f t="shared" si="30"/>
        <v>0.89039559999999995</v>
      </c>
    </row>
    <row r="40" spans="10:38">
      <c r="L40" t="s">
        <v>443</v>
      </c>
      <c r="M40">
        <f>M37+0.5*(M38-M39)</f>
        <v>74.8</v>
      </c>
      <c r="N40">
        <f t="shared" ref="N40:P40" si="31">N37+0.5*(N38-N39)</f>
        <v>7.6700000000000008</v>
      </c>
      <c r="O40">
        <f t="shared" si="31"/>
        <v>16.509999999999998</v>
      </c>
      <c r="P40">
        <f t="shared" si="31"/>
        <v>2.92</v>
      </c>
      <c r="AH40" t="s">
        <v>636</v>
      </c>
      <c r="AI40" s="44">
        <f>AVERAGE(AI59,AL59)</f>
        <v>-5.51829E-2</v>
      </c>
      <c r="AJ40" s="44">
        <f>AVERAGE(AJ59,AL59)</f>
        <v>-2.1507000000000019E-3</v>
      </c>
      <c r="AK40" s="44">
        <f>AVERAGE(AK59:AL59)</f>
        <v>0.13982544999999999</v>
      </c>
      <c r="AL40" s="47">
        <f t="shared" si="30"/>
        <v>0.13982544999999999</v>
      </c>
    </row>
    <row r="41" spans="10:38">
      <c r="R41" t="s">
        <v>661</v>
      </c>
    </row>
    <row r="43" spans="10:38">
      <c r="AH43" t="s">
        <v>662</v>
      </c>
    </row>
    <row r="44" spans="10:38">
      <c r="AH44" t="s">
        <v>637</v>
      </c>
      <c r="AI44" s="8">
        <f>SUMPRODUCT(AO$2:AO$29,$Y$2:$Y$29)/SUM($Y$2:$Y$29)</f>
        <v>37.05964685126407</v>
      </c>
      <c r="AJ44" s="8">
        <f t="shared" ref="AJ44:AL44" si="32">SUMPRODUCT(AP$2:AP$29,$Y$2:$Y$29)/SUM($Y$2:$Y$29)</f>
        <v>36.625980412711179</v>
      </c>
      <c r="AK44" s="8">
        <f t="shared" si="32"/>
        <v>20.70399098912716</v>
      </c>
      <c r="AL44" s="8">
        <f t="shared" si="32"/>
        <v>4.0935968887688921</v>
      </c>
    </row>
    <row r="45" spans="10:38">
      <c r="J45" t="s">
        <v>663</v>
      </c>
      <c r="AH45" t="s">
        <v>647</v>
      </c>
      <c r="AI45" s="8">
        <f>SUMPRODUCT(AO$2:AO$29,$AA$2:$AA$29)/SUM($AA$2:$AA$29)</f>
        <v>41.025215181259583</v>
      </c>
      <c r="AJ45" s="8">
        <f t="shared" ref="AJ45:AL45" si="33">SUMPRODUCT(AP$2:AP$29,$AA$2:$AA$29)/SUM($AA$2:$AA$29)</f>
        <v>29.317033614924942</v>
      </c>
      <c r="AK45" s="8">
        <f t="shared" si="33"/>
        <v>25.110459904931421</v>
      </c>
      <c r="AL45" s="8">
        <f t="shared" si="33"/>
        <v>3.0907412275685693</v>
      </c>
    </row>
    <row r="46" spans="10:38">
      <c r="L46">
        <v>2011</v>
      </c>
      <c r="M46">
        <v>57.55851353357415</v>
      </c>
      <c r="N46">
        <v>18.390321144044734</v>
      </c>
      <c r="O46">
        <v>20.1246969172151</v>
      </c>
      <c r="P46">
        <v>3.9264684051660148</v>
      </c>
    </row>
    <row r="47" spans="10:38">
      <c r="L47" t="s">
        <v>522</v>
      </c>
      <c r="M47">
        <v>44.16</v>
      </c>
      <c r="N47">
        <v>42.75</v>
      </c>
      <c r="O47">
        <v>7.22</v>
      </c>
      <c r="P47">
        <v>4.88</v>
      </c>
      <c r="R47">
        <v>34</v>
      </c>
      <c r="S47">
        <v>34</v>
      </c>
      <c r="T47">
        <v>22</v>
      </c>
      <c r="U47">
        <v>4</v>
      </c>
    </row>
    <row r="48" spans="10:38">
      <c r="J48" s="53">
        <v>41579</v>
      </c>
      <c r="L48" t="s">
        <v>442</v>
      </c>
      <c r="M48">
        <f>M46+(R47-AI$5)</f>
        <v>36.758513533574153</v>
      </c>
      <c r="N48">
        <f t="shared" ref="N48" si="34">N46+(S47-AJ$5)</f>
        <v>39.690321144044731</v>
      </c>
      <c r="O48">
        <f t="shared" ref="O48" si="35">O46+(T47-AK$5)</f>
        <v>13.224696917215102</v>
      </c>
      <c r="P48">
        <f t="shared" ref="P48" si="36">P46+(U47-AL$5)</f>
        <v>4.7264684051660151</v>
      </c>
    </row>
    <row r="49" spans="12:38">
      <c r="L49" t="s">
        <v>443</v>
      </c>
      <c r="M49">
        <f>M46+0.5*(M47-M48)</f>
        <v>61.259256766787075</v>
      </c>
      <c r="N49">
        <f t="shared" ref="N49" si="37">N46+0.5*(N47-N48)</f>
        <v>19.920160572022368</v>
      </c>
      <c r="O49">
        <f t="shared" ref="O49" si="38">O46+0.5*(O47-O48)</f>
        <v>17.122348458607551</v>
      </c>
      <c r="P49">
        <f t="shared" ref="P49" si="39">P46+0.5*(P47-P48)</f>
        <v>4.0032342025830072</v>
      </c>
    </row>
    <row r="53" spans="12:38">
      <c r="AH53" t="s">
        <v>664</v>
      </c>
    </row>
    <row r="54" spans="12:38">
      <c r="AI54" t="s">
        <v>478</v>
      </c>
      <c r="AJ54" t="s">
        <v>479</v>
      </c>
      <c r="AK54" t="s">
        <v>480</v>
      </c>
      <c r="AL54" t="s">
        <v>481</v>
      </c>
    </row>
    <row r="55" spans="12:38">
      <c r="AH55" t="s">
        <v>429</v>
      </c>
      <c r="AI55">
        <v>3.16805E-2</v>
      </c>
      <c r="AJ55">
        <v>0.1005717</v>
      </c>
      <c r="AK55">
        <v>-4.0888000000000001E-3</v>
      </c>
      <c r="AL55">
        <v>0</v>
      </c>
    </row>
    <row r="56" spans="12:38">
      <c r="AH56" t="s">
        <v>633</v>
      </c>
      <c r="AI56">
        <v>0.96141659999999995</v>
      </c>
      <c r="AJ56">
        <v>1.030481</v>
      </c>
      <c r="AK56">
        <v>0.96830989999999995</v>
      </c>
      <c r="AL56">
        <v>0.93973110000000004</v>
      </c>
    </row>
    <row r="57" spans="12:38">
      <c r="AH57" t="s">
        <v>634</v>
      </c>
      <c r="AI57">
        <v>9.9532599999999999E-2</v>
      </c>
      <c r="AJ57">
        <v>-9.57755E-2</v>
      </c>
      <c r="AK57">
        <v>8.4106899999999998E-2</v>
      </c>
      <c r="AL57">
        <v>9.9294800000000003E-2</v>
      </c>
    </row>
    <row r="58" spans="12:38">
      <c r="AH58" t="s">
        <v>635</v>
      </c>
      <c r="AI58">
        <v>1.091412</v>
      </c>
      <c r="AJ58">
        <v>0.95930599999999999</v>
      </c>
      <c r="AK58">
        <v>0.75161219999999995</v>
      </c>
      <c r="AL58">
        <v>1.0291790000000001</v>
      </c>
    </row>
    <row r="59" spans="12:38">
      <c r="AH59" t="s">
        <v>636</v>
      </c>
      <c r="AI59">
        <v>-6.2349599999999998E-2</v>
      </c>
      <c r="AJ59">
        <v>4.3714799999999998E-2</v>
      </c>
      <c r="AK59">
        <v>0.32766709999999999</v>
      </c>
      <c r="AL59">
        <v>-4.8016200000000002E-2</v>
      </c>
    </row>
  </sheetData>
  <sortState ref="A3:F30">
    <sortCondition ref="D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zoomScale="80" zoomScaleNormal="80" workbookViewId="0">
      <pane xSplit="4" ySplit="1" topLeftCell="AT2" activePane="bottomRight" state="frozen"/>
      <selection pane="bottomLeft" activeCell="A2" sqref="A2"/>
      <selection pane="topRight" activeCell="D1" sqref="D1"/>
      <selection pane="bottomRight" activeCell="AU32" sqref="AU32"/>
    </sheetView>
  </sheetViews>
  <sheetFormatPr defaultRowHeight="15"/>
  <cols>
    <col min="2" max="2" width="31.7109375" customWidth="1"/>
    <col min="3" max="3" width="34.7109375" customWidth="1"/>
  </cols>
  <sheetData>
    <row r="1" spans="1:64">
      <c r="A1" t="s">
        <v>373</v>
      </c>
      <c r="B1" t="s">
        <v>374</v>
      </c>
      <c r="C1" t="s">
        <v>375</v>
      </c>
      <c r="D1" t="s">
        <v>376</v>
      </c>
      <c r="E1" t="s">
        <v>665</v>
      </c>
      <c r="F1" t="s">
        <v>444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666</v>
      </c>
      <c r="Z1" t="s">
        <v>667</v>
      </c>
      <c r="AA1" t="s">
        <v>668</v>
      </c>
      <c r="AB1" t="s">
        <v>399</v>
      </c>
      <c r="AC1" t="s">
        <v>458</v>
      </c>
      <c r="AD1" t="s">
        <v>459</v>
      </c>
      <c r="AM1" t="s">
        <v>402</v>
      </c>
      <c r="AN1" t="s">
        <v>478</v>
      </c>
      <c r="AO1" t="s">
        <v>479</v>
      </c>
      <c r="AP1" t="s">
        <v>480</v>
      </c>
      <c r="AQ1" t="s">
        <v>481</v>
      </c>
      <c r="AS1" t="s">
        <v>405</v>
      </c>
      <c r="AU1" t="s">
        <v>406</v>
      </c>
      <c r="AV1" t="s">
        <v>478</v>
      </c>
      <c r="AW1" t="s">
        <v>479</v>
      </c>
      <c r="AX1" t="s">
        <v>480</v>
      </c>
      <c r="AY1" t="s">
        <v>481</v>
      </c>
      <c r="AZ1" t="s">
        <v>407</v>
      </c>
      <c r="BB1" t="s">
        <v>538</v>
      </c>
      <c r="BC1" t="s">
        <v>478</v>
      </c>
      <c r="BD1" t="s">
        <v>479</v>
      </c>
      <c r="BE1" t="s">
        <v>480</v>
      </c>
      <c r="BF1" t="s">
        <v>481</v>
      </c>
      <c r="BH1" t="s">
        <v>409</v>
      </c>
      <c r="BI1" t="s">
        <v>478</v>
      </c>
      <c r="BJ1" t="s">
        <v>479</v>
      </c>
      <c r="BK1" t="s">
        <v>480</v>
      </c>
      <c r="BL1" t="s">
        <v>481</v>
      </c>
    </row>
    <row r="2" spans="1:64">
      <c r="A2" t="s">
        <v>13</v>
      </c>
      <c r="B2" t="s">
        <v>291</v>
      </c>
      <c r="C2" t="s">
        <v>669</v>
      </c>
      <c r="D2">
        <v>48001</v>
      </c>
      <c r="E2">
        <v>1</v>
      </c>
      <c r="F2">
        <v>4801</v>
      </c>
      <c r="G2">
        <v>48</v>
      </c>
      <c r="H2">
        <v>29938</v>
      </c>
      <c r="I2">
        <v>3411</v>
      </c>
      <c r="J2">
        <v>5534</v>
      </c>
      <c r="K2">
        <v>3277</v>
      </c>
      <c r="L2">
        <v>42327</v>
      </c>
      <c r="M2" s="3">
        <f t="shared" ref="M2:M35" si="0">H2/$L2*100</f>
        <v>70.730266732818293</v>
      </c>
      <c r="N2" s="3">
        <f t="shared" ref="N2:N35" si="1">I2/$L2*100</f>
        <v>8.0586859451413986</v>
      </c>
      <c r="O2" s="3">
        <f t="shared" ref="O2:O35" si="2">J2/$L2*100</f>
        <v>13.074396957025067</v>
      </c>
      <c r="P2" s="3">
        <f t="shared" ref="P2:P35" si="3">K2/$L2*100</f>
        <v>7.7421031492900516</v>
      </c>
      <c r="Q2">
        <v>62.8</v>
      </c>
      <c r="R2">
        <v>9.3000000000000007</v>
      </c>
      <c r="S2">
        <v>16.8</v>
      </c>
      <c r="T2">
        <v>5.3</v>
      </c>
      <c r="U2">
        <f t="shared" ref="U2:U35" si="4">IF(M2=MAX($M2:$P2),1,0)</f>
        <v>1</v>
      </c>
      <c r="V2">
        <f t="shared" ref="V2:V35" si="5">IF(N2=MAX($M2:$P2),1,0)</f>
        <v>0</v>
      </c>
      <c r="W2">
        <f t="shared" ref="W2:W35" si="6">IF(O2=MAX($M2:$P2),1,0)</f>
        <v>0</v>
      </c>
      <c r="X2">
        <f t="shared" ref="X2:X35" si="7">IF(P2=MAX($M2:$P2),1,0)</f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N2" s="8">
        <f t="shared" ref="AN2:AN35" si="8">(1-BI2*AH$11-(1-BI2)*AH$13)*AV2+BI2*AH$11*(AH$6+AH$6/AH$10*(AV2-AH$6))+(1-BI2)*AH$13*(AV2+(AH$6-AH$12)/(100-AH$12)*(AH$6-AV2))</f>
        <v>58.836863193770142</v>
      </c>
      <c r="AO2" s="8">
        <f t="shared" ref="AO2:AO35" si="9">(1-BJ2*AI$11-(1-BJ2)*AI$13)*AW2+BJ2*AI$11*(AI$6+AI$6/AI$10*(AW2-AI$6))+(1-BJ2)*AI$13*(AW2+(AI$6-AI$12)/(100-AI$12)*(AI$6-AW2))</f>
        <v>23.688139124847677</v>
      </c>
      <c r="AP2" s="8">
        <f t="shared" ref="AP2:AP35" si="10">(1-BK2*AJ$11-(1-BK2)*AJ$13)*AX2+BK2*AJ$11*(AJ$6+AJ$6/AJ$10*(AX2-AJ$6))+(1-BK2)*AJ$13*(AX2+(AJ$6-AJ$12)/(100-AJ$12)*(AJ$6-AX2))</f>
        <v>12.448695105025225</v>
      </c>
      <c r="AQ2" s="8">
        <f t="shared" ref="AQ2:AQ35" si="11">(1-BL2*AK$11-(1-BL2)*AK$13)*AY2+BL2*AK$11*(AK$6+AK$6/AK$10*(AY2-AK$6))+(1-BL2)*AK$13*(AY2+(AK$6-AK$12)/(100-AK$12)*(AK$6-AY2))</f>
        <v>5.7774230540526244</v>
      </c>
      <c r="AR2" s="8"/>
      <c r="AS2" s="3">
        <f>SUM(AN2:AQ2)</f>
        <v>100.75112047769566</v>
      </c>
      <c r="AV2" s="3">
        <f t="array" ref="AV2">MIN(100,MAX(0,M2-AB2*5+$AI$16*(U2*AH$29+SUMPRODUCT($Y2:$AA2,TRANSPOSE(AH$30:AH$32)))+$AJ$16*(U2*AH$33+SUMPRODUCT($Y2:$AA2,TRANSPOSE(AH$34:AH$36)))+$AK$16*(U2*AH$37+SUMPRODUCT($Y2:$AA2,TRANSPOSE(AH$38:AH$40)))))</f>
        <v>58.849798656267893</v>
      </c>
      <c r="AW2" s="3">
        <f t="array" ref="AW2">MIN(100,MAX(0,N2-AC2*5+$AH$17*(V2*AI$29+SUMPRODUCT($Y2:$AA2,TRANSPOSE(AI$30:AI$32)))+$AJ$17*(V2*AI$33+SUMPRODUCT($Y2:$AA2,TRANSPOSE(AI$34:AI$36)))+$AK$17*(V2*AI$37+SUMPRODUCT($Y2:$AA2,TRANSPOSE(AI$38:AI$40)))))</f>
        <v>23.683071600748931</v>
      </c>
      <c r="AX2" s="3">
        <f t="array" ref="AX2">MIN(100,MAX(0,O2-AD2*5+$AH$18*(W2*AJ$29+SUMPRODUCT($Y2:$AA2,TRANSPOSE(AJ$30:AJ$32)))+$AI$18*(W2*AJ$33+SUMPRODUCT($Y2:$AA2,TRANSPOSE(AJ$34:AJ$36)))+$AK$18*(W2*AJ$37+SUMPRODUCT($Y2:$AA2,TRANSPOSE(AJ$38:AJ$40)))))</f>
        <v>12.448695105025225</v>
      </c>
      <c r="AY2" s="3">
        <f t="array" ref="AY2">MIN(100,MAX(0,P2+$AH$19*(X2*AK$29+SUMPRODUCT($Y2:$AA2,TRANSPOSE(AK$30:AK$32)))+$AI$19*(X2*AK$33+SUMPRODUCT($Y2:$AA2,TRANSPOSE(AK$34:AK$36)))+$AJ$19*(X2*AK$37+SUMPRODUCT($Y2:$AA2,TRANSPOSE(AK$38:AK$40)))))</f>
        <v>5.7774230540526244</v>
      </c>
      <c r="AZ2" s="3"/>
      <c r="BC2">
        <f>IF(AN2=MAX($AN2:$AQ2),1,0)</f>
        <v>1</v>
      </c>
      <c r="BD2">
        <f>IF(AO2=MAX($AN2:$AQ2),1,0)</f>
        <v>0</v>
      </c>
      <c r="BE2">
        <f>IF(AP2=MAX($AN2:$AQ2),1,0)</f>
        <v>0</v>
      </c>
      <c r="BF2">
        <f>IF(AQ2=MAX($AN2:$AQ2),1,0)</f>
        <v>0</v>
      </c>
      <c r="BI2">
        <f>IF(AV2&gt;AH$6,1,0)</f>
        <v>1</v>
      </c>
      <c r="BJ2">
        <f>IF(AW2&gt;AI$6,1,0)</f>
        <v>0</v>
      </c>
      <c r="BK2">
        <f>IF(AX2&gt;AJ$6,1,0)</f>
        <v>0</v>
      </c>
      <c r="BL2">
        <f>IF(AY2&gt;AK$6,1,0)</f>
        <v>1</v>
      </c>
    </row>
    <row r="3" spans="1:64">
      <c r="A3" t="s">
        <v>13</v>
      </c>
      <c r="B3" t="s">
        <v>292</v>
      </c>
      <c r="C3" t="s">
        <v>670</v>
      </c>
      <c r="D3">
        <v>48002</v>
      </c>
      <c r="E3">
        <v>1</v>
      </c>
      <c r="F3">
        <v>4803</v>
      </c>
      <c r="G3">
        <v>48</v>
      </c>
      <c r="H3">
        <v>39645</v>
      </c>
      <c r="I3">
        <v>1028</v>
      </c>
      <c r="J3">
        <v>4694</v>
      </c>
      <c r="K3">
        <v>1859</v>
      </c>
      <c r="L3">
        <v>47713</v>
      </c>
      <c r="M3" s="3">
        <f t="shared" si="0"/>
        <v>83.090562320541579</v>
      </c>
      <c r="N3" s="3">
        <f t="shared" si="1"/>
        <v>2.154549074675665</v>
      </c>
      <c r="O3" s="3">
        <f t="shared" si="2"/>
        <v>9.837989646427598</v>
      </c>
      <c r="P3" s="3">
        <f t="shared" si="3"/>
        <v>3.8962127722004483</v>
      </c>
      <c r="Q3">
        <v>62.8</v>
      </c>
      <c r="R3">
        <v>9.3000000000000007</v>
      </c>
      <c r="S3">
        <v>16.8</v>
      </c>
      <c r="T3">
        <v>5.3</v>
      </c>
      <c r="U3">
        <f t="shared" si="4"/>
        <v>1</v>
      </c>
      <c r="V3">
        <f t="shared" si="5"/>
        <v>0</v>
      </c>
      <c r="W3">
        <f t="shared" si="6"/>
        <v>0</v>
      </c>
      <c r="X3">
        <f t="shared" si="7"/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N3" s="8">
        <f t="shared" si="8"/>
        <v>71.157450227035156</v>
      </c>
      <c r="AO3" s="8">
        <f t="shared" si="9"/>
        <v>17.803175382190481</v>
      </c>
      <c r="AP3" s="8">
        <f t="shared" si="10"/>
        <v>9.2122877944277555</v>
      </c>
      <c r="AQ3" s="8">
        <f t="shared" si="11"/>
        <v>1.9315326769630212</v>
      </c>
      <c r="AR3" s="8"/>
      <c r="AS3" s="3">
        <f t="shared" ref="AS3:AS35" si="12">SUM(AN3:AQ3)</f>
        <v>100.10444608061641</v>
      </c>
      <c r="AV3" s="3">
        <f t="array" ref="AV3">MIN(100,MAX(0,M3-AB3*5+$AI$16*(U3*AH$29+SUMPRODUCT($Y3:$AA3,TRANSPOSE(AH$30:AH$32)))+$AJ$16*(U3*AH$33+SUMPRODUCT($Y3:$AA3,TRANSPOSE(AH$34:AH$36)))+$AK$16*(U3*AH$37+SUMPRODUCT($Y3:$AA3,TRANSPOSE(AH$38:AH$40)))))</f>
        <v>71.210094243991179</v>
      </c>
      <c r="AW3" s="3">
        <f t="array" ref="AW3">MIN(100,MAX(0,N3-AC3*5+$AH$17*(V3*AI$29+SUMPRODUCT($Y3:$AA3,TRANSPOSE(AI$30:AI$32)))+$AJ$17*(V3*AI$33+SUMPRODUCT($Y3:$AA3,TRANSPOSE(AI$34:AI$36)))+$AK$17*(V3*AI$37+SUMPRODUCT($Y3:$AA3,TRANSPOSE(AI$38:AI$40)))))</f>
        <v>17.778934730283197</v>
      </c>
      <c r="AX3" s="3">
        <f t="array" ref="AX3">MIN(100,MAX(0,O3-AD3*5+$AH$18*(W3*AJ$29+SUMPRODUCT($Y3:$AA3,TRANSPOSE(AJ$30:AJ$32)))+$AI$18*(W3*AJ$33+SUMPRODUCT($Y3:$AA3,TRANSPOSE(AJ$34:AJ$36)))+$AK$18*(W3*AJ$37+SUMPRODUCT($Y3:$AA3,TRANSPOSE(AJ$38:AJ$40)))))</f>
        <v>9.2122877944277555</v>
      </c>
      <c r="AY3" s="3">
        <f t="array" ref="AY3">MIN(100,MAX(0,P3+$AH$19*(X3*AK$29+SUMPRODUCT($Y3:$AA3,TRANSPOSE(AK$30:AK$32)))+$AI$19*(X3*AK$33+SUMPRODUCT($Y3:$AA3,TRANSPOSE(AK$34:AK$36)))+$AJ$19*(X3*AK$37+SUMPRODUCT($Y3:$AA3,TRANSPOSE(AK$38:AK$40)))))</f>
        <v>1.9315326769630212</v>
      </c>
      <c r="AZ3" s="3"/>
      <c r="BC3">
        <f t="shared" ref="BC3:BC35" si="13">IF(AN3=MAX($AN3:$AQ3),1,0)</f>
        <v>1</v>
      </c>
      <c r="BD3">
        <f t="shared" ref="BD3:BD35" si="14">IF(AO3=MAX($AN3:$AQ3),1,0)</f>
        <v>0</v>
      </c>
      <c r="BE3">
        <f t="shared" ref="BE3:BE35" si="15">IF(AP3=MAX($AN3:$AQ3),1,0)</f>
        <v>0</v>
      </c>
      <c r="BF3">
        <f t="shared" ref="BF3:BF35" si="16">IF(AQ3=MAX($AN3:$AQ3),1,0)</f>
        <v>0</v>
      </c>
      <c r="BI3">
        <f t="shared" ref="BI3:BI35" si="17">IF(AV3&gt;AH$6,1,0)</f>
        <v>1</v>
      </c>
      <c r="BJ3">
        <f t="shared" ref="BJ3:BJ35" si="18">IF(AW3&gt;AI$6,1,0)</f>
        <v>0</v>
      </c>
      <c r="BK3">
        <f t="shared" ref="BK3:BK35" si="19">IF(AX3&gt;AJ$6,1,0)</f>
        <v>0</v>
      </c>
      <c r="BL3">
        <f t="shared" ref="BL3:BL35" si="20">IF(AY3&gt;AK$6,1,0)</f>
        <v>0</v>
      </c>
    </row>
    <row r="4" spans="1:64">
      <c r="A4" t="s">
        <v>13</v>
      </c>
      <c r="B4" t="s">
        <v>293</v>
      </c>
      <c r="C4" t="s">
        <v>293</v>
      </c>
      <c r="D4">
        <v>48003</v>
      </c>
      <c r="E4">
        <v>1</v>
      </c>
      <c r="F4">
        <v>4803</v>
      </c>
      <c r="G4">
        <v>48</v>
      </c>
      <c r="H4">
        <v>30412</v>
      </c>
      <c r="I4">
        <v>1291</v>
      </c>
      <c r="J4">
        <v>2976</v>
      </c>
      <c r="K4">
        <v>1244</v>
      </c>
      <c r="L4">
        <v>36469</v>
      </c>
      <c r="M4" s="3">
        <f t="shared" si="0"/>
        <v>83.391373495297373</v>
      </c>
      <c r="N4" s="3">
        <f t="shared" si="1"/>
        <v>3.5399928706572705</v>
      </c>
      <c r="O4" s="3">
        <f t="shared" si="2"/>
        <v>8.1603553703145142</v>
      </c>
      <c r="P4" s="3">
        <f t="shared" si="3"/>
        <v>3.4111162905481369</v>
      </c>
      <c r="Q4">
        <v>62.8</v>
      </c>
      <c r="R4">
        <v>9.3000000000000007</v>
      </c>
      <c r="S4">
        <v>16.8</v>
      </c>
      <c r="T4">
        <v>5.3</v>
      </c>
      <c r="U4">
        <f t="shared" si="4"/>
        <v>1</v>
      </c>
      <c r="V4">
        <f t="shared" si="5"/>
        <v>0</v>
      </c>
      <c r="W4">
        <f t="shared" si="6"/>
        <v>0</v>
      </c>
      <c r="X4">
        <f t="shared" si="7"/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H4" t="s">
        <v>478</v>
      </c>
      <c r="AI4" t="s">
        <v>479</v>
      </c>
      <c r="AJ4" t="s">
        <v>480</v>
      </c>
      <c r="AK4" t="s">
        <v>481</v>
      </c>
      <c r="AN4" s="8">
        <f t="shared" si="8"/>
        <v>71.457295019002629</v>
      </c>
      <c r="AO4" s="8">
        <f t="shared" si="9"/>
        <v>19.184120080072795</v>
      </c>
      <c r="AP4" s="8">
        <f t="shared" si="10"/>
        <v>7.5346535183146717</v>
      </c>
      <c r="AQ4" s="8">
        <f t="shared" si="11"/>
        <v>1.4464361953107099</v>
      </c>
      <c r="AR4" s="8"/>
      <c r="AS4" s="3">
        <f t="shared" si="12"/>
        <v>99.622504812700811</v>
      </c>
      <c r="AV4" s="3">
        <f t="array" ref="AV4">MIN(100,MAX(0,M4-AB4*5+$AI$16*(U4*AH$29+SUMPRODUCT($Y4:$AA4,TRANSPOSE(AH$30:AH$32)))+$AJ$16*(U4*AH$33+SUMPRODUCT($Y4:$AA4,TRANSPOSE(AH$34:AH$36)))+$AK$16*(U4*AH$37+SUMPRODUCT($Y4:$AA4,TRANSPOSE(AH$38:AH$40)))))</f>
        <v>71.510905418746972</v>
      </c>
      <c r="AW4" s="3">
        <f t="array" ref="AW4">MIN(100,MAX(0,N4-AC4*5+$AH$17*(V4*AI$29+SUMPRODUCT($Y4:$AA4,TRANSPOSE(AI$30:AI$32)))+$AJ$17*(V4*AI$33+SUMPRODUCT($Y4:$AA4,TRANSPOSE(AI$34:AI$36)))+$AK$17*(V4*AI$37+SUMPRODUCT($Y4:$AA4,TRANSPOSE(AI$38:AI$40)))))</f>
        <v>19.164378526264805</v>
      </c>
      <c r="AX4" s="3">
        <f t="array" ref="AX4">MIN(100,MAX(0,O4-AD4*5+$AH$18*(W4*AJ$29+SUMPRODUCT($Y4:$AA4,TRANSPOSE(AJ$30:AJ$32)))+$AI$18*(W4*AJ$33+SUMPRODUCT($Y4:$AA4,TRANSPOSE(AJ$34:AJ$36)))+$AK$18*(W4*AJ$37+SUMPRODUCT($Y4:$AA4,TRANSPOSE(AJ$38:AJ$40)))))</f>
        <v>7.5346535183146717</v>
      </c>
      <c r="AY4" s="3">
        <f t="array" ref="AY4">MIN(100,MAX(0,P4+$AH$19*(X4*AK$29+SUMPRODUCT($Y4:$AA4,TRANSPOSE(AK$30:AK$32)))+$AI$19*(X4*AK$33+SUMPRODUCT($Y4:$AA4,TRANSPOSE(AK$34:AK$36)))+$AJ$19*(X4*AK$37+SUMPRODUCT($Y4:$AA4,TRANSPOSE(AK$38:AK$40)))))</f>
        <v>1.4464361953107099</v>
      </c>
      <c r="AZ4" s="3"/>
      <c r="BC4">
        <f t="shared" si="13"/>
        <v>1</v>
      </c>
      <c r="BD4">
        <f t="shared" si="14"/>
        <v>0</v>
      </c>
      <c r="BE4">
        <f t="shared" si="15"/>
        <v>0</v>
      </c>
      <c r="BF4">
        <f t="shared" si="16"/>
        <v>0</v>
      </c>
      <c r="BI4">
        <f t="shared" si="17"/>
        <v>1</v>
      </c>
      <c r="BJ4">
        <f t="shared" si="18"/>
        <v>0</v>
      </c>
      <c r="BK4">
        <f t="shared" si="19"/>
        <v>0</v>
      </c>
      <c r="BL4">
        <f t="shared" si="20"/>
        <v>0</v>
      </c>
    </row>
    <row r="5" spans="1:64">
      <c r="A5" t="s">
        <v>13</v>
      </c>
      <c r="B5" t="s">
        <v>294</v>
      </c>
      <c r="C5" t="s">
        <v>294</v>
      </c>
      <c r="D5">
        <v>48004</v>
      </c>
      <c r="E5">
        <v>1</v>
      </c>
      <c r="F5">
        <v>4803</v>
      </c>
      <c r="G5">
        <v>48</v>
      </c>
      <c r="H5">
        <v>22949</v>
      </c>
      <c r="I5">
        <v>7926</v>
      </c>
      <c r="J5">
        <v>6285</v>
      </c>
      <c r="K5">
        <v>4282</v>
      </c>
      <c r="L5">
        <v>41451</v>
      </c>
      <c r="M5" s="3">
        <f t="shared" si="0"/>
        <v>55.364164917613564</v>
      </c>
      <c r="N5" s="3">
        <f t="shared" si="1"/>
        <v>19.121372222624302</v>
      </c>
      <c r="O5" s="3">
        <f t="shared" si="2"/>
        <v>15.162481001664615</v>
      </c>
      <c r="P5" s="3">
        <f t="shared" si="3"/>
        <v>10.330269474801574</v>
      </c>
      <c r="Q5">
        <v>62.8</v>
      </c>
      <c r="R5">
        <v>9.3000000000000007</v>
      </c>
      <c r="S5">
        <v>16.8</v>
      </c>
      <c r="T5">
        <v>5.3</v>
      </c>
      <c r="U5">
        <f t="shared" si="4"/>
        <v>1</v>
      </c>
      <c r="V5">
        <f t="shared" si="5"/>
        <v>0</v>
      </c>
      <c r="W5">
        <f t="shared" si="6"/>
        <v>0</v>
      </c>
      <c r="X5">
        <f t="shared" si="7"/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G5">
        <v>2011</v>
      </c>
      <c r="AH5">
        <v>66.8</v>
      </c>
      <c r="AI5">
        <v>9.3000000000000007</v>
      </c>
      <c r="AJ5">
        <v>16.8</v>
      </c>
      <c r="AK5">
        <v>5.3</v>
      </c>
      <c r="AL5">
        <f>SUM(AH5:AK5)</f>
        <v>98.199999999999989</v>
      </c>
      <c r="AN5" s="8">
        <f t="shared" si="8"/>
        <v>43.577820469094661</v>
      </c>
      <c r="AO5" s="8">
        <f t="shared" si="9"/>
        <v>34.810196851332144</v>
      </c>
      <c r="AP5" s="8">
        <f t="shared" si="10"/>
        <v>14.442854863392512</v>
      </c>
      <c r="AQ5" s="8">
        <f t="shared" si="11"/>
        <v>8.3057085414584151</v>
      </c>
      <c r="AR5" s="8"/>
      <c r="AS5" s="3">
        <f t="shared" si="12"/>
        <v>101.13658072527772</v>
      </c>
      <c r="AV5" s="3">
        <f t="array" ref="AV5">MIN(100,MAX(0,M5-AB5*5+$AI$16*(U5*AH$29+SUMPRODUCT($Y5:$AA5,TRANSPOSE(AH$30:AH$32)))+$AJ$16*(U5*AH$33+SUMPRODUCT($Y5:$AA5,TRANSPOSE(AH$34:AH$36)))+$AK$16*(U5*AH$37+SUMPRODUCT($Y5:$AA5,TRANSPOSE(AH$38:AH$40)))))</f>
        <v>43.577820469094661</v>
      </c>
      <c r="AW5" s="3">
        <f t="array" ref="AW5">MIN(100,MAX(0,N5-AC5*5+$AH$17*(V5*AI$29+SUMPRODUCT($Y5:$AA5,TRANSPOSE(AI$30:AI$32)))+$AJ$17*(V5*AI$33+SUMPRODUCT($Y5:$AA5,TRANSPOSE(AI$34:AI$36)))+$AK$17*(V5*AI$37+SUMPRODUCT($Y5:$AA5,TRANSPOSE(AI$38:AI$40)))))</f>
        <v>34.810196851332144</v>
      </c>
      <c r="AX5" s="3">
        <f t="array" ref="AX5">MIN(100,MAX(0,O5-AD5*5+$AH$18*(W5*AJ$29+SUMPRODUCT($Y5:$AA5,TRANSPOSE(AJ$30:AJ$32)))+$AI$18*(W5*AJ$33+SUMPRODUCT($Y5:$AA5,TRANSPOSE(AJ$34:AJ$36)))+$AK$18*(W5*AJ$37+SUMPRODUCT($Y5:$AA5,TRANSPOSE(AJ$38:AJ$40)))))</f>
        <v>14.442854863392512</v>
      </c>
      <c r="AY5" s="3">
        <f t="array" ref="AY5">MIN(100,MAX(0,P5+$AH$19*(X5*AK$29+SUMPRODUCT($Y5:$AA5,TRANSPOSE(AK$30:AK$32)))+$AI$19*(X5*AK$33+SUMPRODUCT($Y5:$AA5,TRANSPOSE(AK$34:AK$36)))+$AJ$19*(X5*AK$37+SUMPRODUCT($Y5:$AA5,TRANSPOSE(AK$38:AK$40)))))</f>
        <v>8.3057085414584151</v>
      </c>
      <c r="AZ5" s="3"/>
      <c r="BC5">
        <f t="shared" si="13"/>
        <v>1</v>
      </c>
      <c r="BD5">
        <f t="shared" si="14"/>
        <v>0</v>
      </c>
      <c r="BE5">
        <f t="shared" si="15"/>
        <v>0</v>
      </c>
      <c r="BF5">
        <f t="shared" si="16"/>
        <v>0</v>
      </c>
      <c r="BI5">
        <f t="shared" si="17"/>
        <v>0</v>
      </c>
      <c r="BJ5">
        <f t="shared" si="18"/>
        <v>1</v>
      </c>
      <c r="BK5">
        <f t="shared" si="19"/>
        <v>0</v>
      </c>
      <c r="BL5">
        <f t="shared" si="20"/>
        <v>1</v>
      </c>
    </row>
    <row r="6" spans="1:64">
      <c r="A6" t="s">
        <v>13</v>
      </c>
      <c r="B6" t="s">
        <v>295</v>
      </c>
      <c r="C6" t="s">
        <v>295</v>
      </c>
      <c r="D6">
        <v>48005</v>
      </c>
      <c r="E6">
        <v>1</v>
      </c>
      <c r="F6">
        <v>4803</v>
      </c>
      <c r="G6">
        <v>48</v>
      </c>
      <c r="H6">
        <v>26619</v>
      </c>
      <c r="I6">
        <v>8957</v>
      </c>
      <c r="J6">
        <v>8036</v>
      </c>
      <c r="K6">
        <v>6956</v>
      </c>
      <c r="L6">
        <v>50771</v>
      </c>
      <c r="M6" s="3">
        <f t="shared" si="0"/>
        <v>52.429536546453683</v>
      </c>
      <c r="N6" s="3">
        <f t="shared" si="1"/>
        <v>17.641960961966475</v>
      </c>
      <c r="O6" s="3">
        <f t="shared" si="2"/>
        <v>15.827933268992142</v>
      </c>
      <c r="P6" s="3">
        <f t="shared" si="3"/>
        <v>13.700734671367512</v>
      </c>
      <c r="Q6">
        <v>62.8</v>
      </c>
      <c r="R6">
        <v>9.3000000000000007</v>
      </c>
      <c r="S6">
        <v>16.8</v>
      </c>
      <c r="T6">
        <v>5.3</v>
      </c>
      <c r="U6">
        <f t="shared" si="4"/>
        <v>1</v>
      </c>
      <c r="V6">
        <f t="shared" si="5"/>
        <v>0</v>
      </c>
      <c r="W6">
        <f t="shared" si="6"/>
        <v>0</v>
      </c>
      <c r="X6">
        <f t="shared" si="7"/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G6">
        <v>2015</v>
      </c>
      <c r="AH6">
        <f>projections!C8</f>
        <v>54.823307583568258</v>
      </c>
      <c r="AI6">
        <f>projections!D8</f>
        <v>25.24355542853921</v>
      </c>
      <c r="AJ6">
        <f>projections!E8</f>
        <v>16.004765379473866</v>
      </c>
      <c r="AK6">
        <f>projections!F8</f>
        <v>3.3054712838938656</v>
      </c>
      <c r="AL6" s="3">
        <f>SUM(AH6:AK6)</f>
        <v>99.377099675475193</v>
      </c>
      <c r="AN6" s="8">
        <f t="shared" si="8"/>
        <v>40.643192097934779</v>
      </c>
      <c r="AO6" s="8">
        <f t="shared" si="9"/>
        <v>37.83078559067431</v>
      </c>
      <c r="AP6" s="8">
        <f t="shared" si="10"/>
        <v>15.108307130720039</v>
      </c>
      <c r="AQ6" s="8">
        <f t="shared" si="11"/>
        <v>8.6761737380243531</v>
      </c>
      <c r="AR6" s="8"/>
      <c r="AS6" s="3">
        <f t="shared" si="12"/>
        <v>102.25845855735349</v>
      </c>
      <c r="AV6" s="3">
        <f t="array" ref="AV6">MIN(100,MAX(0,M6-AB6*5+$AI$16*(U6*AH$29+SUMPRODUCT($Y6:$AA6,TRANSPOSE(AH$30:AH$32)))+$AJ$16*(U6*AH$33+SUMPRODUCT($Y6:$AA6,TRANSPOSE(AH$34:AH$36)))+$AK$16*(U6*AH$37+SUMPRODUCT($Y6:$AA6,TRANSPOSE(AH$38:AH$40)))))</f>
        <v>40.643192097934779</v>
      </c>
      <c r="AW6" s="43">
        <f t="array" ref="AW6">MIN(100,MAX(0,N6+4.5-AC6*5+$AH$17*(V6*AI$29+SUMPRODUCT($Y6:$AA6,TRANSPOSE(AI$30:AI$32)))+$AJ$17*(V6*AI$33+SUMPRODUCT($Y6:$AA6,TRANSPOSE(AI$34:AI$36)))+$AK$17*(V6*AI$37+SUMPRODUCT($Y6:$AA6,TRANSPOSE(AI$38:AI$40)))))</f>
        <v>37.83078559067431</v>
      </c>
      <c r="AX6" s="3">
        <f t="array" ref="AX6">MIN(100,MAX(0,O6-AD6*5+$AH$18*(W6*AJ$29+SUMPRODUCT($Y6:$AA6,TRANSPOSE(AJ$30:AJ$32)))+$AI$18*(W6*AJ$33+SUMPRODUCT($Y6:$AA6,TRANSPOSE(AJ$34:AJ$36)))+$AK$18*(W6*AJ$37+SUMPRODUCT($Y6:$AA6,TRANSPOSE(AJ$38:AJ$40)))))</f>
        <v>15.108307130720039</v>
      </c>
      <c r="AY6" s="43">
        <f t="array" ref="AY6">MIN(100,MAX(0,P6-3+$AH$19*(X6*AK$29+SUMPRODUCT($Y6:$AA6,TRANSPOSE(AK$30:AK$32)))+$AI$19*(X6*AK$33+SUMPRODUCT($Y6:$AA6,TRANSPOSE(AK$34:AK$36)))+$AJ$19*(X6*AK$37+SUMPRODUCT($Y6:$AA6,TRANSPOSE(AK$38:AK$40)))))</f>
        <v>8.6761737380243531</v>
      </c>
      <c r="AZ6" s="64"/>
      <c r="BC6">
        <f t="shared" si="13"/>
        <v>1</v>
      </c>
      <c r="BD6">
        <f t="shared" si="14"/>
        <v>0</v>
      </c>
      <c r="BE6">
        <f t="shared" si="15"/>
        <v>0</v>
      </c>
      <c r="BF6">
        <f t="shared" si="16"/>
        <v>0</v>
      </c>
      <c r="BI6">
        <f t="shared" si="17"/>
        <v>0</v>
      </c>
      <c r="BJ6">
        <f t="shared" si="18"/>
        <v>1</v>
      </c>
      <c r="BK6">
        <f t="shared" si="19"/>
        <v>0</v>
      </c>
      <c r="BL6">
        <f t="shared" si="20"/>
        <v>1</v>
      </c>
    </row>
    <row r="7" spans="1:64">
      <c r="A7" t="s">
        <v>13</v>
      </c>
      <c r="B7" t="s">
        <v>296</v>
      </c>
      <c r="C7" t="s">
        <v>296</v>
      </c>
      <c r="D7">
        <v>48006</v>
      </c>
      <c r="E7">
        <v>1</v>
      </c>
      <c r="F7">
        <v>4803</v>
      </c>
      <c r="G7">
        <v>48</v>
      </c>
      <c r="H7">
        <v>19574</v>
      </c>
      <c r="I7">
        <v>5397</v>
      </c>
      <c r="J7">
        <v>4064</v>
      </c>
      <c r="K7">
        <v>1638</v>
      </c>
      <c r="L7">
        <v>30899</v>
      </c>
      <c r="M7" s="3">
        <f t="shared" si="0"/>
        <v>63.348328424868114</v>
      </c>
      <c r="N7" s="3">
        <f t="shared" si="1"/>
        <v>17.466584679115829</v>
      </c>
      <c r="O7" s="3">
        <f t="shared" si="2"/>
        <v>13.152529208064987</v>
      </c>
      <c r="P7" s="3">
        <f t="shared" si="3"/>
        <v>5.3011424317939095</v>
      </c>
      <c r="Q7">
        <v>62.8</v>
      </c>
      <c r="R7">
        <v>9.3000000000000007</v>
      </c>
      <c r="S7">
        <v>16.8</v>
      </c>
      <c r="T7">
        <v>5.3</v>
      </c>
      <c r="U7">
        <f t="shared" si="4"/>
        <v>1</v>
      </c>
      <c r="V7">
        <f t="shared" si="5"/>
        <v>0</v>
      </c>
      <c r="W7">
        <f t="shared" si="6"/>
        <v>0</v>
      </c>
      <c r="X7">
        <f t="shared" si="7"/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G7" t="s">
        <v>415</v>
      </c>
      <c r="AH7">
        <f>AH6-AH5</f>
        <v>-11.976692416431739</v>
      </c>
      <c r="AI7">
        <f>AI6-AI5</f>
        <v>15.943555428539209</v>
      </c>
      <c r="AJ7">
        <f>AJ6-AJ5</f>
        <v>-0.79523462052613425</v>
      </c>
      <c r="AK7">
        <f>AK6-AK5</f>
        <v>-1.9945287161061342</v>
      </c>
      <c r="AN7" s="8">
        <f t="shared" si="8"/>
        <v>51.561983976349211</v>
      </c>
      <c r="AO7" s="8">
        <f t="shared" si="9"/>
        <v>33.155409307823668</v>
      </c>
      <c r="AP7" s="8">
        <f t="shared" si="10"/>
        <v>12.432903069792886</v>
      </c>
      <c r="AQ7" s="8">
        <f t="shared" si="11"/>
        <v>3.2765814984507502</v>
      </c>
      <c r="AR7" s="8"/>
      <c r="AS7" s="3">
        <f t="shared" si="12"/>
        <v>100.42687785241652</v>
      </c>
      <c r="AV7" s="3">
        <f t="array" ref="AV7">MIN(100,MAX(0,M7-AB7*5+$AI$16*(U7*AH$29+SUMPRODUCT($Y7:$AA7,TRANSPOSE(AH$30:AH$32)))+$AJ$16*(U7*AH$33+SUMPRODUCT($Y7:$AA7,TRANSPOSE(AH$34:AH$36)))+$AK$16*(U7*AH$37+SUMPRODUCT($Y7:$AA7,TRANSPOSE(AH$38:AH$40)))))</f>
        <v>51.561983976349211</v>
      </c>
      <c r="AW7" s="3">
        <f t="array" ref="AW7">MIN(100,MAX(0,N7-AC7*5+$AH$17*(V7*AI$29+SUMPRODUCT($Y7:$AA7,TRANSPOSE(AI$30:AI$32)))+$AJ$17*(V7*AI$33+SUMPRODUCT($Y7:$AA7,TRANSPOSE(AI$34:AI$36)))+$AK$17*(V7*AI$37+SUMPRODUCT($Y7:$AA7,TRANSPOSE(AI$38:AI$40)))))</f>
        <v>33.155409307823668</v>
      </c>
      <c r="AX7" s="3">
        <f t="array" ref="AX7">MIN(100,MAX(0,O7-AD7*5+$AH$18*(W7*AJ$29+SUMPRODUCT($Y7:$AA7,TRANSPOSE(AJ$30:AJ$32)))+$AI$18*(W7*AJ$33+SUMPRODUCT($Y7:$AA7,TRANSPOSE(AJ$34:AJ$36)))+$AK$18*(W7*AJ$37+SUMPRODUCT($Y7:$AA7,TRANSPOSE(AJ$38:AJ$40)))))</f>
        <v>12.432903069792886</v>
      </c>
      <c r="AY7" s="3">
        <f t="array" ref="AY7">MIN(100,MAX(0,P7+$AH$19*(X7*AK$29+SUMPRODUCT($Y7:$AA7,TRANSPOSE(AK$30:AK$32)))+$AI$19*(X7*AK$33+SUMPRODUCT($Y7:$AA7,TRANSPOSE(AK$34:AK$36)))+$AJ$19*(X7*AK$37+SUMPRODUCT($Y7:$AA7,TRANSPOSE(AK$38:AK$40)))))</f>
        <v>3.2765814984507502</v>
      </c>
      <c r="AZ7" s="3"/>
      <c r="BC7">
        <f t="shared" si="13"/>
        <v>1</v>
      </c>
      <c r="BD7">
        <f t="shared" si="14"/>
        <v>0</v>
      </c>
      <c r="BE7">
        <f t="shared" si="15"/>
        <v>0</v>
      </c>
      <c r="BF7">
        <f t="shared" si="16"/>
        <v>0</v>
      </c>
      <c r="BI7">
        <f t="shared" si="17"/>
        <v>0</v>
      </c>
      <c r="BJ7">
        <f t="shared" si="18"/>
        <v>1</v>
      </c>
      <c r="BK7">
        <f t="shared" si="19"/>
        <v>0</v>
      </c>
      <c r="BL7">
        <f t="shared" si="20"/>
        <v>0</v>
      </c>
    </row>
    <row r="8" spans="1:64">
      <c r="A8" t="s">
        <v>13</v>
      </c>
      <c r="B8" t="s">
        <v>297</v>
      </c>
      <c r="C8" t="s">
        <v>297</v>
      </c>
      <c r="D8">
        <v>48007</v>
      </c>
      <c r="E8">
        <v>1</v>
      </c>
      <c r="F8">
        <v>4803</v>
      </c>
      <c r="G8">
        <v>48</v>
      </c>
      <c r="H8">
        <v>34761</v>
      </c>
      <c r="I8">
        <v>3485</v>
      </c>
      <c r="J8">
        <v>5663</v>
      </c>
      <c r="K8">
        <v>2568</v>
      </c>
      <c r="L8">
        <v>46732</v>
      </c>
      <c r="M8" s="3">
        <f t="shared" si="0"/>
        <v>74.383719934948218</v>
      </c>
      <c r="N8" s="3">
        <f t="shared" si="1"/>
        <v>7.4574167593939906</v>
      </c>
      <c r="O8" s="3">
        <f t="shared" si="2"/>
        <v>12.118034751348112</v>
      </c>
      <c r="P8" s="3">
        <f t="shared" si="3"/>
        <v>5.4951639133784136</v>
      </c>
      <c r="Q8">
        <v>62.8</v>
      </c>
      <c r="R8">
        <v>9.3000000000000007</v>
      </c>
      <c r="S8">
        <v>16.8</v>
      </c>
      <c r="T8">
        <v>5.3</v>
      </c>
      <c r="U8">
        <f t="shared" si="4"/>
        <v>1</v>
      </c>
      <c r="V8">
        <f t="shared" si="5"/>
        <v>0</v>
      </c>
      <c r="W8">
        <f t="shared" si="6"/>
        <v>0</v>
      </c>
      <c r="X8">
        <f t="shared" si="7"/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G8" t="s">
        <v>470</v>
      </c>
      <c r="AH8">
        <f>IF(AH7&gt;0,AH7,0)</f>
        <v>0</v>
      </c>
      <c r="AI8">
        <f t="shared" ref="AI8:AK8" si="21">IF(AI7&gt;0,AI7,0)</f>
        <v>15.943555428539209</v>
      </c>
      <c r="AJ8">
        <f t="shared" si="21"/>
        <v>0</v>
      </c>
      <c r="AK8">
        <f t="shared" si="21"/>
        <v>0</v>
      </c>
      <c r="AL8">
        <f>SUM(AH8:AK8)</f>
        <v>15.943555428539209</v>
      </c>
      <c r="AN8" s="8">
        <f t="shared" si="8"/>
        <v>62.572400598370024</v>
      </c>
      <c r="AO8" s="8">
        <f t="shared" si="9"/>
        <v>23.153052217700495</v>
      </c>
      <c r="AP8" s="8">
        <f t="shared" si="10"/>
        <v>11.398408613076011</v>
      </c>
      <c r="AQ8" s="8">
        <f t="shared" si="11"/>
        <v>3.4706029800352542</v>
      </c>
      <c r="AR8" s="8"/>
      <c r="AS8" s="3">
        <f t="shared" si="12"/>
        <v>100.59446440918178</v>
      </c>
      <c r="AV8" s="3">
        <f t="array" ref="AV8">MIN(100,MAX(0,M8-AB8*5+$AI$16*(U8*AH$29+SUMPRODUCT($Y8:$AA8,TRANSPOSE(AH$30:AH$32)))+$AJ$16*(U8*AH$33+SUMPRODUCT($Y8:$AA8,TRANSPOSE(AH$34:AH$36)))+$AK$16*(U8*AH$37+SUMPRODUCT($Y8:$AA8,TRANSPOSE(AH$38:AH$40)))))</f>
        <v>62.597375486429314</v>
      </c>
      <c r="AW8" s="3">
        <f t="array" ref="AW8">MIN(100,MAX(0,N8-AC8*5+$AH$17*(V8*AI$29+SUMPRODUCT($Y8:$AA8,TRANSPOSE(AI$30:AI$32)))+$AJ$17*(V8*AI$33+SUMPRODUCT($Y8:$AA8,TRANSPOSE(AI$34:AI$36)))+$AK$17*(V8*AI$37+SUMPRODUCT($Y8:$AA8,TRANSPOSE(AI$38:AI$40)))))</f>
        <v>23.146241388101828</v>
      </c>
      <c r="AX8" s="3">
        <f t="array" ref="AX8">MIN(100,MAX(0,O8-AD8*5+$AH$18*(W8*AJ$29+SUMPRODUCT($Y8:$AA8,TRANSPOSE(AJ$30:AJ$32)))+$AI$18*(W8*AJ$33+SUMPRODUCT($Y8:$AA8,TRANSPOSE(AJ$34:AJ$36)))+$AK$18*(W8*AJ$37+SUMPRODUCT($Y8:$AA8,TRANSPOSE(AJ$38:AJ$40)))))</f>
        <v>11.398408613076011</v>
      </c>
      <c r="AY8" s="3">
        <f t="array" ref="AY8">MIN(100,MAX(0,P8+$AH$19*(X8*AK$29+SUMPRODUCT($Y8:$AA8,TRANSPOSE(AK$30:AK$32)))+$AI$19*(X8*AK$33+SUMPRODUCT($Y8:$AA8,TRANSPOSE(AK$34:AK$36)))+$AJ$19*(X8*AK$37+SUMPRODUCT($Y8:$AA8,TRANSPOSE(AK$38:AK$40)))))</f>
        <v>3.4706029800352542</v>
      </c>
      <c r="AZ8" s="3"/>
      <c r="BC8">
        <f t="shared" si="13"/>
        <v>1</v>
      </c>
      <c r="BD8">
        <f t="shared" si="14"/>
        <v>0</v>
      </c>
      <c r="BE8">
        <f t="shared" si="15"/>
        <v>0</v>
      </c>
      <c r="BF8">
        <f t="shared" si="16"/>
        <v>0</v>
      </c>
      <c r="BI8">
        <f t="shared" si="17"/>
        <v>1</v>
      </c>
      <c r="BJ8">
        <f t="shared" si="18"/>
        <v>0</v>
      </c>
      <c r="BK8">
        <f t="shared" si="19"/>
        <v>0</v>
      </c>
      <c r="BL8">
        <f t="shared" si="20"/>
        <v>1</v>
      </c>
    </row>
    <row r="9" spans="1:64">
      <c r="A9" t="s">
        <v>13</v>
      </c>
      <c r="B9" t="s">
        <v>298</v>
      </c>
      <c r="C9" t="s">
        <v>298</v>
      </c>
      <c r="D9">
        <v>48008</v>
      </c>
      <c r="E9">
        <v>1</v>
      </c>
      <c r="F9">
        <v>4803</v>
      </c>
      <c r="G9">
        <v>48</v>
      </c>
      <c r="H9">
        <v>37022</v>
      </c>
      <c r="I9">
        <v>3125</v>
      </c>
      <c r="J9">
        <v>5145</v>
      </c>
      <c r="K9">
        <v>3138</v>
      </c>
      <c r="L9">
        <v>48775</v>
      </c>
      <c r="M9" s="3">
        <f t="shared" si="0"/>
        <v>75.903639159405429</v>
      </c>
      <c r="N9" s="3">
        <f t="shared" si="1"/>
        <v>6.4069707842132244</v>
      </c>
      <c r="O9" s="3">
        <f t="shared" si="2"/>
        <v>10.548436699128652</v>
      </c>
      <c r="P9" s="3">
        <f t="shared" si="3"/>
        <v>6.4336237826755518</v>
      </c>
      <c r="Q9">
        <v>62.8</v>
      </c>
      <c r="R9">
        <v>9.3000000000000007</v>
      </c>
      <c r="S9">
        <v>16.8</v>
      </c>
      <c r="T9">
        <v>5.3</v>
      </c>
      <c r="U9">
        <f t="shared" si="4"/>
        <v>1</v>
      </c>
      <c r="V9">
        <f t="shared" si="5"/>
        <v>0</v>
      </c>
      <c r="W9">
        <f t="shared" si="6"/>
        <v>0</v>
      </c>
      <c r="X9">
        <f t="shared" si="7"/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G9" t="s">
        <v>472</v>
      </c>
      <c r="AH9">
        <f>IF(AH7&lt;0,AH7,0)</f>
        <v>-11.976692416431739</v>
      </c>
      <c r="AI9">
        <f t="shared" ref="AI9:AK9" si="22">IF(AI7&lt;0,AI7,0)</f>
        <v>0</v>
      </c>
      <c r="AJ9">
        <f t="shared" si="22"/>
        <v>-0.79523462052613425</v>
      </c>
      <c r="AK9">
        <f t="shared" si="22"/>
        <v>-1.9945287161061342</v>
      </c>
      <c r="AL9">
        <f>SUM(AH9:AK9)</f>
        <v>-14.766455753064008</v>
      </c>
      <c r="AN9" s="8">
        <f t="shared" si="8"/>
        <v>64.087436946453593</v>
      </c>
      <c r="AO9" s="8">
        <f t="shared" si="9"/>
        <v>22.10601746678163</v>
      </c>
      <c r="AP9" s="8">
        <f t="shared" si="10"/>
        <v>9.8288105608565495</v>
      </c>
      <c r="AQ9" s="8">
        <f t="shared" si="11"/>
        <v>4.4090628493323925</v>
      </c>
      <c r="AR9" s="8"/>
      <c r="AS9" s="3">
        <f t="shared" si="12"/>
        <v>100.43132782342417</v>
      </c>
      <c r="AV9" s="3">
        <f t="array" ref="AV9">MIN(100,MAX(0,M9-AB9*5+$AI$16*(U9*AH$29+SUMPRODUCT($Y9:$AA9,TRANSPOSE(AH$30:AH$32)))+$AJ$16*(U9*AH$33+SUMPRODUCT($Y9:$AA9,TRANSPOSE(AH$34:AH$36)))+$AK$16*(U9*AH$37+SUMPRODUCT($Y9:$AA9,TRANSPOSE(AH$38:AH$40)))))</f>
        <v>64.117294710886526</v>
      </c>
      <c r="AW9" s="3">
        <f t="array" ref="AW9">MIN(100,MAX(0,N9-AC9*5+$AH$17*(V9*AI$29+SUMPRODUCT($Y9:$AA9,TRANSPOSE(AI$30:AI$32)))+$AJ$17*(V9*AI$33+SUMPRODUCT($Y9:$AA9,TRANSPOSE(AI$34:AI$36)))+$AK$17*(V9*AI$37+SUMPRODUCT($Y9:$AA9,TRANSPOSE(AI$38:AI$40)))))</f>
        <v>22.095795412921063</v>
      </c>
      <c r="AX9" s="3">
        <f t="array" ref="AX9">MIN(100,MAX(0,O9-AD9*5+$AH$18*(W9*AJ$29+SUMPRODUCT($Y9:$AA9,TRANSPOSE(AJ$30:AJ$32)))+$AI$18*(W9*AJ$33+SUMPRODUCT($Y9:$AA9,TRANSPOSE(AJ$34:AJ$36)))+$AK$18*(W9*AJ$37+SUMPRODUCT($Y9:$AA9,TRANSPOSE(AJ$38:AJ$40)))))</f>
        <v>9.8288105608565495</v>
      </c>
      <c r="AY9" s="3">
        <f t="array" ref="AY9">MIN(100,MAX(0,P9+$AH$19*(X9*AK$29+SUMPRODUCT($Y9:$AA9,TRANSPOSE(AK$30:AK$32)))+$AI$19*(X9*AK$33+SUMPRODUCT($Y9:$AA9,TRANSPOSE(AK$34:AK$36)))+$AJ$19*(X9*AK$37+SUMPRODUCT($Y9:$AA9,TRANSPOSE(AK$38:AK$40)))))</f>
        <v>4.4090628493323925</v>
      </c>
      <c r="AZ9" s="3"/>
      <c r="BC9">
        <f t="shared" si="13"/>
        <v>1</v>
      </c>
      <c r="BD9">
        <f t="shared" si="14"/>
        <v>0</v>
      </c>
      <c r="BE9">
        <f t="shared" si="15"/>
        <v>0</v>
      </c>
      <c r="BF9">
        <f t="shared" si="16"/>
        <v>0</v>
      </c>
      <c r="BI9">
        <f t="shared" si="17"/>
        <v>1</v>
      </c>
      <c r="BJ9">
        <f t="shared" si="18"/>
        <v>0</v>
      </c>
      <c r="BK9">
        <f t="shared" si="19"/>
        <v>0</v>
      </c>
      <c r="BL9">
        <f t="shared" si="20"/>
        <v>1</v>
      </c>
    </row>
    <row r="10" spans="1:64">
      <c r="A10" t="s">
        <v>13</v>
      </c>
      <c r="B10" t="s">
        <v>299</v>
      </c>
      <c r="C10" t="s">
        <v>299</v>
      </c>
      <c r="D10">
        <v>48009</v>
      </c>
      <c r="E10">
        <v>1</v>
      </c>
      <c r="F10">
        <v>4803</v>
      </c>
      <c r="G10">
        <v>48</v>
      </c>
      <c r="H10">
        <v>29144</v>
      </c>
      <c r="I10">
        <v>4646</v>
      </c>
      <c r="J10">
        <v>5376</v>
      </c>
      <c r="K10">
        <v>2837</v>
      </c>
      <c r="L10">
        <v>42062</v>
      </c>
      <c r="M10" s="3">
        <f t="shared" si="0"/>
        <v>69.288193618943467</v>
      </c>
      <c r="N10" s="3">
        <f t="shared" si="1"/>
        <v>11.045599353335552</v>
      </c>
      <c r="O10" s="3">
        <f t="shared" si="2"/>
        <v>12.78113261376064</v>
      </c>
      <c r="P10" s="3">
        <f t="shared" si="3"/>
        <v>6.744805287432837</v>
      </c>
      <c r="Q10">
        <v>62.8</v>
      </c>
      <c r="R10">
        <v>9.3000000000000007</v>
      </c>
      <c r="S10">
        <v>16.8</v>
      </c>
      <c r="T10">
        <v>5.3</v>
      </c>
      <c r="U10" s="54">
        <v>0</v>
      </c>
      <c r="V10">
        <f t="shared" si="5"/>
        <v>0</v>
      </c>
      <c r="W10">
        <f t="shared" si="6"/>
        <v>0</v>
      </c>
      <c r="X10">
        <f t="shared" si="7"/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G10" t="s">
        <v>417</v>
      </c>
      <c r="AH10">
        <v>55</v>
      </c>
      <c r="AI10">
        <v>8</v>
      </c>
      <c r="AJ10">
        <v>8</v>
      </c>
      <c r="AK10">
        <v>3</v>
      </c>
      <c r="AN10" s="8">
        <f t="shared" si="8"/>
        <v>52.501849170424563</v>
      </c>
      <c r="AO10" s="8">
        <f t="shared" si="9"/>
        <v>26.734423982043388</v>
      </c>
      <c r="AP10" s="8">
        <f t="shared" si="10"/>
        <v>12.061506475488539</v>
      </c>
      <c r="AQ10" s="8">
        <f t="shared" si="11"/>
        <v>4.7202443540896777</v>
      </c>
      <c r="AR10" s="8"/>
      <c r="AS10" s="3">
        <f t="shared" si="12"/>
        <v>96.018023982046174</v>
      </c>
      <c r="AV10" s="3">
        <f t="array" ref="AV10">MIN(100,MAX(0,M10-AB10*5+$AI$16*(U10*AH$29+SUMPRODUCT($Y10:$AA10,TRANSPOSE(AH$30:AH$32)))+$AJ$16*(U10*AH$33+SUMPRODUCT($Y10:$AA10,TRANSPOSE(AH$34:AH$36)))+$AK$16*(U10*AH$37+SUMPRODUCT($Y10:$AA10,TRANSPOSE(AH$38:AH$40)))))</f>
        <v>52.501849170424563</v>
      </c>
      <c r="AW10" s="3">
        <f t="array" ref="AW10">MIN(100,MAX(0,N10-AC10*5+$AH$17*(V10*AI$29+SUMPRODUCT($Y10:$AA10,TRANSPOSE(AI$30:AI$32)))+$AJ$17*(V10*AI$33+SUMPRODUCT($Y10:$AA10,TRANSPOSE(AI$34:AI$36)))+$AK$17*(V10*AI$37+SUMPRODUCT($Y10:$AA10,TRANSPOSE(AI$38:AI$40)))))</f>
        <v>26.734423982043388</v>
      </c>
      <c r="AX10" s="3">
        <f t="array" ref="AX10">MIN(100,MAX(0,O10-AD10*5+$AH$18*(W10*AJ$29+SUMPRODUCT($Y10:$AA10,TRANSPOSE(AJ$30:AJ$32)))+$AI$18*(W10*AJ$33+SUMPRODUCT($Y10:$AA10,TRANSPOSE(AJ$34:AJ$36)))+$AK$18*(W10*AJ$37+SUMPRODUCT($Y10:$AA10,TRANSPOSE(AJ$38:AJ$40)))))</f>
        <v>12.061506475488539</v>
      </c>
      <c r="AY10" s="3">
        <f t="array" ref="AY10">MIN(100,MAX(0,P10+$AH$19*(X10*AK$29+SUMPRODUCT($Y10:$AA10,TRANSPOSE(AK$30:AK$32)))+$AI$19*(X10*AK$33+SUMPRODUCT($Y10:$AA10,TRANSPOSE(AK$34:AK$36)))+$AJ$19*(X10*AK$37+SUMPRODUCT($Y10:$AA10,TRANSPOSE(AK$38:AK$40)))))</f>
        <v>4.7202443540896777</v>
      </c>
      <c r="AZ10" s="3"/>
      <c r="BC10">
        <f t="shared" si="13"/>
        <v>1</v>
      </c>
      <c r="BD10">
        <f t="shared" si="14"/>
        <v>0</v>
      </c>
      <c r="BE10">
        <f t="shared" si="15"/>
        <v>0</v>
      </c>
      <c r="BF10">
        <f t="shared" si="16"/>
        <v>0</v>
      </c>
      <c r="BI10">
        <f t="shared" si="17"/>
        <v>0</v>
      </c>
      <c r="BJ10">
        <f t="shared" si="18"/>
        <v>1</v>
      </c>
      <c r="BK10">
        <f t="shared" si="19"/>
        <v>0</v>
      </c>
      <c r="BL10">
        <f t="shared" si="20"/>
        <v>1</v>
      </c>
    </row>
    <row r="11" spans="1:64">
      <c r="A11" t="s">
        <v>13</v>
      </c>
      <c r="B11" t="s">
        <v>300</v>
      </c>
      <c r="C11" t="s">
        <v>300</v>
      </c>
      <c r="D11">
        <v>48010</v>
      </c>
      <c r="E11">
        <v>1</v>
      </c>
      <c r="F11">
        <v>4801</v>
      </c>
      <c r="G11">
        <v>48</v>
      </c>
      <c r="H11">
        <v>30179</v>
      </c>
      <c r="I11">
        <v>5572</v>
      </c>
      <c r="J11">
        <v>5051</v>
      </c>
      <c r="K11">
        <v>3191</v>
      </c>
      <c r="L11">
        <v>44045</v>
      </c>
      <c r="M11" s="3">
        <f t="shared" si="0"/>
        <v>68.518560563060504</v>
      </c>
      <c r="N11" s="3">
        <f t="shared" si="1"/>
        <v>12.650698149619707</v>
      </c>
      <c r="O11" s="3">
        <f t="shared" si="2"/>
        <v>11.467817005335453</v>
      </c>
      <c r="P11" s="3">
        <f t="shared" si="3"/>
        <v>7.2448632080826432</v>
      </c>
      <c r="Q11">
        <v>62.8</v>
      </c>
      <c r="R11">
        <v>9.3000000000000007</v>
      </c>
      <c r="S11">
        <v>16.8</v>
      </c>
      <c r="T11">
        <v>5.3</v>
      </c>
      <c r="U11">
        <f t="shared" si="4"/>
        <v>1</v>
      </c>
      <c r="V11">
        <f t="shared" si="5"/>
        <v>0</v>
      </c>
      <c r="W11">
        <f t="shared" si="6"/>
        <v>0</v>
      </c>
      <c r="X11">
        <f t="shared" si="7"/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G11" t="s">
        <v>419</v>
      </c>
      <c r="AH11">
        <f>IF(AH6&lt;AH10,1,0)</f>
        <v>1</v>
      </c>
      <c r="AI11">
        <f>IF(AI6&lt;AI10,1,0)</f>
        <v>0</v>
      </c>
      <c r="AJ11">
        <f>IF(AJ6&lt;AJ10,1,0)</f>
        <v>0</v>
      </c>
      <c r="AK11">
        <f>IF(AK6&lt;AK10,1,0)</f>
        <v>0</v>
      </c>
      <c r="AN11" s="8">
        <f t="shared" si="8"/>
        <v>56.726083575249149</v>
      </c>
      <c r="AO11" s="8">
        <f t="shared" si="9"/>
        <v>28.339522778327545</v>
      </c>
      <c r="AP11" s="8">
        <f t="shared" si="10"/>
        <v>10.74819086706335</v>
      </c>
      <c r="AQ11" s="8">
        <f t="shared" si="11"/>
        <v>5.2203022747394838</v>
      </c>
      <c r="AR11" s="8"/>
      <c r="AS11" s="3">
        <f t="shared" si="12"/>
        <v>101.03409949537954</v>
      </c>
      <c r="AV11" s="3">
        <f t="array" ref="AV11">MIN(100,MAX(0,M11-AB11*5+$AI$16*(U11*AH$29+SUMPRODUCT($Y11:$AA11,TRANSPOSE(AH$30:AH$32)))+$AJ$16*(U11*AH$33+SUMPRODUCT($Y11:$AA11,TRANSPOSE(AH$34:AH$36)))+$AK$16*(U11*AH$37+SUMPRODUCT($Y11:$AA11,TRANSPOSE(AH$38:AH$40)))))</f>
        <v>56.7322161145416</v>
      </c>
      <c r="AW11" s="3">
        <f t="array" ref="AW11">MIN(100,MAX(0,N11-AC11*5+$AH$17*(V11*AI$29+SUMPRODUCT($Y11:$AA11,TRANSPOSE(AI$30:AI$32)))+$AJ$17*(V11*AI$33+SUMPRODUCT($Y11:$AA11,TRANSPOSE(AI$34:AI$36)))+$AK$17*(V11*AI$37+SUMPRODUCT($Y11:$AA11,TRANSPOSE(AI$38:AI$40)))))</f>
        <v>28.339522778327545</v>
      </c>
      <c r="AX11" s="3">
        <f t="array" ref="AX11">MIN(100,MAX(0,O11-AD11*5+$AH$18*(W11*AJ$29+SUMPRODUCT($Y11:$AA11,TRANSPOSE(AJ$30:AJ$32)))+$AI$18*(W11*AJ$33+SUMPRODUCT($Y11:$AA11,TRANSPOSE(AJ$34:AJ$36)))+$AK$18*(W11*AJ$37+SUMPRODUCT($Y11:$AA11,TRANSPOSE(AJ$38:AJ$40)))))</f>
        <v>10.74819086706335</v>
      </c>
      <c r="AY11" s="3">
        <f t="array" ref="AY11">MIN(100,MAX(0,P11+$AH$19*(X11*AK$29+SUMPRODUCT($Y11:$AA11,TRANSPOSE(AK$30:AK$32)))+$AI$19*(X11*AK$33+SUMPRODUCT($Y11:$AA11,TRANSPOSE(AK$34:AK$36)))+$AJ$19*(X11*AK$37+SUMPRODUCT($Y11:$AA11,TRANSPOSE(AK$38:AK$40)))))</f>
        <v>5.2203022747394838</v>
      </c>
      <c r="AZ11" s="3"/>
      <c r="BC11">
        <f t="shared" si="13"/>
        <v>1</v>
      </c>
      <c r="BD11">
        <f t="shared" si="14"/>
        <v>0</v>
      </c>
      <c r="BE11">
        <f t="shared" si="15"/>
        <v>0</v>
      </c>
      <c r="BF11">
        <f t="shared" si="16"/>
        <v>0</v>
      </c>
      <c r="BI11">
        <f t="shared" si="17"/>
        <v>1</v>
      </c>
      <c r="BJ11">
        <f t="shared" si="18"/>
        <v>1</v>
      </c>
      <c r="BK11">
        <f t="shared" si="19"/>
        <v>0</v>
      </c>
      <c r="BL11">
        <f t="shared" si="20"/>
        <v>1</v>
      </c>
    </row>
    <row r="12" spans="1:64">
      <c r="A12" t="s">
        <v>13</v>
      </c>
      <c r="B12" t="s">
        <v>301</v>
      </c>
      <c r="C12" t="s">
        <v>301</v>
      </c>
      <c r="D12">
        <v>48011</v>
      </c>
      <c r="E12">
        <v>1</v>
      </c>
      <c r="F12">
        <v>4802</v>
      </c>
      <c r="G12">
        <v>48</v>
      </c>
      <c r="H12">
        <v>29904</v>
      </c>
      <c r="I12">
        <v>2846</v>
      </c>
      <c r="J12">
        <v>4407</v>
      </c>
      <c r="K12">
        <v>2202</v>
      </c>
      <c r="L12">
        <v>39600</v>
      </c>
      <c r="M12" s="3">
        <f t="shared" si="0"/>
        <v>75.515151515151516</v>
      </c>
      <c r="N12" s="3">
        <f t="shared" si="1"/>
        <v>7.1868686868686877</v>
      </c>
      <c r="O12" s="3">
        <f t="shared" si="2"/>
        <v>11.128787878787879</v>
      </c>
      <c r="P12" s="3">
        <f t="shared" si="3"/>
        <v>5.5606060606060606</v>
      </c>
      <c r="Q12">
        <v>62.8</v>
      </c>
      <c r="R12">
        <v>9.3000000000000007</v>
      </c>
      <c r="S12">
        <v>16.8</v>
      </c>
      <c r="T12">
        <v>5.3</v>
      </c>
      <c r="U12">
        <f t="shared" si="4"/>
        <v>1</v>
      </c>
      <c r="V12">
        <f t="shared" si="5"/>
        <v>0</v>
      </c>
      <c r="W12">
        <f t="shared" si="6"/>
        <v>0</v>
      </c>
      <c r="X12">
        <f t="shared" si="7"/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G12" t="s">
        <v>544</v>
      </c>
      <c r="AH12">
        <v>70</v>
      </c>
      <c r="AI12">
        <v>25</v>
      </c>
      <c r="AJ12">
        <v>20</v>
      </c>
      <c r="AK12">
        <v>12</v>
      </c>
      <c r="AN12" s="8">
        <f t="shared" si="8"/>
        <v>63.700197353483624</v>
      </c>
      <c r="AO12" s="8">
        <f t="shared" si="9"/>
        <v>22.883382724531785</v>
      </c>
      <c r="AP12" s="8">
        <f t="shared" si="10"/>
        <v>10.409161740515778</v>
      </c>
      <c r="AQ12" s="8">
        <f t="shared" si="11"/>
        <v>3.5360451272629012</v>
      </c>
      <c r="AR12" s="8"/>
      <c r="AS12" s="3">
        <f t="shared" si="12"/>
        <v>100.52878694579408</v>
      </c>
      <c r="AV12" s="3">
        <f t="array" ref="AV12">MIN(100,MAX(0,M12-AB12*5+$AI$16*(U12*AH$29+SUMPRODUCT($Y12:$AA12,TRANSPOSE(AH$30:AH$32)))+$AJ$16*(U12*AH$33+SUMPRODUCT($Y12:$AA12,TRANSPOSE(AH$34:AH$36)))+$AK$16*(U12*AH$37+SUMPRODUCT($Y12:$AA12,TRANSPOSE(AH$38:AH$40)))))</f>
        <v>63.728807066632612</v>
      </c>
      <c r="AW12" s="3">
        <f t="array" ref="AW12">MIN(100,MAX(0,N12-AC12*5+$AH$17*(V12*AI$29+SUMPRODUCT($Y12:$AA12,TRANSPOSE(AI$30:AI$32)))+$AJ$17*(V12*AI$33+SUMPRODUCT($Y12:$AA12,TRANSPOSE(AI$34:AI$36)))+$AK$17*(V12*AI$37+SUMPRODUCT($Y12:$AA12,TRANSPOSE(AI$38:AI$40)))))</f>
        <v>22.875693315576527</v>
      </c>
      <c r="AX12" s="3">
        <f t="array" ref="AX12">MIN(100,MAX(0,O12-AD12*5+$AH$18*(W12*AJ$29+SUMPRODUCT($Y12:$AA12,TRANSPOSE(AJ$30:AJ$32)))+$AI$18*(W12*AJ$33+SUMPRODUCT($Y12:$AA12,TRANSPOSE(AJ$34:AJ$36)))+$AK$18*(W12*AJ$37+SUMPRODUCT($Y12:$AA12,TRANSPOSE(AJ$38:AJ$40)))))</f>
        <v>10.409161740515778</v>
      </c>
      <c r="AY12" s="3">
        <f t="array" ref="AY12">MIN(100,MAX(0,P12+$AH$19*(X12*AK$29+SUMPRODUCT($Y12:$AA12,TRANSPOSE(AK$30:AK$32)))+$AI$19*(X12*AK$33+SUMPRODUCT($Y12:$AA12,TRANSPOSE(AK$34:AK$36)))+$AJ$19*(X12*AK$37+SUMPRODUCT($Y12:$AA12,TRANSPOSE(AK$38:AK$40)))))</f>
        <v>3.5360451272629012</v>
      </c>
      <c r="AZ12" s="3"/>
      <c r="BC12">
        <f t="shared" si="13"/>
        <v>1</v>
      </c>
      <c r="BD12">
        <f t="shared" si="14"/>
        <v>0</v>
      </c>
      <c r="BE12">
        <f t="shared" si="15"/>
        <v>0</v>
      </c>
      <c r="BF12">
        <f t="shared" si="16"/>
        <v>0</v>
      </c>
      <c r="BI12">
        <f t="shared" si="17"/>
        <v>1</v>
      </c>
      <c r="BJ12">
        <f t="shared" si="18"/>
        <v>0</v>
      </c>
      <c r="BK12">
        <f t="shared" si="19"/>
        <v>0</v>
      </c>
      <c r="BL12">
        <f t="shared" si="20"/>
        <v>1</v>
      </c>
    </row>
    <row r="13" spans="1:64">
      <c r="A13" t="s">
        <v>13</v>
      </c>
      <c r="B13" t="s">
        <v>302</v>
      </c>
      <c r="C13" t="s">
        <v>302</v>
      </c>
      <c r="D13">
        <v>48012</v>
      </c>
      <c r="E13">
        <v>1</v>
      </c>
      <c r="F13">
        <v>4802</v>
      </c>
      <c r="G13">
        <v>48</v>
      </c>
      <c r="H13">
        <v>29199</v>
      </c>
      <c r="I13">
        <v>6946</v>
      </c>
      <c r="J13">
        <v>4760</v>
      </c>
      <c r="K13">
        <v>3948</v>
      </c>
      <c r="L13">
        <v>44971</v>
      </c>
      <c r="M13" s="3">
        <f t="shared" si="0"/>
        <v>64.928509483889613</v>
      </c>
      <c r="N13" s="3">
        <f t="shared" si="1"/>
        <v>15.445509328233751</v>
      </c>
      <c r="O13" s="3">
        <f t="shared" si="2"/>
        <v>10.584598963776656</v>
      </c>
      <c r="P13" s="3">
        <f t="shared" si="3"/>
        <v>8.7789909052500512</v>
      </c>
      <c r="Q13">
        <v>62.8</v>
      </c>
      <c r="R13">
        <v>9.3000000000000007</v>
      </c>
      <c r="S13">
        <v>16.8</v>
      </c>
      <c r="T13">
        <v>5.3</v>
      </c>
      <c r="U13" s="54">
        <v>0</v>
      </c>
      <c r="V13">
        <f t="shared" si="5"/>
        <v>0</v>
      </c>
      <c r="W13">
        <f t="shared" si="6"/>
        <v>0</v>
      </c>
      <c r="X13">
        <f t="shared" si="7"/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G13" t="s">
        <v>545</v>
      </c>
      <c r="AH13">
        <f>IF(AH6&gt;AH12,1,0)</f>
        <v>0</v>
      </c>
      <c r="AI13">
        <f>IF(AI6&gt;AI12,1,0)</f>
        <v>1</v>
      </c>
      <c r="AJ13">
        <f>IF(AJ6&gt;AJ12,1,0)</f>
        <v>0</v>
      </c>
      <c r="AK13">
        <f>IF(AK6&gt;AK12,1,0)</f>
        <v>0</v>
      </c>
      <c r="AN13" s="8">
        <f t="shared" si="8"/>
        <v>48.142165035370709</v>
      </c>
      <c r="AO13" s="8">
        <f t="shared" si="9"/>
        <v>31.134333956941589</v>
      </c>
      <c r="AP13" s="8">
        <f t="shared" si="10"/>
        <v>9.8649728255045552</v>
      </c>
      <c r="AQ13" s="8">
        <f t="shared" si="11"/>
        <v>6.7544299719068919</v>
      </c>
      <c r="AR13" s="8"/>
      <c r="AS13" s="3">
        <f t="shared" si="12"/>
        <v>95.895901789723737</v>
      </c>
      <c r="AV13" s="3">
        <f t="array" ref="AV13">MIN(100,MAX(0,M13-AB13*5+$AI$16*(U13*AH$29+SUMPRODUCT($Y13:$AA13,TRANSPOSE(AH$30:AH$32)))+$AJ$16*(U13*AH$33+SUMPRODUCT($Y13:$AA13,TRANSPOSE(AH$34:AH$36)))+$AK$16*(U13*AH$37+SUMPRODUCT($Y13:$AA13,TRANSPOSE(AH$38:AH$40)))))</f>
        <v>48.142165035370709</v>
      </c>
      <c r="AW13" s="3">
        <f t="array" ref="AW13">MIN(100,MAX(0,N13-AC13*5+$AH$17*(V13*AI$29+SUMPRODUCT($Y13:$AA13,TRANSPOSE(AI$30:AI$32)))+$AJ$17*(V13*AI$33+SUMPRODUCT($Y13:$AA13,TRANSPOSE(AI$34:AI$36)))+$AK$17*(V13*AI$37+SUMPRODUCT($Y13:$AA13,TRANSPOSE(AI$38:AI$40)))))</f>
        <v>31.134333956941589</v>
      </c>
      <c r="AX13" s="3">
        <f t="array" ref="AX13">MIN(100,MAX(0,O13-AD13*5+$AH$18*(W13*AJ$29+SUMPRODUCT($Y13:$AA13,TRANSPOSE(AJ$30:AJ$32)))+$AI$18*(W13*AJ$33+SUMPRODUCT($Y13:$AA13,TRANSPOSE(AJ$34:AJ$36)))+$AK$18*(W13*AJ$37+SUMPRODUCT($Y13:$AA13,TRANSPOSE(AJ$38:AJ$40)))))</f>
        <v>9.8649728255045552</v>
      </c>
      <c r="AY13" s="3">
        <f t="array" ref="AY13">MIN(100,MAX(0,P13+$AH$19*(X13*AK$29+SUMPRODUCT($Y13:$AA13,TRANSPOSE(AK$30:AK$32)))+$AI$19*(X13*AK$33+SUMPRODUCT($Y13:$AA13,TRANSPOSE(AK$34:AK$36)))+$AJ$19*(X13*AK$37+SUMPRODUCT($Y13:$AA13,TRANSPOSE(AK$38:AK$40)))))</f>
        <v>6.7544299719068919</v>
      </c>
      <c r="AZ13" s="3"/>
      <c r="BC13">
        <f t="shared" si="13"/>
        <v>1</v>
      </c>
      <c r="BD13">
        <f t="shared" si="14"/>
        <v>0</v>
      </c>
      <c r="BE13">
        <f t="shared" si="15"/>
        <v>0</v>
      </c>
      <c r="BF13">
        <f t="shared" si="16"/>
        <v>0</v>
      </c>
      <c r="BI13">
        <f t="shared" si="17"/>
        <v>0</v>
      </c>
      <c r="BJ13">
        <f t="shared" si="18"/>
        <v>1</v>
      </c>
      <c r="BK13">
        <f t="shared" si="19"/>
        <v>0</v>
      </c>
      <c r="BL13">
        <f t="shared" si="20"/>
        <v>1</v>
      </c>
    </row>
    <row r="14" spans="1:64">
      <c r="A14" t="s">
        <v>13</v>
      </c>
      <c r="B14" t="s">
        <v>303</v>
      </c>
      <c r="C14" t="s">
        <v>303</v>
      </c>
      <c r="D14">
        <v>48013</v>
      </c>
      <c r="E14">
        <v>1</v>
      </c>
      <c r="F14">
        <v>4802</v>
      </c>
      <c r="G14">
        <v>48</v>
      </c>
      <c r="H14">
        <v>16573</v>
      </c>
      <c r="I14">
        <v>8438</v>
      </c>
      <c r="J14">
        <v>2959</v>
      </c>
      <c r="K14">
        <v>1364</v>
      </c>
      <c r="L14">
        <v>29462</v>
      </c>
      <c r="M14" s="3">
        <f t="shared" si="0"/>
        <v>56.252121376688613</v>
      </c>
      <c r="N14" s="3">
        <f t="shared" si="1"/>
        <v>28.640282397664791</v>
      </c>
      <c r="O14" s="3">
        <f t="shared" si="2"/>
        <v>10.043445794582853</v>
      </c>
      <c r="P14" s="3">
        <f t="shared" si="3"/>
        <v>4.6296924852352186</v>
      </c>
      <c r="Q14">
        <v>62.8</v>
      </c>
      <c r="R14">
        <v>9.3000000000000007</v>
      </c>
      <c r="S14">
        <v>16.8</v>
      </c>
      <c r="T14">
        <v>5.3</v>
      </c>
      <c r="U14">
        <f t="shared" si="4"/>
        <v>1</v>
      </c>
      <c r="V14">
        <f t="shared" si="5"/>
        <v>0</v>
      </c>
      <c r="W14">
        <f t="shared" si="6"/>
        <v>0</v>
      </c>
      <c r="X14">
        <f t="shared" si="7"/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N14" s="8">
        <f t="shared" si="8"/>
        <v>44.46577692816971</v>
      </c>
      <c r="AO14" s="8">
        <f t="shared" si="9"/>
        <v>44.329107026372625</v>
      </c>
      <c r="AP14" s="8">
        <f t="shared" si="10"/>
        <v>9.32381965631075</v>
      </c>
      <c r="AQ14" s="8">
        <f t="shared" si="11"/>
        <v>2.6051315518920592</v>
      </c>
      <c r="AR14" s="8"/>
      <c r="AS14" s="3">
        <f t="shared" si="12"/>
        <v>100.72383516274515</v>
      </c>
      <c r="AV14" s="3">
        <f t="array" ref="AV14">MIN(100,MAX(0,M14-AB14*5+$AI$16*(U14*AH$29+SUMPRODUCT($Y14:$AA14,TRANSPOSE(AH$30:AH$32)))+$AJ$16*(U14*AH$33+SUMPRODUCT($Y14:$AA14,TRANSPOSE(AH$34:AH$36)))+$AK$16*(U14*AH$37+SUMPRODUCT($Y14:$AA14,TRANSPOSE(AH$38:AH$40)))))</f>
        <v>44.46577692816971</v>
      </c>
      <c r="AW14" s="3">
        <f t="array" ref="AW14">MIN(100,MAX(0,N14-AC14*5+$AH$17*(V14*AI$29+SUMPRODUCT($Y14:$AA14,TRANSPOSE(AI$30:AI$32)))+$AJ$17*(V14*AI$33+SUMPRODUCT($Y14:$AA14,TRANSPOSE(AI$34:AI$36)))+$AK$17*(V14*AI$37+SUMPRODUCT($Y14:$AA14,TRANSPOSE(AI$38:AI$40)))))</f>
        <v>44.329107026372625</v>
      </c>
      <c r="AX14" s="3">
        <f t="array" ref="AX14">MIN(100,MAX(0,O14-AD14*5+$AH$18*(W14*AJ$29+SUMPRODUCT($Y14:$AA14,TRANSPOSE(AJ$30:AJ$32)))+$AI$18*(W14*AJ$33+SUMPRODUCT($Y14:$AA14,TRANSPOSE(AJ$34:AJ$36)))+$AK$18*(W14*AJ$37+SUMPRODUCT($Y14:$AA14,TRANSPOSE(AJ$38:AJ$40)))))</f>
        <v>9.32381965631075</v>
      </c>
      <c r="AY14" s="3">
        <f t="array" ref="AY14">MIN(100,MAX(0,P14+$AH$19*(X14*AK$29+SUMPRODUCT($Y14:$AA14,TRANSPOSE(AK$30:AK$32)))+$AI$19*(X14*AK$33+SUMPRODUCT($Y14:$AA14,TRANSPOSE(AK$34:AK$36)))+$AJ$19*(X14*AK$37+SUMPRODUCT($Y14:$AA14,TRANSPOSE(AK$38:AK$40)))))</f>
        <v>2.6051315518920592</v>
      </c>
      <c r="AZ14" s="3"/>
      <c r="BC14">
        <f t="shared" si="13"/>
        <v>1</v>
      </c>
      <c r="BD14">
        <f t="shared" si="14"/>
        <v>0</v>
      </c>
      <c r="BE14">
        <f t="shared" si="15"/>
        <v>0</v>
      </c>
      <c r="BF14">
        <f t="shared" si="16"/>
        <v>0</v>
      </c>
      <c r="BI14">
        <f t="shared" si="17"/>
        <v>0</v>
      </c>
      <c r="BJ14">
        <f t="shared" si="18"/>
        <v>1</v>
      </c>
      <c r="BK14">
        <f t="shared" si="19"/>
        <v>0</v>
      </c>
      <c r="BL14">
        <f t="shared" si="20"/>
        <v>0</v>
      </c>
    </row>
    <row r="15" spans="1:64">
      <c r="A15" t="s">
        <v>13</v>
      </c>
      <c r="B15" t="s">
        <v>304</v>
      </c>
      <c r="C15" t="s">
        <v>304</v>
      </c>
      <c r="D15">
        <v>48014</v>
      </c>
      <c r="E15">
        <v>1</v>
      </c>
      <c r="F15">
        <v>4802</v>
      </c>
      <c r="G15">
        <v>48</v>
      </c>
      <c r="H15">
        <v>19908</v>
      </c>
      <c r="I15">
        <v>10226</v>
      </c>
      <c r="J15">
        <v>11127</v>
      </c>
      <c r="K15">
        <v>1534</v>
      </c>
      <c r="L15">
        <v>43091</v>
      </c>
      <c r="M15" s="3">
        <f t="shared" si="0"/>
        <v>46.199902531851201</v>
      </c>
      <c r="N15" s="3">
        <f t="shared" si="1"/>
        <v>23.731173562924972</v>
      </c>
      <c r="O15" s="3">
        <f t="shared" si="2"/>
        <v>25.822097421735396</v>
      </c>
      <c r="P15" s="3">
        <f t="shared" si="3"/>
        <v>3.5599081014597016</v>
      </c>
      <c r="Q15">
        <v>62.8</v>
      </c>
      <c r="R15">
        <v>9.3000000000000007</v>
      </c>
      <c r="S15">
        <v>16.8</v>
      </c>
      <c r="T15">
        <v>5.3</v>
      </c>
      <c r="U15" s="54">
        <v>0</v>
      </c>
      <c r="V15">
        <f t="shared" si="5"/>
        <v>0</v>
      </c>
      <c r="W15">
        <f t="shared" si="6"/>
        <v>0</v>
      </c>
      <c r="X15">
        <f t="shared" si="7"/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H15" t="s">
        <v>478</v>
      </c>
      <c r="AI15" t="s">
        <v>479</v>
      </c>
      <c r="AJ15" t="s">
        <v>480</v>
      </c>
      <c r="AK15" t="s">
        <v>481</v>
      </c>
      <c r="AL15" t="s">
        <v>405</v>
      </c>
      <c r="AN15" s="8">
        <f t="shared" si="8"/>
        <v>36.505650542673791</v>
      </c>
      <c r="AO15" s="8">
        <f t="shared" si="9"/>
        <v>32.872297015447458</v>
      </c>
      <c r="AP15" s="8">
        <f t="shared" si="10"/>
        <v>24.679732551299537</v>
      </c>
      <c r="AQ15" s="8">
        <f t="shared" si="11"/>
        <v>1.5209166531290785</v>
      </c>
      <c r="AR15" s="8"/>
      <c r="AS15" s="3">
        <f t="shared" si="12"/>
        <v>95.578596762549864</v>
      </c>
      <c r="AV15" s="43">
        <f t="array" ref="AV15">MIN(100,MAX(0,M15+8-AB15*5+$AI$16*(U15*AH$29+SUMPRODUCT($Y15:$AA15,TRANSPOSE(AH$30:AH$32)))+$AJ$16*(U15*AH$33+SUMPRODUCT($Y15:$AA15,TRANSPOSE(AH$34:AH$36)))+$AK$16*(U15*AH$37+SUMPRODUCT($Y15:$AA15,TRANSPOSE(AH$38:AH$40)))))</f>
        <v>36.505650542673791</v>
      </c>
      <c r="AW15" s="43">
        <f t="array" ref="AW15">MIN(100,MAX(0,N15-8-AC15*5+$AH$17*(V15*AI$29+SUMPRODUCT($Y15:$AA15,TRANSPOSE(AI$30:AI$32)))+$AJ$17*(V15*AI$33+SUMPRODUCT($Y15:$AA15,TRANSPOSE(AI$34:AI$36)))+$AK$17*(V15*AI$37+SUMPRODUCT($Y15:$AA15,TRANSPOSE(AI$38:AI$40)))))</f>
        <v>32.872297015447458</v>
      </c>
      <c r="AX15" s="3">
        <f t="array" ref="AX15">MIN(100,MAX(0,O15-AD15*5+$AH$18*(W15*AJ$29+SUMPRODUCT($Y15:$AA15,TRANSPOSE(AJ$30:AJ$32)))+$AI$18*(W15*AJ$33+SUMPRODUCT($Y15:$AA15,TRANSPOSE(AJ$34:AJ$36)))+$AK$18*(W15*AJ$37+SUMPRODUCT($Y15:$AA15,TRANSPOSE(AJ$38:AJ$40)))))</f>
        <v>24.679732551299537</v>
      </c>
      <c r="AY15" s="3">
        <f t="array" ref="AY15">MIN(100,MAX(0,P15+$AH$19*(X15*AK$29+SUMPRODUCT($Y15:$AA15,TRANSPOSE(AK$30:AK$32)))+$AI$19*(X15*AK$33+SUMPRODUCT($Y15:$AA15,TRANSPOSE(AK$34:AK$36)))+$AJ$19*(X15*AK$37+SUMPRODUCT($Y15:$AA15,TRANSPOSE(AK$38:AK$40)))))</f>
        <v>1.5209166531290785</v>
      </c>
      <c r="AZ15" s="3"/>
      <c r="BC15">
        <f t="shared" si="13"/>
        <v>1</v>
      </c>
      <c r="BD15">
        <f t="shared" si="14"/>
        <v>0</v>
      </c>
      <c r="BE15">
        <f t="shared" si="15"/>
        <v>0</v>
      </c>
      <c r="BF15">
        <f t="shared" si="16"/>
        <v>0</v>
      </c>
      <c r="BI15">
        <f t="shared" si="17"/>
        <v>0</v>
      </c>
      <c r="BJ15">
        <f t="shared" si="18"/>
        <v>1</v>
      </c>
      <c r="BK15">
        <f t="shared" si="19"/>
        <v>1</v>
      </c>
      <c r="BL15">
        <f t="shared" si="20"/>
        <v>0</v>
      </c>
    </row>
    <row r="16" spans="1:64">
      <c r="A16" t="s">
        <v>13</v>
      </c>
      <c r="B16" t="s">
        <v>305</v>
      </c>
      <c r="C16" t="s">
        <v>305</v>
      </c>
      <c r="D16">
        <v>48015</v>
      </c>
      <c r="E16">
        <v>1</v>
      </c>
      <c r="F16">
        <v>4802</v>
      </c>
      <c r="G16">
        <v>48</v>
      </c>
      <c r="H16">
        <v>19832</v>
      </c>
      <c r="I16">
        <v>2484</v>
      </c>
      <c r="J16">
        <v>14151</v>
      </c>
      <c r="K16">
        <v>1299</v>
      </c>
      <c r="L16">
        <v>37765</v>
      </c>
      <c r="M16" s="3">
        <f t="shared" si="0"/>
        <v>52.514232755196609</v>
      </c>
      <c r="N16" s="3">
        <f t="shared" si="1"/>
        <v>6.5775188666754927</v>
      </c>
      <c r="O16" s="3">
        <f t="shared" si="2"/>
        <v>37.471203495299882</v>
      </c>
      <c r="P16" s="3">
        <f t="shared" si="3"/>
        <v>3.4396928372831987</v>
      </c>
      <c r="Q16">
        <v>62.8</v>
      </c>
      <c r="R16">
        <v>9.3000000000000007</v>
      </c>
      <c r="S16">
        <v>16.8</v>
      </c>
      <c r="T16">
        <v>5.3</v>
      </c>
      <c r="U16" s="54">
        <v>0</v>
      </c>
      <c r="V16">
        <f t="shared" si="5"/>
        <v>0</v>
      </c>
      <c r="W16">
        <f t="shared" si="6"/>
        <v>0</v>
      </c>
      <c r="X16">
        <f t="shared" si="7"/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G16" t="s">
        <v>478</v>
      </c>
      <c r="AH16">
        <f>IF(OR($AL$8=0,$AL$9=0),$AH7/4,AH$9/$AL$9*$AH$8+AH$8/$AL$8*$AH$9)</f>
        <v>0</v>
      </c>
      <c r="AI16">
        <f t="shared" ref="AI16:AK16" si="23">IF(OR($AL$8=0,$AL$9=0),$AH7/4,AI$9/$AL$9*$AH$8+AI$8/$AL$8*$AH$9)</f>
        <v>-11.976692416431739</v>
      </c>
      <c r="AJ16">
        <f t="shared" si="23"/>
        <v>0</v>
      </c>
      <c r="AK16">
        <f t="shared" si="23"/>
        <v>0</v>
      </c>
      <c r="AL16">
        <f>SUM(AH16:AK16)</f>
        <v>-11.976692416431739</v>
      </c>
      <c r="AN16" s="8">
        <f t="shared" si="8"/>
        <v>34.819980766019199</v>
      </c>
      <c r="AO16" s="8">
        <f t="shared" si="9"/>
        <v>23.723594330742383</v>
      </c>
      <c r="AP16" s="8">
        <f t="shared" si="10"/>
        <v>36.328838624864026</v>
      </c>
      <c r="AQ16" s="8">
        <f t="shared" si="11"/>
        <v>1.4007013889525757</v>
      </c>
      <c r="AR16" s="8"/>
      <c r="AS16" s="3">
        <f t="shared" si="12"/>
        <v>96.273115110578175</v>
      </c>
      <c r="AV16" s="3">
        <f t="array" ref="AV16">MIN(100,MAX(0,M16-AB16*5+$AI$16*(U16*AH$29+SUMPRODUCT($Y16:$AA16,TRANSPOSE(AH$30:AH$32)))+$AJ$16*(U16*AH$33+SUMPRODUCT($Y16:$AA16,TRANSPOSE(AH$34:AH$36)))+$AK$16*(U16*AH$37+SUMPRODUCT($Y16:$AA16,TRANSPOSE(AH$38:AH$40)))))</f>
        <v>34.819980766019199</v>
      </c>
      <c r="AW16" s="3">
        <f t="array" ref="AW16">MIN(100,MAX(0,N16-AC16*5+$AH$17*(V16*AI$29+SUMPRODUCT($Y16:$AA16,TRANSPOSE(AI$30:AI$32)))+$AJ$17*(V16*AI$33+SUMPRODUCT($Y16:$AA16,TRANSPOSE(AI$34:AI$36)))+$AK$17*(V16*AI$37+SUMPRODUCT($Y16:$AA16,TRANSPOSE(AI$38:AI$40)))))</f>
        <v>23.718642319197976</v>
      </c>
      <c r="AX16" s="3">
        <f t="array" ref="AX16">MIN(100,MAX(0,O16-AD16*5+$AH$18*(W16*AJ$29+SUMPRODUCT($Y16:$AA16,TRANSPOSE(AJ$30:AJ$32)))+$AI$18*(W16*AJ$33+SUMPRODUCT($Y16:$AA16,TRANSPOSE(AJ$34:AJ$36)))+$AK$18*(W16*AJ$37+SUMPRODUCT($Y16:$AA16,TRANSPOSE(AJ$38:AJ$40)))))</f>
        <v>36.328838624864026</v>
      </c>
      <c r="AY16" s="3">
        <f t="array" ref="AY16">MIN(100,MAX(0,P16+$AH$19*(X16*AK$29+SUMPRODUCT($Y16:$AA16,TRANSPOSE(AK$30:AK$32)))+$AI$19*(X16*AK$33+SUMPRODUCT($Y16:$AA16,TRANSPOSE(AK$34:AK$36)))+$AJ$19*(X16*AK$37+SUMPRODUCT($Y16:$AA16,TRANSPOSE(AK$38:AK$40)))))</f>
        <v>1.4007013889525757</v>
      </c>
      <c r="AZ16" s="3"/>
      <c r="BC16">
        <f t="shared" si="13"/>
        <v>0</v>
      </c>
      <c r="BD16">
        <f t="shared" si="14"/>
        <v>0</v>
      </c>
      <c r="BE16">
        <f t="shared" si="15"/>
        <v>1</v>
      </c>
      <c r="BF16">
        <f t="shared" si="16"/>
        <v>0</v>
      </c>
      <c r="BI16">
        <f t="shared" si="17"/>
        <v>0</v>
      </c>
      <c r="BJ16">
        <f t="shared" si="18"/>
        <v>0</v>
      </c>
      <c r="BK16">
        <f t="shared" si="19"/>
        <v>1</v>
      </c>
      <c r="BL16">
        <f t="shared" si="20"/>
        <v>0</v>
      </c>
    </row>
    <row r="17" spans="1:64">
      <c r="A17" t="s">
        <v>13</v>
      </c>
      <c r="B17" t="s">
        <v>306</v>
      </c>
      <c r="C17" t="s">
        <v>306</v>
      </c>
      <c r="D17">
        <v>48016</v>
      </c>
      <c r="E17">
        <v>1</v>
      </c>
      <c r="F17">
        <v>4802</v>
      </c>
      <c r="G17">
        <v>48</v>
      </c>
      <c r="H17">
        <v>18952</v>
      </c>
      <c r="I17">
        <v>3111</v>
      </c>
      <c r="J17">
        <v>9082</v>
      </c>
      <c r="K17">
        <v>983</v>
      </c>
      <c r="L17">
        <v>34177</v>
      </c>
      <c r="M17" s="3">
        <f t="shared" si="0"/>
        <v>55.45249729350148</v>
      </c>
      <c r="N17" s="3">
        <f t="shared" si="1"/>
        <v>9.102612868303245</v>
      </c>
      <c r="O17" s="3">
        <f t="shared" si="2"/>
        <v>26.573426573426573</v>
      </c>
      <c r="P17" s="3">
        <f t="shared" si="3"/>
        <v>2.8762032946133367</v>
      </c>
      <c r="Q17">
        <v>62.8</v>
      </c>
      <c r="R17">
        <v>9.3000000000000007</v>
      </c>
      <c r="S17">
        <v>16.8</v>
      </c>
      <c r="T17">
        <v>5.3</v>
      </c>
      <c r="U17">
        <f t="shared" si="4"/>
        <v>1</v>
      </c>
      <c r="V17">
        <f t="shared" si="5"/>
        <v>0</v>
      </c>
      <c r="W17">
        <f t="shared" si="6"/>
        <v>0</v>
      </c>
      <c r="X17">
        <f t="shared" si="7"/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G17" t="s">
        <v>479</v>
      </c>
      <c r="AH17">
        <f>IF(OR($AL$8=0,$AL$9=0),$AI7/4,AH$9/$AL$9*$AI$8+AH$8/$AL$8*$AI$9)</f>
        <v>12.931407684089844</v>
      </c>
      <c r="AI17">
        <f t="shared" ref="AI17:AK17" si="24">IF(OR($AL$8=0,$AL$9=0),$AI7/4,AI$9/$AL$9*$AI$8+AI$8/$AL$8*$AI$9)</f>
        <v>0</v>
      </c>
      <c r="AJ17">
        <f t="shared" si="24"/>
        <v>0.85862629889511088</v>
      </c>
      <c r="AK17">
        <f t="shared" si="24"/>
        <v>2.1535214455542513</v>
      </c>
      <c r="AL17">
        <f>SUM(AH17:AK17)</f>
        <v>15.943555428539206</v>
      </c>
      <c r="AN17" s="8">
        <f t="shared" si="8"/>
        <v>42.75824530432407</v>
      </c>
      <c r="AO17" s="8">
        <f t="shared" si="9"/>
        <v>26.243736320825729</v>
      </c>
      <c r="AP17" s="8">
        <f t="shared" si="10"/>
        <v>25.431061702990714</v>
      </c>
      <c r="AQ17" s="8">
        <f t="shared" si="11"/>
        <v>0.83721184628271361</v>
      </c>
      <c r="AR17" s="8"/>
      <c r="AS17" s="3">
        <f t="shared" si="12"/>
        <v>95.270255174423227</v>
      </c>
      <c r="AV17" s="3">
        <f t="array" ref="AV17">MIN(100,MAX(0,M17-AB17*5+$AI$16*(U17*AH$29+SUMPRODUCT($Y17:$AA17,TRANSPOSE(AH$30:AH$32)))+$AJ$16*(U17*AH$33+SUMPRODUCT($Y17:$AA17,TRANSPOSE(AH$34:AH$36)))+$AK$16*(U17*AH$37+SUMPRODUCT($Y17:$AA17,TRANSPOSE(AH$38:AH$40)))))</f>
        <v>42.75824530432407</v>
      </c>
      <c r="AW17" s="3">
        <f t="array" ref="AW17">MIN(100,MAX(0,N17-AC17*5+$AH$17*(V17*AI$29+SUMPRODUCT($Y17:$AA17,TRANSPOSE(AI$30:AI$32)))+$AJ$17*(V17*AI$33+SUMPRODUCT($Y17:$AA17,TRANSPOSE(AI$34:AI$36)))+$AK$17*(V17*AI$37+SUMPRODUCT($Y17:$AA17,TRANSPOSE(AI$38:AI$40)))))</f>
        <v>26.243736320825729</v>
      </c>
      <c r="AX17" s="3">
        <f t="array" ref="AX17">MIN(100,MAX(0,O17-AD17*5+$AH$18*(W17*AJ$29+SUMPRODUCT($Y17:$AA17,TRANSPOSE(AJ$30:AJ$32)))+$AI$18*(W17*AJ$33+SUMPRODUCT($Y17:$AA17,TRANSPOSE(AJ$34:AJ$36)))+$AK$18*(W17*AJ$37+SUMPRODUCT($Y17:$AA17,TRANSPOSE(AJ$38:AJ$40)))))</f>
        <v>25.431061702990714</v>
      </c>
      <c r="AY17" s="3">
        <f t="array" ref="AY17">MIN(100,MAX(0,P17+$AH$19*(X17*AK$29+SUMPRODUCT($Y17:$AA17,TRANSPOSE(AK$30:AK$32)))+$AI$19*(X17*AK$33+SUMPRODUCT($Y17:$AA17,TRANSPOSE(AK$34:AK$36)))+$AJ$19*(X17*AK$37+SUMPRODUCT($Y17:$AA17,TRANSPOSE(AK$38:AK$40)))))</f>
        <v>0.83721184628271361</v>
      </c>
      <c r="AZ17" s="3"/>
      <c r="BC17">
        <f t="shared" si="13"/>
        <v>1</v>
      </c>
      <c r="BD17">
        <f t="shared" si="14"/>
        <v>0</v>
      </c>
      <c r="BE17">
        <f t="shared" si="15"/>
        <v>0</v>
      </c>
      <c r="BF17">
        <f t="shared" si="16"/>
        <v>0</v>
      </c>
      <c r="BI17">
        <f t="shared" si="17"/>
        <v>0</v>
      </c>
      <c r="BJ17">
        <f t="shared" si="18"/>
        <v>1</v>
      </c>
      <c r="BK17">
        <f t="shared" si="19"/>
        <v>1</v>
      </c>
      <c r="BL17">
        <f t="shared" si="20"/>
        <v>0</v>
      </c>
    </row>
    <row r="18" spans="1:64">
      <c r="A18" t="s">
        <v>13</v>
      </c>
      <c r="B18" t="s">
        <v>307</v>
      </c>
      <c r="C18" t="s">
        <v>307</v>
      </c>
      <c r="D18">
        <v>48017</v>
      </c>
      <c r="E18">
        <v>1</v>
      </c>
      <c r="F18">
        <v>4802</v>
      </c>
      <c r="G18">
        <v>48</v>
      </c>
      <c r="H18">
        <v>20895</v>
      </c>
      <c r="I18">
        <v>4157</v>
      </c>
      <c r="J18">
        <v>9004</v>
      </c>
      <c r="K18">
        <v>1061</v>
      </c>
      <c r="L18">
        <v>35452</v>
      </c>
      <c r="M18" s="3">
        <f t="shared" si="0"/>
        <v>58.938846891571707</v>
      </c>
      <c r="N18" s="3">
        <f t="shared" si="1"/>
        <v>11.725713640979354</v>
      </c>
      <c r="O18" s="3">
        <f t="shared" si="2"/>
        <v>25.397720862010605</v>
      </c>
      <c r="P18" s="3">
        <f t="shared" si="3"/>
        <v>2.9927789687464741</v>
      </c>
      <c r="Q18">
        <v>62.8</v>
      </c>
      <c r="R18">
        <v>9.3000000000000007</v>
      </c>
      <c r="S18">
        <v>16.8</v>
      </c>
      <c r="T18">
        <v>5.3</v>
      </c>
      <c r="U18">
        <f t="shared" si="4"/>
        <v>1</v>
      </c>
      <c r="V18">
        <f t="shared" si="5"/>
        <v>0</v>
      </c>
      <c r="W18">
        <f t="shared" si="6"/>
        <v>0</v>
      </c>
      <c r="X18">
        <f t="shared" si="7"/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G18" t="s">
        <v>480</v>
      </c>
      <c r="AH18">
        <f>IF(OR($AL$8=0,$AL$9=0),$AJ7/4,AH$9/$AL$9*$AJ$8+AH$8/$AL$8*$AJ$9)</f>
        <v>0</v>
      </c>
      <c r="AI18">
        <f t="shared" ref="AI18:AK18" si="25">IF(OR($AL$8=0,$AL$9=0),$AJ7/4,AI$9/$AL$9*$AJ$8+AI$8/$AL$8*$AJ$9)</f>
        <v>-0.79523462052613425</v>
      </c>
      <c r="AJ18">
        <f t="shared" si="25"/>
        <v>0</v>
      </c>
      <c r="AK18">
        <f t="shared" si="25"/>
        <v>0</v>
      </c>
      <c r="AL18">
        <f>SUM(AH18:AK18)</f>
        <v>-0.79523462052613425</v>
      </c>
      <c r="AN18" s="8">
        <f t="shared" si="8"/>
        <v>46.244594902394297</v>
      </c>
      <c r="AO18" s="8">
        <f t="shared" si="9"/>
        <v>31.866837093501836</v>
      </c>
      <c r="AP18" s="8">
        <f t="shared" si="10"/>
        <v>21.255355991574746</v>
      </c>
      <c r="AQ18" s="8">
        <f t="shared" si="11"/>
        <v>0.95378752041585102</v>
      </c>
      <c r="AR18" s="8"/>
      <c r="AS18" s="3">
        <f t="shared" si="12"/>
        <v>100.32057550788673</v>
      </c>
      <c r="AV18" s="3">
        <f t="array" ref="AV18">MIN(100,MAX(0,M18-AB18*5+$AI$16*(U18*AH$29+SUMPRODUCT($Y18:$AA18,TRANSPOSE(AH$30:AH$32)))+$AJ$16*(U18*AH$33+SUMPRODUCT($Y18:$AA18,TRANSPOSE(AH$34:AH$36)))+$AK$16*(U18*AH$37+SUMPRODUCT($Y18:$AA18,TRANSPOSE(AH$38:AH$40)))))</f>
        <v>46.244594902394297</v>
      </c>
      <c r="AW18" s="43">
        <f t="array" ref="AW18">MIN(100,MAX(0,N18+3-AC18*5+$AH$17*(V18*AI$29+SUMPRODUCT($Y18:$AA18,TRANSPOSE(AI$30:AI$32)))+$AJ$17*(V18*AI$33+SUMPRODUCT($Y18:$AA18,TRANSPOSE(AI$34:AI$36)))+$AK$17*(V18*AI$37+SUMPRODUCT($Y18:$AA18,TRANSPOSE(AI$38:AI$40)))))</f>
        <v>31.866837093501836</v>
      </c>
      <c r="AX18" s="43">
        <f t="array" ref="AX18">MIN(100,MAX(0,O18-3-AD18*5+$AH$18*(W18*AJ$29+SUMPRODUCT($Y18:$AA18,TRANSPOSE(AJ$30:AJ$32)))+$AI$18*(W18*AJ$33+SUMPRODUCT($Y18:$AA18,TRANSPOSE(AJ$34:AJ$36)))+$AK$18*(W18*AJ$37+SUMPRODUCT($Y18:$AA18,TRANSPOSE(AJ$38:AJ$40)))))</f>
        <v>21.255355991574746</v>
      </c>
      <c r="AY18" s="3">
        <f t="array" ref="AY18">MIN(100,MAX(0,P18+$AH$19*(X18*AK$29+SUMPRODUCT($Y18:$AA18,TRANSPOSE(AK$30:AK$32)))+$AI$19*(X18*AK$33+SUMPRODUCT($Y18:$AA18,TRANSPOSE(AK$34:AK$36)))+$AJ$19*(X18*AK$37+SUMPRODUCT($Y18:$AA18,TRANSPOSE(AK$38:AK$40)))))</f>
        <v>0.95378752041585102</v>
      </c>
      <c r="AZ18" s="3"/>
      <c r="BC18">
        <f t="shared" si="13"/>
        <v>1</v>
      </c>
      <c r="BD18">
        <f t="shared" si="14"/>
        <v>0</v>
      </c>
      <c r="BE18">
        <f t="shared" si="15"/>
        <v>0</v>
      </c>
      <c r="BF18">
        <f t="shared" si="16"/>
        <v>0</v>
      </c>
      <c r="BI18">
        <f t="shared" si="17"/>
        <v>0</v>
      </c>
      <c r="BJ18">
        <f t="shared" si="18"/>
        <v>1</v>
      </c>
      <c r="BK18">
        <f t="shared" si="19"/>
        <v>1</v>
      </c>
      <c r="BL18">
        <f t="shared" si="20"/>
        <v>0</v>
      </c>
    </row>
    <row r="19" spans="1:64">
      <c r="A19" t="s">
        <v>13</v>
      </c>
      <c r="B19" t="s">
        <v>308</v>
      </c>
      <c r="C19" t="s">
        <v>308</v>
      </c>
      <c r="D19">
        <v>48018</v>
      </c>
      <c r="E19">
        <v>1</v>
      </c>
      <c r="F19">
        <v>4802</v>
      </c>
      <c r="G19">
        <v>48</v>
      </c>
      <c r="H19">
        <v>25690</v>
      </c>
      <c r="I19">
        <v>6271</v>
      </c>
      <c r="J19">
        <v>9159</v>
      </c>
      <c r="K19">
        <v>2147</v>
      </c>
      <c r="L19">
        <v>43268</v>
      </c>
      <c r="M19" s="3">
        <f t="shared" si="0"/>
        <v>59.374133308680776</v>
      </c>
      <c r="N19" s="3">
        <f t="shared" si="1"/>
        <v>14.493390034205417</v>
      </c>
      <c r="O19" s="3">
        <f t="shared" si="2"/>
        <v>21.168068780623091</v>
      </c>
      <c r="P19" s="3">
        <f t="shared" si="3"/>
        <v>4.9620966996394564</v>
      </c>
      <c r="Q19">
        <v>62.8</v>
      </c>
      <c r="R19">
        <v>9.3000000000000007</v>
      </c>
      <c r="S19">
        <v>16.8</v>
      </c>
      <c r="T19">
        <v>5.3</v>
      </c>
      <c r="U19" s="54"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G19" t="s">
        <v>481</v>
      </c>
      <c r="AH19">
        <f>IF(OR($AL$8=0,$AL$9=0),$AK7/4,AH$9/$AL$9*$AK$8+AH$8/$AL$8*$AK$9)</f>
        <v>0</v>
      </c>
      <c r="AI19">
        <f t="shared" ref="AI19:AK19" si="26">IF(OR($AL$8=0,$AL$9=0),$AK7/4,AI$9/$AL$9*$AK$8+AI$8/$AL$8*$AK$9)</f>
        <v>-1.9945287161061342</v>
      </c>
      <c r="AJ19">
        <f t="shared" si="26"/>
        <v>0</v>
      </c>
      <c r="AK19">
        <f t="shared" si="26"/>
        <v>0</v>
      </c>
      <c r="AL19">
        <f>SUM(AH19:AK19)</f>
        <v>-1.9945287161061342</v>
      </c>
      <c r="AN19" s="8">
        <f t="shared" si="8"/>
        <v>41.679881319503366</v>
      </c>
      <c r="AO19" s="8">
        <f t="shared" si="9"/>
        <v>31.634513486727901</v>
      </c>
      <c r="AP19" s="8">
        <f t="shared" si="10"/>
        <v>20.025703910187232</v>
      </c>
      <c r="AQ19" s="8">
        <f t="shared" si="11"/>
        <v>2.9231052513088334</v>
      </c>
      <c r="AR19" s="8"/>
      <c r="AS19" s="3">
        <f t="shared" si="12"/>
        <v>96.263203967727335</v>
      </c>
      <c r="AV19" s="3">
        <f t="array" ref="AV19">MIN(100,MAX(0,M19-AB19*5+$AI$16*(U19*AH$29+SUMPRODUCT($Y19:$AA19,TRANSPOSE(AH$30:AH$32)))+$AJ$16*(U19*AH$33+SUMPRODUCT($Y19:$AA19,TRANSPOSE(AH$34:AH$36)))+$AK$16*(U19*AH$37+SUMPRODUCT($Y19:$AA19,TRANSPOSE(AH$38:AH$40)))))</f>
        <v>41.679881319503366</v>
      </c>
      <c r="AW19" s="3">
        <f t="array" ref="AW19">MIN(100,MAX(0,N19-AC19*5+$AH$17*(V19*AI$29+SUMPRODUCT($Y19:$AA19,TRANSPOSE(AI$30:AI$32)))+$AJ$17*(V19*AI$33+SUMPRODUCT($Y19:$AA19,TRANSPOSE(AI$34:AI$36)))+$AK$17*(V19*AI$37+SUMPRODUCT($Y19:$AA19,TRANSPOSE(AI$38:AI$40)))))</f>
        <v>31.634513486727901</v>
      </c>
      <c r="AX19" s="3">
        <f t="array" ref="AX19">MIN(100,MAX(0,O19-AD19*5+$AH$18*(W19*AJ$29+SUMPRODUCT($Y19:$AA19,TRANSPOSE(AJ$30:AJ$32)))+$AI$18*(W19*AJ$33+SUMPRODUCT($Y19:$AA19,TRANSPOSE(AJ$34:AJ$36)))+$AK$18*(W19*AJ$37+SUMPRODUCT($Y19:$AA19,TRANSPOSE(AJ$38:AJ$40)))))</f>
        <v>20.025703910187232</v>
      </c>
      <c r="AY19" s="3">
        <f t="array" ref="AY19">MIN(100,MAX(0,P19+$AH$19*(X19*AK$29+SUMPRODUCT($Y19:$AA19,TRANSPOSE(AK$30:AK$32)))+$AI$19*(X19*AK$33+SUMPRODUCT($Y19:$AA19,TRANSPOSE(AK$34:AK$36)))+$AJ$19*(X19*AK$37+SUMPRODUCT($Y19:$AA19,TRANSPOSE(AK$38:AK$40)))))</f>
        <v>2.9231052513088334</v>
      </c>
      <c r="AZ19" s="3"/>
      <c r="BC19">
        <f t="shared" si="13"/>
        <v>1</v>
      </c>
      <c r="BD19">
        <f t="shared" si="14"/>
        <v>0</v>
      </c>
      <c r="BE19">
        <f t="shared" si="15"/>
        <v>0</v>
      </c>
      <c r="BF19">
        <f t="shared" si="16"/>
        <v>0</v>
      </c>
      <c r="BI19">
        <f t="shared" si="17"/>
        <v>0</v>
      </c>
      <c r="BJ19">
        <f t="shared" si="18"/>
        <v>1</v>
      </c>
      <c r="BK19">
        <f t="shared" si="19"/>
        <v>1</v>
      </c>
      <c r="BL19">
        <f t="shared" si="20"/>
        <v>0</v>
      </c>
    </row>
    <row r="20" spans="1:64">
      <c r="A20" t="s">
        <v>13</v>
      </c>
      <c r="B20" t="s">
        <v>309</v>
      </c>
      <c r="C20" t="s">
        <v>309</v>
      </c>
      <c r="D20">
        <v>48019</v>
      </c>
      <c r="E20">
        <v>1</v>
      </c>
      <c r="H20">
        <v>20084</v>
      </c>
      <c r="I20">
        <v>1422</v>
      </c>
      <c r="J20">
        <v>26753</v>
      </c>
      <c r="K20">
        <v>1165</v>
      </c>
      <c r="L20">
        <v>49808</v>
      </c>
      <c r="M20" s="3">
        <f t="shared" si="0"/>
        <v>40.322839704465146</v>
      </c>
      <c r="N20" s="3">
        <f t="shared" si="1"/>
        <v>2.8549630581432699</v>
      </c>
      <c r="O20" s="3">
        <f t="shared" si="2"/>
        <v>53.712255059428202</v>
      </c>
      <c r="P20" s="3">
        <f t="shared" si="3"/>
        <v>2.3389816896884033</v>
      </c>
      <c r="Q20">
        <v>62.8</v>
      </c>
      <c r="R20">
        <v>9.3000000000000007</v>
      </c>
      <c r="S20">
        <v>16.8</v>
      </c>
      <c r="T20">
        <v>5.3</v>
      </c>
      <c r="U20">
        <f t="shared" si="4"/>
        <v>0</v>
      </c>
      <c r="V20">
        <f t="shared" si="5"/>
        <v>0</v>
      </c>
      <c r="W20">
        <f t="shared" si="6"/>
        <v>1</v>
      </c>
      <c r="X20">
        <f t="shared" si="7"/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N20" s="8">
        <f t="shared" si="8"/>
        <v>27.628587715287736</v>
      </c>
      <c r="AO20" s="8">
        <f t="shared" si="9"/>
        <v>20.01312717121294</v>
      </c>
      <c r="AP20" s="8">
        <f t="shared" si="10"/>
        <v>51.846056345057846</v>
      </c>
      <c r="AQ20" s="8">
        <f t="shared" si="11"/>
        <v>0.29999024135778019</v>
      </c>
      <c r="AR20" s="8"/>
      <c r="AS20" s="3">
        <f t="shared" ref="AS20:AS25" si="27">SUM(AN20:AQ20)</f>
        <v>99.787761472916301</v>
      </c>
      <c r="AV20" s="3">
        <f t="array" ref="AV20">MIN(100,MAX(0,M20-AB20*5+$AI$16*(U20*AH$29+SUMPRODUCT($Y20:$AA20,TRANSPOSE(AH$30:AH$32)))+$AJ$16*(U20*AH$33+SUMPRODUCT($Y20:$AA20,TRANSPOSE(AH$34:AH$36)))+$AK$16*(U20*AH$37+SUMPRODUCT($Y20:$AA20,TRANSPOSE(AH$38:AH$40)))))</f>
        <v>27.628587715287736</v>
      </c>
      <c r="AW20" s="3">
        <f t="array" ref="AW20">MIN(100,MAX(0,N20-AC20*5+$AH$17*(V20*AI$29+SUMPRODUCT($Y20:$AA20,TRANSPOSE(AI$30:AI$32)))+$AJ$17*(V20*AI$33+SUMPRODUCT($Y20:$AA20,TRANSPOSE(AI$34:AI$36)))+$AK$17*(V20*AI$37+SUMPRODUCT($Y20:$AA20,TRANSPOSE(AI$38:AI$40)))))</f>
        <v>19.996086510665755</v>
      </c>
      <c r="AX20" s="3">
        <f t="array" ref="AX20">MIN(100,MAX(0,O20-AD20*5+$AH$18*(W20*AJ$29+SUMPRODUCT($Y20:$AA20,TRANSPOSE(AJ$30:AJ$32)))+$AI$18*(W20*AJ$33+SUMPRODUCT($Y20:$AA20,TRANSPOSE(AJ$34:AJ$36)))+$AK$18*(W20*AJ$37+SUMPRODUCT($Y20:$AA20,TRANSPOSE(AJ$38:AJ$40)))))</f>
        <v>51.846056345057846</v>
      </c>
      <c r="AY20" s="3">
        <f t="array" ref="AY20">MIN(100,MAX(0,P20+$AH$19*(X20*AK$29+SUMPRODUCT($Y20:$AA20,TRANSPOSE(AK$30:AK$32)))+$AI$19*(X20*AK$33+SUMPRODUCT($Y20:$AA20,TRANSPOSE(AK$34:AK$36)))+$AJ$19*(X20*AK$37+SUMPRODUCT($Y20:$AA20,TRANSPOSE(AK$38:AK$40)))))</f>
        <v>0.29999024135778019</v>
      </c>
      <c r="AZ20" s="3"/>
      <c r="BC20">
        <f t="shared" ref="BC20:BC25" si="28">IF(AN20=MAX($AN20:$AQ20),1,0)</f>
        <v>0</v>
      </c>
      <c r="BD20">
        <f t="shared" ref="BD20:BD25" si="29">IF(AO20=MAX($AN20:$AQ20),1,0)</f>
        <v>0</v>
      </c>
      <c r="BE20">
        <f t="shared" ref="BE20:BE25" si="30">IF(AP20=MAX($AN20:$AQ20),1,0)</f>
        <v>1</v>
      </c>
      <c r="BF20">
        <f t="shared" ref="BF20:BF25" si="31">IF(AQ20=MAX($AN20:$AQ20),1,0)</f>
        <v>0</v>
      </c>
      <c r="BI20">
        <f t="shared" ref="BI20:BI25" si="32">IF(AV20&gt;AH$6,1,0)</f>
        <v>0</v>
      </c>
      <c r="BJ20">
        <f t="shared" ref="BJ20:BJ25" si="33">IF(AW20&gt;AI$6,1,0)</f>
        <v>0</v>
      </c>
      <c r="BK20">
        <f t="shared" ref="BK20:BK25" si="34">IF(AX20&gt;AJ$6,1,0)</f>
        <v>1</v>
      </c>
      <c r="BL20">
        <f t="shared" ref="BL20:BL25" si="35">IF(AY20&gt;AK$6,1,0)</f>
        <v>0</v>
      </c>
    </row>
    <row r="21" spans="1:64">
      <c r="A21" t="s">
        <v>13</v>
      </c>
      <c r="B21" t="s">
        <v>310</v>
      </c>
      <c r="C21" t="s">
        <v>310</v>
      </c>
      <c r="D21">
        <v>48020</v>
      </c>
      <c r="E21">
        <v>1</v>
      </c>
      <c r="H21">
        <v>24733</v>
      </c>
      <c r="I21">
        <v>4801</v>
      </c>
      <c r="J21">
        <v>7502</v>
      </c>
      <c r="K21">
        <v>1417</v>
      </c>
      <c r="L21">
        <v>38527</v>
      </c>
      <c r="M21" s="3">
        <f t="shared" si="0"/>
        <v>64.196537493186597</v>
      </c>
      <c r="N21" s="3">
        <f t="shared" si="1"/>
        <v>12.461390713006464</v>
      </c>
      <c r="O21" s="3">
        <f t="shared" si="2"/>
        <v>19.472058556337114</v>
      </c>
      <c r="P21" s="3">
        <f t="shared" si="3"/>
        <v>3.6779401458717262</v>
      </c>
      <c r="Q21">
        <v>62.8</v>
      </c>
      <c r="R21">
        <v>9.3000000000000007</v>
      </c>
      <c r="S21">
        <v>16.8</v>
      </c>
      <c r="T21">
        <v>5.3</v>
      </c>
      <c r="U21">
        <f t="shared" si="4"/>
        <v>1</v>
      </c>
      <c r="V21">
        <f t="shared" si="5"/>
        <v>0</v>
      </c>
      <c r="W21">
        <f t="shared" si="6"/>
        <v>0</v>
      </c>
      <c r="X21">
        <f t="shared" si="7"/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N21" s="8">
        <f t="shared" si="8"/>
        <v>51.502285504009187</v>
      </c>
      <c r="AO21" s="8">
        <f t="shared" si="9"/>
        <v>29.602514165528948</v>
      </c>
      <c r="AP21" s="8">
        <f t="shared" si="10"/>
        <v>18.329693685901255</v>
      </c>
      <c r="AQ21" s="8">
        <f t="shared" si="11"/>
        <v>1.6389486975411032</v>
      </c>
      <c r="AR21" s="8"/>
      <c r="AS21" s="3">
        <f t="shared" si="27"/>
        <v>101.07344205298051</v>
      </c>
      <c r="AV21" s="3">
        <f t="array" ref="AV21">MIN(100,MAX(0,M21-AB21*5+$AI$16*(U21*AH$29+SUMPRODUCT($Y21:$AA21,TRANSPOSE(AH$30:AH$32)))+$AJ$16*(U21*AH$33+SUMPRODUCT($Y21:$AA21,TRANSPOSE(AH$34:AH$36)))+$AK$16*(U21*AH$37+SUMPRODUCT($Y21:$AA21,TRANSPOSE(AH$38:AH$40)))))</f>
        <v>51.502285504009187</v>
      </c>
      <c r="AW21" s="3">
        <f t="array" ref="AW21">MIN(100,MAX(0,N21-AC21*5+$AH$17*(V21*AI$29+SUMPRODUCT($Y21:$AA21,TRANSPOSE(AI$30:AI$32)))+$AJ$17*(V21*AI$33+SUMPRODUCT($Y21:$AA21,TRANSPOSE(AI$34:AI$36)))+$AK$17*(V21*AI$37+SUMPRODUCT($Y21:$AA21,TRANSPOSE(AI$38:AI$40)))))</f>
        <v>29.602514165528948</v>
      </c>
      <c r="AX21" s="3">
        <f t="array" ref="AX21">MIN(100,MAX(0,O21-AD21*5+$AH$18*(W21*AJ$29+SUMPRODUCT($Y21:$AA21,TRANSPOSE(AJ$30:AJ$32)))+$AI$18*(W21*AJ$33+SUMPRODUCT($Y21:$AA21,TRANSPOSE(AJ$34:AJ$36)))+$AK$18*(W21*AJ$37+SUMPRODUCT($Y21:$AA21,TRANSPOSE(AJ$38:AJ$40)))))</f>
        <v>18.329693685901255</v>
      </c>
      <c r="AY21" s="3">
        <f t="array" ref="AY21">MIN(100,MAX(0,P21+$AH$19*(X21*AK$29+SUMPRODUCT($Y21:$AA21,TRANSPOSE(AK$30:AK$32)))+$AI$19*(X21*AK$33+SUMPRODUCT($Y21:$AA21,TRANSPOSE(AK$34:AK$36)))+$AJ$19*(X21*AK$37+SUMPRODUCT($Y21:$AA21,TRANSPOSE(AK$38:AK$40)))))</f>
        <v>1.6389486975411032</v>
      </c>
      <c r="AZ21" s="3"/>
      <c r="BC21">
        <f t="shared" si="28"/>
        <v>1</v>
      </c>
      <c r="BD21">
        <f t="shared" si="29"/>
        <v>0</v>
      </c>
      <c r="BE21">
        <f t="shared" si="30"/>
        <v>0</v>
      </c>
      <c r="BF21">
        <f t="shared" si="31"/>
        <v>0</v>
      </c>
      <c r="BI21">
        <f t="shared" si="32"/>
        <v>0</v>
      </c>
      <c r="BJ21">
        <f t="shared" si="33"/>
        <v>1</v>
      </c>
      <c r="BK21">
        <f t="shared" si="34"/>
        <v>1</v>
      </c>
      <c r="BL21">
        <f t="shared" si="35"/>
        <v>0</v>
      </c>
    </row>
    <row r="22" spans="1:64">
      <c r="A22" t="s">
        <v>13</v>
      </c>
      <c r="B22" t="s">
        <v>311</v>
      </c>
      <c r="C22" t="s">
        <v>671</v>
      </c>
      <c r="D22">
        <v>48021</v>
      </c>
      <c r="E22">
        <v>1</v>
      </c>
      <c r="H22">
        <v>31194</v>
      </c>
      <c r="I22">
        <v>2363</v>
      </c>
      <c r="J22">
        <v>5891</v>
      </c>
      <c r="K22">
        <v>1690</v>
      </c>
      <c r="L22">
        <v>41281</v>
      </c>
      <c r="M22" s="3">
        <f t="shared" si="0"/>
        <v>75.56502991691093</v>
      </c>
      <c r="N22" s="3">
        <f t="shared" si="1"/>
        <v>5.7241830382015939</v>
      </c>
      <c r="O22" s="3">
        <f t="shared" si="2"/>
        <v>14.270487633536009</v>
      </c>
      <c r="P22" s="3">
        <f t="shared" si="3"/>
        <v>4.0938930742956803</v>
      </c>
      <c r="Q22">
        <v>62.8</v>
      </c>
      <c r="R22">
        <v>9.3000000000000007</v>
      </c>
      <c r="S22">
        <v>16.8</v>
      </c>
      <c r="T22">
        <v>5.3</v>
      </c>
      <c r="U22">
        <f t="shared" si="4"/>
        <v>1</v>
      </c>
      <c r="V22">
        <f t="shared" si="5"/>
        <v>0</v>
      </c>
      <c r="W22">
        <f t="shared" si="6"/>
        <v>0</v>
      </c>
      <c r="X22">
        <f t="shared" si="7"/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N22" s="8">
        <f t="shared" si="8"/>
        <v>63.656094268956011</v>
      </c>
      <c r="AO22" s="8">
        <f t="shared" si="9"/>
        <v>21.361217295986883</v>
      </c>
      <c r="AP22" s="8">
        <f t="shared" si="10"/>
        <v>13.644785781536166</v>
      </c>
      <c r="AQ22" s="8">
        <f t="shared" si="11"/>
        <v>2.129212979058253</v>
      </c>
      <c r="AR22" s="8"/>
      <c r="AS22" s="3">
        <f t="shared" si="27"/>
        <v>100.79131032553732</v>
      </c>
      <c r="AV22" s="3">
        <f t="array" ref="AV22">MIN(100,MAX(0,M22-AB22*5+$AI$16*(U22*AH$29+SUMPRODUCT($Y22:$AA22,TRANSPOSE(AH$30:AH$32)))+$AJ$16*(U22*AH$33+SUMPRODUCT($Y22:$AA22,TRANSPOSE(AH$34:AH$36)))+$AK$16*(U22*AH$37+SUMPRODUCT($Y22:$AA22,TRANSPOSE(AH$38:AH$40)))))</f>
        <v>63.68456184036053</v>
      </c>
      <c r="AW22" s="3">
        <f t="array" ref="AW22">MIN(100,MAX(0,N22-AC22*5+$AH$17*(V22*AI$29+SUMPRODUCT($Y22:$AA22,TRANSPOSE(AI$30:AI$32)))+$AJ$17*(V22*AI$33+SUMPRODUCT($Y22:$AA22,TRANSPOSE(AI$34:AI$36)))+$AK$17*(V22*AI$37+SUMPRODUCT($Y22:$AA22,TRANSPOSE(AI$38:AI$40)))))</f>
        <v>21.348568693809128</v>
      </c>
      <c r="AX22" s="3">
        <f t="array" ref="AX22">MIN(100,MAX(0,O22-AD22*5+$AH$18*(W22*AJ$29+SUMPRODUCT($Y22:$AA22,TRANSPOSE(AJ$30:AJ$32)))+$AI$18*(W22*AJ$33+SUMPRODUCT($Y22:$AA22,TRANSPOSE(AJ$34:AJ$36)))+$AK$18*(W22*AJ$37+SUMPRODUCT($Y22:$AA22,TRANSPOSE(AJ$38:AJ$40)))))</f>
        <v>13.644785781536166</v>
      </c>
      <c r="AY22" s="3">
        <f t="array" ref="AY22">MIN(100,MAX(0,P22+$AH$19*(X22*AK$29+SUMPRODUCT($Y22:$AA22,TRANSPOSE(AK$30:AK$32)))+$AI$19*(X22*AK$33+SUMPRODUCT($Y22:$AA22,TRANSPOSE(AK$34:AK$36)))+$AJ$19*(X22*AK$37+SUMPRODUCT($Y22:$AA22,TRANSPOSE(AK$38:AK$40)))))</f>
        <v>2.129212979058253</v>
      </c>
      <c r="AZ22" s="3"/>
      <c r="BC22">
        <f t="shared" si="28"/>
        <v>1</v>
      </c>
      <c r="BD22">
        <f t="shared" si="29"/>
        <v>0</v>
      </c>
      <c r="BE22">
        <f t="shared" si="30"/>
        <v>0</v>
      </c>
      <c r="BF22">
        <f t="shared" si="31"/>
        <v>0</v>
      </c>
      <c r="BI22">
        <f t="shared" si="32"/>
        <v>1</v>
      </c>
      <c r="BJ22">
        <f t="shared" si="33"/>
        <v>0</v>
      </c>
      <c r="BK22">
        <f t="shared" si="34"/>
        <v>0</v>
      </c>
      <c r="BL22">
        <f t="shared" si="35"/>
        <v>0</v>
      </c>
    </row>
    <row r="23" spans="1:64">
      <c r="A23" t="s">
        <v>13</v>
      </c>
      <c r="B23" t="s">
        <v>312</v>
      </c>
      <c r="C23" t="s">
        <v>312</v>
      </c>
      <c r="D23">
        <v>48022</v>
      </c>
      <c r="E23">
        <v>1</v>
      </c>
      <c r="H23">
        <v>35900</v>
      </c>
      <c r="I23">
        <v>1624</v>
      </c>
      <c r="J23">
        <v>4656</v>
      </c>
      <c r="K23">
        <v>2193</v>
      </c>
      <c r="L23">
        <v>46130</v>
      </c>
      <c r="M23" s="3">
        <f t="shared" si="0"/>
        <v>77.823542163451123</v>
      </c>
      <c r="N23" s="3">
        <f t="shared" si="1"/>
        <v>3.5204855842185125</v>
      </c>
      <c r="O23" s="3">
        <f t="shared" si="2"/>
        <v>10.093214827660958</v>
      </c>
      <c r="P23" s="3">
        <f t="shared" si="3"/>
        <v>4.7539562107088669</v>
      </c>
      <c r="Q23">
        <v>62.8</v>
      </c>
      <c r="R23">
        <v>9.3000000000000007</v>
      </c>
      <c r="S23">
        <v>16.8</v>
      </c>
      <c r="T23">
        <v>5.3</v>
      </c>
      <c r="U23">
        <f t="shared" si="4"/>
        <v>1</v>
      </c>
      <c r="V23">
        <f t="shared" si="5"/>
        <v>0</v>
      </c>
      <c r="W23">
        <f t="shared" si="6"/>
        <v>0</v>
      </c>
      <c r="X23">
        <f t="shared" si="7"/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G23" t="s">
        <v>3</v>
      </c>
      <c r="AH23" s="3">
        <f>AN37</f>
        <v>53.99382137433787</v>
      </c>
      <c r="AI23" s="3">
        <f>AO37</f>
        <v>25.363792000739142</v>
      </c>
      <c r="AJ23" s="3">
        <f>AP37</f>
        <v>15.62259714364728</v>
      </c>
      <c r="AK23" s="3">
        <f>AQ37</f>
        <v>3.0314679644015174</v>
      </c>
      <c r="AN23" s="8">
        <f t="shared" si="8"/>
        <v>65.90735084301653</v>
      </c>
      <c r="AO23" s="8">
        <f t="shared" si="9"/>
        <v>19.164676141707478</v>
      </c>
      <c r="AP23" s="8">
        <f t="shared" si="10"/>
        <v>9.4675129756611156</v>
      </c>
      <c r="AQ23" s="8">
        <f t="shared" si="11"/>
        <v>2.7892761154714396</v>
      </c>
      <c r="AR23" s="8"/>
      <c r="AS23" s="3">
        <f t="shared" si="27"/>
        <v>97.328816075856565</v>
      </c>
      <c r="AV23" s="3">
        <f t="array" ref="AV23">MIN(100,MAX(0,M23-AB23*5+$AI$16*(U23*AH$29+SUMPRODUCT($Y23:$AA23,TRANSPOSE(AH$30:AH$32)))+$AJ$16*(U23*AH$33+SUMPRODUCT($Y23:$AA23,TRANSPOSE(AH$34:AH$36)))+$AK$16*(U23*AH$37+SUMPRODUCT($Y23:$AA23,TRANSPOSE(AH$38:AH$40)))))</f>
        <v>65.943074086900722</v>
      </c>
      <c r="AW23" s="3">
        <f t="array" ref="AW23">MIN(100,MAX(0,N23-AC23*5+$AH$17*(V23*AI$29+SUMPRODUCT($Y23:$AA23,TRANSPOSE(AI$30:AI$32)))+$AJ$17*(V23*AI$33+SUMPRODUCT($Y23:$AA23,TRANSPOSE(AI$34:AI$36)))+$AK$17*(V23*AI$37+SUMPRODUCT($Y23:$AA23,TRANSPOSE(AI$38:AI$40)))))</f>
        <v>19.144871239826045</v>
      </c>
      <c r="AX23" s="3">
        <f t="array" ref="AX23">MIN(100,MAX(0,O23-AD23*5+$AH$18*(W23*AJ$29+SUMPRODUCT($Y23:$AA23,TRANSPOSE(AJ$30:AJ$32)))+$AI$18*(W23*AJ$33+SUMPRODUCT($Y23:$AA23,TRANSPOSE(AJ$34:AJ$36)))+$AK$18*(W23*AJ$37+SUMPRODUCT($Y23:$AA23,TRANSPOSE(AJ$38:AJ$40)))))</f>
        <v>9.4675129756611156</v>
      </c>
      <c r="AY23" s="3">
        <f t="array" ref="AY23">MIN(100,MAX(0,P23+$AH$19*(X23*AK$29+SUMPRODUCT($Y23:$AA23,TRANSPOSE(AK$30:AK$32)))+$AI$19*(X23*AK$33+SUMPRODUCT($Y23:$AA23,TRANSPOSE(AK$34:AK$36)))+$AJ$19*(X23*AK$37+SUMPRODUCT($Y23:$AA23,TRANSPOSE(AK$38:AK$40)))))</f>
        <v>2.7892761154714396</v>
      </c>
      <c r="AZ23" s="3"/>
      <c r="BC23">
        <f t="shared" si="28"/>
        <v>1</v>
      </c>
      <c r="BD23">
        <f t="shared" si="29"/>
        <v>0</v>
      </c>
      <c r="BE23">
        <f t="shared" si="30"/>
        <v>0</v>
      </c>
      <c r="BF23">
        <f t="shared" si="31"/>
        <v>0</v>
      </c>
      <c r="BI23">
        <f t="shared" si="32"/>
        <v>1</v>
      </c>
      <c r="BJ23">
        <f t="shared" si="33"/>
        <v>0</v>
      </c>
      <c r="BK23">
        <f t="shared" si="34"/>
        <v>0</v>
      </c>
      <c r="BL23">
        <f t="shared" si="35"/>
        <v>0</v>
      </c>
    </row>
    <row r="24" spans="1:64">
      <c r="A24" t="s">
        <v>13</v>
      </c>
      <c r="B24" t="s">
        <v>313</v>
      </c>
      <c r="C24" t="s">
        <v>672</v>
      </c>
      <c r="D24">
        <v>48023</v>
      </c>
      <c r="E24">
        <v>1</v>
      </c>
      <c r="H24">
        <v>18601</v>
      </c>
      <c r="I24">
        <v>2768</v>
      </c>
      <c r="J24">
        <v>3367</v>
      </c>
      <c r="K24">
        <v>916</v>
      </c>
      <c r="L24">
        <v>25652</v>
      </c>
      <c r="M24" s="3">
        <f t="shared" si="0"/>
        <v>72.51286449399656</v>
      </c>
      <c r="N24" s="3">
        <f t="shared" si="1"/>
        <v>10.790581631061906</v>
      </c>
      <c r="O24" s="3">
        <f t="shared" si="2"/>
        <v>13.125682208014968</v>
      </c>
      <c r="P24" s="3">
        <f t="shared" si="3"/>
        <v>3.5708716669265552</v>
      </c>
      <c r="Q24">
        <v>62.8</v>
      </c>
      <c r="R24">
        <v>9.3000000000000007</v>
      </c>
      <c r="S24">
        <v>16.8</v>
      </c>
      <c r="T24">
        <v>5.3</v>
      </c>
      <c r="U24">
        <f t="shared" si="4"/>
        <v>1</v>
      </c>
      <c r="V24">
        <f t="shared" si="5"/>
        <v>0</v>
      </c>
      <c r="W24">
        <f t="shared" si="6"/>
        <v>0</v>
      </c>
      <c r="X24">
        <f t="shared" si="7"/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G24" t="s">
        <v>425</v>
      </c>
      <c r="AH24">
        <f>BC37</f>
        <v>32</v>
      </c>
      <c r="AI24">
        <f>BD37</f>
        <v>0</v>
      </c>
      <c r="AJ24">
        <f>BE37</f>
        <v>2</v>
      </c>
      <c r="AK24">
        <f>BF37</f>
        <v>0</v>
      </c>
      <c r="AN24" s="8">
        <f t="shared" si="8"/>
        <v>54.632396417446159</v>
      </c>
      <c r="AO24" s="8">
        <f t="shared" si="9"/>
        <v>32.414967286669437</v>
      </c>
      <c r="AP24" s="8">
        <f t="shared" si="10"/>
        <v>12.499980356015126</v>
      </c>
      <c r="AQ24" s="8">
        <f t="shared" si="11"/>
        <v>1.6061915716891282</v>
      </c>
      <c r="AR24" s="8"/>
      <c r="AS24" s="3">
        <f t="shared" si="27"/>
        <v>101.15353563181985</v>
      </c>
      <c r="AV24" s="43">
        <f t="array" ref="AV24">MIN(100,MAX(0,M24-6-AB24*5+$AI$16*(U24*AH$29+SUMPRODUCT($Y24:$AA24,TRANSPOSE(AH$30:AH$32)))+$AJ$16*(U24*AH$33+SUMPRODUCT($Y24:$AA24,TRANSPOSE(AH$34:AH$36)))+$AK$16*(U24*AH$37+SUMPRODUCT($Y24:$AA24,TRANSPOSE(AH$38:AH$40)))))</f>
        <v>54.632396417446159</v>
      </c>
      <c r="AW24" s="43">
        <f t="array" ref="AW24">MIN(100,MAX(0,N24+6-AC24*5+$AH$17*(V24*AI$29+SUMPRODUCT($Y24:$AA24,TRANSPOSE(AI$30:AI$32)))+$AJ$17*(V24*AI$33+SUMPRODUCT($Y24:$AA24,TRANSPOSE(AI$34:AI$36)))+$AK$17*(V24*AI$37+SUMPRODUCT($Y24:$AA24,TRANSPOSE(AI$38:AI$40)))))</f>
        <v>32.414967286669437</v>
      </c>
      <c r="AX24" s="3">
        <f t="array" ref="AX24">MIN(100,MAX(0,O24-AD24*5+$AH$18*(W24*AJ$29+SUMPRODUCT($Y24:$AA24,TRANSPOSE(AJ$30:AJ$32)))+$AI$18*(W24*AJ$33+SUMPRODUCT($Y24:$AA24,TRANSPOSE(AJ$34:AJ$36)))+$AK$18*(W24*AJ$37+SUMPRODUCT($Y24:$AA24,TRANSPOSE(AJ$38:AJ$40)))))</f>
        <v>12.499980356015126</v>
      </c>
      <c r="AY24" s="3">
        <f t="array" ref="AY24">MIN(100,MAX(0,P24+$AH$19*(X24*AK$29+SUMPRODUCT($Y24:$AA24,TRANSPOSE(AK$30:AK$32)))+$AI$19*(X24*AK$33+SUMPRODUCT($Y24:$AA24,TRANSPOSE(AK$34:AK$36)))+$AJ$19*(X24*AK$37+SUMPRODUCT($Y24:$AA24,TRANSPOSE(AK$38:AK$40)))))</f>
        <v>1.6061915716891282</v>
      </c>
      <c r="AZ24" s="3"/>
      <c r="BC24">
        <f t="shared" si="28"/>
        <v>1</v>
      </c>
      <c r="BD24">
        <f t="shared" si="29"/>
        <v>0</v>
      </c>
      <c r="BE24">
        <f t="shared" si="30"/>
        <v>0</v>
      </c>
      <c r="BF24">
        <f t="shared" si="31"/>
        <v>0</v>
      </c>
      <c r="BI24">
        <f t="shared" si="32"/>
        <v>0</v>
      </c>
      <c r="BJ24">
        <f t="shared" si="33"/>
        <v>1</v>
      </c>
      <c r="BK24">
        <f t="shared" si="34"/>
        <v>0</v>
      </c>
      <c r="BL24">
        <f t="shared" si="35"/>
        <v>0</v>
      </c>
    </row>
    <row r="25" spans="1:64">
      <c r="A25" t="s">
        <v>13</v>
      </c>
      <c r="B25" t="s">
        <v>314</v>
      </c>
      <c r="C25" t="s">
        <v>673</v>
      </c>
      <c r="D25">
        <v>48024</v>
      </c>
      <c r="E25">
        <v>1</v>
      </c>
      <c r="H25">
        <v>25763</v>
      </c>
      <c r="I25">
        <v>1075</v>
      </c>
      <c r="J25">
        <v>5211</v>
      </c>
      <c r="K25">
        <v>1271</v>
      </c>
      <c r="L25">
        <v>33845</v>
      </c>
      <c r="M25" s="3">
        <f t="shared" si="0"/>
        <v>76.120549564189687</v>
      </c>
      <c r="N25" s="3">
        <f t="shared" si="1"/>
        <v>3.1762446447037971</v>
      </c>
      <c r="O25" s="3">
        <f t="shared" si="2"/>
        <v>15.396661249815335</v>
      </c>
      <c r="P25" s="3">
        <f t="shared" si="3"/>
        <v>3.7553552962032799</v>
      </c>
      <c r="Q25">
        <v>62.8</v>
      </c>
      <c r="R25">
        <v>9.3000000000000007</v>
      </c>
      <c r="S25">
        <v>16.8</v>
      </c>
      <c r="T25">
        <v>5.3</v>
      </c>
      <c r="U25">
        <f t="shared" si="4"/>
        <v>1</v>
      </c>
      <c r="V25">
        <f t="shared" si="5"/>
        <v>0</v>
      </c>
      <c r="W25">
        <f t="shared" si="6"/>
        <v>0</v>
      </c>
      <c r="X25">
        <f t="shared" si="7"/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N25" s="8">
        <f t="shared" si="8"/>
        <v>64.209829259710162</v>
      </c>
      <c r="AO25" s="8">
        <f t="shared" si="9"/>
        <v>18.821553092186683</v>
      </c>
      <c r="AP25" s="8">
        <f t="shared" si="10"/>
        <v>14.770959397815492</v>
      </c>
      <c r="AQ25" s="8">
        <f t="shared" si="11"/>
        <v>1.7906752009658529</v>
      </c>
      <c r="AR25" s="8"/>
      <c r="AS25" s="3">
        <f t="shared" si="27"/>
        <v>99.593016950678177</v>
      </c>
      <c r="AV25" s="3">
        <f t="array" ref="AV25">MIN(100,MAX(0,M25-AB25*5+$AI$16*(U25*AH$29+SUMPRODUCT($Y25:$AA25,TRANSPOSE(AH$30:AH$32)))+$AJ$16*(U25*AH$33+SUMPRODUCT($Y25:$AA25,TRANSPOSE(AH$34:AH$36)))+$AK$16*(U25*AH$37+SUMPRODUCT($Y25:$AA25,TRANSPOSE(AH$38:AH$40)))))</f>
        <v>64.240081487639287</v>
      </c>
      <c r="AW25" s="3">
        <f t="array" ref="AW25">MIN(100,MAX(0,N25-AC25*5+$AH$17*(V25*AI$29+SUMPRODUCT($Y25:$AA25,TRANSPOSE(AI$30:AI$32)))+$AJ$17*(V25*AI$33+SUMPRODUCT($Y25:$AA25,TRANSPOSE(AI$34:AI$36)))+$AK$17*(V25*AI$37+SUMPRODUCT($Y25:$AA25,TRANSPOSE(AI$38:AI$40)))))</f>
        <v>18.80063030031133</v>
      </c>
      <c r="AX25" s="3">
        <f t="array" ref="AX25">MIN(100,MAX(0,O25-AD25*5+$AH$18*(W25*AJ$29+SUMPRODUCT($Y25:$AA25,TRANSPOSE(AJ$30:AJ$32)))+$AI$18*(W25*AJ$33+SUMPRODUCT($Y25:$AA25,TRANSPOSE(AJ$34:AJ$36)))+$AK$18*(W25*AJ$37+SUMPRODUCT($Y25:$AA25,TRANSPOSE(AJ$38:AJ$40)))))</f>
        <v>14.770959397815492</v>
      </c>
      <c r="AY25" s="3">
        <f t="array" ref="AY25">MIN(100,MAX(0,P25+$AH$19*(X25*AK$29+SUMPRODUCT($Y25:$AA25,TRANSPOSE(AK$30:AK$32)))+$AI$19*(X25*AK$33+SUMPRODUCT($Y25:$AA25,TRANSPOSE(AK$34:AK$36)))+$AJ$19*(X25*AK$37+SUMPRODUCT($Y25:$AA25,TRANSPOSE(AK$38:AK$40)))))</f>
        <v>1.7906752009658529</v>
      </c>
      <c r="AZ25" s="3"/>
      <c r="BC25">
        <f t="shared" si="28"/>
        <v>1</v>
      </c>
      <c r="BD25">
        <f t="shared" si="29"/>
        <v>0</v>
      </c>
      <c r="BE25">
        <f t="shared" si="30"/>
        <v>0</v>
      </c>
      <c r="BF25">
        <f t="shared" si="31"/>
        <v>0</v>
      </c>
      <c r="BI25">
        <f t="shared" si="32"/>
        <v>1</v>
      </c>
      <c r="BJ25">
        <f t="shared" si="33"/>
        <v>0</v>
      </c>
      <c r="BK25">
        <f t="shared" si="34"/>
        <v>0</v>
      </c>
      <c r="BL25">
        <f t="shared" si="35"/>
        <v>0</v>
      </c>
    </row>
    <row r="26" spans="1:64">
      <c r="A26" t="s">
        <v>13</v>
      </c>
      <c r="B26" t="s">
        <v>315</v>
      </c>
      <c r="C26" t="s">
        <v>315</v>
      </c>
      <c r="D26">
        <v>48025</v>
      </c>
      <c r="E26">
        <v>1</v>
      </c>
      <c r="F26">
        <v>4801</v>
      </c>
      <c r="G26">
        <v>48</v>
      </c>
      <c r="H26">
        <v>32529</v>
      </c>
      <c r="I26">
        <v>2100</v>
      </c>
      <c r="J26">
        <v>4621</v>
      </c>
      <c r="K26">
        <v>1740</v>
      </c>
      <c r="L26">
        <v>41181</v>
      </c>
      <c r="M26" s="3">
        <f t="shared" si="0"/>
        <v>78.990311065782763</v>
      </c>
      <c r="N26" s="3">
        <f t="shared" si="1"/>
        <v>5.0994390617032126</v>
      </c>
      <c r="O26" s="3">
        <f t="shared" si="2"/>
        <v>11.221194240062164</v>
      </c>
      <c r="P26" s="3">
        <f t="shared" si="3"/>
        <v>4.2252495082683765</v>
      </c>
      <c r="Q26">
        <v>62.8</v>
      </c>
      <c r="R26">
        <v>9.3000000000000007</v>
      </c>
      <c r="S26">
        <v>16.8</v>
      </c>
      <c r="T26">
        <v>5.3</v>
      </c>
      <c r="U26" s="54">
        <v>0</v>
      </c>
      <c r="V26">
        <f t="shared" si="5"/>
        <v>0</v>
      </c>
      <c r="W26">
        <f t="shared" si="6"/>
        <v>0</v>
      </c>
      <c r="X26">
        <f t="shared" si="7"/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N26" s="8">
        <f t="shared" si="8"/>
        <v>67.07037139595235</v>
      </c>
      <c r="AO26" s="8">
        <f t="shared" si="9"/>
        <v>20.738502116647478</v>
      </c>
      <c r="AP26" s="8">
        <f t="shared" si="10"/>
        <v>10.595492388062322</v>
      </c>
      <c r="AQ26" s="8">
        <f t="shared" si="11"/>
        <v>2.2605694130309493</v>
      </c>
      <c r="AR26" s="8"/>
      <c r="AS26" s="3">
        <f t="shared" si="12"/>
        <v>100.66493531369311</v>
      </c>
      <c r="AV26" s="3">
        <f t="array" ref="AV26">MIN(100,MAX(0,M26-AB26*5+$AI$16*(U26*AH$29+SUMPRODUCT($Y26:$AA26,TRANSPOSE(AH$30:AH$32)))+$AJ$16*(U26*AH$33+SUMPRODUCT($Y26:$AA26,TRANSPOSE(AH$34:AH$36)))+$AK$16*(U26*AH$37+SUMPRODUCT($Y26:$AA26,TRANSPOSE(AH$38:AH$40)))))</f>
        <v>67.109842989232362</v>
      </c>
      <c r="AW26" s="3">
        <f t="array" ref="AW26">MIN(100,MAX(0,N26-AC26*5+$AH$17*(V26*AI$29+SUMPRODUCT($Y26:$AA26,TRANSPOSE(AI$30:AI$32)))+$AJ$17*(V26*AI$33+SUMPRODUCT($Y26:$AA26,TRANSPOSE(AI$34:AI$36)))+$AK$17*(V26*AI$37+SUMPRODUCT($Y26:$AA26,TRANSPOSE(AI$38:AI$40)))))</f>
        <v>20.723824717310745</v>
      </c>
      <c r="AX26" s="3">
        <f t="array" ref="AX26">MIN(100,MAX(0,O26-AD26*5+$AH$18*(W26*AJ$29+SUMPRODUCT($Y26:$AA26,TRANSPOSE(AJ$30:AJ$32)))+$AI$18*(W26*AJ$33+SUMPRODUCT($Y26:$AA26,TRANSPOSE(AJ$34:AJ$36)))+$AK$18*(W26*AJ$37+SUMPRODUCT($Y26:$AA26,TRANSPOSE(AJ$38:AJ$40)))))</f>
        <v>10.595492388062322</v>
      </c>
      <c r="AY26" s="3">
        <f t="array" ref="AY26">MIN(100,MAX(0,P26+$AH$19*(X26*AK$29+SUMPRODUCT($Y26:$AA26,TRANSPOSE(AK$30:AK$32)))+$AI$19*(X26*AK$33+SUMPRODUCT($Y26:$AA26,TRANSPOSE(AK$34:AK$36)))+$AJ$19*(X26*AK$37+SUMPRODUCT($Y26:$AA26,TRANSPOSE(AK$38:AK$40)))))</f>
        <v>2.2605694130309493</v>
      </c>
      <c r="AZ26" s="3"/>
      <c r="BC26">
        <f t="shared" si="13"/>
        <v>1</v>
      </c>
      <c r="BD26">
        <f t="shared" si="14"/>
        <v>0</v>
      </c>
      <c r="BE26">
        <f t="shared" si="15"/>
        <v>0</v>
      </c>
      <c r="BF26">
        <f t="shared" si="16"/>
        <v>0</v>
      </c>
      <c r="BI26">
        <f t="shared" si="17"/>
        <v>1</v>
      </c>
      <c r="BJ26">
        <f t="shared" si="18"/>
        <v>0</v>
      </c>
      <c r="BK26">
        <f t="shared" si="19"/>
        <v>0</v>
      </c>
      <c r="BL26">
        <f t="shared" si="20"/>
        <v>0</v>
      </c>
    </row>
    <row r="27" spans="1:64">
      <c r="A27" t="s">
        <v>13</v>
      </c>
      <c r="B27" t="s">
        <v>316</v>
      </c>
      <c r="C27" t="s">
        <v>316</v>
      </c>
      <c r="D27">
        <v>48026</v>
      </c>
      <c r="E27">
        <v>1</v>
      </c>
      <c r="F27">
        <v>4801</v>
      </c>
      <c r="G27">
        <v>48</v>
      </c>
      <c r="H27">
        <v>21617</v>
      </c>
      <c r="I27">
        <v>3759</v>
      </c>
      <c r="J27">
        <v>12329</v>
      </c>
      <c r="K27">
        <v>1845</v>
      </c>
      <c r="L27">
        <v>41164</v>
      </c>
      <c r="M27" s="3">
        <f t="shared" si="0"/>
        <v>52.514332912253423</v>
      </c>
      <c r="N27" s="3">
        <f t="shared" si="1"/>
        <v>9.1317656204450497</v>
      </c>
      <c r="O27" s="3">
        <f t="shared" si="2"/>
        <v>29.950927995335729</v>
      </c>
      <c r="P27" s="3">
        <f t="shared" si="3"/>
        <v>4.4820717131474108</v>
      </c>
      <c r="Q27">
        <v>62.8</v>
      </c>
      <c r="R27">
        <v>9.3000000000000007</v>
      </c>
      <c r="S27">
        <v>16.8</v>
      </c>
      <c r="T27">
        <v>5.3</v>
      </c>
      <c r="U27">
        <f t="shared" si="4"/>
        <v>1</v>
      </c>
      <c r="V27">
        <f t="shared" si="5"/>
        <v>0</v>
      </c>
      <c r="W27">
        <f t="shared" si="6"/>
        <v>0</v>
      </c>
      <c r="X27">
        <f t="shared" si="7"/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G27" t="s">
        <v>551</v>
      </c>
      <c r="AN27" s="8">
        <f t="shared" si="8"/>
        <v>40.633864835703022</v>
      </c>
      <c r="AO27" s="8">
        <f t="shared" si="9"/>
        <v>24.757734075082325</v>
      </c>
      <c r="AP27" s="8">
        <f t="shared" si="10"/>
        <v>29.325226143335886</v>
      </c>
      <c r="AQ27" s="8">
        <f t="shared" si="11"/>
        <v>2.5173916179099836</v>
      </c>
      <c r="AR27" s="8"/>
      <c r="AS27" s="3">
        <f t="shared" si="12"/>
        <v>97.234216672031209</v>
      </c>
      <c r="AV27" s="3">
        <f t="array" ref="AV27">MIN(100,MAX(0,M27-AB27*5+$AI$16*(U27*AH$29+SUMPRODUCT($Y27:$AA27,TRANSPOSE(AH$30:AH$32)))+$AJ$16*(U27*AH$33+SUMPRODUCT($Y27:$AA27,TRANSPOSE(AH$34:AH$36)))+$AK$16*(U27*AH$37+SUMPRODUCT($Y27:$AA27,TRANSPOSE(AH$38:AH$40)))))</f>
        <v>40.633864835703022</v>
      </c>
      <c r="AW27" s="3">
        <f t="array" ref="AW27">MIN(100,MAX(0,N27-AC27*5+$AH$17*(V27*AI$29+SUMPRODUCT($Y27:$AA27,TRANSPOSE(AI$30:AI$32)))+$AJ$17*(V27*AI$33+SUMPRODUCT($Y27:$AA27,TRANSPOSE(AI$34:AI$36)))+$AK$17*(V27*AI$37+SUMPRODUCT($Y27:$AA27,TRANSPOSE(AI$38:AI$40)))))</f>
        <v>24.756151276052584</v>
      </c>
      <c r="AX27" s="3">
        <f t="array" ref="AX27">MIN(100,MAX(0,O27-AD27*5+$AH$18*(W27*AJ$29+SUMPRODUCT($Y27:$AA27,TRANSPOSE(AJ$30:AJ$32)))+$AI$18*(W27*AJ$33+SUMPRODUCT($Y27:$AA27,TRANSPOSE(AJ$34:AJ$36)))+$AK$18*(W27*AJ$37+SUMPRODUCT($Y27:$AA27,TRANSPOSE(AJ$38:AJ$40)))))</f>
        <v>29.325226143335886</v>
      </c>
      <c r="AY27" s="3">
        <f t="array" ref="AY27">MIN(100,MAX(0,P27+$AH$19*(X27*AK$29+SUMPRODUCT($Y27:$AA27,TRANSPOSE(AK$30:AK$32)))+$AI$19*(X27*AK$33+SUMPRODUCT($Y27:$AA27,TRANSPOSE(AK$34:AK$36)))+$AJ$19*(X27*AK$37+SUMPRODUCT($Y27:$AA27,TRANSPOSE(AK$38:AK$40)))))</f>
        <v>2.5173916179099836</v>
      </c>
      <c r="AZ27" s="3"/>
      <c r="BC27">
        <f t="shared" si="13"/>
        <v>1</v>
      </c>
      <c r="BD27">
        <f t="shared" si="14"/>
        <v>0</v>
      </c>
      <c r="BE27">
        <f t="shared" si="15"/>
        <v>0</v>
      </c>
      <c r="BF27">
        <f t="shared" si="16"/>
        <v>0</v>
      </c>
      <c r="BI27">
        <f t="shared" si="17"/>
        <v>0</v>
      </c>
      <c r="BJ27">
        <f t="shared" si="18"/>
        <v>0</v>
      </c>
      <c r="BK27">
        <f t="shared" si="19"/>
        <v>1</v>
      </c>
      <c r="BL27">
        <f t="shared" si="20"/>
        <v>0</v>
      </c>
    </row>
    <row r="28" spans="1:64">
      <c r="A28" t="s">
        <v>13</v>
      </c>
      <c r="B28" t="s">
        <v>317</v>
      </c>
      <c r="C28" t="s">
        <v>674</v>
      </c>
      <c r="D28">
        <v>48027</v>
      </c>
      <c r="E28">
        <v>1</v>
      </c>
      <c r="F28">
        <v>4801</v>
      </c>
      <c r="G28">
        <v>48</v>
      </c>
      <c r="H28">
        <v>25659</v>
      </c>
      <c r="I28">
        <v>4165</v>
      </c>
      <c r="J28">
        <v>5578</v>
      </c>
      <c r="K28">
        <v>1658</v>
      </c>
      <c r="L28">
        <v>37346</v>
      </c>
      <c r="M28" s="3">
        <f t="shared" si="0"/>
        <v>68.706153269426437</v>
      </c>
      <c r="N28" s="3">
        <f t="shared" si="1"/>
        <v>11.152466127563862</v>
      </c>
      <c r="O28" s="3">
        <f t="shared" si="2"/>
        <v>14.936003855834629</v>
      </c>
      <c r="P28" s="3">
        <f t="shared" si="3"/>
        <v>4.4395651475392279</v>
      </c>
      <c r="Q28">
        <v>62.8</v>
      </c>
      <c r="R28">
        <v>9.3000000000000007</v>
      </c>
      <c r="S28">
        <v>16.8</v>
      </c>
      <c r="T28">
        <v>5.3</v>
      </c>
      <c r="U28">
        <f t="shared" si="4"/>
        <v>1</v>
      </c>
      <c r="V28">
        <f t="shared" si="5"/>
        <v>0</v>
      </c>
      <c r="W28">
        <f t="shared" si="6"/>
        <v>0</v>
      </c>
      <c r="X28">
        <f t="shared" si="7"/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H28" t="s">
        <v>478</v>
      </c>
      <c r="AI28" t="s">
        <v>479</v>
      </c>
      <c r="AJ28" t="s">
        <v>480</v>
      </c>
      <c r="AK28" t="s">
        <v>481</v>
      </c>
      <c r="AN28" s="8">
        <f t="shared" si="8"/>
        <v>56.819252375814266</v>
      </c>
      <c r="AO28" s="8">
        <f t="shared" si="9"/>
        <v>26.776851783171395</v>
      </c>
      <c r="AP28" s="8">
        <f t="shared" si="10"/>
        <v>14.310302003834787</v>
      </c>
      <c r="AQ28" s="8">
        <f t="shared" si="11"/>
        <v>2.4748850523018007</v>
      </c>
      <c r="AR28" s="8"/>
      <c r="AS28" s="3">
        <f t="shared" si="12"/>
        <v>100.38129121512226</v>
      </c>
      <c r="AV28" s="3">
        <f t="array" ref="AV28">MIN(100,MAX(0,M28-AB28*5+$AI$16*(U28*AH$29+SUMPRODUCT($Y28:$AA28,TRANSPOSE(AH$30:AH$32)))+$AJ$16*(U28*AH$33+SUMPRODUCT($Y28:$AA28,TRANSPOSE(AH$34:AH$36)))+$AK$16*(U28*AH$37+SUMPRODUCT($Y28:$AA28,TRANSPOSE(AH$38:AH$40)))))</f>
        <v>56.825685192876037</v>
      </c>
      <c r="AW28" s="3">
        <f t="array" ref="AW28">MIN(100,MAX(0,N28-AC28*5+$AH$17*(V28*AI$29+SUMPRODUCT($Y28:$AA28,TRANSPOSE(AI$30:AI$32)))+$AJ$17*(V28*AI$33+SUMPRODUCT($Y28:$AA28,TRANSPOSE(AI$34:AI$36)))+$AK$17*(V28*AI$37+SUMPRODUCT($Y28:$AA28,TRANSPOSE(AI$38:AI$40)))))</f>
        <v>26.776851783171395</v>
      </c>
      <c r="AX28" s="3">
        <f t="array" ref="AX28">MIN(100,MAX(0,O28-AD28*5+$AH$18*(W28*AJ$29+SUMPRODUCT($Y28:$AA28,TRANSPOSE(AJ$30:AJ$32)))+$AI$18*(W28*AJ$33+SUMPRODUCT($Y28:$AA28,TRANSPOSE(AJ$34:AJ$36)))+$AK$18*(W28*AJ$37+SUMPRODUCT($Y28:$AA28,TRANSPOSE(AJ$38:AJ$40)))))</f>
        <v>14.310302003834787</v>
      </c>
      <c r="AY28" s="3">
        <f t="array" ref="AY28">MIN(100,MAX(0,P28+$AH$19*(X28*AK$29+SUMPRODUCT($Y28:$AA28,TRANSPOSE(AK$30:AK$32)))+$AI$19*(X28*AK$33+SUMPRODUCT($Y28:$AA28,TRANSPOSE(AK$34:AK$36)))+$AJ$19*(X28*AK$37+SUMPRODUCT($Y28:$AA28,TRANSPOSE(AK$38:AK$40)))))</f>
        <v>2.4748850523018007</v>
      </c>
      <c r="AZ28" s="3"/>
      <c r="BC28">
        <f t="shared" si="13"/>
        <v>1</v>
      </c>
      <c r="BD28">
        <f t="shared" si="14"/>
        <v>0</v>
      </c>
      <c r="BE28">
        <f t="shared" si="15"/>
        <v>0</v>
      </c>
      <c r="BF28">
        <f t="shared" si="16"/>
        <v>0</v>
      </c>
      <c r="BI28">
        <f t="shared" si="17"/>
        <v>1</v>
      </c>
      <c r="BJ28">
        <f t="shared" si="18"/>
        <v>1</v>
      </c>
      <c r="BK28">
        <f t="shared" si="19"/>
        <v>0</v>
      </c>
      <c r="BL28">
        <f t="shared" si="20"/>
        <v>0</v>
      </c>
    </row>
    <row r="29" spans="1:64">
      <c r="A29" t="s">
        <v>13</v>
      </c>
      <c r="B29" t="s">
        <v>318</v>
      </c>
      <c r="C29" t="s">
        <v>675</v>
      </c>
      <c r="D29">
        <v>48028</v>
      </c>
      <c r="E29">
        <v>1</v>
      </c>
      <c r="F29">
        <v>4801</v>
      </c>
      <c r="G29">
        <v>48</v>
      </c>
      <c r="H29">
        <v>28986</v>
      </c>
      <c r="I29">
        <v>1357</v>
      </c>
      <c r="J29">
        <v>4859</v>
      </c>
      <c r="K29">
        <v>1436</v>
      </c>
      <c r="L29">
        <v>37254</v>
      </c>
      <c r="M29" s="3">
        <f t="shared" si="0"/>
        <v>77.806410049927521</v>
      </c>
      <c r="N29" s="3">
        <f t="shared" si="1"/>
        <v>3.642561872550599</v>
      </c>
      <c r="O29" s="3">
        <f t="shared" si="2"/>
        <v>13.04289472271434</v>
      </c>
      <c r="P29" s="3">
        <f t="shared" si="3"/>
        <v>3.8546196381596607</v>
      </c>
      <c r="Q29">
        <v>62.8</v>
      </c>
      <c r="R29">
        <v>9.3000000000000007</v>
      </c>
      <c r="S29">
        <v>16.8</v>
      </c>
      <c r="T29">
        <v>5.3</v>
      </c>
      <c r="U29">
        <f t="shared" si="4"/>
        <v>1</v>
      </c>
      <c r="V29">
        <f t="shared" si="5"/>
        <v>0</v>
      </c>
      <c r="W29">
        <f t="shared" si="6"/>
        <v>0</v>
      </c>
      <c r="X29">
        <f t="shared" si="7"/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G29" t="s">
        <v>429</v>
      </c>
      <c r="AH29" s="45">
        <f>AH52</f>
        <v>0</v>
      </c>
      <c r="AI29" s="46">
        <f t="shared" ref="AI29:AK29" si="36">AI52</f>
        <v>0.23237440000000001</v>
      </c>
      <c r="AJ29" s="46">
        <f t="shared" si="36"/>
        <v>0.91021419999999997</v>
      </c>
      <c r="AK29" s="46">
        <f t="shared" si="36"/>
        <v>0</v>
      </c>
      <c r="AN29" s="8">
        <f t="shared" si="8"/>
        <v>65.89027376793905</v>
      </c>
      <c r="AO29" s="8">
        <f t="shared" si="9"/>
        <v>19.286355998803305</v>
      </c>
      <c r="AP29" s="8">
        <f t="shared" si="10"/>
        <v>12.417192870714498</v>
      </c>
      <c r="AQ29" s="8">
        <f t="shared" si="11"/>
        <v>1.8899395429222337</v>
      </c>
      <c r="AR29" s="8"/>
      <c r="AS29" s="3">
        <f t="shared" si="12"/>
        <v>99.483762180379088</v>
      </c>
      <c r="AV29" s="3">
        <f t="array" ref="AV29">MIN(100,MAX(0,M29-AB29*5+$AI$16*(U29*AH$29+SUMPRODUCT($Y29:$AA29,TRANSPOSE(AH$30:AH$32)))+$AJ$16*(U29*AH$33+SUMPRODUCT($Y29:$AA29,TRANSPOSE(AH$34:AH$36)))+$AK$16*(U29*AH$37+SUMPRODUCT($Y29:$AA29,TRANSPOSE(AH$38:AH$40)))))</f>
        <v>65.925941973377121</v>
      </c>
      <c r="AW29" s="3">
        <f t="array" ref="AW29">MIN(100,MAX(0,N29-AC29*5+$AH$17*(V29*AI$29+SUMPRODUCT($Y29:$AA29,TRANSPOSE(AI$30:AI$32)))+$AJ$17*(V29*AI$33+SUMPRODUCT($Y29:$AA29,TRANSPOSE(AI$34:AI$36)))+$AK$17*(V29*AI$37+SUMPRODUCT($Y29:$AA29,TRANSPOSE(AI$38:AI$40)))))</f>
        <v>19.266947528158131</v>
      </c>
      <c r="AX29" s="3">
        <f t="array" ref="AX29">MIN(100,MAX(0,O29-AD29*5+$AH$18*(W29*AJ$29+SUMPRODUCT($Y29:$AA29,TRANSPOSE(AJ$30:AJ$32)))+$AI$18*(W29*AJ$33+SUMPRODUCT($Y29:$AA29,TRANSPOSE(AJ$34:AJ$36)))+$AK$18*(W29*AJ$37+SUMPRODUCT($Y29:$AA29,TRANSPOSE(AJ$38:AJ$40)))))</f>
        <v>12.417192870714498</v>
      </c>
      <c r="AY29" s="3">
        <f t="array" ref="AY29">MIN(100,MAX(0,P29+$AH$19*(X29*AK$29+SUMPRODUCT($Y29:$AA29,TRANSPOSE(AK$30:AK$32)))+$AI$19*(X29*AK$33+SUMPRODUCT($Y29:$AA29,TRANSPOSE(AK$34:AK$36)))+$AJ$19*(X29*AK$37+SUMPRODUCT($Y29:$AA29,TRANSPOSE(AK$38:AK$40)))))</f>
        <v>1.8899395429222337</v>
      </c>
      <c r="AZ29" s="3"/>
      <c r="BC29">
        <f t="shared" si="13"/>
        <v>1</v>
      </c>
      <c r="BD29">
        <f t="shared" si="14"/>
        <v>0</v>
      </c>
      <c r="BE29">
        <f t="shared" si="15"/>
        <v>0</v>
      </c>
      <c r="BF29">
        <f t="shared" si="16"/>
        <v>0</v>
      </c>
      <c r="BI29">
        <f t="shared" si="17"/>
        <v>1</v>
      </c>
      <c r="BJ29">
        <f t="shared" si="18"/>
        <v>0</v>
      </c>
      <c r="BK29">
        <f t="shared" si="19"/>
        <v>0</v>
      </c>
      <c r="BL29">
        <f t="shared" si="20"/>
        <v>0</v>
      </c>
    </row>
    <row r="30" spans="1:64">
      <c r="A30" t="s">
        <v>13</v>
      </c>
      <c r="B30" t="s">
        <v>319</v>
      </c>
      <c r="C30" t="s">
        <v>676</v>
      </c>
      <c r="D30">
        <v>48029</v>
      </c>
      <c r="E30">
        <v>1</v>
      </c>
      <c r="F30">
        <v>4801</v>
      </c>
      <c r="G30">
        <v>48</v>
      </c>
      <c r="H30">
        <v>31453</v>
      </c>
      <c r="I30">
        <v>1448</v>
      </c>
      <c r="J30">
        <v>5805</v>
      </c>
      <c r="K30">
        <v>1917</v>
      </c>
      <c r="L30">
        <v>40624</v>
      </c>
      <c r="M30" s="3">
        <f t="shared" si="0"/>
        <v>77.42467506892477</v>
      </c>
      <c r="N30" s="3">
        <f t="shared" si="1"/>
        <v>3.5643954312721542</v>
      </c>
      <c r="O30" s="3">
        <f t="shared" si="2"/>
        <v>14.289582512800314</v>
      </c>
      <c r="P30" s="3">
        <f t="shared" si="3"/>
        <v>4.7188853879480108</v>
      </c>
      <c r="Q30">
        <v>62.8</v>
      </c>
      <c r="R30">
        <v>9.3000000000000007</v>
      </c>
      <c r="S30">
        <v>16.8</v>
      </c>
      <c r="T30">
        <v>5.3</v>
      </c>
      <c r="U30">
        <f t="shared" si="4"/>
        <v>1</v>
      </c>
      <c r="V30">
        <f t="shared" si="5"/>
        <v>0</v>
      </c>
      <c r="W30">
        <f t="shared" si="6"/>
        <v>0</v>
      </c>
      <c r="X30">
        <f t="shared" si="7"/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G30" t="s">
        <v>666</v>
      </c>
      <c r="AH30" s="45">
        <f>AVERAGE(AH53:AI53)</f>
        <v>1.0599129999999999</v>
      </c>
      <c r="AI30" s="46">
        <f>AH30</f>
        <v>1.0599129999999999</v>
      </c>
      <c r="AJ30" s="46">
        <f>AH34</f>
        <v>1.3766</v>
      </c>
      <c r="AK30" s="46">
        <f>AH38</f>
        <v>0.96237934999999997</v>
      </c>
      <c r="AN30" s="8">
        <f t="shared" si="8"/>
        <v>65.509765144685943</v>
      </c>
      <c r="AO30" s="8">
        <f t="shared" si="9"/>
        <v>19.208443395672901</v>
      </c>
      <c r="AP30" s="8">
        <f t="shared" si="10"/>
        <v>13.663880660800471</v>
      </c>
      <c r="AQ30" s="8">
        <f t="shared" si="11"/>
        <v>2.7542052927105836</v>
      </c>
      <c r="AR30" s="8"/>
      <c r="AS30" s="3">
        <f t="shared" si="12"/>
        <v>101.1362944938699</v>
      </c>
      <c r="AV30" s="3">
        <f t="array" ref="AV30">MIN(100,MAX(0,M30-AB30*5+$AI$16*(U30*AH$29+SUMPRODUCT($Y30:$AA30,TRANSPOSE(AH$30:AH$32)))+$AJ$16*(U30*AH$33+SUMPRODUCT($Y30:$AA30,TRANSPOSE(AH$34:AH$36)))+$AK$16*(U30*AH$37+SUMPRODUCT($Y30:$AA30,TRANSPOSE(AH$38:AH$40)))))</f>
        <v>65.54420699237437</v>
      </c>
      <c r="AW30" s="3">
        <f t="array" ref="AW30">MIN(100,MAX(0,N30-AC30*5+$AH$17*(V30*AI$29+SUMPRODUCT($Y30:$AA30,TRANSPOSE(AI$30:AI$32)))+$AJ$17*(V30*AI$33+SUMPRODUCT($Y30:$AA30,TRANSPOSE(AI$34:AI$36)))+$AK$17*(V30*AI$37+SUMPRODUCT($Y30:$AA30,TRANSPOSE(AI$38:AI$40)))))</f>
        <v>19.188781086879686</v>
      </c>
      <c r="AX30" s="3">
        <f t="array" ref="AX30">MIN(100,MAX(0,O30-AD30*5+$AH$18*(W30*AJ$29+SUMPRODUCT($Y30:$AA30,TRANSPOSE(AJ$30:AJ$32)))+$AI$18*(W30*AJ$33+SUMPRODUCT($Y30:$AA30,TRANSPOSE(AJ$34:AJ$36)))+$AK$18*(W30*AJ$37+SUMPRODUCT($Y30:$AA30,TRANSPOSE(AJ$38:AJ$40)))))</f>
        <v>13.663880660800471</v>
      </c>
      <c r="AY30" s="3">
        <f t="array" ref="AY30">MIN(100,MAX(0,P30+$AH$19*(X30*AK$29+SUMPRODUCT($Y30:$AA30,TRANSPOSE(AK$30:AK$32)))+$AI$19*(X30*AK$33+SUMPRODUCT($Y30:$AA30,TRANSPOSE(AK$34:AK$36)))+$AJ$19*(X30*AK$37+SUMPRODUCT($Y30:$AA30,TRANSPOSE(AK$38:AK$40)))))</f>
        <v>2.7542052927105836</v>
      </c>
      <c r="AZ30" s="3"/>
      <c r="BC30">
        <f t="shared" si="13"/>
        <v>1</v>
      </c>
      <c r="BD30">
        <f t="shared" si="14"/>
        <v>0</v>
      </c>
      <c r="BE30">
        <f t="shared" si="15"/>
        <v>0</v>
      </c>
      <c r="BF30">
        <f t="shared" si="16"/>
        <v>0</v>
      </c>
      <c r="BI30">
        <f t="shared" si="17"/>
        <v>1</v>
      </c>
      <c r="BJ30">
        <f t="shared" si="18"/>
        <v>0</v>
      </c>
      <c r="BK30">
        <f t="shared" si="19"/>
        <v>0</v>
      </c>
      <c r="BL30">
        <f t="shared" si="20"/>
        <v>0</v>
      </c>
    </row>
    <row r="31" spans="1:64">
      <c r="A31" t="s">
        <v>13</v>
      </c>
      <c r="B31" t="s">
        <v>320</v>
      </c>
      <c r="C31" t="s">
        <v>677</v>
      </c>
      <c r="D31">
        <v>48030</v>
      </c>
      <c r="E31">
        <v>1</v>
      </c>
      <c r="F31">
        <v>4801</v>
      </c>
      <c r="G31">
        <v>48</v>
      </c>
      <c r="H31">
        <v>37507</v>
      </c>
      <c r="I31">
        <v>1673</v>
      </c>
      <c r="J31">
        <v>5626</v>
      </c>
      <c r="K31">
        <v>2384</v>
      </c>
      <c r="L31">
        <v>47255</v>
      </c>
      <c r="M31" s="3">
        <f t="shared" si="0"/>
        <v>79.371495079885719</v>
      </c>
      <c r="N31" s="3">
        <f t="shared" si="1"/>
        <v>3.5403660988255212</v>
      </c>
      <c r="O31" s="3">
        <f t="shared" si="2"/>
        <v>11.90561845307375</v>
      </c>
      <c r="P31" s="3">
        <f t="shared" si="3"/>
        <v>5.0449687863718129</v>
      </c>
      <c r="Q31">
        <v>62.8</v>
      </c>
      <c r="R31">
        <v>9.3000000000000007</v>
      </c>
      <c r="S31">
        <v>16.8</v>
      </c>
      <c r="T31">
        <v>5.3</v>
      </c>
      <c r="U31">
        <f t="shared" si="4"/>
        <v>1</v>
      </c>
      <c r="V31">
        <f t="shared" si="5"/>
        <v>0</v>
      </c>
      <c r="W31">
        <f t="shared" si="6"/>
        <v>0</v>
      </c>
      <c r="X31">
        <f t="shared" si="7"/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G31" t="s">
        <v>667</v>
      </c>
      <c r="AH31" s="45">
        <f t="shared" ref="AH31:AH32" si="37">AVERAGE(AH54:AI54)</f>
        <v>0.98410679999999995</v>
      </c>
      <c r="AI31" s="46">
        <f t="shared" ref="AI31:AI32" si="38">AH31</f>
        <v>0.98410679999999995</v>
      </c>
      <c r="AJ31" s="46">
        <f t="shared" ref="AJ31:AJ32" si="39">AH35</f>
        <v>0.92081625</v>
      </c>
      <c r="AK31" s="46">
        <f t="shared" ref="AK31:AK32" si="40">AH39</f>
        <v>1.0309504999999999</v>
      </c>
      <c r="AN31" s="8">
        <f t="shared" si="8"/>
        <v>67.450330822336085</v>
      </c>
      <c r="AO31" s="8">
        <f t="shared" si="9"/>
        <v>19.184492096217756</v>
      </c>
      <c r="AP31" s="8">
        <f t="shared" si="10"/>
        <v>11.279916601073907</v>
      </c>
      <c r="AQ31" s="8">
        <f t="shared" si="11"/>
        <v>3.0802886911343856</v>
      </c>
      <c r="AR31" s="8"/>
      <c r="AS31" s="3">
        <f t="shared" si="12"/>
        <v>100.99502821076213</v>
      </c>
      <c r="AV31" s="3">
        <f t="array" ref="AV31">MIN(100,MAX(0,M31-AB31*5+$AI$16*(U31*AH$29+SUMPRODUCT($Y31:$AA31,TRANSPOSE(AH$30:AH$32)))+$AJ$16*(U31*AH$33+SUMPRODUCT($Y31:$AA31,TRANSPOSE(AH$34:AH$36)))+$AK$16*(U31*AH$37+SUMPRODUCT($Y31:$AA31,TRANSPOSE(AH$38:AH$40)))))</f>
        <v>67.491027003335319</v>
      </c>
      <c r="AW31" s="3">
        <f t="array" ref="AW31">MIN(100,MAX(0,N31-AC31*5+$AH$17*(V31*AI$29+SUMPRODUCT($Y31:$AA31,TRANSPOSE(AI$30:AI$32)))+$AJ$17*(V31*AI$33+SUMPRODUCT($Y31:$AA31,TRANSPOSE(AI$34:AI$36)))+$AK$17*(V31*AI$37+SUMPRODUCT($Y31:$AA31,TRANSPOSE(AI$38:AI$40)))))</f>
        <v>19.164751754433055</v>
      </c>
      <c r="AX31" s="3">
        <f t="array" ref="AX31">MIN(100,MAX(0,O31-AD31*5+$AH$18*(W31*AJ$29+SUMPRODUCT($Y31:$AA31,TRANSPOSE(AJ$30:AJ$32)))+$AI$18*(W31*AJ$33+SUMPRODUCT($Y31:$AA31,TRANSPOSE(AJ$34:AJ$36)))+$AK$18*(W31*AJ$37+SUMPRODUCT($Y31:$AA31,TRANSPOSE(AJ$38:AJ$40)))))</f>
        <v>11.279916601073907</v>
      </c>
      <c r="AY31" s="3">
        <f t="array" ref="AY31">MIN(100,MAX(0,P31+$AH$19*(X31*AK$29+SUMPRODUCT($Y31:$AA31,TRANSPOSE(AK$30:AK$32)))+$AI$19*(X31*AK$33+SUMPRODUCT($Y31:$AA31,TRANSPOSE(AK$34:AK$36)))+$AJ$19*(X31*AK$37+SUMPRODUCT($Y31:$AA31,TRANSPOSE(AK$38:AK$40)))))</f>
        <v>3.0802886911343856</v>
      </c>
      <c r="AZ31" s="3"/>
      <c r="BC31">
        <f t="shared" si="13"/>
        <v>1</v>
      </c>
      <c r="BD31">
        <f t="shared" si="14"/>
        <v>0</v>
      </c>
      <c r="BE31">
        <f t="shared" si="15"/>
        <v>0</v>
      </c>
      <c r="BF31">
        <f t="shared" si="16"/>
        <v>0</v>
      </c>
      <c r="BI31">
        <f t="shared" si="17"/>
        <v>1</v>
      </c>
      <c r="BJ31">
        <f t="shared" si="18"/>
        <v>0</v>
      </c>
      <c r="BK31">
        <f t="shared" si="19"/>
        <v>0</v>
      </c>
      <c r="BL31">
        <f t="shared" si="20"/>
        <v>0</v>
      </c>
    </row>
    <row r="32" spans="1:64">
      <c r="A32" t="s">
        <v>13</v>
      </c>
      <c r="B32" t="s">
        <v>321</v>
      </c>
      <c r="C32" t="s">
        <v>678</v>
      </c>
      <c r="D32">
        <v>48031</v>
      </c>
      <c r="E32">
        <v>1</v>
      </c>
      <c r="F32">
        <v>4801</v>
      </c>
      <c r="G32">
        <v>48</v>
      </c>
      <c r="H32">
        <v>24890</v>
      </c>
      <c r="I32">
        <v>3254</v>
      </c>
      <c r="J32">
        <v>5649</v>
      </c>
      <c r="K32">
        <v>2046</v>
      </c>
      <c r="L32">
        <v>50324</v>
      </c>
      <c r="M32" s="3">
        <f t="shared" si="0"/>
        <v>49.459502424290598</v>
      </c>
      <c r="N32" s="3">
        <f t="shared" si="1"/>
        <v>6.4660996741117556</v>
      </c>
      <c r="O32" s="3">
        <f t="shared" si="2"/>
        <v>11.225260313170654</v>
      </c>
      <c r="P32" s="3">
        <f t="shared" si="3"/>
        <v>4.0656545584611719</v>
      </c>
      <c r="Q32">
        <v>62.8</v>
      </c>
      <c r="R32">
        <v>9.3000000000000007</v>
      </c>
      <c r="S32">
        <v>16.8</v>
      </c>
      <c r="T32">
        <v>5.3</v>
      </c>
      <c r="U32">
        <f t="shared" si="4"/>
        <v>1</v>
      </c>
      <c r="V32">
        <f t="shared" si="5"/>
        <v>0</v>
      </c>
      <c r="W32">
        <f t="shared" si="6"/>
        <v>0</v>
      </c>
      <c r="X32">
        <f t="shared" si="7"/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G32" t="s">
        <v>668</v>
      </c>
      <c r="AH32" s="45">
        <f t="shared" si="37"/>
        <v>0.99196569999999995</v>
      </c>
      <c r="AI32" s="46">
        <f t="shared" si="38"/>
        <v>0.99196569999999995</v>
      </c>
      <c r="AJ32" s="46">
        <f t="shared" si="39"/>
        <v>0.79484844999999993</v>
      </c>
      <c r="AK32" s="46">
        <f t="shared" si="40"/>
        <v>0.99306905000000001</v>
      </c>
      <c r="AN32" s="8">
        <f t="shared" si="8"/>
        <v>37.579034347740198</v>
      </c>
      <c r="AO32" s="8">
        <f t="shared" si="9"/>
        <v>22.100724627574387</v>
      </c>
      <c r="AP32" s="8">
        <f t="shared" si="10"/>
        <v>10.599558461170812</v>
      </c>
      <c r="AQ32" s="8">
        <f t="shared" si="11"/>
        <v>2.1009744632237446</v>
      </c>
      <c r="AR32" s="8">
        <f>AZ32</f>
        <v>30</v>
      </c>
      <c r="AS32" s="3">
        <f>SUM(AN32:AR32)</f>
        <v>102.38029189970915</v>
      </c>
      <c r="AV32" s="3">
        <f t="array" ref="AV32">MIN(100,MAX(0,M32-AB32*5+$AI$16*(U32*AH$29+SUMPRODUCT($Y32:$AA32,TRANSPOSE(AH$30:AH$32)))+$AJ$16*(U32*AH$33+SUMPRODUCT($Y32:$AA32,TRANSPOSE(AH$34:AH$36)))+$AK$16*(U32*AH$37+SUMPRODUCT($Y32:$AA32,TRANSPOSE(AH$38:AH$40)))))</f>
        <v>37.579034347740198</v>
      </c>
      <c r="AW32" s="3">
        <f t="array" ref="AW32">MIN(100,MAX(0,N32-AC32*5+$AH$17*(V32*AI$29+SUMPRODUCT($Y32:$AA32,TRANSPOSE(AI$30:AI$32)))+$AJ$17*(V32*AI$33+SUMPRODUCT($Y32:$AA32,TRANSPOSE(AI$34:AI$36)))+$AK$17*(V32*AI$37+SUMPRODUCT($Y32:$AA32,TRANSPOSE(AI$38:AI$40)))))</f>
        <v>22.090485329719289</v>
      </c>
      <c r="AX32" s="3">
        <f t="array" ref="AX32">MIN(100,MAX(0,O32-AD32*5+$AH$18*(W32*AJ$29+SUMPRODUCT($Y32:$AA32,TRANSPOSE(AJ$30:AJ$32)))+$AI$18*(W32*AJ$33+SUMPRODUCT($Y32:$AA32,TRANSPOSE(AJ$34:AJ$36)))+$AK$18*(W32*AJ$37+SUMPRODUCT($Y32:$AA32,TRANSPOSE(AJ$38:AJ$40)))))</f>
        <v>10.599558461170812</v>
      </c>
      <c r="AY32" s="3">
        <f t="array" ref="AY32">MIN(100,MAX(0,P32+$AH$19*(X32*AK$29+SUMPRODUCT($Y32:$AA32,TRANSPOSE(AK$30:AK$32)))+$AI$19*(X32*AK$33+SUMPRODUCT($Y32:$AA32,TRANSPOSE(AK$34:AK$36)))+$AJ$19*(X32*AK$37+SUMPRODUCT($Y32:$AA32,TRANSPOSE(AK$38:AK$40)))))</f>
        <v>2.1009744632237446</v>
      </c>
      <c r="AZ32" s="3">
        <v>30</v>
      </c>
      <c r="BC32">
        <f t="shared" si="13"/>
        <v>1</v>
      </c>
      <c r="BD32">
        <f t="shared" si="14"/>
        <v>0</v>
      </c>
      <c r="BE32">
        <f t="shared" si="15"/>
        <v>0</v>
      </c>
      <c r="BF32">
        <f t="shared" si="16"/>
        <v>0</v>
      </c>
      <c r="BI32">
        <f t="shared" si="17"/>
        <v>0</v>
      </c>
      <c r="BJ32">
        <f t="shared" si="18"/>
        <v>0</v>
      </c>
      <c r="BK32">
        <f t="shared" si="19"/>
        <v>0</v>
      </c>
      <c r="BL32">
        <f t="shared" si="20"/>
        <v>0</v>
      </c>
    </row>
    <row r="33" spans="1:64">
      <c r="A33" t="s">
        <v>13</v>
      </c>
      <c r="B33" t="s">
        <v>322</v>
      </c>
      <c r="C33" t="s">
        <v>679</v>
      </c>
      <c r="D33">
        <v>48032</v>
      </c>
      <c r="E33">
        <v>1</v>
      </c>
      <c r="F33">
        <v>4801</v>
      </c>
      <c r="G33">
        <v>48</v>
      </c>
      <c r="H33">
        <v>27626</v>
      </c>
      <c r="I33">
        <v>4642</v>
      </c>
      <c r="J33">
        <v>8601</v>
      </c>
      <c r="K33">
        <v>1974</v>
      </c>
      <c r="L33">
        <v>42844</v>
      </c>
      <c r="M33" s="3">
        <f t="shared" si="0"/>
        <v>64.480440668471658</v>
      </c>
      <c r="N33" s="3">
        <f t="shared" si="1"/>
        <v>10.834655961161422</v>
      </c>
      <c r="O33" s="3">
        <f t="shared" si="2"/>
        <v>20.075156381290263</v>
      </c>
      <c r="P33" s="3">
        <f t="shared" si="3"/>
        <v>4.6074129399682571</v>
      </c>
      <c r="Q33">
        <v>62.8</v>
      </c>
      <c r="R33">
        <v>9.3000000000000007</v>
      </c>
      <c r="S33">
        <v>16.8</v>
      </c>
      <c r="T33">
        <v>5.3</v>
      </c>
      <c r="U33" s="54">
        <v>0</v>
      </c>
      <c r="V33">
        <f t="shared" si="5"/>
        <v>0</v>
      </c>
      <c r="W33">
        <f t="shared" si="6"/>
        <v>0</v>
      </c>
      <c r="X33">
        <f t="shared" si="7"/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G33" t="s">
        <v>429</v>
      </c>
      <c r="AH33" s="47">
        <f>AH29</f>
        <v>0</v>
      </c>
      <c r="AI33" s="47">
        <f t="shared" ref="AI33:AK33" si="41">AI29</f>
        <v>0.23237440000000001</v>
      </c>
      <c r="AJ33" s="45">
        <f t="shared" si="41"/>
        <v>0.91021419999999997</v>
      </c>
      <c r="AK33" s="45">
        <f t="shared" si="41"/>
        <v>0</v>
      </c>
      <c r="AN33" s="8">
        <f t="shared" si="8"/>
        <v>44.13618867929425</v>
      </c>
      <c r="AO33" s="8">
        <f t="shared" si="9"/>
        <v>17.800030312184344</v>
      </c>
      <c r="AP33" s="8">
        <f t="shared" si="10"/>
        <v>11.282791510854405</v>
      </c>
      <c r="AQ33" s="8">
        <f t="shared" si="11"/>
        <v>2.568421491637634</v>
      </c>
      <c r="AR33" s="8">
        <f>AZ33</f>
        <v>25.5</v>
      </c>
      <c r="AS33" s="3">
        <f>SUM(AN33:AR33)</f>
        <v>101.28743199397064</v>
      </c>
      <c r="AV33" s="43">
        <f t="array" ref="AV33">MIN(100,MAX(0,M33-AZ33*0.3-AB33*5+$AI$16*(U33*AH$29+SUMPRODUCT($Y33:$AA33,TRANSPOSE(AH$30:AH$32)))+$AJ$16*(U33*AH$33+SUMPRODUCT($Y33:$AA33,TRANSPOSE(AH$34:AH$36)))+$AK$16*(U33*AH$37+SUMPRODUCT($Y33:$AA33,TRANSPOSE(AH$38:AH$40)))))</f>
        <v>44.13618867929425</v>
      </c>
      <c r="AW33" s="43">
        <f t="array" ref="AW33">MIN(100,MAX(0,N33-AZ33*0.4-AC33*5+$AH$17*(V33*AI$29+SUMPRODUCT($Y33:$AA33,TRANSPOSE(AI$30:AI$32)))+$AJ$17*(V33*AI$33+SUMPRODUCT($Y33:$AA33,TRANSPOSE(AI$34:AI$36)))+$AK$17*(V33*AI$37+SUMPRODUCT($Y33:$AA33,TRANSPOSE(AI$38:AI$40)))))</f>
        <v>17.775779413683903</v>
      </c>
      <c r="AX33" s="43">
        <f t="array" ref="AX33">MIN(100,MAX(0,O33-0.3*AZ33-AD33*5+$AH$18*(W33*AJ$29+SUMPRODUCT($Y33:$AA33,TRANSPOSE(AJ$30:AJ$32)))+$AI$18*(W33*AJ$33+SUMPRODUCT($Y33:$AA33,TRANSPOSE(AJ$34:AJ$36)))+$AK$18*(W33*AJ$37+SUMPRODUCT($Y33:$AA33,TRANSPOSE(AJ$38:AJ$40)))))</f>
        <v>11.282791510854405</v>
      </c>
      <c r="AY33" s="3">
        <f t="array" ref="AY33">MIN(100,MAX(0,P33+$AH$19*(X33*AK$29+SUMPRODUCT($Y33:$AA33,TRANSPOSE(AK$30:AK$32)))+$AI$19*(X33*AK$33+SUMPRODUCT($Y33:$AA33,TRANSPOSE(AK$34:AK$36)))+$AJ$19*(X33*AK$37+SUMPRODUCT($Y33:$AA33,TRANSPOSE(AK$38:AK$40)))))</f>
        <v>2.568421491637634</v>
      </c>
      <c r="AZ33" s="3">
        <v>25.5</v>
      </c>
      <c r="BC33">
        <f t="shared" si="13"/>
        <v>1</v>
      </c>
      <c r="BD33">
        <f t="shared" si="14"/>
        <v>0</v>
      </c>
      <c r="BE33">
        <f t="shared" si="15"/>
        <v>0</v>
      </c>
      <c r="BF33">
        <f t="shared" si="16"/>
        <v>0</v>
      </c>
      <c r="BI33">
        <f t="shared" si="17"/>
        <v>0</v>
      </c>
      <c r="BJ33">
        <f t="shared" si="18"/>
        <v>0</v>
      </c>
      <c r="BK33">
        <f t="shared" si="19"/>
        <v>0</v>
      </c>
      <c r="BL33">
        <f t="shared" si="20"/>
        <v>0</v>
      </c>
    </row>
    <row r="34" spans="1:64">
      <c r="A34" t="s">
        <v>13</v>
      </c>
      <c r="B34" t="s">
        <v>323</v>
      </c>
      <c r="C34" t="s">
        <v>680</v>
      </c>
      <c r="D34">
        <v>48033</v>
      </c>
      <c r="E34">
        <v>1</v>
      </c>
      <c r="F34">
        <v>4801</v>
      </c>
      <c r="G34">
        <v>48</v>
      </c>
      <c r="H34">
        <v>33791</v>
      </c>
      <c r="I34">
        <v>2384</v>
      </c>
      <c r="J34">
        <v>5655</v>
      </c>
      <c r="K34">
        <v>1742</v>
      </c>
      <c r="L34">
        <v>43607</v>
      </c>
      <c r="M34" s="3">
        <f t="shared" si="0"/>
        <v>77.489852546609498</v>
      </c>
      <c r="N34" s="3">
        <f t="shared" si="1"/>
        <v>5.4670121769440687</v>
      </c>
      <c r="O34" s="3">
        <f t="shared" si="2"/>
        <v>12.968101451601807</v>
      </c>
      <c r="P34" s="3">
        <f t="shared" si="3"/>
        <v>3.994771481642855</v>
      </c>
      <c r="Q34">
        <v>62.8</v>
      </c>
      <c r="R34">
        <v>9.3000000000000007</v>
      </c>
      <c r="S34">
        <v>16.8</v>
      </c>
      <c r="T34">
        <v>5.3</v>
      </c>
      <c r="U34">
        <f t="shared" si="4"/>
        <v>1</v>
      </c>
      <c r="V34">
        <f t="shared" si="5"/>
        <v>0</v>
      </c>
      <c r="W34">
        <f t="shared" si="6"/>
        <v>0</v>
      </c>
      <c r="X34">
        <f t="shared" si="7"/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G34" t="s">
        <v>666</v>
      </c>
      <c r="AH34" s="47">
        <f>AVERAGE(AH53,AJ53)</f>
        <v>1.3766</v>
      </c>
      <c r="AI34" s="47">
        <f>AVERAGE(AI53:AJ53)</f>
        <v>1.4365130000000002</v>
      </c>
      <c r="AJ34" s="45">
        <f>AI34</f>
        <v>1.4365130000000002</v>
      </c>
      <c r="AK34" s="45">
        <f>AI38</f>
        <v>1.0222923500000001</v>
      </c>
      <c r="AN34" s="8">
        <f t="shared" si="8"/>
        <v>65.574733233897419</v>
      </c>
      <c r="AO34" s="8">
        <f t="shared" si="9"/>
        <v>21.104881572853643</v>
      </c>
      <c r="AP34" s="8">
        <f t="shared" si="10"/>
        <v>12.342399599601965</v>
      </c>
      <c r="AQ34" s="8">
        <f t="shared" si="11"/>
        <v>2.0300913864054282</v>
      </c>
      <c r="AR34" s="8"/>
      <c r="AS34" s="3">
        <f t="shared" si="12"/>
        <v>101.05210579275845</v>
      </c>
      <c r="AV34" s="3">
        <f t="array" ref="AV34">MIN(100,MAX(0,M34-AB34*5+$AI$16*(U34*AH$29+SUMPRODUCT($Y34:$AA34,TRANSPOSE(AH$30:AH$32)))+$AJ$16*(U34*AH$33+SUMPRODUCT($Y34:$AA34,TRANSPOSE(AH$34:AH$36)))+$AK$16*(U34*AH$37+SUMPRODUCT($Y34:$AA34,TRANSPOSE(AH$38:AH$40)))))</f>
        <v>65.609384470059098</v>
      </c>
      <c r="AW34" s="3">
        <f t="array" ref="AW34">MIN(100,MAX(0,N34-AC34*5+$AH$17*(V34*AI$29+SUMPRODUCT($Y34:$AA34,TRANSPOSE(AI$30:AI$32)))+$AJ$17*(V34*AI$33+SUMPRODUCT($Y34:$AA34,TRANSPOSE(AI$34:AI$36)))+$AK$17*(V34*AI$37+SUMPRODUCT($Y34:$AA34,TRANSPOSE(AI$38:AI$40)))))</f>
        <v>21.0913978325516</v>
      </c>
      <c r="AX34" s="3">
        <f t="array" ref="AX34">MIN(100,MAX(0,O34-AD34*5+$AH$18*(W34*AJ$29+SUMPRODUCT($Y34:$AA34,TRANSPOSE(AJ$30:AJ$32)))+$AI$18*(W34*AJ$33+SUMPRODUCT($Y34:$AA34,TRANSPOSE(AJ$34:AJ$36)))+$AK$18*(W34*AJ$37+SUMPRODUCT($Y34:$AA34,TRANSPOSE(AJ$38:AJ$40)))))</f>
        <v>12.342399599601965</v>
      </c>
      <c r="AY34" s="3">
        <f t="array" ref="AY34">MIN(100,MAX(0,P34+$AH$19*(X34*AK$29+SUMPRODUCT($Y34:$AA34,TRANSPOSE(AK$30:AK$32)))+$AI$19*(X34*AK$33+SUMPRODUCT($Y34:$AA34,TRANSPOSE(AK$34:AK$36)))+$AJ$19*(X34*AK$37+SUMPRODUCT($Y34:$AA34,TRANSPOSE(AK$38:AK$40)))))</f>
        <v>2.0300913864054282</v>
      </c>
      <c r="AZ34" s="3"/>
      <c r="BC34">
        <f t="shared" si="13"/>
        <v>1</v>
      </c>
      <c r="BD34">
        <f t="shared" si="14"/>
        <v>0</v>
      </c>
      <c r="BE34">
        <f t="shared" si="15"/>
        <v>0</v>
      </c>
      <c r="BF34">
        <f t="shared" si="16"/>
        <v>0</v>
      </c>
      <c r="BI34">
        <f t="shared" si="17"/>
        <v>1</v>
      </c>
      <c r="BJ34">
        <f t="shared" si="18"/>
        <v>0</v>
      </c>
      <c r="BK34">
        <f t="shared" si="19"/>
        <v>0</v>
      </c>
      <c r="BL34">
        <f t="shared" si="20"/>
        <v>0</v>
      </c>
    </row>
    <row r="35" spans="1:64">
      <c r="A35" t="s">
        <v>13</v>
      </c>
      <c r="B35" t="s">
        <v>324</v>
      </c>
      <c r="C35" t="s">
        <v>324</v>
      </c>
      <c r="D35">
        <v>48034</v>
      </c>
      <c r="E35">
        <v>1</v>
      </c>
      <c r="F35">
        <v>4801</v>
      </c>
      <c r="G35">
        <v>48</v>
      </c>
      <c r="H35">
        <v>31238</v>
      </c>
      <c r="I35">
        <v>1158</v>
      </c>
      <c r="J35">
        <v>5155</v>
      </c>
      <c r="K35">
        <v>2136</v>
      </c>
      <c r="L35">
        <v>40014</v>
      </c>
      <c r="M35" s="3">
        <f t="shared" si="0"/>
        <v>78.067676313290349</v>
      </c>
      <c r="N35" s="3">
        <f t="shared" si="1"/>
        <v>2.8939871045134202</v>
      </c>
      <c r="O35" s="3">
        <f t="shared" si="2"/>
        <v>12.882990953166393</v>
      </c>
      <c r="P35" s="3">
        <f t="shared" si="3"/>
        <v>5.3381316539211277</v>
      </c>
      <c r="Q35">
        <v>62.8</v>
      </c>
      <c r="R35">
        <v>9.3000000000000007</v>
      </c>
      <c r="S35">
        <v>16.8</v>
      </c>
      <c r="T35">
        <v>5.3</v>
      </c>
      <c r="U35">
        <f t="shared" si="4"/>
        <v>1</v>
      </c>
      <c r="V35">
        <f t="shared" si="5"/>
        <v>0</v>
      </c>
      <c r="W35">
        <f t="shared" si="6"/>
        <v>0</v>
      </c>
      <c r="X35">
        <f t="shared" si="7"/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G35" t="s">
        <v>667</v>
      </c>
      <c r="AH35" s="47">
        <f t="shared" ref="AH35:AH36" si="42">AVERAGE(AH54,AJ54)</f>
        <v>0.92081625</v>
      </c>
      <c r="AI35" s="47">
        <f t="shared" ref="AI35:AI36" si="43">AVERAGE(AI54:AJ54)</f>
        <v>0.90492305000000006</v>
      </c>
      <c r="AJ35" s="45">
        <f t="shared" ref="AJ35:AJ36" si="44">AI35</f>
        <v>0.90492305000000006</v>
      </c>
      <c r="AK35" s="45">
        <f t="shared" ref="AK35:AK36" si="45">AI39</f>
        <v>1.0150573000000001</v>
      </c>
      <c r="AN35" s="8">
        <f t="shared" si="8"/>
        <v>66.15070069007632</v>
      </c>
      <c r="AO35" s="8">
        <f t="shared" si="9"/>
        <v>18.540212156745103</v>
      </c>
      <c r="AP35" s="8">
        <f t="shared" si="10"/>
        <v>12.257289101166551</v>
      </c>
      <c r="AQ35" s="8">
        <f t="shared" si="11"/>
        <v>3.3734515586837004</v>
      </c>
      <c r="AR35" s="8"/>
      <c r="AS35" s="3">
        <f t="shared" si="12"/>
        <v>100.32165350667167</v>
      </c>
      <c r="AV35" s="3">
        <f t="array" ref="AV35">MIN(100,MAX(0,M35-AB35*5+$AI$16*(U35*AH$29+SUMPRODUCT($Y35:$AA35,TRANSPOSE(AH$30:AH$32)))+$AJ$16*(U35*AH$33+SUMPRODUCT($Y35:$AA35,TRANSPOSE(AH$34:AH$36)))+$AK$16*(U35*AH$37+SUMPRODUCT($Y35:$AA35,TRANSPOSE(AH$38:AH$40)))))</f>
        <v>66.187208236739949</v>
      </c>
      <c r="AW35" s="3">
        <f t="array" ref="AW35">MIN(100,MAX(0,N35-AC35*5+$AH$17*(V35*AI$29+SUMPRODUCT($Y35:$AA35,TRANSPOSE(AI$30:AI$32)))+$AJ$17*(V35*AI$33+SUMPRODUCT($Y35:$AA35,TRANSPOSE(AI$34:AI$36)))+$AK$17*(V35*AI$37+SUMPRODUCT($Y35:$AA35,TRANSPOSE(AI$38:AI$40)))))</f>
        <v>18.518372760120954</v>
      </c>
      <c r="AX35" s="3">
        <f t="array" ref="AX35">MIN(100,MAX(0,O35-AD35*5+$AH$18*(W35*AJ$29+SUMPRODUCT($Y35:$AA35,TRANSPOSE(AJ$30:AJ$32)))+$AI$18*(W35*AJ$33+SUMPRODUCT($Y35:$AA35,TRANSPOSE(AJ$34:AJ$36)))+$AK$18*(W35*AJ$37+SUMPRODUCT($Y35:$AA35,TRANSPOSE(AJ$38:AJ$40)))))</f>
        <v>12.257289101166551</v>
      </c>
      <c r="AY35" s="3">
        <f t="array" ref="AY35">MIN(100,MAX(0,P35+$AH$19*(X35*AK$29+SUMPRODUCT($Y35:$AA35,TRANSPOSE(AK$30:AK$32)))+$AI$19*(X35*AK$33+SUMPRODUCT($Y35:$AA35,TRANSPOSE(AK$34:AK$36)))+$AJ$19*(X35*AK$37+SUMPRODUCT($Y35:$AA35,TRANSPOSE(AK$38:AK$40)))))</f>
        <v>3.3734515586837004</v>
      </c>
      <c r="AZ35" s="3"/>
      <c r="BC35">
        <f t="shared" si="13"/>
        <v>1</v>
      </c>
      <c r="BD35">
        <f t="shared" si="14"/>
        <v>0</v>
      </c>
      <c r="BE35">
        <f t="shared" si="15"/>
        <v>0</v>
      </c>
      <c r="BF35">
        <f t="shared" si="16"/>
        <v>0</v>
      </c>
      <c r="BI35">
        <f t="shared" si="17"/>
        <v>1</v>
      </c>
      <c r="BJ35">
        <f t="shared" si="18"/>
        <v>0</v>
      </c>
      <c r="BK35">
        <f t="shared" si="19"/>
        <v>0</v>
      </c>
      <c r="BL35">
        <f t="shared" si="20"/>
        <v>1</v>
      </c>
    </row>
    <row r="36" spans="1:64">
      <c r="AG36" t="s">
        <v>668</v>
      </c>
      <c r="AH36" s="47">
        <f t="shared" si="42"/>
        <v>0.79484844999999993</v>
      </c>
      <c r="AI36" s="47">
        <f t="shared" si="43"/>
        <v>0.78681414999999999</v>
      </c>
      <c r="AJ36" s="45">
        <f t="shared" si="44"/>
        <v>0.78681414999999999</v>
      </c>
      <c r="AK36" s="45">
        <f t="shared" si="45"/>
        <v>0.98503475000000007</v>
      </c>
    </row>
    <row r="37" spans="1:64">
      <c r="M37" s="3">
        <f>AVERAGE(M2:M35)</f>
        <v>66.955175106045445</v>
      </c>
      <c r="AG37" t="s">
        <v>429</v>
      </c>
      <c r="AH37" s="44">
        <f>AH29</f>
        <v>0</v>
      </c>
      <c r="AI37" s="44">
        <f t="shared" ref="AI37:AK37" si="46">AI29</f>
        <v>0.23237440000000001</v>
      </c>
      <c r="AJ37" s="44">
        <f t="shared" si="46"/>
        <v>0.91021419999999997</v>
      </c>
      <c r="AK37" s="47">
        <f t="shared" si="46"/>
        <v>0</v>
      </c>
      <c r="AN37" s="3">
        <f>AVERAGE(AN2:AN35)</f>
        <v>53.99382137433787</v>
      </c>
      <c r="AO37" s="3">
        <f>AVERAGE(AO2:AO35)</f>
        <v>25.363792000739142</v>
      </c>
      <c r="AP37" s="3">
        <f>AVERAGE(AP2:AP35)</f>
        <v>15.62259714364728</v>
      </c>
      <c r="AQ37" s="3">
        <f>AVERAGE(AQ2:AQ35)</f>
        <v>3.0314679644015174</v>
      </c>
      <c r="AR37" s="3"/>
      <c r="AV37" s="3">
        <f>AVERAGE(AV2:AV35)</f>
        <v>54.009441293592054</v>
      </c>
      <c r="AW37" s="3">
        <f>AVERAGE(AW2:AW35)</f>
        <v>25.355144187706021</v>
      </c>
      <c r="AX37" s="3">
        <f>AVERAGE(AX2:AX35)</f>
        <v>15.62259714364728</v>
      </c>
      <c r="AY37" s="3">
        <f>AVERAGE(AY2:AY35)</f>
        <v>3.0314679644015174</v>
      </c>
      <c r="AZ37" s="3"/>
      <c r="BB37" t="s">
        <v>405</v>
      </c>
      <c r="BC37">
        <f>SUM(BC2:BC35)</f>
        <v>32</v>
      </c>
      <c r="BD37">
        <f>SUM(BD2:BD35)</f>
        <v>0</v>
      </c>
      <c r="BE37">
        <f>SUM(BE2:BE35)</f>
        <v>2</v>
      </c>
      <c r="BF37">
        <f>SUM(BF2:BF35)</f>
        <v>0</v>
      </c>
    </row>
    <row r="38" spans="1:64">
      <c r="AG38" t="s">
        <v>666</v>
      </c>
      <c r="AH38" s="44">
        <f>AVERAGE(AH53,AK53)</f>
        <v>0.96237934999999997</v>
      </c>
      <c r="AI38" s="44">
        <f>AVERAGE(AI53,AK53)</f>
        <v>1.0222923500000001</v>
      </c>
      <c r="AJ38" s="44">
        <f>AVERAGE(AJ53:AK53)</f>
        <v>1.33897935</v>
      </c>
      <c r="AK38" s="47">
        <f>AJ38</f>
        <v>1.33897935</v>
      </c>
    </row>
    <row r="39" spans="1:64">
      <c r="AG39" t="s">
        <v>667</v>
      </c>
      <c r="AH39" s="44">
        <f t="shared" ref="AH39:AH40" si="47">AVERAGE(AH54,AK54)</f>
        <v>1.0309504999999999</v>
      </c>
      <c r="AI39" s="44">
        <f t="shared" ref="AI39:AI40" si="48">AVERAGE(AI54,AK54)</f>
        <v>1.0150573000000001</v>
      </c>
      <c r="AJ39" s="44">
        <f t="shared" ref="AJ39:AJ40" si="49">AVERAGE(AJ54:AK54)</f>
        <v>0.95176674999999999</v>
      </c>
      <c r="AK39" s="47">
        <f t="shared" ref="AK39:AK40" si="50">AJ39</f>
        <v>0.95176674999999999</v>
      </c>
    </row>
    <row r="40" spans="1:64">
      <c r="J40" t="s">
        <v>681</v>
      </c>
      <c r="AG40" t="s">
        <v>668</v>
      </c>
      <c r="AH40" s="44">
        <f t="shared" si="47"/>
        <v>0.99306905000000001</v>
      </c>
      <c r="AI40" s="44">
        <f t="shared" si="48"/>
        <v>0.98503475000000007</v>
      </c>
      <c r="AJ40" s="44">
        <f t="shared" si="49"/>
        <v>0.78791750000000005</v>
      </c>
      <c r="AK40" s="47">
        <f t="shared" si="50"/>
        <v>0.78791750000000005</v>
      </c>
    </row>
    <row r="42" spans="1:64">
      <c r="J42" t="s">
        <v>682</v>
      </c>
      <c r="R42" t="s">
        <v>683</v>
      </c>
    </row>
    <row r="44" spans="1:64">
      <c r="L44">
        <v>2011</v>
      </c>
      <c r="M44">
        <v>56.5</v>
      </c>
      <c r="N44">
        <v>14</v>
      </c>
      <c r="O44">
        <v>16</v>
      </c>
      <c r="P44">
        <v>13.1</v>
      </c>
    </row>
    <row r="45" spans="1:64">
      <c r="L45" t="s">
        <v>441</v>
      </c>
      <c r="M45">
        <v>36.869999999999997</v>
      </c>
      <c r="N45">
        <v>32.68</v>
      </c>
      <c r="O45">
        <v>3.85</v>
      </c>
      <c r="P45">
        <v>25.65</v>
      </c>
      <c r="R45">
        <v>58</v>
      </c>
      <c r="S45">
        <v>19</v>
      </c>
      <c r="T45">
        <v>19</v>
      </c>
      <c r="U45">
        <v>4</v>
      </c>
    </row>
    <row r="46" spans="1:64">
      <c r="J46" s="53">
        <v>41214</v>
      </c>
      <c r="L46" t="s">
        <v>442</v>
      </c>
      <c r="M46">
        <f>M44+(R45-AH$5)</f>
        <v>47.7</v>
      </c>
      <c r="N46">
        <f>N44+(S45-AI$5)</f>
        <v>23.7</v>
      </c>
      <c r="O46">
        <f>O44+(T45-AJ$5)</f>
        <v>18.2</v>
      </c>
      <c r="P46">
        <f>P44+(U45-AK$5)</f>
        <v>11.8</v>
      </c>
    </row>
    <row r="47" spans="1:64">
      <c r="L47" t="s">
        <v>443</v>
      </c>
      <c r="M47">
        <f>M44+0.5*(M45-M46)</f>
        <v>51.084999999999994</v>
      </c>
      <c r="N47">
        <f t="shared" ref="N47:P47" si="51">N44+0.5*(N45-N46)</f>
        <v>18.490000000000002</v>
      </c>
      <c r="O47">
        <f t="shared" si="51"/>
        <v>8.8249999999999993</v>
      </c>
      <c r="P47" s="55">
        <f t="shared" si="51"/>
        <v>20.024999999999999</v>
      </c>
    </row>
    <row r="49" spans="10:37">
      <c r="AG49" t="s">
        <v>664</v>
      </c>
    </row>
    <row r="51" spans="10:37">
      <c r="J51" t="s">
        <v>684</v>
      </c>
      <c r="L51">
        <v>2011</v>
      </c>
      <c r="M51">
        <v>77.5</v>
      </c>
      <c r="N51">
        <v>3.7</v>
      </c>
      <c r="O51">
        <v>10.3</v>
      </c>
      <c r="P51">
        <v>4.5999999999999996</v>
      </c>
      <c r="AH51" t="s">
        <v>478</v>
      </c>
      <c r="AI51" t="s">
        <v>479</v>
      </c>
      <c r="AJ51" t="s">
        <v>480</v>
      </c>
      <c r="AK51" t="s">
        <v>481</v>
      </c>
    </row>
    <row r="52" spans="10:37">
      <c r="L52" t="s">
        <v>441</v>
      </c>
      <c r="M52">
        <v>69.16</v>
      </c>
      <c r="N52">
        <v>16.95</v>
      </c>
      <c r="O52">
        <v>4.22</v>
      </c>
      <c r="P52">
        <v>5.43</v>
      </c>
      <c r="R52">
        <v>53</v>
      </c>
      <c r="S52">
        <v>24</v>
      </c>
      <c r="T52">
        <v>13</v>
      </c>
      <c r="U52">
        <v>7</v>
      </c>
      <c r="AG52" t="s">
        <v>429</v>
      </c>
      <c r="AH52">
        <v>0</v>
      </c>
      <c r="AI52">
        <v>0.23237440000000001</v>
      </c>
      <c r="AJ52">
        <v>0.91021419999999997</v>
      </c>
      <c r="AK52">
        <v>0</v>
      </c>
    </row>
    <row r="53" spans="10:37">
      <c r="J53" s="53">
        <v>41791</v>
      </c>
      <c r="L53" t="s">
        <v>442</v>
      </c>
      <c r="M53">
        <f>M51+(R52-AH$5)</f>
        <v>63.7</v>
      </c>
      <c r="N53">
        <f t="shared" ref="N53" si="52">N51+(S52-AI$5)</f>
        <v>18.399999999999999</v>
      </c>
      <c r="O53">
        <f t="shared" ref="O53" si="53">O51+(T52-AJ$5)</f>
        <v>6.5</v>
      </c>
      <c r="P53">
        <f t="shared" ref="P53" si="54">P51+(U52-AK$5)</f>
        <v>6.3</v>
      </c>
      <c r="AG53" t="s">
        <v>666</v>
      </c>
      <c r="AH53">
        <v>1</v>
      </c>
      <c r="AI53">
        <v>1.119826</v>
      </c>
      <c r="AJ53">
        <v>1.7532000000000001</v>
      </c>
      <c r="AK53">
        <v>0.92475870000000004</v>
      </c>
    </row>
    <row r="54" spans="10:37">
      <c r="L54" t="s">
        <v>443</v>
      </c>
      <c r="M54">
        <f>M51+0.5*(M52-M53)</f>
        <v>80.22999999999999</v>
      </c>
      <c r="N54">
        <f t="shared" ref="N54" si="55">N51+0.5*(N52-N53)</f>
        <v>2.9750000000000005</v>
      </c>
      <c r="O54">
        <f t="shared" ref="O54" si="56">O51+0.5*(O52-O53)</f>
        <v>9.16</v>
      </c>
      <c r="P54" s="55">
        <f t="shared" ref="P54" si="57">P51+0.5*(P52-P53)</f>
        <v>4.1649999999999991</v>
      </c>
      <c r="AG54" t="s">
        <v>667</v>
      </c>
      <c r="AH54">
        <v>1</v>
      </c>
      <c r="AI54">
        <v>0.96821360000000001</v>
      </c>
      <c r="AJ54">
        <v>0.84163250000000001</v>
      </c>
      <c r="AK54">
        <v>1.061901</v>
      </c>
    </row>
    <row r="55" spans="10:37">
      <c r="AG55" t="s">
        <v>668</v>
      </c>
      <c r="AH55">
        <v>1</v>
      </c>
      <c r="AI55">
        <v>0.98393140000000001</v>
      </c>
      <c r="AJ55">
        <v>0.58969689999999997</v>
      </c>
      <c r="AK55">
        <v>0.98613810000000002</v>
      </c>
    </row>
    <row r="56" spans="10:37">
      <c r="P56" t="s">
        <v>685</v>
      </c>
    </row>
    <row r="61" spans="10:37">
      <c r="J61" t="s">
        <v>686</v>
      </c>
    </row>
    <row r="63" spans="10:37">
      <c r="L63">
        <v>2011</v>
      </c>
      <c r="M63">
        <v>71.8</v>
      </c>
      <c r="N63">
        <v>10.4</v>
      </c>
      <c r="O63">
        <v>13.2</v>
      </c>
      <c r="P63">
        <v>4.5</v>
      </c>
    </row>
    <row r="64" spans="10:37">
      <c r="J64" s="53">
        <v>41791</v>
      </c>
      <c r="L64" t="s">
        <v>441</v>
      </c>
      <c r="M64">
        <v>46.71</v>
      </c>
      <c r="N64">
        <v>35.31</v>
      </c>
      <c r="O64">
        <v>11.48</v>
      </c>
      <c r="P64">
        <v>3.53</v>
      </c>
      <c r="R64">
        <v>53</v>
      </c>
      <c r="S64">
        <v>24</v>
      </c>
      <c r="T64">
        <v>13</v>
      </c>
      <c r="U64">
        <v>7</v>
      </c>
    </row>
    <row r="65" spans="10:21">
      <c r="L65" t="s">
        <v>442</v>
      </c>
      <c r="M65">
        <f>M63+(R64-AH$5)</f>
        <v>58</v>
      </c>
      <c r="N65">
        <f t="shared" ref="N65" si="58">N63+(S64-AI$5)</f>
        <v>25.1</v>
      </c>
      <c r="O65">
        <f t="shared" ref="O65" si="59">O63+(T64-AJ$5)</f>
        <v>9.3999999999999986</v>
      </c>
      <c r="P65">
        <f t="shared" ref="P65" si="60">P63+(U64-AK$5)</f>
        <v>6.2</v>
      </c>
    </row>
    <row r="66" spans="10:21">
      <c r="L66" t="s">
        <v>443</v>
      </c>
      <c r="M66">
        <f>M63+0.5*(M64-M65)</f>
        <v>66.155000000000001</v>
      </c>
      <c r="N66">
        <f t="shared" ref="N66" si="61">N63+0.5*(N64-N65)</f>
        <v>15.505000000000001</v>
      </c>
      <c r="O66">
        <f t="shared" ref="O66" si="62">O63+0.5*(O64-O65)</f>
        <v>14.24</v>
      </c>
      <c r="P66">
        <f t="shared" ref="P66" si="63">P63+0.5*(P64-P65)</f>
        <v>3.165</v>
      </c>
    </row>
    <row r="70" spans="10:21">
      <c r="J70" t="s">
        <v>324</v>
      </c>
    </row>
    <row r="72" spans="10:21">
      <c r="L72">
        <v>2011</v>
      </c>
      <c r="M72" s="2">
        <v>78.067676313290349</v>
      </c>
      <c r="N72" s="2">
        <v>2.8939871045134202</v>
      </c>
      <c r="O72" s="2">
        <v>12.882990953166393</v>
      </c>
      <c r="P72" s="2">
        <v>5.3381316539211277</v>
      </c>
    </row>
    <row r="73" spans="10:21">
      <c r="J73" s="53">
        <v>41944</v>
      </c>
      <c r="L73" t="s">
        <v>441</v>
      </c>
      <c r="M73">
        <v>62.57</v>
      </c>
      <c r="N73">
        <v>19.98</v>
      </c>
      <c r="O73">
        <v>9.5500000000000007</v>
      </c>
      <c r="P73">
        <v>0</v>
      </c>
      <c r="R73">
        <v>56</v>
      </c>
      <c r="S73">
        <v>22</v>
      </c>
      <c r="T73">
        <v>13</v>
      </c>
      <c r="U73">
        <v>5</v>
      </c>
    </row>
    <row r="74" spans="10:21">
      <c r="L74" t="s">
        <v>442</v>
      </c>
      <c r="M74" s="2">
        <f>M72+(R73-AH$5)</f>
        <v>67.267676313290352</v>
      </c>
      <c r="N74" s="2">
        <f t="shared" ref="N74" si="64">N72+(S73-AI$5)</f>
        <v>15.59398710451342</v>
      </c>
      <c r="O74" s="2">
        <f t="shared" ref="O74" si="65">O72+(T73-AJ$5)</f>
        <v>9.0829909531663926</v>
      </c>
      <c r="P74" s="2">
        <f t="shared" ref="P74" si="66">P72+(U73-AK$5)</f>
        <v>5.0381316539211278</v>
      </c>
    </row>
    <row r="75" spans="10:21">
      <c r="L75" t="s">
        <v>443</v>
      </c>
      <c r="M75" s="2">
        <f>M72+0.5*(M73-M74)</f>
        <v>75.718838156645177</v>
      </c>
      <c r="N75" s="2">
        <f t="shared" ref="N75" si="67">N72+0.5*(N73-N74)</f>
        <v>5.0869935522567102</v>
      </c>
      <c r="O75" s="2">
        <f t="shared" ref="O75" si="68">O72+0.5*(O73-O74)</f>
        <v>13.116495476583196</v>
      </c>
      <c r="P75" s="2">
        <f t="shared" ref="P75" si="69">P72+0.5*(P73-P74)</f>
        <v>2.8190658269605637</v>
      </c>
    </row>
  </sheetData>
  <sortState ref="A3:AA36">
    <sortCondition ref="B3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zoomScale="80" zoomScaleNormal="80" workbookViewId="0">
      <pane xSplit="4" ySplit="1" topLeftCell="AP5" activePane="bottomRight" state="frozen"/>
      <selection pane="bottomLeft" activeCell="A2" sqref="A2"/>
      <selection pane="topRight" activeCell="E1" sqref="E1"/>
      <selection pane="bottomRight" activeCell="A16" sqref="A16:XFD16"/>
    </sheetView>
  </sheetViews>
  <sheetFormatPr defaultRowHeight="15"/>
  <cols>
    <col min="2" max="2" width="26" customWidth="1"/>
    <col min="3" max="3" width="19" customWidth="1"/>
    <col min="33" max="33" width="11.85546875" customWidth="1"/>
  </cols>
  <sheetData>
    <row r="1" spans="1:62">
      <c r="A1" t="s">
        <v>373</v>
      </c>
      <c r="B1" t="s">
        <v>374</v>
      </c>
      <c r="C1" t="s">
        <v>375</v>
      </c>
      <c r="D1" t="s">
        <v>376</v>
      </c>
      <c r="E1" t="s">
        <v>444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687</v>
      </c>
      <c r="Y1" t="s">
        <v>688</v>
      </c>
      <c r="Z1" t="s">
        <v>689</v>
      </c>
      <c r="AA1" t="s">
        <v>690</v>
      </c>
      <c r="AB1" t="s">
        <v>399</v>
      </c>
      <c r="AC1" t="s">
        <v>458</v>
      </c>
      <c r="AD1" t="s">
        <v>459</v>
      </c>
      <c r="AM1" t="s">
        <v>406</v>
      </c>
      <c r="AN1" t="s">
        <v>478</v>
      </c>
      <c r="AO1" t="s">
        <v>479</v>
      </c>
      <c r="AP1" t="s">
        <v>480</v>
      </c>
      <c r="AQ1" t="s">
        <v>481</v>
      </c>
      <c r="AR1" t="s">
        <v>405</v>
      </c>
      <c r="AT1" t="s">
        <v>406</v>
      </c>
      <c r="AU1" t="s">
        <v>478</v>
      </c>
      <c r="AV1" t="s">
        <v>479</v>
      </c>
      <c r="AW1" t="s">
        <v>480</v>
      </c>
      <c r="AX1" t="s">
        <v>481</v>
      </c>
      <c r="AZ1" t="s">
        <v>691</v>
      </c>
      <c r="BA1" t="s">
        <v>478</v>
      </c>
      <c r="BB1" t="s">
        <v>479</v>
      </c>
      <c r="BC1" t="s">
        <v>480</v>
      </c>
      <c r="BD1" t="s">
        <v>481</v>
      </c>
      <c r="BF1" t="s">
        <v>409</v>
      </c>
      <c r="BG1" t="s">
        <v>478</v>
      </c>
      <c r="BH1" t="s">
        <v>479</v>
      </c>
      <c r="BI1" t="s">
        <v>480</v>
      </c>
      <c r="BJ1" t="s">
        <v>481</v>
      </c>
    </row>
    <row r="2" spans="1:62">
      <c r="A2" t="s">
        <v>692</v>
      </c>
      <c r="B2" t="s">
        <v>325</v>
      </c>
      <c r="C2" t="s">
        <v>325</v>
      </c>
      <c r="D2">
        <v>59001</v>
      </c>
      <c r="E2">
        <v>5904</v>
      </c>
      <c r="F2">
        <v>59</v>
      </c>
      <c r="G2">
        <v>25060</v>
      </c>
      <c r="H2">
        <v>3260</v>
      </c>
      <c r="I2">
        <v>7209</v>
      </c>
      <c r="J2">
        <v>1744</v>
      </c>
      <c r="K2">
        <v>37468</v>
      </c>
      <c r="L2" s="3">
        <f t="shared" ref="L2:L41" si="0">G2/$K2*100</f>
        <v>66.883740792142632</v>
      </c>
      <c r="M2" s="3">
        <f t="shared" ref="M2:M41" si="1">H2/$K2*100</f>
        <v>8.7007579801430541</v>
      </c>
      <c r="N2" s="3">
        <f t="shared" ref="N2:N41" si="2">I2/$K2*100</f>
        <v>19.24041849044518</v>
      </c>
      <c r="O2" s="3">
        <f t="shared" ref="O2:O41" si="3">J2/$K2*100</f>
        <v>4.6546386249599658</v>
      </c>
      <c r="P2">
        <v>45.5</v>
      </c>
      <c r="Q2">
        <v>13.4</v>
      </c>
      <c r="R2">
        <v>32.5</v>
      </c>
      <c r="S2">
        <v>7.7</v>
      </c>
      <c r="T2">
        <f t="shared" ref="T2:T43" si="4">IF(L2=MAX($L2:$O2),1,0)</f>
        <v>1</v>
      </c>
      <c r="U2">
        <f t="shared" ref="U2:U43" si="5">IF(M2=MAX($L2:$O2),1,0)</f>
        <v>0</v>
      </c>
      <c r="V2">
        <f t="shared" ref="V2:V43" si="6">IF(N2=MAX($L2:$O2),1,0)</f>
        <v>0</v>
      </c>
      <c r="W2">
        <f t="shared" ref="W2:W43" si="7">IF(O2=MAX($L2:$O2),1,0)</f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N2" s="8">
        <f t="shared" ref="AN2:AN43" si="8">(1-BG2*AH$11-(1-BG2)*AH$13)*AU2+BG2*AH$11*(AH$6+AH$6/AH$10*(AU2-AH$6))+(1-BG2)*AH$13*(AU2+(AH$6-AH$12)/(100-AH$12)*(AH$6-AU2))</f>
        <v>54.684015246086759</v>
      </c>
      <c r="AO2" s="8">
        <f t="shared" ref="AO2:AO43" si="9">(1-BH2*AI$11-(1-BH2)*AI$13)*AV2+BH2*AI$11*(AI$6+AI$6/AI$10*(AV2-AI$6))+(1-BH2)*AI$13*(AV2+(AI$6-AI$12)/(100-AI$12)*(AI$6-AV2))</f>
        <v>26.721248822906048</v>
      </c>
      <c r="AP2" s="8">
        <f t="shared" ref="AP2:AP43" si="10">(1-BI2*AJ$11-(1-BI2)*AJ$13)*AW2+BI2*AJ$11*(AJ$6+AJ$6/AJ$10*(AW2-AJ$6))+(1-BI2)*AJ$13*(AW2+(AJ$6-AJ$12)/(100-AJ$12)*(AJ$6-AW2))</f>
        <v>12.673343708174173</v>
      </c>
      <c r="AQ2" s="8">
        <f t="shared" ref="AQ2:AQ43" si="11">(1-BJ2*AK$11-(1-BJ2)*AK$13)*AX2+BJ2*AK$11*(AK$6+AK$6/AK$10*(AX2-AK$6))+(1-BJ2)*AK$13*(AX2+(AK$6-AK$12)/(100-AK$12)*(AK$6-AX2))</f>
        <v>5.514622018181087</v>
      </c>
      <c r="AR2" s="3">
        <f>SUM(AN2:AQ2)</f>
        <v>99.593229795348066</v>
      </c>
      <c r="AU2" s="3">
        <f t="array" ref="AU2">MIN(100,MAX(0,L2-AB2*5+$AI$16*(T2*AH$26+SUMPRODUCT($X2:$AA2,TRANSPOSE(AH$27:AH$30)))+$AJ$16*(T2*AH$31+SUMPRODUCT($X2:$AA2,TRANSPOSE(AH$32:AH$35)))+$AK$16*(T2*AH$36+SUMPRODUCT($X2:$AA2,TRANSPOSE(AH$37:AH$40)))))</f>
        <v>54.788683806924041</v>
      </c>
      <c r="AV2" s="3">
        <f t="array" ref="AV2">MIN(100,MAX(0,M2-AC2*5+$AH$17*(U2*AI$26+SUMPRODUCT($X2:$AA2,TRANSPOSE(AI$27:AI$30)))+$AJ$17*(U2*AI$31+SUMPRODUCT($X2:$AA2,TRANSPOSE(AI$32:AI$35)))+$AK$17*(U2*AI$36+SUMPRODUCT($X2:$AA2,TRANSPOSE(AI$37:AI$40)))))</f>
        <v>26.622880803673979</v>
      </c>
      <c r="AW2" s="3">
        <f t="array" ref="AW2">MIN(100,MAX(0,N2-AD2*5+$AH$18*(V2*AJ$26+SUMPRODUCT($X2:$AA2,TRANSPOSE(AJ$27:AJ$30)))+$AI$18*(V2*AJ$31+SUMPRODUCT($X2:$AA2,TRANSPOSE(AJ$32:AJ$35)))+$AK$18*(V2*AJ$36+SUMPRODUCT($X2:$AA2,TRANSPOSE(AJ$37:AJ$40)))))</f>
        <v>12.673343708174173</v>
      </c>
      <c r="AX2" s="3">
        <f t="array" ref="AX2">MIN(100,MAX(0,O2+$AH$19*(W2*AK$26+SUMPRODUCT($X2:$AA2,TRANSPOSE(AK$27:AK$30)))+$AI$19*(W2*AK$31+SUMPRODUCT($X2:$AA2,TRANSPOSE(AK$32:AK$35)))+$AJ$19*(W2*AK$36+SUMPRODUCT($X2:$AA2,TRANSPOSE(AK$37:AK$40)))))</f>
        <v>5.514622018181087</v>
      </c>
      <c r="BA2">
        <f>IF(AN2=MAX($AN2:$AQ2),1,0)</f>
        <v>1</v>
      </c>
      <c r="BB2">
        <f>IF(AO2=MAX($AN2:$AQ2),1,0)</f>
        <v>0</v>
      </c>
      <c r="BC2">
        <f>IF(AP2=MAX($AN2:$AQ2),1,0)</f>
        <v>0</v>
      </c>
      <c r="BD2">
        <f>IF(AQ2=MAX($AN2:$AQ2),1,0)</f>
        <v>0</v>
      </c>
      <c r="BG2">
        <f>IF(AU2&gt;AH$6,1,0)</f>
        <v>1</v>
      </c>
      <c r="BH2">
        <f>IF(AV2&gt;AI$6,1,0)</f>
        <v>0</v>
      </c>
      <c r="BI2">
        <f>IF(AW2&gt;AJ$6,1,0)</f>
        <v>0</v>
      </c>
      <c r="BJ2">
        <f>IF(AX2&gt;AK$6,1,0)</f>
        <v>0</v>
      </c>
    </row>
    <row r="3" spans="1:62">
      <c r="A3" t="s">
        <v>692</v>
      </c>
      <c r="B3" t="s">
        <v>326</v>
      </c>
      <c r="C3" t="s">
        <v>693</v>
      </c>
      <c r="D3">
        <v>59002</v>
      </c>
      <c r="E3">
        <v>5901</v>
      </c>
      <c r="F3">
        <v>59</v>
      </c>
      <c r="G3">
        <v>19150</v>
      </c>
      <c r="H3">
        <v>6804</v>
      </c>
      <c r="I3">
        <v>15219</v>
      </c>
      <c r="J3">
        <v>1679</v>
      </c>
      <c r="K3">
        <v>43289</v>
      </c>
      <c r="L3" s="3">
        <f t="shared" si="0"/>
        <v>44.237566125343619</v>
      </c>
      <c r="M3" s="3">
        <f t="shared" si="1"/>
        <v>15.71761879461295</v>
      </c>
      <c r="N3" s="3">
        <f t="shared" si="2"/>
        <v>35.156737277368386</v>
      </c>
      <c r="O3" s="3">
        <f t="shared" si="3"/>
        <v>3.87858347386172</v>
      </c>
      <c r="P3">
        <v>45.5</v>
      </c>
      <c r="Q3">
        <v>13.4</v>
      </c>
      <c r="R3">
        <v>32.5</v>
      </c>
      <c r="S3">
        <v>7.7</v>
      </c>
      <c r="T3">
        <f t="shared" si="4"/>
        <v>1</v>
      </c>
      <c r="U3">
        <f t="shared" si="5"/>
        <v>0</v>
      </c>
      <c r="V3">
        <f t="shared" si="6"/>
        <v>0</v>
      </c>
      <c r="W3">
        <f t="shared" si="7"/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N3" s="8">
        <f t="shared" si="8"/>
        <v>33.974158344952293</v>
      </c>
      <c r="AO3" s="8">
        <f t="shared" si="9"/>
        <v>31.354130006972611</v>
      </c>
      <c r="AP3" s="8">
        <f t="shared" si="10"/>
        <v>28.606500126317954</v>
      </c>
      <c r="AQ3" s="8">
        <f t="shared" si="11"/>
        <v>4.7573272145847447</v>
      </c>
      <c r="AR3" s="3">
        <f t="shared" ref="AR3:AR43" si="12">SUM(AN3:AQ3)</f>
        <v>98.692115692827599</v>
      </c>
      <c r="AU3" s="43">
        <f t="array" ref="AU3">MIN(100,MAX(0,L3+4-AB3*5+$AI$16*(T3*AH$26+SUMPRODUCT($X3:$AA3,TRANSPOSE(AH$27:AH$30)))+$AJ$16*(T3*AH$31+SUMPRODUCT($X3:$AA3,TRANSPOSE(AH$32:AH$35)))+$AK$16*(T3*AH$36+SUMPRODUCT($X3:$AA3,TRANSPOSE(AH$37:AH$40)))))</f>
        <v>33.979580954007361</v>
      </c>
      <c r="AV3" s="43">
        <f t="array" ref="AV3">MIN(100,MAX(0,M3-4.5-AC3*5+$AH$17*(U3*AI$26+SUMPRODUCT($X3:$AA3,TRANSPOSE(AI$27:AI$30)))+$AJ$17*(U3*AI$31+SUMPRODUCT($X3:$AA3,TRANSPOSE(AI$32:AI$35)))+$AK$17*(U3*AI$36+SUMPRODUCT($X3:$AA3,TRANSPOSE(AI$37:AI$40)))))</f>
        <v>31.338731355654613</v>
      </c>
      <c r="AW3" s="3">
        <f t="array" ref="AW3">MIN(100,MAX(0,N3-AD3*5+$AH$18*(V3*AJ$26+SUMPRODUCT($X3:$AA3,TRANSPOSE(AJ$27:AJ$30)))+$AI$18*(V3*AJ$31+SUMPRODUCT($X3:$AA3,TRANSPOSE(AJ$32:AJ$35)))+$AK$18*(V3*AJ$36+SUMPRODUCT($X3:$AA3,TRANSPOSE(AJ$37:AJ$40)))))</f>
        <v>28.606500126317954</v>
      </c>
      <c r="AX3" s="3">
        <f t="array" ref="AX3">MIN(100,MAX(0,O3+$AH$19*(W3*AK$26+SUMPRODUCT($X3:$AA3,TRANSPOSE(AK$27:AK$30)))+$AI$19*(W3*AK$31+SUMPRODUCT($X3:$AA3,TRANSPOSE(AK$32:AK$35)))+$AJ$19*(W3*AK$36+SUMPRODUCT($X3:$AA3,TRANSPOSE(AK$37:AK$40)))))</f>
        <v>4.7573272145847447</v>
      </c>
      <c r="BA3">
        <f t="shared" ref="BA3:BA43" si="13">IF(AN3=MAX($AN3:$AQ3),1,0)</f>
        <v>1</v>
      </c>
      <c r="BB3">
        <f t="shared" ref="BB3:BB43" si="14">IF(AO3=MAX($AN3:$AQ3),1,0)</f>
        <v>0</v>
      </c>
      <c r="BC3">
        <f t="shared" ref="BC3:BC43" si="15">IF(AP3=MAX($AN3:$AQ3),1,0)</f>
        <v>0</v>
      </c>
      <c r="BD3">
        <f t="shared" ref="BD3:BD43" si="16">IF(AQ3=MAX($AN3:$AQ3),1,0)</f>
        <v>0</v>
      </c>
      <c r="BG3">
        <f t="shared" ref="BG3:BG43" si="17">IF(AU3&gt;AH$6,1,0)</f>
        <v>1</v>
      </c>
      <c r="BH3">
        <f t="shared" ref="BH3:BH43" si="18">IF(AV3&gt;AI$6,1,0)</f>
        <v>0</v>
      </c>
      <c r="BI3">
        <f t="shared" ref="BI3:BI43" si="19">IF(AW3&gt;AJ$6,1,0)</f>
        <v>1</v>
      </c>
      <c r="BJ3">
        <f t="shared" ref="BJ3:BJ43" si="20">IF(AX3&gt;AK$6,1,0)</f>
        <v>0</v>
      </c>
    </row>
    <row r="4" spans="1:62">
      <c r="A4" t="s">
        <v>692</v>
      </c>
      <c r="B4" t="s">
        <v>327</v>
      </c>
      <c r="C4" t="s">
        <v>327</v>
      </c>
      <c r="D4">
        <v>59003</v>
      </c>
      <c r="E4">
        <v>5901</v>
      </c>
      <c r="F4">
        <v>59</v>
      </c>
      <c r="G4">
        <v>14471</v>
      </c>
      <c r="H4">
        <v>4280</v>
      </c>
      <c r="I4">
        <v>16072</v>
      </c>
      <c r="J4">
        <v>1316</v>
      </c>
      <c r="K4">
        <v>36523</v>
      </c>
      <c r="L4" s="3">
        <f t="shared" si="0"/>
        <v>39.62160830161816</v>
      </c>
      <c r="M4" s="3">
        <f t="shared" si="1"/>
        <v>11.718643046847193</v>
      </c>
      <c r="N4" s="3">
        <f t="shared" si="2"/>
        <v>44.00514744133833</v>
      </c>
      <c r="O4" s="3">
        <f t="shared" si="3"/>
        <v>3.6032089368343234</v>
      </c>
      <c r="P4">
        <v>45.5</v>
      </c>
      <c r="Q4">
        <v>13.4</v>
      </c>
      <c r="R4">
        <v>32.5</v>
      </c>
      <c r="S4">
        <v>7.7</v>
      </c>
      <c r="T4">
        <f t="shared" si="4"/>
        <v>0</v>
      </c>
      <c r="U4">
        <f t="shared" si="5"/>
        <v>0</v>
      </c>
      <c r="V4">
        <f t="shared" si="6"/>
        <v>1</v>
      </c>
      <c r="W4">
        <f t="shared" si="7"/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H4" t="s">
        <v>478</v>
      </c>
      <c r="AI4" t="s">
        <v>479</v>
      </c>
      <c r="AJ4" t="s">
        <v>480</v>
      </c>
      <c r="AK4" t="s">
        <v>481</v>
      </c>
      <c r="AN4" s="8">
        <f t="shared" si="8"/>
        <v>25.850532619461532</v>
      </c>
      <c r="AO4" s="8">
        <f t="shared" si="9"/>
        <v>31.846339377339987</v>
      </c>
      <c r="AP4" s="8">
        <f t="shared" si="10"/>
        <v>39.034824935537429</v>
      </c>
      <c r="AQ4" s="8">
        <f t="shared" si="11"/>
        <v>4.4819526775573477</v>
      </c>
      <c r="AR4" s="3">
        <f t="shared" si="12"/>
        <v>101.21364960989629</v>
      </c>
      <c r="AU4" s="3">
        <f t="array" ref="AU4">MIN(100,MAX(0,L4-AB4*5+$AI$16*(T4*AH$26+SUMPRODUCT($X4:$AA4,TRANSPOSE(AH$27:AH$30)))+$AJ$16*(T4*AH$31+SUMPRODUCT($X4:$AA4,TRANSPOSE(AH$32:AH$35)))+$AK$16*(T4*AH$36+SUMPRODUCT($X4:$AA4,TRANSPOSE(AH$37:AH$40)))))</f>
        <v>25.850532619461532</v>
      </c>
      <c r="AV4" s="3">
        <f t="array" ref="AV4">MIN(100,MAX(0,M4-AC4*5+$AH$17*(U4*AI$26+SUMPRODUCT($X4:$AA4,TRANSPOSE(AI$27:AI$30)))+$AJ$17*(U4*AI$31+SUMPRODUCT($X4:$AA4,TRANSPOSE(AI$32:AI$35)))+$AK$17*(U4*AI$36+SUMPRODUCT($X4:$AA4,TRANSPOSE(AI$37:AI$40)))))</f>
        <v>31.839755607888854</v>
      </c>
      <c r="AW4" s="3">
        <f t="array" ref="AW4">MIN(100,MAX(0,N4-AD4*5+$AH$18*(V4*AJ$26+SUMPRODUCT($X4:$AA4,TRANSPOSE(AJ$27:AJ$30)))+$AI$18*(V4*AJ$31+SUMPRODUCT($X4:$AA4,TRANSPOSE(AJ$32:AJ$35)))+$AK$18*(V4*AJ$36+SUMPRODUCT($X4:$AA4,TRANSPOSE(AJ$37:AJ$40)))))</f>
        <v>39.034824935537429</v>
      </c>
      <c r="AX4" s="3">
        <f t="array" ref="AX4">MIN(100,MAX(0,O4+$AH$19*(W4*AK$26+SUMPRODUCT($X4:$AA4,TRANSPOSE(AK$27:AK$30)))+$AI$19*(W4*AK$31+SUMPRODUCT($X4:$AA4,TRANSPOSE(AK$32:AK$35)))+$AJ$19*(W4*AK$36+SUMPRODUCT($X4:$AA4,TRANSPOSE(AK$37:AK$40)))))</f>
        <v>4.4819526775573477</v>
      </c>
      <c r="BA4">
        <f t="shared" si="13"/>
        <v>0</v>
      </c>
      <c r="BB4">
        <f t="shared" si="14"/>
        <v>0</v>
      </c>
      <c r="BC4">
        <f t="shared" si="15"/>
        <v>1</v>
      </c>
      <c r="BD4">
        <f t="shared" si="16"/>
        <v>0</v>
      </c>
      <c r="BG4">
        <f t="shared" si="17"/>
        <v>0</v>
      </c>
      <c r="BH4">
        <f t="shared" si="18"/>
        <v>0</v>
      </c>
      <c r="BI4">
        <f t="shared" si="19"/>
        <v>1</v>
      </c>
      <c r="BJ4">
        <f t="shared" si="20"/>
        <v>0</v>
      </c>
    </row>
    <row r="5" spans="1:62">
      <c r="A5" t="s">
        <v>692</v>
      </c>
      <c r="B5" t="s">
        <v>328</v>
      </c>
      <c r="C5" t="s">
        <v>694</v>
      </c>
      <c r="D5">
        <v>59004</v>
      </c>
      <c r="E5">
        <v>5904</v>
      </c>
      <c r="F5">
        <v>59</v>
      </c>
      <c r="G5">
        <v>24324</v>
      </c>
      <c r="H5">
        <v>2190</v>
      </c>
      <c r="I5">
        <v>13016</v>
      </c>
      <c r="J5">
        <v>2673</v>
      </c>
      <c r="K5">
        <v>43237</v>
      </c>
      <c r="L5" s="3">
        <f t="shared" si="0"/>
        <v>56.257372158105326</v>
      </c>
      <c r="M5" s="3">
        <f t="shared" si="1"/>
        <v>5.0651062747184126</v>
      </c>
      <c r="N5" s="3">
        <f t="shared" si="2"/>
        <v>30.103846242801303</v>
      </c>
      <c r="O5" s="3">
        <f t="shared" si="3"/>
        <v>6.1822050558549391</v>
      </c>
      <c r="P5">
        <v>45.5</v>
      </c>
      <c r="Q5">
        <v>13.4</v>
      </c>
      <c r="R5">
        <v>32.5</v>
      </c>
      <c r="S5">
        <v>7.7</v>
      </c>
      <c r="T5" s="54">
        <v>0</v>
      </c>
      <c r="U5">
        <f t="shared" si="5"/>
        <v>0</v>
      </c>
      <c r="V5">
        <f t="shared" si="6"/>
        <v>0</v>
      </c>
      <c r="W5">
        <f t="shared" si="7"/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G5">
        <v>2011</v>
      </c>
      <c r="AH5">
        <v>45.5</v>
      </c>
      <c r="AI5">
        <v>13.4</v>
      </c>
      <c r="AJ5">
        <v>32.5</v>
      </c>
      <c r="AK5">
        <v>7.7</v>
      </c>
      <c r="AL5">
        <f>SUM(AH5:AK5)</f>
        <v>99.100000000000009</v>
      </c>
      <c r="AN5" s="8">
        <f t="shared" si="8"/>
        <v>39.616761522237361</v>
      </c>
      <c r="AO5" s="8">
        <f t="shared" si="9"/>
        <v>23.149561766197451</v>
      </c>
      <c r="AP5" s="8">
        <f t="shared" si="10"/>
        <v>23.536771460530296</v>
      </c>
      <c r="AQ5" s="8">
        <f t="shared" si="11"/>
        <v>7.0421884490760602</v>
      </c>
      <c r="AR5" s="3">
        <f t="shared" si="12"/>
        <v>93.345283198041173</v>
      </c>
      <c r="AU5" s="3">
        <f t="array" ref="AU5">MIN(100,MAX(0,L5-AB5*5+$AI$16*(T5*AH$26+SUMPRODUCT($X5:$AA5,TRANSPOSE(AH$27:AH$30)))+$AJ$16*(T5*AH$31+SUMPRODUCT($X5:$AA5,TRANSPOSE(AH$32:AH$35)))+$AK$16*(T5*AH$36+SUMPRODUCT($X5:$AA5,TRANSPOSE(AH$37:AH$40)))))</f>
        <v>39.649224662066366</v>
      </c>
      <c r="AV5" s="3">
        <f t="array" ref="AV5">MIN(100,MAX(0,M5-AC5*5+$AH$17*(U5*AI$26+SUMPRODUCT($X5:$AA5,TRANSPOSE(AI$27:AI$30)))+$AJ$17*(U5*AI$31+SUMPRODUCT($X5:$AA5,TRANSPOSE(AI$32:AI$35)))+$AK$17*(U5*AI$36+SUMPRODUCT($X5:$AA5,TRANSPOSE(AI$37:AI$40)))))</f>
        <v>22.987229098249337</v>
      </c>
      <c r="AW5" s="3">
        <f t="array" ref="AW5">MIN(100,MAX(0,N5-AD5*5+$AH$18*(V5*AJ$26+SUMPRODUCT($X5:$AA5,TRANSPOSE(AJ$27:AJ$30)))+$AI$18*(V5*AJ$31+SUMPRODUCT($X5:$AA5,TRANSPOSE(AJ$32:AJ$35)))+$AK$18*(V5*AJ$36+SUMPRODUCT($X5:$AA5,TRANSPOSE(AJ$37:AJ$40)))))</f>
        <v>23.536771460530296</v>
      </c>
      <c r="AX5" s="3">
        <f t="array" ref="AX5">MIN(100,MAX(0,O5+$AH$19*(W5*AK$26+SUMPRODUCT($X5:$AA5,TRANSPOSE(AK$27:AK$30)))+$AI$19*(W5*AK$31+SUMPRODUCT($X5:$AA5,TRANSPOSE(AK$32:AK$35)))+$AJ$19*(W5*AK$36+SUMPRODUCT($X5:$AA5,TRANSPOSE(AK$37:AK$40)))))</f>
        <v>7.0421884490760602</v>
      </c>
      <c r="BA5">
        <f t="shared" si="13"/>
        <v>1</v>
      </c>
      <c r="BB5">
        <f t="shared" si="14"/>
        <v>0</v>
      </c>
      <c r="BC5">
        <f t="shared" si="15"/>
        <v>0</v>
      </c>
      <c r="BD5">
        <f t="shared" si="16"/>
        <v>0</v>
      </c>
      <c r="BG5">
        <f t="shared" si="17"/>
        <v>1</v>
      </c>
      <c r="BH5">
        <f t="shared" si="18"/>
        <v>0</v>
      </c>
      <c r="BI5">
        <f t="shared" si="19"/>
        <v>0</v>
      </c>
      <c r="BJ5">
        <f t="shared" si="20"/>
        <v>0</v>
      </c>
    </row>
    <row r="6" spans="1:62">
      <c r="A6" t="s">
        <v>692</v>
      </c>
      <c r="B6" t="s">
        <v>329</v>
      </c>
      <c r="C6" t="s">
        <v>695</v>
      </c>
      <c r="D6">
        <v>59005</v>
      </c>
      <c r="E6">
        <v>5904</v>
      </c>
      <c r="F6">
        <v>59</v>
      </c>
      <c r="G6">
        <v>26691</v>
      </c>
      <c r="H6">
        <v>4917</v>
      </c>
      <c r="I6">
        <v>12735</v>
      </c>
      <c r="J6">
        <v>3795</v>
      </c>
      <c r="K6">
        <v>48892</v>
      </c>
      <c r="L6" s="3">
        <f t="shared" si="0"/>
        <v>54.591753252065779</v>
      </c>
      <c r="M6" s="3">
        <f t="shared" si="1"/>
        <v>10.056860017998854</v>
      </c>
      <c r="N6" s="3">
        <f t="shared" si="2"/>
        <v>26.047206086885382</v>
      </c>
      <c r="O6" s="3">
        <f t="shared" si="3"/>
        <v>7.7620060541601896</v>
      </c>
      <c r="P6">
        <v>45.5</v>
      </c>
      <c r="Q6">
        <v>13.4</v>
      </c>
      <c r="R6">
        <v>32.5</v>
      </c>
      <c r="S6">
        <v>7.7</v>
      </c>
      <c r="T6">
        <f t="shared" si="4"/>
        <v>1</v>
      </c>
      <c r="U6">
        <f t="shared" si="5"/>
        <v>0</v>
      </c>
      <c r="V6">
        <f t="shared" si="6"/>
        <v>0</v>
      </c>
      <c r="W6">
        <f t="shared" si="7"/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G6">
        <v>2015</v>
      </c>
      <c r="AH6" s="3">
        <f>projections!C9</f>
        <v>32.842611359463085</v>
      </c>
      <c r="AI6" s="3">
        <f>projections!D9</f>
        <v>32.213966881046851</v>
      </c>
      <c r="AJ6" s="3">
        <f>projections!E9</f>
        <v>26.143404513951548</v>
      </c>
      <c r="AK6" s="3">
        <f>projections!F9</f>
        <v>8.5349080543286853</v>
      </c>
      <c r="AL6" s="3">
        <f>SUM(AH6:AK6)</f>
        <v>99.734890808790169</v>
      </c>
      <c r="AN6" s="8">
        <f t="shared" si="8"/>
        <v>42.450652530507753</v>
      </c>
      <c r="AO6" s="8">
        <f t="shared" si="9"/>
        <v>28.053491977265079</v>
      </c>
      <c r="AP6" s="8">
        <f t="shared" si="10"/>
        <v>19.480131304614375</v>
      </c>
      <c r="AQ6" s="8">
        <f t="shared" si="11"/>
        <v>8.6219894473813099</v>
      </c>
      <c r="AR6" s="3">
        <f t="shared" si="12"/>
        <v>98.60626525976852</v>
      </c>
      <c r="AU6" s="3">
        <f t="array" ref="AU6">MIN(100,MAX(0,L6-AB6*5+$AI$16*(T6*AH$26+SUMPRODUCT($X6:$AA6,TRANSPOSE(AH$27:AH$30)))+$AJ$16*(T6*AH$31+SUMPRODUCT($X6:$AA6,TRANSPOSE(AH$32:AH$35)))+$AK$16*(T6*AH$36+SUMPRODUCT($X6:$AA6,TRANSPOSE(AH$37:AH$40)))))</f>
        <v>42.496696266847181</v>
      </c>
      <c r="AV6" s="3">
        <f t="array" ref="AV6">MIN(100,MAX(0,M6-AC6*5+$AH$17*(U6*AI$26+SUMPRODUCT($X6:$AA6,TRANSPOSE(AI$27:AI$30)))+$AJ$17*(U6*AI$31+SUMPRODUCT($X6:$AA6,TRANSPOSE(AI$32:AI$35)))+$AK$17*(U6*AI$36+SUMPRODUCT($X6:$AA6,TRANSPOSE(AI$37:AI$40)))))</f>
        <v>27.978982841529778</v>
      </c>
      <c r="AW6" s="3">
        <f t="array" ref="AW6">MIN(100,MAX(0,N6-AD6*5+$AH$18*(V6*AJ$26+SUMPRODUCT($X6:$AA6,TRANSPOSE(AJ$27:AJ$30)))+$AI$18*(V6*AJ$31+SUMPRODUCT($X6:$AA6,TRANSPOSE(AJ$32:AJ$35)))+$AK$18*(V6*AJ$36+SUMPRODUCT($X6:$AA6,TRANSPOSE(AJ$37:AJ$40)))))</f>
        <v>19.480131304614375</v>
      </c>
      <c r="AX6" s="3">
        <f t="array" ref="AX6">MIN(100,MAX(0,O6+$AH$19*(W6*AK$26+SUMPRODUCT($X6:$AA6,TRANSPOSE(AK$27:AK$30)))+$AI$19*(W6*AK$31+SUMPRODUCT($X6:$AA6,TRANSPOSE(AK$32:AK$35)))+$AJ$19*(W6*AK$36+SUMPRODUCT($X6:$AA6,TRANSPOSE(AK$37:AK$40)))))</f>
        <v>8.6219894473813099</v>
      </c>
      <c r="BA6">
        <f t="shared" si="13"/>
        <v>1</v>
      </c>
      <c r="BB6">
        <f t="shared" si="14"/>
        <v>0</v>
      </c>
      <c r="BC6">
        <f t="shared" si="15"/>
        <v>0</v>
      </c>
      <c r="BD6">
        <f t="shared" si="16"/>
        <v>0</v>
      </c>
      <c r="BG6">
        <f t="shared" si="17"/>
        <v>1</v>
      </c>
      <c r="BH6">
        <f t="shared" si="18"/>
        <v>0</v>
      </c>
      <c r="BI6">
        <f t="shared" si="19"/>
        <v>0</v>
      </c>
      <c r="BJ6">
        <f t="shared" si="20"/>
        <v>1</v>
      </c>
    </row>
    <row r="7" spans="1:62">
      <c r="A7" t="s">
        <v>692</v>
      </c>
      <c r="B7" t="s">
        <v>330</v>
      </c>
      <c r="C7" t="s">
        <v>696</v>
      </c>
      <c r="D7">
        <v>59006</v>
      </c>
      <c r="E7">
        <v>5902</v>
      </c>
      <c r="F7">
        <v>59</v>
      </c>
      <c r="G7">
        <v>22748</v>
      </c>
      <c r="H7">
        <v>4272</v>
      </c>
      <c r="I7">
        <v>8972</v>
      </c>
      <c r="J7">
        <v>1922</v>
      </c>
      <c r="K7">
        <v>38190</v>
      </c>
      <c r="L7" s="3">
        <f t="shared" si="0"/>
        <v>59.565331238544118</v>
      </c>
      <c r="M7" s="3">
        <f t="shared" si="1"/>
        <v>11.186174391201885</v>
      </c>
      <c r="N7" s="3">
        <f t="shared" si="2"/>
        <v>23.493061010735794</v>
      </c>
      <c r="O7" s="3">
        <f t="shared" si="3"/>
        <v>5.03273108143493</v>
      </c>
      <c r="P7">
        <v>45.5</v>
      </c>
      <c r="Q7">
        <v>13.4</v>
      </c>
      <c r="R7">
        <v>32.5</v>
      </c>
      <c r="S7">
        <v>7.7</v>
      </c>
      <c r="T7">
        <f t="shared" si="4"/>
        <v>1</v>
      </c>
      <c r="U7">
        <f t="shared" si="5"/>
        <v>0</v>
      </c>
      <c r="V7">
        <f t="shared" si="6"/>
        <v>0</v>
      </c>
      <c r="W7">
        <f t="shared" si="7"/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G7" t="s">
        <v>415</v>
      </c>
      <c r="AH7">
        <f>AH6-AH5</f>
        <v>-12.657388640536915</v>
      </c>
      <c r="AI7">
        <f>AI6-AI5</f>
        <v>18.813966881046852</v>
      </c>
      <c r="AJ7">
        <f>AJ6-AJ5</f>
        <v>-6.3565954860484517</v>
      </c>
      <c r="AK7">
        <f>AK6-AK5</f>
        <v>0.83490805432868509</v>
      </c>
      <c r="AN7" s="8">
        <f t="shared" si="8"/>
        <v>47.400509769171066</v>
      </c>
      <c r="AO7" s="8">
        <f t="shared" si="9"/>
        <v>29.162937506303489</v>
      </c>
      <c r="AP7" s="8">
        <f t="shared" si="10"/>
        <v>16.925986228464787</v>
      </c>
      <c r="AQ7" s="8">
        <f t="shared" si="11"/>
        <v>5.8927144746560511</v>
      </c>
      <c r="AR7" s="3">
        <f t="shared" si="12"/>
        <v>99.382147978595398</v>
      </c>
      <c r="AU7" s="3">
        <f t="array" ref="AU7">MIN(100,MAX(0,L7-AB7*5+$AI$16*(T7*AH$26+SUMPRODUCT($X7:$AA7,TRANSPOSE(AH$27:AH$30)))+$AJ$16*(T7*AH$31+SUMPRODUCT($X7:$AA7,TRANSPOSE(AH$32:AH$35)))+$AK$16*(T7*AH$36+SUMPRODUCT($X7:$AA7,TRANSPOSE(AH$37:AH$40)))))</f>
        <v>47.470274253325528</v>
      </c>
      <c r="AV7" s="3">
        <f t="array" ref="AV7">MIN(100,MAX(0,M7-AC7*5+$AH$17*(U7*AI$26+SUMPRODUCT($X7:$AA7,TRANSPOSE(AI$27:AI$30)))+$AJ$17*(U7*AI$31+SUMPRODUCT($X7:$AA7,TRANSPOSE(AI$32:AI$35)))+$AK$17*(U7*AI$36+SUMPRODUCT($X7:$AA7,TRANSPOSE(AI$37:AI$40)))))</f>
        <v>29.108297214732808</v>
      </c>
      <c r="AW7" s="3">
        <f t="array" ref="AW7">MIN(100,MAX(0,N7-AD7*5+$AH$18*(V7*AJ$26+SUMPRODUCT($X7:$AA7,TRANSPOSE(AJ$27:AJ$30)))+$AI$18*(V7*AJ$31+SUMPRODUCT($X7:$AA7,TRANSPOSE(AJ$32:AJ$35)))+$AK$18*(V7*AJ$36+SUMPRODUCT($X7:$AA7,TRANSPOSE(AJ$37:AJ$40)))))</f>
        <v>16.925986228464787</v>
      </c>
      <c r="AX7" s="3">
        <f t="array" ref="AX7">MIN(100,MAX(0,O7+$AH$19*(W7*AK$26+SUMPRODUCT($X7:$AA7,TRANSPOSE(AK$27:AK$30)))+$AI$19*(W7*AK$31+SUMPRODUCT($X7:$AA7,TRANSPOSE(AK$32:AK$35)))+$AJ$19*(W7*AK$36+SUMPRODUCT($X7:$AA7,TRANSPOSE(AK$37:AK$40)))))</f>
        <v>5.8927144746560511</v>
      </c>
      <c r="BA7">
        <f t="shared" si="13"/>
        <v>1</v>
      </c>
      <c r="BB7">
        <f t="shared" si="14"/>
        <v>0</v>
      </c>
      <c r="BC7">
        <f t="shared" si="15"/>
        <v>0</v>
      </c>
      <c r="BD7">
        <f t="shared" si="16"/>
        <v>0</v>
      </c>
      <c r="BG7">
        <f t="shared" si="17"/>
        <v>1</v>
      </c>
      <c r="BH7">
        <f t="shared" si="18"/>
        <v>0</v>
      </c>
      <c r="BI7">
        <f t="shared" si="19"/>
        <v>0</v>
      </c>
      <c r="BJ7">
        <f t="shared" si="20"/>
        <v>0</v>
      </c>
    </row>
    <row r="8" spans="1:62">
      <c r="A8" t="s">
        <v>692</v>
      </c>
      <c r="B8" t="s">
        <v>331</v>
      </c>
      <c r="C8" t="s">
        <v>697</v>
      </c>
      <c r="D8">
        <v>59007</v>
      </c>
      <c r="E8">
        <v>5902</v>
      </c>
      <c r="F8">
        <v>59</v>
      </c>
      <c r="G8">
        <v>21595</v>
      </c>
      <c r="H8">
        <v>4442</v>
      </c>
      <c r="I8">
        <v>9289</v>
      </c>
      <c r="J8">
        <v>1735</v>
      </c>
      <c r="K8">
        <v>37639</v>
      </c>
      <c r="L8" s="3">
        <f t="shared" si="0"/>
        <v>57.374000371954622</v>
      </c>
      <c r="M8" s="3">
        <f t="shared" si="1"/>
        <v>11.801588777597704</v>
      </c>
      <c r="N8" s="3">
        <f t="shared" si="2"/>
        <v>24.67918913892505</v>
      </c>
      <c r="O8" s="3">
        <f t="shared" si="3"/>
        <v>4.6095804883232816</v>
      </c>
      <c r="P8">
        <v>45.5</v>
      </c>
      <c r="Q8">
        <v>13.4</v>
      </c>
      <c r="R8">
        <v>32.5</v>
      </c>
      <c r="S8">
        <v>7.7</v>
      </c>
      <c r="T8">
        <f t="shared" si="4"/>
        <v>1</v>
      </c>
      <c r="U8">
        <f t="shared" si="5"/>
        <v>0</v>
      </c>
      <c r="V8">
        <f t="shared" si="6"/>
        <v>0</v>
      </c>
      <c r="W8">
        <f t="shared" si="7"/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G8" t="s">
        <v>470</v>
      </c>
      <c r="AH8">
        <f>IF(AH7&gt;0,AH7,0)</f>
        <v>0</v>
      </c>
      <c r="AI8">
        <f>IF(AI7&gt;0,AI7,0)</f>
        <v>18.813966881046852</v>
      </c>
      <c r="AJ8">
        <f>IF(AJ7&gt;0,AJ7,0)</f>
        <v>0</v>
      </c>
      <c r="AK8">
        <f>IF(AK7&gt;0,AK7,0)</f>
        <v>0.83490805432868509</v>
      </c>
      <c r="AL8">
        <f>SUM(AH8:AK8)</f>
        <v>19.648874935375538</v>
      </c>
      <c r="AN8" s="8">
        <f t="shared" si="8"/>
        <v>43.067017713823027</v>
      </c>
      <c r="AO8" s="8">
        <f t="shared" si="9"/>
        <v>31.927825783886799</v>
      </c>
      <c r="AP8" s="8">
        <f t="shared" si="10"/>
        <v>18.128951987874618</v>
      </c>
      <c r="AQ8" s="8">
        <f t="shared" si="11"/>
        <v>5.4883242290463059</v>
      </c>
      <c r="AR8" s="3">
        <f t="shared" si="12"/>
        <v>98.612119714630751</v>
      </c>
      <c r="AU8" s="3">
        <f t="array" ref="AU8">MIN(100,MAX(0,L8-AB8*5+$AI$16*(T8*AH$26+SUMPRODUCT($X8:$AA8,TRANSPOSE(AH$27:AH$30)))+$AJ$16*(T8*AH$31+SUMPRODUCT($X8:$AA8,TRANSPOSE(AH$32:AH$35)))+$AK$16*(T8*AH$36+SUMPRODUCT($X8:$AA8,TRANSPOSE(AH$37:AH$40)))))</f>
        <v>43.116015200618364</v>
      </c>
      <c r="AV8" s="3">
        <f t="array" ref="AV8">MIN(100,MAX(0,M8-AC8*5+$AH$17*(U8*AI$26+SUMPRODUCT($X8:$AA8,TRANSPOSE(AI$27:AI$30)))+$AJ$17*(U8*AI$31+SUMPRODUCT($X8:$AA8,TRANSPOSE(AI$32:AI$35)))+$AK$17*(U8*AI$36+SUMPRODUCT($X8:$AA8,TRANSPOSE(AI$37:AI$40)))))</f>
        <v>31.922701338639367</v>
      </c>
      <c r="AW8" s="3">
        <f t="array" ref="AW8">MIN(100,MAX(0,N8-AD8*5+$AH$18*(V8*AJ$26+SUMPRODUCT($X8:$AA8,TRANSPOSE(AJ$27:AJ$30)))+$AI$18*(V8*AJ$31+SUMPRODUCT($X8:$AA8,TRANSPOSE(AJ$32:AJ$35)))+$AK$18*(V8*AJ$36+SUMPRODUCT($X8:$AA8,TRANSPOSE(AJ$37:AJ$40)))))</f>
        <v>18.128951987874618</v>
      </c>
      <c r="AX8" s="3">
        <f t="array" ref="AX8">MIN(100,MAX(0,O8+$AH$19*(W8*AK$26+SUMPRODUCT($X8:$AA8,TRANSPOSE(AK$27:AK$30)))+$AI$19*(W8*AK$31+SUMPRODUCT($X8:$AA8,TRANSPOSE(AK$32:AK$35)))+$AJ$19*(W8*AK$36+SUMPRODUCT($X8:$AA8,TRANSPOSE(AK$37:AK$40)))))</f>
        <v>5.4883242290463059</v>
      </c>
      <c r="BA8">
        <f t="shared" si="13"/>
        <v>1</v>
      </c>
      <c r="BB8">
        <f t="shared" si="14"/>
        <v>0</v>
      </c>
      <c r="BC8">
        <f t="shared" si="15"/>
        <v>0</v>
      </c>
      <c r="BD8">
        <f t="shared" si="16"/>
        <v>0</v>
      </c>
      <c r="BG8">
        <f t="shared" si="17"/>
        <v>1</v>
      </c>
      <c r="BH8">
        <f t="shared" si="18"/>
        <v>0</v>
      </c>
      <c r="BI8">
        <f t="shared" si="19"/>
        <v>0</v>
      </c>
      <c r="BJ8">
        <f t="shared" si="20"/>
        <v>0</v>
      </c>
    </row>
    <row r="9" spans="1:62">
      <c r="A9" t="s">
        <v>692</v>
      </c>
      <c r="B9" t="s">
        <v>332</v>
      </c>
      <c r="C9" t="s">
        <v>698</v>
      </c>
      <c r="D9">
        <v>59008</v>
      </c>
      <c r="E9">
        <v>5903</v>
      </c>
      <c r="F9">
        <v>59</v>
      </c>
      <c r="G9">
        <v>22371</v>
      </c>
      <c r="H9">
        <v>3330</v>
      </c>
      <c r="I9">
        <v>12477</v>
      </c>
      <c r="J9">
        <v>1744</v>
      </c>
      <c r="K9">
        <v>40285</v>
      </c>
      <c r="L9" s="3">
        <f t="shared" si="0"/>
        <v>55.531835670845233</v>
      </c>
      <c r="M9" s="3">
        <f t="shared" si="1"/>
        <v>8.2661040089363294</v>
      </c>
      <c r="N9" s="3">
        <f t="shared" si="2"/>
        <v>30.971825741591164</v>
      </c>
      <c r="O9" s="3">
        <f t="shared" si="3"/>
        <v>4.329154772247735</v>
      </c>
      <c r="P9">
        <v>45.5</v>
      </c>
      <c r="Q9">
        <v>13.4</v>
      </c>
      <c r="R9">
        <v>32.5</v>
      </c>
      <c r="S9">
        <v>7.7</v>
      </c>
      <c r="T9" s="54">
        <v>0</v>
      </c>
      <c r="U9">
        <f t="shared" si="5"/>
        <v>0</v>
      </c>
      <c r="V9">
        <f t="shared" si="6"/>
        <v>0</v>
      </c>
      <c r="W9">
        <f t="shared" si="7"/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G9" t="s">
        <v>472</v>
      </c>
      <c r="AH9">
        <f>IF(AH7&lt;0,AH7,0)</f>
        <v>-12.657388640536915</v>
      </c>
      <c r="AI9">
        <f>IF(AI7&lt;0,AI7,0)</f>
        <v>0</v>
      </c>
      <c r="AJ9">
        <f>IF(AJ7&lt;0,AJ7,0)</f>
        <v>-6.3565954860484517</v>
      </c>
      <c r="AK9">
        <f>IF(AK7&lt;0,AK7,0)</f>
        <v>0</v>
      </c>
      <c r="AL9">
        <f>SUM(AH9:AK9)</f>
        <v>-19.013984126585367</v>
      </c>
      <c r="AN9" s="8">
        <f t="shared" si="8"/>
        <v>36.742072955774198</v>
      </c>
      <c r="AO9" s="8">
        <f t="shared" si="9"/>
        <v>28.454543354610941</v>
      </c>
      <c r="AP9" s="8">
        <f t="shared" si="10"/>
        <v>24.421588590540733</v>
      </c>
      <c r="AQ9" s="8">
        <f t="shared" si="11"/>
        <v>5.2078985129707593</v>
      </c>
      <c r="AR9" s="3">
        <f t="shared" si="12"/>
        <v>94.826103413896632</v>
      </c>
      <c r="AU9" s="3">
        <f t="array" ref="AU9">MIN(100,MAX(0,L9-AB9*5+$AI$16*(T9*AH$26+SUMPRODUCT($X9:$AA9,TRANSPOSE(AH$27:AH$30)))+$AJ$16*(T9*AH$31+SUMPRODUCT($X9:$AA9,TRANSPOSE(AH$32:AH$35)))+$AK$16*(T9*AH$36+SUMPRODUCT($X9:$AA9,TRANSPOSE(AH$37:AH$40)))))</f>
        <v>36.760759988688605</v>
      </c>
      <c r="AV9" s="3">
        <f t="array" ref="AV9">MIN(100,MAX(0,M9-AC9*5+$AH$17*(U9*AI$26+SUMPRODUCT($X9:$AA9,TRANSPOSE(AI$27:AI$30)))+$AJ$17*(U9*AI$31+SUMPRODUCT($X9:$AA9,TRANSPOSE(AI$32:AI$35)))+$AK$17*(U9*AI$36+SUMPRODUCT($X9:$AA9,TRANSPOSE(AI$37:AI$40)))))</f>
        <v>28.387216569977994</v>
      </c>
      <c r="AW9" s="3">
        <f t="array" ref="AW9">MIN(100,MAX(0,N9-AD9*5+$AH$18*(V9*AJ$26+SUMPRODUCT($X9:$AA9,TRANSPOSE(AJ$27:AJ$30)))+$AI$18*(V9*AJ$31+SUMPRODUCT($X9:$AA9,TRANSPOSE(AJ$32:AJ$35)))+$AK$18*(V9*AJ$36+SUMPRODUCT($X9:$AA9,TRANSPOSE(AJ$37:AJ$40)))))</f>
        <v>24.421588590540733</v>
      </c>
      <c r="AX9" s="3">
        <f t="array" ref="AX9">MIN(100,MAX(0,O9+$AH$19*(W9*AK$26+SUMPRODUCT($X9:$AA9,TRANSPOSE(AK$27:AK$30)))+$AI$19*(W9*AK$31+SUMPRODUCT($X9:$AA9,TRANSPOSE(AK$32:AK$35)))+$AJ$19*(W9*AK$36+SUMPRODUCT($X9:$AA9,TRANSPOSE(AK$37:AK$40)))))</f>
        <v>5.2078985129707593</v>
      </c>
      <c r="BA9">
        <f t="shared" si="13"/>
        <v>1</v>
      </c>
      <c r="BB9">
        <f t="shared" si="14"/>
        <v>0</v>
      </c>
      <c r="BC9">
        <f t="shared" si="15"/>
        <v>0</v>
      </c>
      <c r="BD9">
        <f t="shared" si="16"/>
        <v>0</v>
      </c>
      <c r="BG9">
        <f t="shared" si="17"/>
        <v>1</v>
      </c>
      <c r="BH9">
        <f t="shared" si="18"/>
        <v>0</v>
      </c>
      <c r="BI9">
        <f t="shared" si="19"/>
        <v>0</v>
      </c>
      <c r="BJ9">
        <f t="shared" si="20"/>
        <v>0</v>
      </c>
    </row>
    <row r="10" spans="1:62">
      <c r="A10" t="s">
        <v>692</v>
      </c>
      <c r="B10" t="s">
        <v>333</v>
      </c>
      <c r="C10" t="s">
        <v>699</v>
      </c>
      <c r="D10">
        <v>59009</v>
      </c>
      <c r="E10">
        <v>5902</v>
      </c>
      <c r="F10">
        <v>59</v>
      </c>
      <c r="G10">
        <v>25797</v>
      </c>
      <c r="H10">
        <v>3860</v>
      </c>
      <c r="I10">
        <v>23400</v>
      </c>
      <c r="J10">
        <v>3935</v>
      </c>
      <c r="K10">
        <v>57472</v>
      </c>
      <c r="L10" s="3">
        <f t="shared" si="0"/>
        <v>44.886205456570153</v>
      </c>
      <c r="M10" s="3">
        <f t="shared" si="1"/>
        <v>6.716314031180401</v>
      </c>
      <c r="N10" s="3">
        <f t="shared" si="2"/>
        <v>40.715478841870819</v>
      </c>
      <c r="O10" s="3">
        <f t="shared" si="3"/>
        <v>6.8468123608017821</v>
      </c>
      <c r="P10">
        <v>45.5</v>
      </c>
      <c r="Q10">
        <v>13.4</v>
      </c>
      <c r="R10">
        <v>32.5</v>
      </c>
      <c r="S10">
        <v>7.7</v>
      </c>
      <c r="T10">
        <f t="shared" si="4"/>
        <v>1</v>
      </c>
      <c r="U10">
        <f t="shared" si="5"/>
        <v>0</v>
      </c>
      <c r="V10">
        <f t="shared" si="6"/>
        <v>0</v>
      </c>
      <c r="W10">
        <f t="shared" si="7"/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G10" t="s">
        <v>417</v>
      </c>
      <c r="AH10">
        <v>33</v>
      </c>
      <c r="AI10">
        <v>10</v>
      </c>
      <c r="AJ10">
        <v>23</v>
      </c>
      <c r="AK10">
        <v>3</v>
      </c>
      <c r="AN10" s="8">
        <f t="shared" si="8"/>
        <v>32.398089662600114</v>
      </c>
      <c r="AO10" s="8">
        <f t="shared" si="9"/>
        <v>25.949136484024656</v>
      </c>
      <c r="AP10" s="8">
        <f t="shared" si="10"/>
        <v>33.501554966268138</v>
      </c>
      <c r="AQ10" s="8">
        <f t="shared" si="11"/>
        <v>7.5829229396131019</v>
      </c>
      <c r="AR10" s="3">
        <f t="shared" si="12"/>
        <v>99.431704052506007</v>
      </c>
      <c r="AU10" s="3">
        <f t="array" ref="AU10">MIN(100,MAX(0,L10-AB10*5+$AI$16*(T10*AH$26+SUMPRODUCT($X10:$AA10,TRANSPOSE(AH$27:AH$30)))+$AJ$16*(T10*AH$31+SUMPRODUCT($X10:$AA10,TRANSPOSE(AH$32:AH$35)))+$AK$16*(T10*AH$36+SUMPRODUCT($X10:$AA10,TRANSPOSE(AH$37:AH$40)))))</f>
        <v>32.398089662600114</v>
      </c>
      <c r="AV10" s="3">
        <f t="array" ref="AV10">MIN(100,MAX(0,M10-AC10*5+$AH$17*(U10*AI$26+SUMPRODUCT($X10:$AA10,TRANSPOSE(AI$27:AI$30)))+$AJ$17*(U10*AI$31+SUMPRODUCT($X10:$AA10,TRANSPOSE(AI$32:AI$35)))+$AK$17*(U10*AI$36+SUMPRODUCT($X10:$AA10,TRANSPOSE(AI$37:AI$40)))))</f>
        <v>25.83694085511074</v>
      </c>
      <c r="AW10" s="3">
        <f t="array" ref="AW10">MIN(100,MAX(0,N10-AD10*5+$AH$18*(V10*AJ$26+SUMPRODUCT($X10:$AA10,TRANSPOSE(AJ$27:AJ$30)))+$AI$18*(V10*AJ$31+SUMPRODUCT($X10:$AA10,TRANSPOSE(AJ$32:AJ$35)))+$AK$18*(V10*AJ$36+SUMPRODUCT($X10:$AA10,TRANSPOSE(AJ$37:AJ$40)))))</f>
        <v>33.501554966268138</v>
      </c>
      <c r="AX10" s="3">
        <f t="array" ref="AX10">MIN(100,MAX(0,O10+$AH$19*(W10*AK$26+SUMPRODUCT($X10:$AA10,TRANSPOSE(AK$27:AK$30)))+$AI$19*(W10*AK$31+SUMPRODUCT($X10:$AA10,TRANSPOSE(AK$32:AK$35)))+$AJ$19*(W10*AK$36+SUMPRODUCT($X10:$AA10,TRANSPOSE(AK$37:AK$40)))))</f>
        <v>7.5829229396131019</v>
      </c>
      <c r="BA10">
        <f t="shared" si="13"/>
        <v>0</v>
      </c>
      <c r="BB10">
        <f t="shared" si="14"/>
        <v>0</v>
      </c>
      <c r="BC10">
        <f t="shared" si="15"/>
        <v>1</v>
      </c>
      <c r="BD10">
        <f t="shared" si="16"/>
        <v>0</v>
      </c>
      <c r="BG10">
        <f t="shared" si="17"/>
        <v>0</v>
      </c>
      <c r="BH10">
        <f t="shared" si="18"/>
        <v>0</v>
      </c>
      <c r="BI10">
        <f t="shared" si="19"/>
        <v>1</v>
      </c>
      <c r="BJ10">
        <f t="shared" si="20"/>
        <v>0</v>
      </c>
    </row>
    <row r="11" spans="1:62">
      <c r="A11" t="s">
        <v>692</v>
      </c>
      <c r="B11" t="s">
        <v>334</v>
      </c>
      <c r="C11" t="s">
        <v>700</v>
      </c>
      <c r="D11">
        <v>59010</v>
      </c>
      <c r="E11">
        <v>5904</v>
      </c>
      <c r="F11">
        <v>59</v>
      </c>
      <c r="G11">
        <v>20565</v>
      </c>
      <c r="H11">
        <v>2772</v>
      </c>
      <c r="I11">
        <v>20818</v>
      </c>
      <c r="J11">
        <v>3452</v>
      </c>
      <c r="K11">
        <v>47760</v>
      </c>
      <c r="L11" s="3">
        <f t="shared" si="0"/>
        <v>43.059045226130657</v>
      </c>
      <c r="M11" s="3">
        <f t="shared" si="1"/>
        <v>5.8040201005025125</v>
      </c>
      <c r="N11" s="3">
        <f t="shared" si="2"/>
        <v>43.588777219430483</v>
      </c>
      <c r="O11" s="3">
        <f t="shared" si="3"/>
        <v>7.2278056951423784</v>
      </c>
      <c r="P11">
        <v>45.5</v>
      </c>
      <c r="Q11">
        <v>13.4</v>
      </c>
      <c r="R11">
        <v>32.5</v>
      </c>
      <c r="S11">
        <v>7.7</v>
      </c>
      <c r="T11">
        <f t="shared" si="4"/>
        <v>0</v>
      </c>
      <c r="U11">
        <f t="shared" si="5"/>
        <v>0</v>
      </c>
      <c r="V11" s="54">
        <v>0</v>
      </c>
      <c r="W11">
        <f t="shared" si="7"/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G11" t="s">
        <v>419</v>
      </c>
      <c r="AH11">
        <f>IF(AH6&lt;AH10,1,0)</f>
        <v>1</v>
      </c>
      <c r="AI11">
        <f>IF(AI6&lt;AI10,1,0)</f>
        <v>0</v>
      </c>
      <c r="AJ11">
        <f>IF(AJ6&lt;AJ10,1,0)</f>
        <v>0</v>
      </c>
      <c r="AK11">
        <f>IF(AK6&lt;AK10,1,0)</f>
        <v>0</v>
      </c>
      <c r="AN11" s="8">
        <f t="shared" si="8"/>
        <v>31.057838921340245</v>
      </c>
      <c r="AO11" s="8">
        <f t="shared" si="9"/>
        <v>25.052893199978989</v>
      </c>
      <c r="AP11" s="8">
        <f t="shared" si="10"/>
        <v>36.374853343827802</v>
      </c>
      <c r="AQ11" s="8">
        <f t="shared" si="11"/>
        <v>7.9639162739536982</v>
      </c>
      <c r="AR11" s="3">
        <f t="shared" si="12"/>
        <v>100.44950173910074</v>
      </c>
      <c r="AU11" s="3">
        <f t="array" ref="AU11">MIN(100,MAX(0,L11-AB11*5+$AI$16*(T11*AH$26+SUMPRODUCT($X11:$AA11,TRANSPOSE(AH$27:AH$30)))+$AJ$16*(T11*AH$31+SUMPRODUCT($X11:$AA11,TRANSPOSE(AH$32:AH$35)))+$AK$16*(T11*AH$36+SUMPRODUCT($X11:$AA11,TRANSPOSE(AH$37:AH$40)))))</f>
        <v>31.057838921340245</v>
      </c>
      <c r="AV11" s="3">
        <f t="array" ref="AV11">MIN(100,MAX(0,M11-AC11*5+$AH$17*(U11*AI$26+SUMPRODUCT($X11:$AA11,TRANSPOSE(AI$27:AI$30)))+$AJ$17*(U11*AI$31+SUMPRODUCT($X11:$AA11,TRANSPOSE(AI$32:AI$35)))+$AK$17*(U11*AI$36+SUMPRODUCT($X11:$AA11,TRANSPOSE(AI$37:AI$40)))))</f>
        <v>24.924646924432853</v>
      </c>
      <c r="AW11" s="3">
        <f t="array" ref="AW11">MIN(100,MAX(0,N11-AD11*5+$AH$18*(V11*AJ$26+SUMPRODUCT($X11:$AA11,TRANSPOSE(AJ$27:AJ$30)))+$AI$18*(V11*AJ$31+SUMPRODUCT($X11:$AA11,TRANSPOSE(AJ$32:AJ$35)))+$AK$18*(V11*AJ$36+SUMPRODUCT($X11:$AA11,TRANSPOSE(AJ$37:AJ$40)))))</f>
        <v>36.374853343827802</v>
      </c>
      <c r="AX11" s="3">
        <f t="array" ref="AX11">MIN(100,MAX(0,O11+$AH$19*(W11*AK$26+SUMPRODUCT($X11:$AA11,TRANSPOSE(AK$27:AK$30)))+$AI$19*(W11*AK$31+SUMPRODUCT($X11:$AA11,TRANSPOSE(AK$32:AK$35)))+$AJ$19*(W11*AK$36+SUMPRODUCT($X11:$AA11,TRANSPOSE(AK$37:AK$40)))))</f>
        <v>7.9639162739536982</v>
      </c>
      <c r="BA11">
        <f t="shared" si="13"/>
        <v>0</v>
      </c>
      <c r="BB11">
        <f t="shared" si="14"/>
        <v>0</v>
      </c>
      <c r="BC11">
        <f t="shared" si="15"/>
        <v>1</v>
      </c>
      <c r="BD11">
        <f t="shared" si="16"/>
        <v>0</v>
      </c>
      <c r="BG11">
        <f t="shared" si="17"/>
        <v>0</v>
      </c>
      <c r="BH11">
        <f t="shared" si="18"/>
        <v>0</v>
      </c>
      <c r="BI11">
        <f t="shared" si="19"/>
        <v>1</v>
      </c>
      <c r="BJ11">
        <f t="shared" si="20"/>
        <v>0</v>
      </c>
    </row>
    <row r="12" spans="1:62">
      <c r="A12" t="s">
        <v>692</v>
      </c>
      <c r="B12" t="s">
        <v>335</v>
      </c>
      <c r="C12" t="s">
        <v>335</v>
      </c>
      <c r="D12">
        <v>59011</v>
      </c>
      <c r="E12">
        <v>5904</v>
      </c>
      <c r="F12">
        <v>59</v>
      </c>
      <c r="G12">
        <v>21982</v>
      </c>
      <c r="H12">
        <v>8514</v>
      </c>
      <c r="I12">
        <v>12862</v>
      </c>
      <c r="J12">
        <v>2177</v>
      </c>
      <c r="K12">
        <v>45842</v>
      </c>
      <c r="L12" s="3">
        <f t="shared" si="0"/>
        <v>47.951660049736049</v>
      </c>
      <c r="M12" s="3">
        <f t="shared" si="1"/>
        <v>18.572488111338949</v>
      </c>
      <c r="N12" s="3">
        <f t="shared" si="2"/>
        <v>28.057240085511104</v>
      </c>
      <c r="O12" s="3">
        <f t="shared" si="3"/>
        <v>4.7489202041795737</v>
      </c>
      <c r="P12">
        <v>45.5</v>
      </c>
      <c r="Q12">
        <v>13.4</v>
      </c>
      <c r="R12">
        <v>32.5</v>
      </c>
      <c r="S12">
        <v>7.7</v>
      </c>
      <c r="T12">
        <f t="shared" si="4"/>
        <v>1</v>
      </c>
      <c r="U12">
        <f t="shared" si="5"/>
        <v>0</v>
      </c>
      <c r="V12">
        <f t="shared" si="6"/>
        <v>0</v>
      </c>
      <c r="W12">
        <f t="shared" si="7"/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G12" t="s">
        <v>544</v>
      </c>
      <c r="AH12">
        <v>50</v>
      </c>
      <c r="AI12">
        <v>31</v>
      </c>
      <c r="AJ12">
        <v>35</v>
      </c>
      <c r="AK12">
        <v>12</v>
      </c>
      <c r="AN12" s="8">
        <f t="shared" si="8"/>
        <v>33.689615856270819</v>
      </c>
      <c r="AO12" s="8">
        <f t="shared" si="9"/>
        <v>38.693600672380612</v>
      </c>
      <c r="AP12" s="8">
        <f t="shared" si="10"/>
        <v>21.507002934460672</v>
      </c>
      <c r="AQ12" s="8">
        <f t="shared" si="11"/>
        <v>5.627663944902598</v>
      </c>
      <c r="AR12" s="3">
        <f t="shared" si="12"/>
        <v>99.517883408014697</v>
      </c>
      <c r="AU12" s="3">
        <f t="array" ref="AU12">MIN(100,MAX(0,L12-AB12*5+$AI$16*(T12*AH$26+SUMPRODUCT($X12:$AA12,TRANSPOSE(AH$27:AH$30)))+$AJ$16*(T12*AH$31+SUMPRODUCT($X12:$AA12,TRANSPOSE(AH$32:AH$35)))+$AK$16*(T12*AH$36+SUMPRODUCT($X12:$AA12,TRANSPOSE(AH$37:AH$40)))))</f>
        <v>33.69367487839979</v>
      </c>
      <c r="AV12" s="3">
        <f t="array" ref="AV12">MIN(100,MAX(0,M12-AC12*5+$AH$17*(U12*AI$26+SUMPRODUCT($X12:$AA12,TRANSPOSE(AI$27:AI$30)))+$AJ$17*(U12*AI$31+SUMPRODUCT($X12:$AA12,TRANSPOSE(AI$32:AI$35)))+$AK$17*(U12*AI$36+SUMPRODUCT($X12:$AA12,TRANSPOSE(AI$37:AI$40)))))</f>
        <v>38.693600672380612</v>
      </c>
      <c r="AW12" s="3">
        <f t="array" ref="AW12">MIN(100,MAX(0,N12-AD12*5+$AH$18*(V12*AJ$26+SUMPRODUCT($X12:$AA12,TRANSPOSE(AJ$27:AJ$30)))+$AI$18*(V12*AJ$31+SUMPRODUCT($X12:$AA12,TRANSPOSE(AJ$32:AJ$35)))+$AK$18*(V12*AJ$36+SUMPRODUCT($X12:$AA12,TRANSPOSE(AJ$37:AJ$40)))))</f>
        <v>21.507002934460672</v>
      </c>
      <c r="AX12" s="3">
        <f t="array" ref="AX12">MIN(100,MAX(0,O12+$AH$19*(W12*AK$26+SUMPRODUCT($X12:$AA12,TRANSPOSE(AK$27:AK$30)))+$AI$19*(W12*AK$31+SUMPRODUCT($X12:$AA12,TRANSPOSE(AK$32:AK$35)))+$AJ$19*(W12*AK$36+SUMPRODUCT($X12:$AA12,TRANSPOSE(AK$37:AK$40)))))</f>
        <v>5.627663944902598</v>
      </c>
      <c r="BA12">
        <f t="shared" si="13"/>
        <v>0</v>
      </c>
      <c r="BB12">
        <f t="shared" si="14"/>
        <v>1</v>
      </c>
      <c r="BC12">
        <f t="shared" si="15"/>
        <v>0</v>
      </c>
      <c r="BD12">
        <f t="shared" si="16"/>
        <v>0</v>
      </c>
      <c r="BG12">
        <f t="shared" si="17"/>
        <v>1</v>
      </c>
      <c r="BH12">
        <f t="shared" si="18"/>
        <v>1</v>
      </c>
      <c r="BI12">
        <f t="shared" si="19"/>
        <v>0</v>
      </c>
      <c r="BJ12">
        <f t="shared" si="20"/>
        <v>0</v>
      </c>
    </row>
    <row r="13" spans="1:62">
      <c r="A13" t="s">
        <v>692</v>
      </c>
      <c r="B13" t="s">
        <v>336</v>
      </c>
      <c r="C13" t="s">
        <v>701</v>
      </c>
      <c r="D13">
        <v>59026</v>
      </c>
      <c r="E13">
        <v>5904</v>
      </c>
      <c r="F13">
        <v>59</v>
      </c>
      <c r="G13">
        <v>21305</v>
      </c>
      <c r="H13">
        <v>5496</v>
      </c>
      <c r="I13">
        <v>22324</v>
      </c>
      <c r="J13">
        <v>7287</v>
      </c>
      <c r="K13">
        <v>56653</v>
      </c>
      <c r="L13" s="3">
        <f t="shared" si="0"/>
        <v>37.60612853688243</v>
      </c>
      <c r="M13" s="3">
        <f t="shared" si="1"/>
        <v>9.7011632217181791</v>
      </c>
      <c r="N13" s="3">
        <f t="shared" si="2"/>
        <v>39.404797627663143</v>
      </c>
      <c r="O13" s="3">
        <f t="shared" si="3"/>
        <v>12.862513900411276</v>
      </c>
      <c r="P13">
        <v>45.5</v>
      </c>
      <c r="Q13">
        <v>13.4</v>
      </c>
      <c r="R13">
        <v>32.5</v>
      </c>
      <c r="S13">
        <v>7.7</v>
      </c>
      <c r="T13">
        <f t="shared" si="4"/>
        <v>0</v>
      </c>
      <c r="U13">
        <f t="shared" si="5"/>
        <v>0</v>
      </c>
      <c r="V13">
        <f t="shared" si="6"/>
        <v>1</v>
      </c>
      <c r="W13">
        <f t="shared" si="7"/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G13" t="s">
        <v>545</v>
      </c>
      <c r="AH13">
        <f>IF(AH6&gt;AH12,1,0)</f>
        <v>0</v>
      </c>
      <c r="AI13">
        <f>IF(AI6&gt;AI12,1,0)</f>
        <v>1</v>
      </c>
      <c r="AJ13">
        <f>IF(AJ6&gt;AJ12,1,0)</f>
        <v>0</v>
      </c>
      <c r="AK13">
        <f>IF(AK6&gt;AK12,1,0)</f>
        <v>0</v>
      </c>
      <c r="AN13" s="8">
        <f t="shared" si="8"/>
        <v>25.604922232092019</v>
      </c>
      <c r="AO13" s="8">
        <f t="shared" si="9"/>
        <v>28.881471064964867</v>
      </c>
      <c r="AP13" s="8">
        <f t="shared" si="10"/>
        <v>33.770788397309992</v>
      </c>
      <c r="AQ13" s="8">
        <f t="shared" si="11"/>
        <v>13.598624479222595</v>
      </c>
      <c r="AR13" s="3">
        <f t="shared" si="12"/>
        <v>101.85580617358947</v>
      </c>
      <c r="AU13" s="3">
        <f t="array" ref="AU13">MIN(100,MAX(0,L13-AB13*5+$AI$16*(T13*AH$26+SUMPRODUCT($X13:$AA13,TRANSPOSE(AH$27:AH$30)))+$AJ$16*(T13*AH$31+SUMPRODUCT($X13:$AA13,TRANSPOSE(AH$32:AH$35)))+$AK$16*(T13*AH$36+SUMPRODUCT($X13:$AA13,TRANSPOSE(AH$37:AH$40)))))</f>
        <v>25.604922232092019</v>
      </c>
      <c r="AV13" s="3">
        <f t="array" ref="AV13">MIN(100,MAX(0,M13-AC13*5+$AH$17*(U13*AI$26+SUMPRODUCT($X13:$AA13,TRANSPOSE(AI$27:AI$30)))+$AJ$17*(U13*AI$31+SUMPRODUCT($X13:$AA13,TRANSPOSE(AI$32:AI$35)))+$AK$17*(U13*AI$36+SUMPRODUCT($X13:$AA13,TRANSPOSE(AI$37:AI$40)))))</f>
        <v>28.82179004564852</v>
      </c>
      <c r="AW13" s="3">
        <f t="array" ref="AW13">MIN(100,MAX(0,N13-AD13*5+$AH$18*(V13*AJ$26+SUMPRODUCT($X13:$AA13,TRANSPOSE(AJ$27:AJ$30)))+$AI$18*(V13*AJ$31+SUMPRODUCT($X13:$AA13,TRANSPOSE(AJ$32:AJ$35)))+$AK$18*(V13*AJ$36+SUMPRODUCT($X13:$AA13,TRANSPOSE(AJ$37:AJ$40)))))</f>
        <v>33.770788397309992</v>
      </c>
      <c r="AX13" s="3">
        <f t="array" ref="AX13">MIN(100,MAX(0,O13+$AH$19*(W13*AK$26+SUMPRODUCT($X13:$AA13,TRANSPOSE(AK$27:AK$30)))+$AI$19*(W13*AK$31+SUMPRODUCT($X13:$AA13,TRANSPOSE(AK$32:AK$35)))+$AJ$19*(W13*AK$36+SUMPRODUCT($X13:$AA13,TRANSPOSE(AK$37:AK$40)))))</f>
        <v>13.598624479222595</v>
      </c>
      <c r="BA13">
        <f t="shared" si="13"/>
        <v>0</v>
      </c>
      <c r="BB13">
        <f t="shared" si="14"/>
        <v>0</v>
      </c>
      <c r="BC13">
        <f t="shared" si="15"/>
        <v>1</v>
      </c>
      <c r="BD13">
        <f t="shared" si="16"/>
        <v>0</v>
      </c>
      <c r="BG13">
        <f t="shared" si="17"/>
        <v>0</v>
      </c>
      <c r="BH13">
        <f t="shared" si="18"/>
        <v>0</v>
      </c>
      <c r="BI13">
        <f t="shared" si="19"/>
        <v>1</v>
      </c>
      <c r="BJ13">
        <f t="shared" si="20"/>
        <v>1</v>
      </c>
    </row>
    <row r="14" spans="1:62">
      <c r="A14" t="s">
        <v>692</v>
      </c>
      <c r="B14" t="s">
        <v>337</v>
      </c>
      <c r="C14" t="s">
        <v>702</v>
      </c>
      <c r="D14">
        <v>59012</v>
      </c>
      <c r="E14">
        <v>5904</v>
      </c>
      <c r="F14">
        <v>59</v>
      </c>
      <c r="G14">
        <v>16541</v>
      </c>
      <c r="H14">
        <v>5416</v>
      </c>
      <c r="I14">
        <v>11433</v>
      </c>
      <c r="J14">
        <v>886</v>
      </c>
      <c r="K14">
        <v>34583</v>
      </c>
      <c r="L14" s="3">
        <f t="shared" si="0"/>
        <v>47.829858601046759</v>
      </c>
      <c r="M14" s="3">
        <f t="shared" si="1"/>
        <v>15.660873839747852</v>
      </c>
      <c r="N14" s="3">
        <f t="shared" si="2"/>
        <v>33.05959575513981</v>
      </c>
      <c r="O14" s="3">
        <f t="shared" si="3"/>
        <v>2.561952404360524</v>
      </c>
      <c r="P14">
        <v>45.5</v>
      </c>
      <c r="Q14">
        <v>13.4</v>
      </c>
      <c r="R14">
        <v>32.5</v>
      </c>
      <c r="S14">
        <v>7.7</v>
      </c>
      <c r="T14">
        <f t="shared" si="4"/>
        <v>1</v>
      </c>
      <c r="U14">
        <f t="shared" si="5"/>
        <v>0</v>
      </c>
      <c r="V14">
        <f t="shared" si="6"/>
        <v>0</v>
      </c>
      <c r="W14">
        <f t="shared" si="7"/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N14" s="8">
        <f t="shared" si="8"/>
        <v>33.568395321654997</v>
      </c>
      <c r="AO14" s="8">
        <f t="shared" si="9"/>
        <v>35.781986400789513</v>
      </c>
      <c r="AP14" s="8">
        <f t="shared" si="10"/>
        <v>26.509358604089378</v>
      </c>
      <c r="AQ14" s="8">
        <f t="shared" si="11"/>
        <v>3.4406961450835487</v>
      </c>
      <c r="AR14" s="3">
        <f t="shared" si="12"/>
        <v>99.300436471617431</v>
      </c>
      <c r="AU14" s="3">
        <f t="array" ref="AU14">MIN(100,MAX(0,L14-AB14*5+$AI$16*(T14*AH$26+SUMPRODUCT($X14:$AA14,TRANSPOSE(AH$27:AH$30)))+$AJ$16*(T14*AH$31+SUMPRODUCT($X14:$AA14,TRANSPOSE(AH$32:AH$35)))+$AK$16*(T14*AH$36+SUMPRODUCT($X14:$AA14,TRANSPOSE(AH$37:AH$40)))))</f>
        <v>33.571873429710493</v>
      </c>
      <c r="AV14" s="3">
        <f t="array" ref="AV14">MIN(100,MAX(0,M14-AC14*5+$AH$17*(U14*AI$26+SUMPRODUCT($X14:$AA14,TRANSPOSE(AI$27:AI$30)))+$AJ$17*(U14*AI$31+SUMPRODUCT($X14:$AA14,TRANSPOSE(AI$32:AI$35)))+$AK$17*(U14*AI$36+SUMPRODUCT($X14:$AA14,TRANSPOSE(AI$37:AI$40)))))</f>
        <v>35.781986400789513</v>
      </c>
      <c r="AW14" s="3">
        <f t="array" ref="AW14">MIN(100,MAX(0,N14-AD14*5+$AH$18*(V14*AJ$26+SUMPRODUCT($X14:$AA14,TRANSPOSE(AJ$27:AJ$30)))+$AI$18*(V14*AJ$31+SUMPRODUCT($X14:$AA14,TRANSPOSE(AJ$32:AJ$35)))+$AK$18*(V14*AJ$36+SUMPRODUCT($X14:$AA14,TRANSPOSE(AJ$37:AJ$40)))))</f>
        <v>26.509358604089378</v>
      </c>
      <c r="AX14" s="3">
        <f t="array" ref="AX14">MIN(100,MAX(0,O14+$AH$19*(W14*AK$26+SUMPRODUCT($X14:$AA14,TRANSPOSE(AK$27:AK$30)))+$AI$19*(W14*AK$31+SUMPRODUCT($X14:$AA14,TRANSPOSE(AK$32:AK$35)))+$AJ$19*(W14*AK$36+SUMPRODUCT($X14:$AA14,TRANSPOSE(AK$37:AK$40)))))</f>
        <v>3.4406961450835487</v>
      </c>
      <c r="BA14">
        <f t="shared" si="13"/>
        <v>0</v>
      </c>
      <c r="BB14">
        <f t="shared" si="14"/>
        <v>1</v>
      </c>
      <c r="BC14">
        <f t="shared" si="15"/>
        <v>0</v>
      </c>
      <c r="BD14">
        <f t="shared" si="16"/>
        <v>0</v>
      </c>
      <c r="BG14">
        <f t="shared" si="17"/>
        <v>1</v>
      </c>
      <c r="BH14">
        <f t="shared" si="18"/>
        <v>1</v>
      </c>
      <c r="BI14">
        <f t="shared" si="19"/>
        <v>1</v>
      </c>
      <c r="BJ14">
        <f t="shared" si="20"/>
        <v>0</v>
      </c>
    </row>
    <row r="15" spans="1:62">
      <c r="A15" t="s">
        <v>692</v>
      </c>
      <c r="B15" t="s">
        <v>338</v>
      </c>
      <c r="C15" t="s">
        <v>703</v>
      </c>
      <c r="D15">
        <v>59013</v>
      </c>
      <c r="E15">
        <v>5902</v>
      </c>
      <c r="F15">
        <v>59</v>
      </c>
      <c r="G15">
        <v>29280</v>
      </c>
      <c r="H15">
        <v>3001</v>
      </c>
      <c r="I15">
        <v>20682</v>
      </c>
      <c r="J15">
        <v>2847</v>
      </c>
      <c r="K15">
        <v>55994</v>
      </c>
      <c r="L15" s="3">
        <f t="shared" si="0"/>
        <v>52.291316926813593</v>
      </c>
      <c r="M15" s="3">
        <f t="shared" si="1"/>
        <v>5.3595028038718437</v>
      </c>
      <c r="N15" s="3">
        <f t="shared" si="2"/>
        <v>36.936100296460332</v>
      </c>
      <c r="O15" s="3">
        <f t="shared" si="3"/>
        <v>5.0844733364289034</v>
      </c>
      <c r="P15">
        <v>45.5</v>
      </c>
      <c r="Q15">
        <v>13.4</v>
      </c>
      <c r="R15">
        <v>32.5</v>
      </c>
      <c r="S15">
        <v>7.7</v>
      </c>
      <c r="T15">
        <f t="shared" si="4"/>
        <v>1</v>
      </c>
      <c r="U15">
        <f t="shared" si="5"/>
        <v>0</v>
      </c>
      <c r="V15">
        <f t="shared" si="6"/>
        <v>0</v>
      </c>
      <c r="W15">
        <f t="shared" si="7"/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H15" t="s">
        <v>478</v>
      </c>
      <c r="AI15" t="s">
        <v>479</v>
      </c>
      <c r="AJ15" t="s">
        <v>480</v>
      </c>
      <c r="AK15" t="s">
        <v>481</v>
      </c>
      <c r="AL15" t="s">
        <v>405</v>
      </c>
      <c r="AN15" s="8">
        <f t="shared" si="8"/>
        <v>40.16118779755476</v>
      </c>
      <c r="AO15" s="8">
        <f t="shared" si="9"/>
        <v>23.438778764390193</v>
      </c>
      <c r="AP15" s="8">
        <f t="shared" si="10"/>
        <v>30.369025514189325</v>
      </c>
      <c r="AQ15" s="8">
        <f t="shared" si="11"/>
        <v>5.9444567296500246</v>
      </c>
      <c r="AR15" s="3">
        <f t="shared" si="12"/>
        <v>99.913448805784299</v>
      </c>
      <c r="AU15" s="3">
        <f t="array" ref="AU15">MIN(100,MAX(0,L15-AB15*5+$AI$16*(T15*AH$26+SUMPRODUCT($X15:$AA15,TRANSPOSE(AH$27:AH$30)))+$AJ$16*(T15*AH$31+SUMPRODUCT($X15:$AA15,TRANSPOSE(AH$32:AH$35)))+$AK$16*(T15*AH$36+SUMPRODUCT($X15:$AA15,TRANSPOSE(AH$37:AH$40)))))</f>
        <v>40.196259941595002</v>
      </c>
      <c r="AV15" s="3">
        <f t="array" ref="AV15">MIN(100,MAX(0,M15-AC15*5+$AH$17*(U15*AI$26+SUMPRODUCT($X15:$AA15,TRANSPOSE(AI$27:AI$30)))+$AJ$17*(U15*AI$31+SUMPRODUCT($X15:$AA15,TRANSPOSE(AI$32:AI$35)))+$AK$17*(U15*AI$36+SUMPRODUCT($X15:$AA15,TRANSPOSE(AI$37:AI$40)))))</f>
        <v>23.281625627402768</v>
      </c>
      <c r="AW15" s="3">
        <f t="array" ref="AW15">MIN(100,MAX(0,N15-AD15*5+$AH$18*(V15*AJ$26+SUMPRODUCT($X15:$AA15,TRANSPOSE(AJ$27:AJ$30)))+$AI$18*(V15*AJ$31+SUMPRODUCT($X15:$AA15,TRANSPOSE(AJ$32:AJ$35)))+$AK$18*(V15*AJ$36+SUMPRODUCT($X15:$AA15,TRANSPOSE(AJ$37:AJ$40)))))</f>
        <v>30.369025514189325</v>
      </c>
      <c r="AX15" s="3">
        <f t="array" ref="AX15">MIN(100,MAX(0,O15+$AH$19*(W15*AK$26+SUMPRODUCT($X15:$AA15,TRANSPOSE(AK$27:AK$30)))+$AI$19*(W15*AK$31+SUMPRODUCT($X15:$AA15,TRANSPOSE(AK$32:AK$35)))+$AJ$19*(W15*AK$36+SUMPRODUCT($X15:$AA15,TRANSPOSE(AK$37:AK$40)))))</f>
        <v>5.9444567296500246</v>
      </c>
      <c r="BA15">
        <f t="shared" si="13"/>
        <v>1</v>
      </c>
      <c r="BB15">
        <f t="shared" si="14"/>
        <v>0</v>
      </c>
      <c r="BC15">
        <f t="shared" si="15"/>
        <v>0</v>
      </c>
      <c r="BD15">
        <f t="shared" si="16"/>
        <v>0</v>
      </c>
      <c r="BG15">
        <f t="shared" si="17"/>
        <v>1</v>
      </c>
      <c r="BH15">
        <f t="shared" si="18"/>
        <v>0</v>
      </c>
      <c r="BI15">
        <f t="shared" si="19"/>
        <v>1</v>
      </c>
      <c r="BJ15">
        <f t="shared" si="20"/>
        <v>0</v>
      </c>
    </row>
    <row r="16" spans="1:62">
      <c r="A16" t="s">
        <v>692</v>
      </c>
      <c r="B16" t="s">
        <v>339</v>
      </c>
      <c r="C16" t="s">
        <v>704</v>
      </c>
      <c r="D16">
        <v>59014</v>
      </c>
      <c r="E16">
        <v>5903</v>
      </c>
      <c r="F16">
        <v>59</v>
      </c>
      <c r="G16">
        <v>28220</v>
      </c>
      <c r="H16">
        <v>5546</v>
      </c>
      <c r="I16">
        <v>10329</v>
      </c>
      <c r="J16">
        <v>4244</v>
      </c>
      <c r="K16">
        <v>48339</v>
      </c>
      <c r="L16" s="3">
        <f t="shared" si="0"/>
        <v>58.379362419578399</v>
      </c>
      <c r="M16" s="3">
        <f t="shared" si="1"/>
        <v>11.473137632139681</v>
      </c>
      <c r="N16" s="3">
        <f t="shared" si="2"/>
        <v>21.367839632594798</v>
      </c>
      <c r="O16" s="3">
        <f t="shared" si="3"/>
        <v>8.779660315687126</v>
      </c>
      <c r="P16">
        <v>45.5</v>
      </c>
      <c r="Q16">
        <v>13.4</v>
      </c>
      <c r="R16">
        <v>32.5</v>
      </c>
      <c r="S16">
        <v>7.7</v>
      </c>
      <c r="T16">
        <f t="shared" si="4"/>
        <v>1</v>
      </c>
      <c r="U16">
        <f t="shared" si="5"/>
        <v>0</v>
      </c>
      <c r="V16">
        <f t="shared" si="6"/>
        <v>0</v>
      </c>
      <c r="W16">
        <f t="shared" si="7"/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G16" t="s">
        <v>478</v>
      </c>
      <c r="AH16" s="5">
        <f>IF(OR($AL8=0,$AL9=0),$AH7/4,AH$9/$AL$9*$AH$8+AH$8/$AL$8*$AH$9)</f>
        <v>0</v>
      </c>
      <c r="AI16" s="5">
        <f>IF(OR($AL8=0,$AL9=0),$AH7/4,AI$9/$AL$9*$AH$8+AI$8/$AL$8*$AH$9)</f>
        <v>-12.119558573547856</v>
      </c>
      <c r="AJ16" s="5">
        <f>IF(OR($AL8=0,$AL9=0),$AH7/4,AJ$9/$AL$9*$AH$8+AJ$8/$AL$8*$AH$9)</f>
        <v>0</v>
      </c>
      <c r="AK16" s="5">
        <f>IF(OR($AL8=0,$AL9=0),$AH7/4,AK$9/$AL$9*$AH$8+AK$8/$AL$8*$AH$9)</f>
        <v>-0.53783006698905944</v>
      </c>
      <c r="AL16" s="38">
        <f>SUM(AH16:AK16)</f>
        <v>-12.657388640536915</v>
      </c>
      <c r="AN16" s="8">
        <f t="shared" si="8"/>
        <v>46.220197253845839</v>
      </c>
      <c r="AO16" s="8">
        <f t="shared" si="9"/>
        <v>33.251117939233907</v>
      </c>
      <c r="AP16" s="8">
        <f t="shared" si="10"/>
        <v>14.800764850323791</v>
      </c>
      <c r="AQ16" s="8">
        <f t="shared" si="11"/>
        <v>0</v>
      </c>
      <c r="AR16" s="3">
        <f t="shared" si="12"/>
        <v>94.272080043403534</v>
      </c>
      <c r="AU16" s="3">
        <f t="array" ref="AU16">MIN(100,MAX(0,L16-AB16*5+$AI$16*(T16*AH$26+SUMPRODUCT($X16:$AA16,TRANSPOSE(AH$27:AH$30)))+$AJ$16*(T16*AH$31+SUMPRODUCT($X16:$AA16,TRANSPOSE(AH$32:AH$35)))+$AK$16*(T16*AH$36+SUMPRODUCT($X16:$AA16,TRANSPOSE(AH$37:AH$40)))))</f>
        <v>46.284305434359808</v>
      </c>
      <c r="AV16" s="43">
        <f t="array" ref="AV16">MIN(100,MAX(0,M16+0.4*AY16-AC16*5+$AH$17*(U16*AI$26+SUMPRODUCT($X16:$AA16,TRANSPOSE(AI$27:AI$30)))+$AJ$17*(U16*AI$31+SUMPRODUCT($X16:$AA16,TRANSPOSE(AI$32:AI$35)))+$AK$17*(U16*AI$36+SUMPRODUCT($X16:$AA16,TRANSPOSE(AI$37:AI$40)))))</f>
        <v>33.251117939233907</v>
      </c>
      <c r="AW16" s="3">
        <f t="array" ref="AW16">MIN(100,MAX(0,N16-AD16*5+$AH$18*(V16*AJ$26+SUMPRODUCT($X16:$AA16,TRANSPOSE(AJ$27:AJ$30)))+$AI$18*(V16*AJ$31+SUMPRODUCT($X16:$AA16,TRANSPOSE(AJ$32:AJ$35)))+$AK$18*(V16*AJ$36+SUMPRODUCT($X16:$AA16,TRANSPOSE(AJ$37:AJ$40)))))</f>
        <v>14.800764850323791</v>
      </c>
      <c r="AX16" s="43">
        <v>0</v>
      </c>
      <c r="AY16" s="78">
        <f t="array" ref="AY16">MIN(100,MAX(0,O16+$AH$19*(W16*AK$26+SUMPRODUCT($X16:$AA16,TRANSPOSE(AK$27:AK$30)))+$AI$19*(W16*AK$31+SUMPRODUCT($X16:$AA16,TRANSPOSE(AK$32:AK$35)))+$AJ$19*(W16*AK$36+SUMPRODUCT($X16:$AA16,TRANSPOSE(AK$37:AK$40)))))</f>
        <v>9.6396437089082472</v>
      </c>
      <c r="BA16">
        <f t="shared" si="13"/>
        <v>1</v>
      </c>
      <c r="BB16">
        <f t="shared" si="14"/>
        <v>0</v>
      </c>
      <c r="BC16">
        <f t="shared" si="15"/>
        <v>0</v>
      </c>
      <c r="BD16">
        <f t="shared" si="16"/>
        <v>0</v>
      </c>
      <c r="BG16">
        <f t="shared" si="17"/>
        <v>1</v>
      </c>
      <c r="BH16">
        <f t="shared" si="18"/>
        <v>1</v>
      </c>
      <c r="BI16">
        <f t="shared" si="19"/>
        <v>0</v>
      </c>
      <c r="BJ16">
        <f t="shared" si="20"/>
        <v>0</v>
      </c>
    </row>
    <row r="17" spans="1:62">
      <c r="A17" t="s">
        <v>692</v>
      </c>
      <c r="B17" t="s">
        <v>340</v>
      </c>
      <c r="C17" t="s">
        <v>705</v>
      </c>
      <c r="D17">
        <v>59015</v>
      </c>
      <c r="E17">
        <v>5903</v>
      </c>
      <c r="F17">
        <v>59</v>
      </c>
      <c r="G17">
        <v>26447</v>
      </c>
      <c r="H17">
        <v>1841</v>
      </c>
      <c r="I17">
        <v>20510</v>
      </c>
      <c r="J17">
        <v>3395</v>
      </c>
      <c r="K17">
        <v>52802</v>
      </c>
      <c r="L17" s="3">
        <f t="shared" si="0"/>
        <v>50.087117912200299</v>
      </c>
      <c r="M17" s="3">
        <f t="shared" si="1"/>
        <v>3.4866103556683461</v>
      </c>
      <c r="N17" s="3">
        <f t="shared" si="2"/>
        <v>38.843225635392599</v>
      </c>
      <c r="O17" s="3">
        <f t="shared" si="3"/>
        <v>6.4296806939131095</v>
      </c>
      <c r="P17">
        <v>45.5</v>
      </c>
      <c r="Q17">
        <v>13.4</v>
      </c>
      <c r="R17">
        <v>32.5</v>
      </c>
      <c r="S17">
        <v>7.7</v>
      </c>
      <c r="T17">
        <f t="shared" si="4"/>
        <v>1</v>
      </c>
      <c r="U17">
        <f t="shared" si="5"/>
        <v>0</v>
      </c>
      <c r="V17">
        <f t="shared" si="6"/>
        <v>0</v>
      </c>
      <c r="W17">
        <f t="shared" si="7"/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G17" t="s">
        <v>479</v>
      </c>
      <c r="AH17" s="5">
        <f>IF(OR($AL8=0,$AL9=0),$AI7/4,AH$9/$AL$9*$AI$8+AH$8/$AL$8*$AI$9)</f>
        <v>12.524239480700873</v>
      </c>
      <c r="AI17" s="5">
        <f>IF(OR($AL8=0,$AL9=0),$AI7/4,AI$9/$AL$9*$AI$8+AI$8/$AL$8*$AI$9)</f>
        <v>0</v>
      </c>
      <c r="AJ17" s="5">
        <f>IF(OR($AL8=0,$AL9=0),$AI7/4,AJ$9/$AL$9*$AI$8+AJ$8/$AL$8*$AI$9)</f>
        <v>6.2897274003459787</v>
      </c>
      <c r="AK17" s="5">
        <f>IF(OR($AL8=0,$AL9=0),$AI7/4,AK$9/$AL$9*$AI$8+AK$8/$AL$8*$AI$9)</f>
        <v>0</v>
      </c>
      <c r="AL17" s="38">
        <f>SUM(AH17:AK17)</f>
        <v>18.813966881046852</v>
      </c>
      <c r="AN17" s="8">
        <f t="shared" si="8"/>
        <v>37.967501385559125</v>
      </c>
      <c r="AO17" s="8">
        <f t="shared" si="9"/>
        <v>21.598837466967595</v>
      </c>
      <c r="AP17" s="8">
        <f t="shared" si="10"/>
        <v>32.276150853121592</v>
      </c>
      <c r="AQ17" s="8">
        <f t="shared" si="11"/>
        <v>7.2896640871342306</v>
      </c>
      <c r="AR17" s="3">
        <f t="shared" si="12"/>
        <v>99.132153792782546</v>
      </c>
      <c r="AU17" s="3">
        <f t="array" ref="AU17">MIN(100,MAX(0,L17-AB17*5+$AI$16*(T17*AH$26+SUMPRODUCT($X17:$AA17,TRANSPOSE(AH$27:AH$30)))+$AJ$16*(T17*AH$31+SUMPRODUCT($X17:$AA17,TRANSPOSE(AH$32:AH$35)))+$AK$16*(T17*AH$36+SUMPRODUCT($X17:$AA17,TRANSPOSE(AH$37:AH$40)))))</f>
        <v>37.992060926981708</v>
      </c>
      <c r="AV17" s="3">
        <f t="array" ref="AV17">MIN(100,MAX(0,M17-AC17*5+$AH$17*(U17*AI$26+SUMPRODUCT($X17:$AA17,TRANSPOSE(AI$27:AI$30)))+$AJ$17*(U17*AI$31+SUMPRODUCT($X17:$AA17,TRANSPOSE(AI$32:AI$35)))+$AK$17*(U17*AI$36+SUMPRODUCT($X17:$AA17,TRANSPOSE(AI$37:AI$40)))))</f>
        <v>21.408733179199274</v>
      </c>
      <c r="AW17" s="3">
        <f t="array" ref="AW17">MIN(100,MAX(0,N17-AD17*5+$AH$18*(V17*AJ$26+SUMPRODUCT($X17:$AA17,TRANSPOSE(AJ$27:AJ$30)))+$AI$18*(V17*AJ$31+SUMPRODUCT($X17:$AA17,TRANSPOSE(AJ$32:AJ$35)))+$AK$18*(V17*AJ$36+SUMPRODUCT($X17:$AA17,TRANSPOSE(AJ$37:AJ$40)))))</f>
        <v>32.276150853121592</v>
      </c>
      <c r="AX17" s="3">
        <f t="array" ref="AX17">MIN(100,MAX(0,O17+$AH$19*(W17*AK$26+SUMPRODUCT($X17:$AA17,TRANSPOSE(AK$27:AK$30)))+$AI$19*(W17*AK$31+SUMPRODUCT($X17:$AA17,TRANSPOSE(AK$32:AK$35)))+$AJ$19*(W17*AK$36+SUMPRODUCT($X17:$AA17,TRANSPOSE(AK$37:AK$40)))))</f>
        <v>7.2896640871342306</v>
      </c>
      <c r="BA17">
        <f t="shared" si="13"/>
        <v>1</v>
      </c>
      <c r="BB17">
        <f t="shared" si="14"/>
        <v>0</v>
      </c>
      <c r="BC17">
        <f t="shared" si="15"/>
        <v>0</v>
      </c>
      <c r="BD17">
        <f t="shared" si="16"/>
        <v>0</v>
      </c>
      <c r="BG17">
        <f t="shared" si="17"/>
        <v>1</v>
      </c>
      <c r="BH17">
        <f t="shared" si="18"/>
        <v>0</v>
      </c>
      <c r="BI17">
        <f t="shared" si="19"/>
        <v>1</v>
      </c>
      <c r="BJ17">
        <f t="shared" si="20"/>
        <v>0</v>
      </c>
    </row>
    <row r="18" spans="1:62">
      <c r="A18" t="s">
        <v>692</v>
      </c>
      <c r="B18" t="s">
        <v>341</v>
      </c>
      <c r="C18" t="s">
        <v>706</v>
      </c>
      <c r="D18">
        <v>59016</v>
      </c>
      <c r="E18">
        <v>5902</v>
      </c>
      <c r="F18">
        <v>59</v>
      </c>
      <c r="G18">
        <v>29384</v>
      </c>
      <c r="H18">
        <v>4009</v>
      </c>
      <c r="I18">
        <v>8638</v>
      </c>
      <c r="J18">
        <v>2349</v>
      </c>
      <c r="K18">
        <v>44643</v>
      </c>
      <c r="L18" s="3">
        <f t="shared" si="0"/>
        <v>65.819949376162</v>
      </c>
      <c r="M18" s="3">
        <f t="shared" si="1"/>
        <v>8.9801312635799562</v>
      </c>
      <c r="N18" s="3">
        <f t="shared" si="2"/>
        <v>19.349058083014135</v>
      </c>
      <c r="O18" s="3">
        <f t="shared" si="3"/>
        <v>5.2617431624218804</v>
      </c>
      <c r="P18">
        <v>45.5</v>
      </c>
      <c r="Q18">
        <v>13.4</v>
      </c>
      <c r="R18">
        <v>32.5</v>
      </c>
      <c r="S18">
        <v>7.7</v>
      </c>
      <c r="T18">
        <f t="shared" si="4"/>
        <v>1</v>
      </c>
      <c r="U18">
        <f t="shared" si="5"/>
        <v>0</v>
      </c>
      <c r="V18">
        <f t="shared" si="6"/>
        <v>0</v>
      </c>
      <c r="W18">
        <f t="shared" si="7"/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G18" t="s">
        <v>480</v>
      </c>
      <c r="AH18" s="5">
        <f>IF(OR($AL8=0,$AL9=0),$AJ7/4,AH$9/$AL$9*$AJ$8+AH$8/$AL$8*$AJ$9)</f>
        <v>0</v>
      </c>
      <c r="AI18" s="5">
        <f>IF(OR($AL8=0,$AL9=0),$AJ7/4,AI$9/$AL$9*$AJ$8+AI$8/$AL$8*$AJ$9)</f>
        <v>-6.0864948931714382</v>
      </c>
      <c r="AJ18" s="5">
        <f>IF(OR($AL8=0,$AL9=0),$AJ7/4,AJ$9/$AL$9*$AJ$8+AJ$8/$AL$8*$AJ$9)</f>
        <v>0</v>
      </c>
      <c r="AK18" s="5">
        <f>IF(OR($AL8=0,$AL9=0),$AJ7/4,AK$9/$AL$9*$AJ$8+AK$8/$AL$8*$AJ$9)</f>
        <v>-0.2701005928770131</v>
      </c>
      <c r="AL18" s="38">
        <f>SUM(AH18:AK18)</f>
        <v>-6.3565954860484517</v>
      </c>
      <c r="AN18" s="8">
        <f t="shared" si="8"/>
        <v>51.472685007975365</v>
      </c>
      <c r="AO18" s="8">
        <f t="shared" si="9"/>
        <v>29.156008211583519</v>
      </c>
      <c r="AP18" s="8">
        <f t="shared" si="10"/>
        <v>12.798820931963705</v>
      </c>
      <c r="AQ18" s="8">
        <f t="shared" si="11"/>
        <v>6.1404869031449048</v>
      </c>
      <c r="AR18" s="3">
        <f t="shared" si="12"/>
        <v>99.568001054667491</v>
      </c>
      <c r="AU18" s="3">
        <f t="array" ref="AU18">MIN(100,MAX(0,L18-AB18*5+$AI$16*(T18*AH$26+SUMPRODUCT($X18:$AA18,TRANSPOSE(AH$27:AH$30)))+$AJ$16*(T18*AH$31+SUMPRODUCT($X18:$AA18,TRANSPOSE(AH$32:AH$35)))+$AK$16*(T18*AH$36+SUMPRODUCT($X18:$AA18,TRANSPOSE(AH$37:AH$40)))))</f>
        <v>51.561964204825742</v>
      </c>
      <c r="AV18" s="3">
        <f t="array" ref="AV18">MIN(100,MAX(0,M18-AC18*5+$AH$17*(U18*AI$26+SUMPRODUCT($X18:$AA18,TRANSPOSE(AI$27:AI$30)))+$AJ$17*(U18*AI$31+SUMPRODUCT($X18:$AA18,TRANSPOSE(AI$32:AI$35)))+$AK$17*(U18*AI$36+SUMPRODUCT($X18:$AA18,TRANSPOSE(AI$37:AI$40)))))</f>
        <v>29.101243824621619</v>
      </c>
      <c r="AW18" s="3">
        <f t="array" ref="AW18">MIN(100,MAX(0,N18-AD18*5+$AH$18*(V18*AJ$26+SUMPRODUCT($X18:$AA18,TRANSPOSE(AJ$27:AJ$30)))+$AI$18*(V18*AJ$31+SUMPRODUCT($X18:$AA18,TRANSPOSE(AJ$32:AJ$35)))+$AK$18*(V18*AJ$36+SUMPRODUCT($X18:$AA18,TRANSPOSE(AJ$37:AJ$40)))))</f>
        <v>12.798820931963705</v>
      </c>
      <c r="AX18" s="3">
        <f t="array" ref="AX18">MIN(100,MAX(0,O18+$AH$19*(W18*AK$26+SUMPRODUCT($X18:$AA18,TRANSPOSE(AK$27:AK$30)))+$AI$19*(W18*AK$31+SUMPRODUCT($X18:$AA18,TRANSPOSE(AK$32:AK$35)))+$AJ$19*(W18*AK$36+SUMPRODUCT($X18:$AA18,TRANSPOSE(AK$37:AK$40)))))</f>
        <v>6.1404869031449048</v>
      </c>
      <c r="BA18">
        <f t="shared" si="13"/>
        <v>1</v>
      </c>
      <c r="BB18">
        <f t="shared" si="14"/>
        <v>0</v>
      </c>
      <c r="BC18">
        <f t="shared" si="15"/>
        <v>0</v>
      </c>
      <c r="BD18">
        <f t="shared" si="16"/>
        <v>0</v>
      </c>
      <c r="BG18">
        <f t="shared" si="17"/>
        <v>1</v>
      </c>
      <c r="BH18">
        <f t="shared" si="18"/>
        <v>0</v>
      </c>
      <c r="BI18">
        <f t="shared" si="19"/>
        <v>0</v>
      </c>
      <c r="BJ18">
        <f t="shared" si="20"/>
        <v>0</v>
      </c>
    </row>
    <row r="19" spans="1:62">
      <c r="A19" t="s">
        <v>692</v>
      </c>
      <c r="B19" t="s">
        <v>342</v>
      </c>
      <c r="C19" t="s">
        <v>707</v>
      </c>
      <c r="D19">
        <v>59017</v>
      </c>
      <c r="E19">
        <v>5901</v>
      </c>
      <c r="F19">
        <v>59</v>
      </c>
      <c r="G19">
        <v>18328</v>
      </c>
      <c r="H19">
        <v>2824</v>
      </c>
      <c r="I19">
        <v>10771</v>
      </c>
      <c r="J19">
        <v>1560</v>
      </c>
      <c r="K19">
        <v>33635</v>
      </c>
      <c r="L19" s="3">
        <f t="shared" si="0"/>
        <v>54.490857737475842</v>
      </c>
      <c r="M19" s="3">
        <f t="shared" si="1"/>
        <v>8.396016054704921</v>
      </c>
      <c r="N19" s="3">
        <f t="shared" si="2"/>
        <v>32.023190129329564</v>
      </c>
      <c r="O19" s="3">
        <f t="shared" si="3"/>
        <v>4.638025865913483</v>
      </c>
      <c r="P19">
        <v>45.5</v>
      </c>
      <c r="Q19">
        <v>13.4</v>
      </c>
      <c r="R19">
        <v>32.5</v>
      </c>
      <c r="S19">
        <v>7.7</v>
      </c>
      <c r="T19">
        <f t="shared" si="4"/>
        <v>1</v>
      </c>
      <c r="U19">
        <f t="shared" si="5"/>
        <v>0</v>
      </c>
      <c r="V19">
        <f t="shared" si="6"/>
        <v>0</v>
      </c>
      <c r="W19">
        <f t="shared" si="7"/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G19" t="s">
        <v>481</v>
      </c>
      <c r="AH19" s="5">
        <f>IF(OR($AL8=0,$AL9=0),$AK7/4,AH$9/$AL$9*$AK$8+AH$8/$AL$8*$AK$9)</f>
        <v>0.55578860550203324</v>
      </c>
      <c r="AI19" s="5">
        <f>IF(OR($AL8=0,$AL9=0),$AK7/4,AI$9/$AL$9*$AK$8+AI$8/$AL$8*$AK$9)</f>
        <v>0</v>
      </c>
      <c r="AJ19" s="5">
        <f>IF(OR($AL8=0,$AL9=0),$AK7/4,AJ$9/$AL$9*$AK$8+AJ$8/$AL$8*$AK$9)</f>
        <v>0.27911944882665185</v>
      </c>
      <c r="AK19" s="5">
        <f>IF(OR($AL8=0,$AL9=0),$AK7/4,AK$9/$AL$9*$AK$8+AK$8/$AL$8*$AK$9)</f>
        <v>0</v>
      </c>
      <c r="AL19" s="38">
        <f>SUM(AH19:AK19)</f>
        <v>0.83490805432868509</v>
      </c>
      <c r="AN19" s="8">
        <f t="shared" si="8"/>
        <v>42.350238222217136</v>
      </c>
      <c r="AO19" s="8">
        <f t="shared" si="9"/>
        <v>26.421868442464273</v>
      </c>
      <c r="AP19" s="8">
        <f t="shared" si="10"/>
        <v>25.456115347058557</v>
      </c>
      <c r="AQ19" s="8">
        <f t="shared" si="11"/>
        <v>5.4980092591346041</v>
      </c>
      <c r="AR19" s="3">
        <f t="shared" si="12"/>
        <v>99.726231270874578</v>
      </c>
      <c r="AU19" s="3">
        <f t="array" ref="AU19">MIN(100,MAX(0,L19-AB19*5+$AI$16*(T19*AH$26+SUMPRODUCT($X19:$AA19,TRANSPOSE(AH$27:AH$30)))+$AJ$16*(T19*AH$31+SUMPRODUCT($X19:$AA19,TRANSPOSE(AH$32:AH$35)))+$AK$16*(T19*AH$36+SUMPRODUCT($X19:$AA19,TRANSPOSE(AH$37:AH$40)))))</f>
        <v>42.395800752257244</v>
      </c>
      <c r="AV19" s="3">
        <f t="array" ref="AV19">MIN(100,MAX(0,M19-AC19*5+$AH$17*(U19*AI$26+SUMPRODUCT($X19:$AA19,TRANSPOSE(AI$27:AI$30)))+$AJ$17*(U19*AI$31+SUMPRODUCT($X19:$AA19,TRANSPOSE(AI$32:AI$35)))+$AK$17*(U19*AI$36+SUMPRODUCT($X19:$AA19,TRANSPOSE(AI$37:AI$40)))))</f>
        <v>26.31813887823585</v>
      </c>
      <c r="AW19" s="3">
        <f t="array" ref="AW19">MIN(100,MAX(0,N19-AD19*5+$AH$18*(V19*AJ$26+SUMPRODUCT($X19:$AA19,TRANSPOSE(AJ$27:AJ$30)))+$AI$18*(V19*AJ$31+SUMPRODUCT($X19:$AA19,TRANSPOSE(AJ$32:AJ$35)))+$AK$18*(V19*AJ$36+SUMPRODUCT($X19:$AA19,TRANSPOSE(AJ$37:AJ$40)))))</f>
        <v>25.456115347058557</v>
      </c>
      <c r="AX19" s="3">
        <f t="array" ref="AX19">MIN(100,MAX(0,O19+$AH$19*(W19*AK$26+SUMPRODUCT($X19:$AA19,TRANSPOSE(AK$27:AK$30)))+$AI$19*(W19*AK$31+SUMPRODUCT($X19:$AA19,TRANSPOSE(AK$32:AK$35)))+$AJ$19*(W19*AK$36+SUMPRODUCT($X19:$AA19,TRANSPOSE(AK$37:AK$40)))))</f>
        <v>5.4980092591346041</v>
      </c>
      <c r="BA19">
        <f t="shared" si="13"/>
        <v>1</v>
      </c>
      <c r="BB19">
        <f t="shared" si="14"/>
        <v>0</v>
      </c>
      <c r="BC19">
        <f t="shared" si="15"/>
        <v>0</v>
      </c>
      <c r="BD19">
        <f t="shared" si="16"/>
        <v>0</v>
      </c>
      <c r="BG19">
        <f t="shared" si="17"/>
        <v>1</v>
      </c>
      <c r="BH19">
        <f t="shared" si="18"/>
        <v>0</v>
      </c>
      <c r="BI19">
        <f t="shared" si="19"/>
        <v>0</v>
      </c>
      <c r="BJ19">
        <f t="shared" si="20"/>
        <v>0</v>
      </c>
    </row>
    <row r="20" spans="1:62">
      <c r="A20" t="s">
        <v>692</v>
      </c>
      <c r="B20" t="s">
        <v>343</v>
      </c>
      <c r="C20" t="s">
        <v>708</v>
      </c>
      <c r="D20">
        <v>59018</v>
      </c>
      <c r="E20">
        <v>5904</v>
      </c>
      <c r="F20">
        <v>59</v>
      </c>
      <c r="G20">
        <v>22572</v>
      </c>
      <c r="H20">
        <v>3733</v>
      </c>
      <c r="I20">
        <v>25294</v>
      </c>
      <c r="J20">
        <v>4009</v>
      </c>
      <c r="K20">
        <v>55884</v>
      </c>
      <c r="L20" s="3">
        <f t="shared" si="0"/>
        <v>40.390809534034787</v>
      </c>
      <c r="M20" s="3">
        <f t="shared" si="1"/>
        <v>6.6799083816476994</v>
      </c>
      <c r="N20" s="3">
        <f t="shared" si="2"/>
        <v>45.261613341922555</v>
      </c>
      <c r="O20" s="3">
        <f t="shared" si="3"/>
        <v>7.17378856202133</v>
      </c>
      <c r="P20">
        <v>45.5</v>
      </c>
      <c r="Q20">
        <v>13.4</v>
      </c>
      <c r="R20">
        <v>32.5</v>
      </c>
      <c r="S20">
        <v>7.7</v>
      </c>
      <c r="T20">
        <f t="shared" si="4"/>
        <v>0</v>
      </c>
      <c r="U20">
        <f t="shared" si="5"/>
        <v>0</v>
      </c>
      <c r="V20">
        <f t="shared" si="6"/>
        <v>1</v>
      </c>
      <c r="W20">
        <f t="shared" si="7"/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N20" s="8">
        <f t="shared" si="8"/>
        <v>28.389603229244376</v>
      </c>
      <c r="AO20" s="8">
        <f t="shared" si="9"/>
        <v>25.913371345402329</v>
      </c>
      <c r="AP20" s="8">
        <f t="shared" si="10"/>
        <v>31.627604111569408</v>
      </c>
      <c r="AQ20" s="8">
        <f t="shared" si="11"/>
        <v>18.40989914083265</v>
      </c>
      <c r="AR20" s="3">
        <f t="shared" si="12"/>
        <v>104.34047782704876</v>
      </c>
      <c r="AU20" s="3">
        <f t="array" ref="AU20">MIN(100,MAX(0,L20-AB20*5+$AI$16*(T20*AH$26+SUMPRODUCT($X20:$AA20,TRANSPOSE(AH$27:AH$30)))+$AJ$16*(T20*AH$31+SUMPRODUCT($X20:$AA20,TRANSPOSE(AH$32:AH$35)))+$AK$16*(T20*AH$36+SUMPRODUCT($X20:$AA20,TRANSPOSE(AH$37:AH$40)))))</f>
        <v>28.389603229244376</v>
      </c>
      <c r="AV20" s="3">
        <f t="array" ref="AV20">MIN(100,MAX(0,M20-AC20*5+$AH$17*(U20*AI$26+SUMPRODUCT($X20:$AA20,TRANSPOSE(AI$27:AI$30)))+$AJ$17*(U20*AI$31+SUMPRODUCT($X20:$AA20,TRANSPOSE(AI$32:AI$35)))+$AK$17*(U20*AI$36+SUMPRODUCT($X20:$AA20,TRANSPOSE(AI$37:AI$40)))))</f>
        <v>25.80053520557804</v>
      </c>
      <c r="AW20" s="43">
        <f t="array" ref="AW20">MIN(100,MAX(0,N20-8-AD20*5+$AH$18*(V20*AJ$26+SUMPRODUCT($X20:$AA20,TRANSPOSE(AJ$27:AJ$30)))+$AI$18*(V20*AJ$31+SUMPRODUCT($X20:$AA20,TRANSPOSE(AJ$32:AJ$35)))+$AK$18*(V20*AJ$36+SUMPRODUCT($X20:$AA20,TRANSPOSE(AJ$37:AJ$40)))))</f>
        <v>31.627604111569408</v>
      </c>
      <c r="AX20" s="43">
        <f t="array" ref="AX20">MIN(100,MAX(0,O20+10.5+$AH$19*(W20*AK$26+SUMPRODUCT($X20:$AA20,TRANSPOSE(AK$27:AK$30)))+$AI$19*(W20*AK$31+SUMPRODUCT($X20:$AA20,TRANSPOSE(AK$32:AK$35)))+$AJ$19*(W20*AK$36+SUMPRODUCT($X20:$AA20,TRANSPOSE(AK$37:AK$40)))))</f>
        <v>18.40989914083265</v>
      </c>
      <c r="BA20">
        <f t="shared" si="13"/>
        <v>0</v>
      </c>
      <c r="BB20">
        <f t="shared" si="14"/>
        <v>0</v>
      </c>
      <c r="BC20">
        <f t="shared" si="15"/>
        <v>1</v>
      </c>
      <c r="BD20">
        <f t="shared" si="16"/>
        <v>0</v>
      </c>
      <c r="BG20">
        <f t="shared" si="17"/>
        <v>0</v>
      </c>
      <c r="BH20">
        <f t="shared" si="18"/>
        <v>0</v>
      </c>
      <c r="BI20">
        <f t="shared" si="19"/>
        <v>1</v>
      </c>
      <c r="BJ20">
        <f t="shared" si="20"/>
        <v>1</v>
      </c>
    </row>
    <row r="21" spans="1:62">
      <c r="A21" t="s">
        <v>692</v>
      </c>
      <c r="B21" t="s">
        <v>344</v>
      </c>
      <c r="C21" t="s">
        <v>709</v>
      </c>
      <c r="D21">
        <v>59019</v>
      </c>
      <c r="E21">
        <v>5902</v>
      </c>
      <c r="F21">
        <v>59</v>
      </c>
      <c r="G21">
        <v>14230</v>
      </c>
      <c r="H21">
        <v>3563</v>
      </c>
      <c r="I21">
        <v>21200</v>
      </c>
      <c r="J21">
        <v>1772</v>
      </c>
      <c r="K21">
        <v>40943</v>
      </c>
      <c r="L21" s="3">
        <f t="shared" si="0"/>
        <v>34.7556358840339</v>
      </c>
      <c r="M21" s="3">
        <f t="shared" si="1"/>
        <v>8.7023422807317488</v>
      </c>
      <c r="N21" s="3">
        <f t="shared" si="2"/>
        <v>51.779302933346358</v>
      </c>
      <c r="O21" s="3">
        <f t="shared" si="3"/>
        <v>4.3279681508438559</v>
      </c>
      <c r="P21">
        <v>45.5</v>
      </c>
      <c r="Q21">
        <v>13.4</v>
      </c>
      <c r="R21">
        <v>32.5</v>
      </c>
      <c r="S21">
        <v>7.7</v>
      </c>
      <c r="T21">
        <f t="shared" si="4"/>
        <v>0</v>
      </c>
      <c r="U21">
        <f t="shared" si="5"/>
        <v>0</v>
      </c>
      <c r="V21">
        <f t="shared" si="6"/>
        <v>1</v>
      </c>
      <c r="W21">
        <f t="shared" si="7"/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G21" t="s">
        <v>3</v>
      </c>
      <c r="AH21" s="3">
        <f>AN45</f>
        <v>32.531880754312368</v>
      </c>
      <c r="AI21" s="3">
        <f>AO45</f>
        <v>32.326362052042398</v>
      </c>
      <c r="AJ21" s="3">
        <f>AP45</f>
        <v>25.939424223638646</v>
      </c>
      <c r="AK21" s="3">
        <f>AQ45</f>
        <v>8.3690023219005418</v>
      </c>
      <c r="AN21" s="8">
        <f t="shared" si="8"/>
        <v>20.984560201877272</v>
      </c>
      <c r="AO21" s="8">
        <f t="shared" si="9"/>
        <v>28.883106571128028</v>
      </c>
      <c r="AP21" s="8">
        <f t="shared" si="10"/>
        <v>46.808980427545457</v>
      </c>
      <c r="AQ21" s="8">
        <f t="shared" si="11"/>
        <v>5.2067118915668802</v>
      </c>
      <c r="AR21" s="3">
        <f t="shared" si="12"/>
        <v>101.88335909211763</v>
      </c>
      <c r="AU21" s="3">
        <f t="array" ref="AU21">MIN(100,MAX(0,L21-AB21*5+$AI$16*(T21*AH$26+SUMPRODUCT($X21:$AA21,TRANSPOSE(AH$27:AH$30)))+$AJ$16*(T21*AH$31+SUMPRODUCT($X21:$AA21,TRANSPOSE(AH$32:AH$35)))+$AK$16*(T21*AH$36+SUMPRODUCT($X21:$AA21,TRANSPOSE(AH$37:AH$40)))))</f>
        <v>20.984560201877272</v>
      </c>
      <c r="AV21" s="3">
        <f t="array" ref="AV21">MIN(100,MAX(0,M21-AC21*5+$AH$17*(U21*AI$26+SUMPRODUCT($X21:$AA21,TRANSPOSE(AI$27:AI$30)))+$AJ$17*(U21*AI$31+SUMPRODUCT($X21:$AA21,TRANSPOSE(AI$32:AI$35)))+$AK$17*(U21*AI$36+SUMPRODUCT($X21:$AA21,TRANSPOSE(AI$37:AI$40)))))</f>
        <v>28.823454841773412</v>
      </c>
      <c r="AW21" s="3">
        <f t="array" ref="AW21">MIN(100,MAX(0,N21-AD21*5+$AH$18*(V21*AJ$26+SUMPRODUCT($X21:$AA21,TRANSPOSE(AJ$27:AJ$30)))+$AI$18*(V21*AJ$31+SUMPRODUCT($X21:$AA21,TRANSPOSE(AJ$32:AJ$35)))+$AK$18*(V21*AJ$36+SUMPRODUCT($X21:$AA21,TRANSPOSE(AJ$37:AJ$40)))))</f>
        <v>46.808980427545457</v>
      </c>
      <c r="AX21" s="3">
        <f t="array" ref="AX21">MIN(100,MAX(0,O21+$AH$19*(W21*AK$26+SUMPRODUCT($X21:$AA21,TRANSPOSE(AK$27:AK$30)))+$AI$19*(W21*AK$31+SUMPRODUCT($X21:$AA21,TRANSPOSE(AK$32:AK$35)))+$AJ$19*(W21*AK$36+SUMPRODUCT($X21:$AA21,TRANSPOSE(AK$37:AK$40)))))</f>
        <v>5.2067118915668802</v>
      </c>
      <c r="BA21">
        <f t="shared" si="13"/>
        <v>0</v>
      </c>
      <c r="BB21">
        <f t="shared" si="14"/>
        <v>0</v>
      </c>
      <c r="BC21">
        <f t="shared" si="15"/>
        <v>1</v>
      </c>
      <c r="BD21">
        <f t="shared" si="16"/>
        <v>0</v>
      </c>
      <c r="BG21">
        <f t="shared" si="17"/>
        <v>0</v>
      </c>
      <c r="BH21">
        <f t="shared" si="18"/>
        <v>0</v>
      </c>
      <c r="BI21">
        <f t="shared" si="19"/>
        <v>1</v>
      </c>
      <c r="BJ21">
        <f t="shared" si="20"/>
        <v>0</v>
      </c>
    </row>
    <row r="22" spans="1:62">
      <c r="A22" t="s">
        <v>692</v>
      </c>
      <c r="B22" t="s">
        <v>345</v>
      </c>
      <c r="C22" t="s">
        <v>710</v>
      </c>
      <c r="D22">
        <v>59037</v>
      </c>
      <c r="E22">
        <v>5903</v>
      </c>
      <c r="F22">
        <v>59</v>
      </c>
      <c r="G22">
        <v>23425</v>
      </c>
      <c r="H22">
        <v>3236</v>
      </c>
      <c r="I22">
        <v>21239</v>
      </c>
      <c r="J22">
        <v>2623</v>
      </c>
      <c r="K22">
        <v>50890</v>
      </c>
      <c r="L22" s="3">
        <f t="shared" si="0"/>
        <v>46.030654352525055</v>
      </c>
      <c r="M22" s="3">
        <f t="shared" si="1"/>
        <v>6.3588131263509524</v>
      </c>
      <c r="N22" s="3">
        <f t="shared" si="2"/>
        <v>41.73511495382197</v>
      </c>
      <c r="O22" s="3">
        <f t="shared" si="3"/>
        <v>5.1542542739241499</v>
      </c>
      <c r="P22">
        <v>45.5</v>
      </c>
      <c r="Q22">
        <v>13.4</v>
      </c>
      <c r="R22">
        <v>32.5</v>
      </c>
      <c r="S22">
        <v>7.7</v>
      </c>
      <c r="T22">
        <f t="shared" si="4"/>
        <v>1</v>
      </c>
      <c r="U22">
        <f t="shared" si="5"/>
        <v>0</v>
      </c>
      <c r="V22">
        <f t="shared" si="6"/>
        <v>0</v>
      </c>
      <c r="W22">
        <f t="shared" si="7"/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G22" t="s">
        <v>425</v>
      </c>
      <c r="AH22">
        <f>BA45</f>
        <v>18</v>
      </c>
      <c r="AI22">
        <f>BB45</f>
        <v>11</v>
      </c>
      <c r="AJ22">
        <f>BC45</f>
        <v>12</v>
      </c>
      <c r="AK22">
        <f>BD45</f>
        <v>1</v>
      </c>
      <c r="AN22" s="8">
        <f t="shared" si="8"/>
        <v>33.539200358847737</v>
      </c>
      <c r="AO22" s="8">
        <f t="shared" si="9"/>
        <v>25.597925351056183</v>
      </c>
      <c r="AP22" s="8">
        <f t="shared" si="10"/>
        <v>34.521191078219289</v>
      </c>
      <c r="AQ22" s="8">
        <f t="shared" si="11"/>
        <v>5.8903648527354697</v>
      </c>
      <c r="AR22" s="3">
        <f t="shared" si="12"/>
        <v>99.548681640858689</v>
      </c>
      <c r="AU22" s="3">
        <f t="array" ref="AU22">MIN(100,MAX(0,L22-AB22*5+$AI$16*(T22*AH$26+SUMPRODUCT($X22:$AA22,TRANSPOSE(AH$27:AH$30)))+$AJ$16*(T22*AH$31+SUMPRODUCT($X22:$AA22,TRANSPOSE(AH$32:AH$35)))+$AK$16*(T22*AH$36+SUMPRODUCT($X22:$AA22,TRANSPOSE(AH$37:AH$40)))))</f>
        <v>33.542538558555009</v>
      </c>
      <c r="AV22" s="3">
        <f t="array" ref="AV22">MIN(100,MAX(0,M22-AC22*5+$AH$17*(U22*AI$26+SUMPRODUCT($X22:$AA22,TRANSPOSE(AI$27:AI$30)))+$AJ$17*(U22*AI$31+SUMPRODUCT($X22:$AA22,TRANSPOSE(AI$32:AI$35)))+$AK$17*(U22*AI$36+SUMPRODUCT($X22:$AA22,TRANSPOSE(AI$37:AI$40)))))</f>
        <v>25.479439950281293</v>
      </c>
      <c r="AW22" s="3">
        <f t="array" ref="AW22">MIN(100,MAX(0,N22-AD22*5+$AH$18*(V22*AJ$26+SUMPRODUCT($X22:$AA22,TRANSPOSE(AJ$27:AJ$30)))+$AI$18*(V22*AJ$31+SUMPRODUCT($X22:$AA22,TRANSPOSE(AJ$32:AJ$35)))+$AK$18*(V22*AJ$36+SUMPRODUCT($X22:$AA22,TRANSPOSE(AJ$37:AJ$40)))))</f>
        <v>34.521191078219289</v>
      </c>
      <c r="AX22" s="3">
        <f t="array" ref="AX22">MIN(100,MAX(0,O22+$AH$19*(W22*AK$26+SUMPRODUCT($X22:$AA22,TRANSPOSE(AK$27:AK$30)))+$AI$19*(W22*AK$31+SUMPRODUCT($X22:$AA22,TRANSPOSE(AK$32:AK$35)))+$AJ$19*(W22*AK$36+SUMPRODUCT($X22:$AA22,TRANSPOSE(AK$37:AK$40)))))</f>
        <v>5.8903648527354697</v>
      </c>
      <c r="BA22">
        <f t="shared" si="13"/>
        <v>0</v>
      </c>
      <c r="BB22">
        <f t="shared" si="14"/>
        <v>0</v>
      </c>
      <c r="BC22">
        <f t="shared" si="15"/>
        <v>1</v>
      </c>
      <c r="BD22">
        <f t="shared" si="16"/>
        <v>0</v>
      </c>
      <c r="BG22">
        <f t="shared" si="17"/>
        <v>1</v>
      </c>
      <c r="BH22">
        <f t="shared" si="18"/>
        <v>0</v>
      </c>
      <c r="BI22">
        <f t="shared" si="19"/>
        <v>1</v>
      </c>
      <c r="BJ22">
        <f t="shared" si="20"/>
        <v>0</v>
      </c>
    </row>
    <row r="23" spans="1:62">
      <c r="A23" t="s">
        <v>692</v>
      </c>
      <c r="B23" t="s">
        <v>346</v>
      </c>
      <c r="C23" t="s">
        <v>711</v>
      </c>
      <c r="D23">
        <v>59020</v>
      </c>
      <c r="E23">
        <v>5904</v>
      </c>
      <c r="F23">
        <v>59</v>
      </c>
      <c r="G23">
        <v>31510</v>
      </c>
      <c r="H23">
        <v>4252</v>
      </c>
      <c r="I23">
        <v>15075</v>
      </c>
      <c r="J23">
        <v>6082</v>
      </c>
      <c r="K23">
        <v>56922</v>
      </c>
      <c r="L23" s="3">
        <f t="shared" si="0"/>
        <v>55.356452689645472</v>
      </c>
      <c r="M23" s="3">
        <f t="shared" si="1"/>
        <v>7.4698710516144908</v>
      </c>
      <c r="N23" s="3">
        <f t="shared" si="2"/>
        <v>26.483609149362287</v>
      </c>
      <c r="O23" s="3">
        <f t="shared" si="3"/>
        <v>10.684796739397772</v>
      </c>
      <c r="P23">
        <v>45.5</v>
      </c>
      <c r="Q23">
        <v>13.4</v>
      </c>
      <c r="R23">
        <v>32.5</v>
      </c>
      <c r="S23">
        <v>7.7</v>
      </c>
      <c r="T23" s="54">
        <v>0</v>
      </c>
      <c r="U23">
        <f t="shared" si="5"/>
        <v>0</v>
      </c>
      <c r="V23">
        <f t="shared" si="6"/>
        <v>0</v>
      </c>
      <c r="W23">
        <f t="shared" si="7"/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N23" s="8">
        <f>(1-BG23*AH$11-(1-BG23)*AH$13)*AU23+BG23*AH$11*(AH$6+AH$6/AH$10*(AU23-AH$6))+(1-BG23)*AH$13*(AU23+(AH$6-AH$12)/(100-AH$12)*(AH$6-AU23))</f>
        <v>38.720138856516115</v>
      </c>
      <c r="AO23" s="8">
        <f t="shared" si="9"/>
        <v>25.512017777936141</v>
      </c>
      <c r="AP23" s="8">
        <f t="shared" si="10"/>
        <v>19.91653436709128</v>
      </c>
      <c r="AQ23" s="8">
        <f t="shared" si="11"/>
        <v>11.544780132618893</v>
      </c>
      <c r="AR23" s="3">
        <f t="shared" si="12"/>
        <v>95.693471134162436</v>
      </c>
      <c r="AU23" s="3">
        <f t="array" ref="AU23">MIN(100,MAX(0,L23-AB23*5+$AI$16*(T23*AH$26+SUMPRODUCT($X23:$AA23,TRANSPOSE(AH$27:AH$30)))+$AJ$16*(T23*AH$31+SUMPRODUCT($X23:$AA23,TRANSPOSE(AH$32:AH$35)))+$AK$16*(T23*AH$36+SUMPRODUCT($X23:$AA23,TRANSPOSE(AH$37:AH$40)))))</f>
        <v>38.748305193606512</v>
      </c>
      <c r="AV23" s="3">
        <f t="array" ref="AV23">MIN(100,MAX(0,M23-AC23*5+$AH$17*(U23*AI$26+SUMPRODUCT($X23:$AA23,TRANSPOSE(AI$27:AI$30)))+$AJ$17*(U23*AI$31+SUMPRODUCT($X23:$AA23,TRANSPOSE(AI$32:AI$35)))+$AK$17*(U23*AI$36+SUMPRODUCT($X23:$AA23,TRANSPOSE(AI$37:AI$40)))))</f>
        <v>25.391993875145417</v>
      </c>
      <c r="AW23" s="3">
        <f t="array" ref="AW23">MIN(100,MAX(0,N23-AD23*5+$AH$18*(V23*AJ$26+SUMPRODUCT($X23:$AA23,TRANSPOSE(AJ$27:AJ$30)))+$AI$18*(V23*AJ$31+SUMPRODUCT($X23:$AA23,TRANSPOSE(AJ$32:AJ$35)))+$AK$18*(V23*AJ$36+SUMPRODUCT($X23:$AA23,TRANSPOSE(AJ$37:AJ$40)))))</f>
        <v>19.91653436709128</v>
      </c>
      <c r="AX23" s="3">
        <f t="array" ref="AX23">MIN(100,MAX(0,O23+$AH$19*(W23*AK$26+SUMPRODUCT($X23:$AA23,TRANSPOSE(AK$27:AK$30)))+$AI$19*(W23*AK$31+SUMPRODUCT($X23:$AA23,TRANSPOSE(AK$32:AK$35)))+$AJ$19*(W23*AK$36+SUMPRODUCT($X23:$AA23,TRANSPOSE(AK$37:AK$40)))))</f>
        <v>11.544780132618893</v>
      </c>
      <c r="BA23">
        <f t="shared" si="13"/>
        <v>1</v>
      </c>
      <c r="BB23">
        <f t="shared" si="14"/>
        <v>0</v>
      </c>
      <c r="BC23">
        <f t="shared" si="15"/>
        <v>0</v>
      </c>
      <c r="BD23">
        <f t="shared" si="16"/>
        <v>0</v>
      </c>
      <c r="BG23">
        <f t="shared" si="17"/>
        <v>1</v>
      </c>
      <c r="BH23">
        <f t="shared" si="18"/>
        <v>0</v>
      </c>
      <c r="BI23">
        <f t="shared" si="19"/>
        <v>0</v>
      </c>
      <c r="BJ23">
        <f t="shared" si="20"/>
        <v>1</v>
      </c>
    </row>
    <row r="24" spans="1:62">
      <c r="A24" t="s">
        <v>692</v>
      </c>
      <c r="B24" t="s">
        <v>347</v>
      </c>
      <c r="C24" t="s">
        <v>347</v>
      </c>
      <c r="D24">
        <v>59021</v>
      </c>
      <c r="E24">
        <v>5902</v>
      </c>
      <c r="F24">
        <v>59</v>
      </c>
      <c r="G24">
        <v>23923</v>
      </c>
      <c r="H24">
        <v>14948</v>
      </c>
      <c r="I24">
        <v>8480</v>
      </c>
      <c r="J24">
        <v>2632</v>
      </c>
      <c r="K24">
        <v>50305</v>
      </c>
      <c r="L24" s="3">
        <f t="shared" si="0"/>
        <v>47.555908955372232</v>
      </c>
      <c r="M24" s="3">
        <f t="shared" si="1"/>
        <v>29.714740085478581</v>
      </c>
      <c r="N24" s="3">
        <f t="shared" si="2"/>
        <v>16.857171255342411</v>
      </c>
      <c r="O24" s="3">
        <f t="shared" si="3"/>
        <v>5.2320842858562768</v>
      </c>
      <c r="P24">
        <v>45.5</v>
      </c>
      <c r="Q24">
        <v>13.4</v>
      </c>
      <c r="R24">
        <v>32.5</v>
      </c>
      <c r="S24">
        <v>7.7</v>
      </c>
      <c r="T24">
        <f t="shared" si="4"/>
        <v>1</v>
      </c>
      <c r="U24">
        <f t="shared" si="5"/>
        <v>0</v>
      </c>
      <c r="V24">
        <f t="shared" si="6"/>
        <v>0</v>
      </c>
      <c r="W24">
        <f t="shared" si="7"/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G24" t="s">
        <v>551</v>
      </c>
      <c r="AN24" s="8">
        <f t="shared" si="8"/>
        <v>33.29575223847467</v>
      </c>
      <c r="AO24" s="8">
        <f t="shared" si="9"/>
        <v>49.835852646520244</v>
      </c>
      <c r="AP24" s="8">
        <f t="shared" si="10"/>
        <v>10.306934104291981</v>
      </c>
      <c r="AQ24" s="8">
        <f t="shared" si="11"/>
        <v>6.1108280265793011</v>
      </c>
      <c r="AR24" s="3">
        <f t="shared" si="12"/>
        <v>99.549367015866196</v>
      </c>
      <c r="AU24" s="3">
        <f t="array" ref="AU24">MIN(100,MAX(0,L24-AB24*5+$AI$16*(T24*AH$26+SUMPRODUCT($X24:$AA24,TRANSPOSE(AH$27:AH$30)))+$AJ$16*(T24*AH$31+SUMPRODUCT($X24:$AA24,TRANSPOSE(AH$32:AH$35)))+$AK$16*(T24*AH$36+SUMPRODUCT($X24:$AA24,TRANSPOSE(AH$37:AH$40)))))</f>
        <v>33.297923784035973</v>
      </c>
      <c r="AV24" s="3">
        <f t="array" ref="AV24">MIN(100,MAX(0,M24-AC24*5+$AH$17*(U24*AI$26+SUMPRODUCT($X24:$AA24,TRANSPOSE(AI$27:AI$30)))+$AJ$17*(U24*AI$31+SUMPRODUCT($X24:$AA24,TRANSPOSE(AI$32:AI$35)))+$AK$17*(U24*AI$36+SUMPRODUCT($X24:$AA24,TRANSPOSE(AI$37:AI$40)))))</f>
        <v>49.835852646520244</v>
      </c>
      <c r="AW24" s="3">
        <f t="array" ref="AW24">MIN(100,MAX(0,N24-AD24*5+$AH$18*(V24*AJ$26+SUMPRODUCT($X24:$AA24,TRANSPOSE(AJ$27:AJ$30)))+$AI$18*(V24*AJ$31+SUMPRODUCT($X24:$AA24,TRANSPOSE(AJ$32:AJ$35)))+$AK$18*(V24*AJ$36+SUMPRODUCT($X24:$AA24,TRANSPOSE(AJ$37:AJ$40)))))</f>
        <v>10.306934104291981</v>
      </c>
      <c r="AX24" s="3">
        <f t="array" ref="AX24">MIN(100,MAX(0,O24+$AH$19*(W24*AK$26+SUMPRODUCT($X24:$AA24,TRANSPOSE(AK$27:AK$30)))+$AI$19*(W24*AK$31+SUMPRODUCT($X24:$AA24,TRANSPOSE(AK$32:AK$35)))+$AJ$19*(W24*AK$36+SUMPRODUCT($X24:$AA24,TRANSPOSE(AK$37:AK$40)))))</f>
        <v>6.1108280265793011</v>
      </c>
      <c r="BA24">
        <f t="shared" si="13"/>
        <v>0</v>
      </c>
      <c r="BB24">
        <f t="shared" si="14"/>
        <v>1</v>
      </c>
      <c r="BC24">
        <f t="shared" si="15"/>
        <v>0</v>
      </c>
      <c r="BD24">
        <f t="shared" si="16"/>
        <v>0</v>
      </c>
      <c r="BG24">
        <f t="shared" si="17"/>
        <v>1</v>
      </c>
      <c r="BH24">
        <f t="shared" si="18"/>
        <v>1</v>
      </c>
      <c r="BI24">
        <f t="shared" si="19"/>
        <v>0</v>
      </c>
      <c r="BJ24">
        <f t="shared" si="20"/>
        <v>0</v>
      </c>
    </row>
    <row r="25" spans="1:62">
      <c r="A25" t="s">
        <v>692</v>
      </c>
      <c r="B25" t="s">
        <v>348</v>
      </c>
      <c r="C25" t="s">
        <v>712</v>
      </c>
      <c r="D25">
        <v>59022</v>
      </c>
      <c r="E25">
        <v>5904</v>
      </c>
      <c r="F25">
        <v>59</v>
      </c>
      <c r="G25">
        <v>21069</v>
      </c>
      <c r="H25">
        <v>2068</v>
      </c>
      <c r="I25">
        <v>13404</v>
      </c>
      <c r="J25">
        <v>1877</v>
      </c>
      <c r="K25">
        <v>38418</v>
      </c>
      <c r="L25" s="3">
        <f t="shared" si="0"/>
        <v>54.841480555989378</v>
      </c>
      <c r="M25" s="3">
        <f t="shared" si="1"/>
        <v>5.3828934353688371</v>
      </c>
      <c r="N25" s="3">
        <f t="shared" si="2"/>
        <v>34.889895361549272</v>
      </c>
      <c r="O25" s="3">
        <f t="shared" si="3"/>
        <v>4.885730647092509</v>
      </c>
      <c r="P25">
        <v>45.5</v>
      </c>
      <c r="Q25">
        <v>13.4</v>
      </c>
      <c r="R25">
        <v>32.5</v>
      </c>
      <c r="S25">
        <v>7.7</v>
      </c>
      <c r="T25" s="54">
        <v>0</v>
      </c>
      <c r="U25">
        <f t="shared" si="5"/>
        <v>0</v>
      </c>
      <c r="V25">
        <f t="shared" si="6"/>
        <v>0</v>
      </c>
      <c r="W25">
        <f t="shared" si="7"/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H25" t="s">
        <v>478</v>
      </c>
      <c r="AI25" t="s">
        <v>479</v>
      </c>
      <c r="AJ25" t="s">
        <v>480</v>
      </c>
      <c r="AK25" t="s">
        <v>481</v>
      </c>
      <c r="AN25" s="8">
        <f t="shared" si="8"/>
        <v>36.055010387979401</v>
      </c>
      <c r="AO25" s="8">
        <f t="shared" si="9"/>
        <v>25.622059188976706</v>
      </c>
      <c r="AP25" s="8">
        <f t="shared" si="10"/>
        <v>31.33965821049884</v>
      </c>
      <c r="AQ25" s="8">
        <f t="shared" si="11"/>
        <v>5.7644743878155333</v>
      </c>
      <c r="AR25" s="3">
        <f t="shared" si="12"/>
        <v>98.781202175270494</v>
      </c>
      <c r="AU25" s="3">
        <f t="array" ref="AU25">MIN(100,MAX(0,L25-AB25*5+$AI$16*(T25*AH$26+SUMPRODUCT($X25:$AA25,TRANSPOSE(AH$27:AH$30)))+$AJ$16*(T25*AH$31+SUMPRODUCT($X25:$AA25,TRANSPOSE(AH$32:AH$35)))+$AK$16*(T25*AH$36+SUMPRODUCT($X25:$AA25,TRANSPOSE(AH$37:AH$40)))))</f>
        <v>36.07040487383275</v>
      </c>
      <c r="AV25" s="3">
        <f t="array" ref="AV25">MIN(100,MAX(0,M25-AC25*5+$AH$17*(U25*AI$26+SUMPRODUCT($X25:$AA25,TRANSPOSE(AI$27:AI$30)))+$AJ$17*(U25*AI$31+SUMPRODUCT($X25:$AA25,TRANSPOSE(AI$32:AI$35)))+$AK$17*(U25*AI$36+SUMPRODUCT($X25:$AA25,TRANSPOSE(AI$37:AI$40)))))</f>
        <v>25.504005996410498</v>
      </c>
      <c r="AW25" s="43">
        <f t="array" ref="AW25">MIN(100,MAX(0,N25+3-AD25*5+$AH$18*(V25*AJ$26+SUMPRODUCT($X25:$AA25,TRANSPOSE(AJ$27:AJ$30)))+$AI$18*(V25*AJ$31+SUMPRODUCT($X25:$AA25,TRANSPOSE(AJ$32:AJ$35)))+$AK$18*(V25*AJ$36+SUMPRODUCT($X25:$AA25,TRANSPOSE(AJ$37:AJ$40)))))</f>
        <v>31.33965821049884</v>
      </c>
      <c r="AX25" s="3">
        <f t="array" ref="AX25">MIN(100,MAX(0,O25+$AH$19*(W25*AK$26+SUMPRODUCT($X25:$AA25,TRANSPOSE(AK$27:AK$30)))+$AI$19*(W25*AK$31+SUMPRODUCT($X25:$AA25,TRANSPOSE(AK$32:AK$35)))+$AJ$19*(W25*AK$36+SUMPRODUCT($X25:$AA25,TRANSPOSE(AK$37:AK$40)))))</f>
        <v>5.7644743878155333</v>
      </c>
      <c r="BA25">
        <f t="shared" si="13"/>
        <v>1</v>
      </c>
      <c r="BB25">
        <f t="shared" si="14"/>
        <v>0</v>
      </c>
      <c r="BC25">
        <f t="shared" si="15"/>
        <v>0</v>
      </c>
      <c r="BD25">
        <f t="shared" si="16"/>
        <v>0</v>
      </c>
      <c r="BG25">
        <f t="shared" si="17"/>
        <v>1</v>
      </c>
      <c r="BH25">
        <f t="shared" si="18"/>
        <v>0</v>
      </c>
      <c r="BI25">
        <f t="shared" si="19"/>
        <v>1</v>
      </c>
      <c r="BJ25">
        <f t="shared" si="20"/>
        <v>0</v>
      </c>
    </row>
    <row r="26" spans="1:62">
      <c r="A26" t="s">
        <v>692</v>
      </c>
      <c r="B26" t="s">
        <v>349</v>
      </c>
      <c r="C26" t="s">
        <v>713</v>
      </c>
      <c r="D26">
        <v>59023</v>
      </c>
      <c r="E26">
        <v>5902</v>
      </c>
      <c r="F26">
        <v>59</v>
      </c>
      <c r="G26">
        <v>20203</v>
      </c>
      <c r="H26">
        <v>3706</v>
      </c>
      <c r="I26">
        <v>17580</v>
      </c>
      <c r="J26">
        <v>1849</v>
      </c>
      <c r="K26">
        <v>43459</v>
      </c>
      <c r="L26" s="3">
        <f t="shared" si="0"/>
        <v>46.487493959824199</v>
      </c>
      <c r="M26" s="3">
        <f t="shared" si="1"/>
        <v>8.5275777169285991</v>
      </c>
      <c r="N26" s="3">
        <f t="shared" si="2"/>
        <v>40.451920200648885</v>
      </c>
      <c r="O26" s="3">
        <f t="shared" si="3"/>
        <v>4.2545847810580089</v>
      </c>
      <c r="P26">
        <v>45.5</v>
      </c>
      <c r="Q26">
        <v>13.4</v>
      </c>
      <c r="R26">
        <v>32.5</v>
      </c>
      <c r="S26">
        <v>7.7</v>
      </c>
      <c r="T26">
        <f t="shared" si="4"/>
        <v>1</v>
      </c>
      <c r="U26">
        <f t="shared" si="5"/>
        <v>0</v>
      </c>
      <c r="V26">
        <f t="shared" si="6"/>
        <v>0</v>
      </c>
      <c r="W26">
        <f t="shared" si="7"/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G26" t="s">
        <v>429</v>
      </c>
      <c r="AH26" s="45">
        <f>AH58</f>
        <v>3.84684E-2</v>
      </c>
      <c r="AI26" s="46">
        <f>AI58</f>
        <v>-5.4700899999999997E-2</v>
      </c>
      <c r="AJ26" s="46">
        <f>AJ58</f>
        <v>-0.2485473</v>
      </c>
      <c r="AK26" s="46">
        <f>AK58</f>
        <v>0</v>
      </c>
      <c r="AN26" s="8">
        <f t="shared" si="8"/>
        <v>32.229508788487934</v>
      </c>
      <c r="AO26" s="8">
        <f t="shared" si="9"/>
        <v>28.711416766635569</v>
      </c>
      <c r="AP26" s="8">
        <f t="shared" si="10"/>
        <v>33.901683049598454</v>
      </c>
      <c r="AQ26" s="8">
        <f t="shared" si="11"/>
        <v>5.1333285217810332</v>
      </c>
      <c r="AR26" s="3">
        <f t="shared" si="12"/>
        <v>99.975937126502998</v>
      </c>
      <c r="AU26" s="3">
        <f t="array" ref="AU26">MIN(100,MAX(0,L26-AB26*5+$AI$16*(T26*AH$26+SUMPRODUCT($X26:$AA26,TRANSPOSE(AH$27:AH$30)))+$AJ$16*(T26*AH$31+SUMPRODUCT($X26:$AA26,TRANSPOSE(AH$32:AH$35)))+$AK$16*(T26*AH$36+SUMPRODUCT($X26:$AA26,TRANSPOSE(AH$37:AH$40)))))</f>
        <v>32.229508788487934</v>
      </c>
      <c r="AV26" s="3">
        <f t="array" ref="AV26">MIN(100,MAX(0,M26-AC26*5+$AH$17*(U26*AI$26+SUMPRODUCT($X26:$AA26,TRANSPOSE(AI$27:AI$30)))+$AJ$17*(U26*AI$31+SUMPRODUCT($X26:$AA26,TRANSPOSE(AI$32:AI$35)))+$AK$17*(U26*AI$36+SUMPRODUCT($X26:$AA26,TRANSPOSE(AI$37:AI$40)))))</f>
        <v>28.64869027797026</v>
      </c>
      <c r="AW26" s="3">
        <f t="array" ref="AW26">MIN(100,MAX(0,N26-AD26*5+$AH$18*(V26*AJ$26+SUMPRODUCT($X26:$AA26,TRANSPOSE(AJ$27:AJ$30)))+$AI$18*(V26*AJ$31+SUMPRODUCT($X26:$AA26,TRANSPOSE(AJ$32:AJ$35)))+$AK$18*(V26*AJ$36+SUMPRODUCT($X26:$AA26,TRANSPOSE(AJ$37:AJ$40)))))</f>
        <v>33.901683049598454</v>
      </c>
      <c r="AX26" s="3">
        <f t="array" ref="AX26">MIN(100,MAX(0,O26+$AH$19*(W26*AK$26+SUMPRODUCT($X26:$AA26,TRANSPOSE(AK$27:AK$30)))+$AI$19*(W26*AK$31+SUMPRODUCT($X26:$AA26,TRANSPOSE(AK$32:AK$35)))+$AJ$19*(W26*AK$36+SUMPRODUCT($X26:$AA26,TRANSPOSE(AK$37:AK$40)))))</f>
        <v>5.1333285217810332</v>
      </c>
      <c r="BA26">
        <f t="shared" si="13"/>
        <v>0</v>
      </c>
      <c r="BB26">
        <f t="shared" si="14"/>
        <v>0</v>
      </c>
      <c r="BC26">
        <f t="shared" si="15"/>
        <v>1</v>
      </c>
      <c r="BD26">
        <f t="shared" si="16"/>
        <v>0</v>
      </c>
      <c r="BG26">
        <f t="shared" si="17"/>
        <v>0</v>
      </c>
      <c r="BH26">
        <f t="shared" si="18"/>
        <v>0</v>
      </c>
      <c r="BI26">
        <f t="shared" si="19"/>
        <v>1</v>
      </c>
      <c r="BJ26">
        <f t="shared" si="20"/>
        <v>0</v>
      </c>
    </row>
    <row r="27" spans="1:62">
      <c r="A27" t="s">
        <v>692</v>
      </c>
      <c r="B27" t="s">
        <v>350</v>
      </c>
      <c r="C27" t="s">
        <v>714</v>
      </c>
      <c r="D27">
        <v>59024</v>
      </c>
      <c r="E27">
        <v>5903</v>
      </c>
      <c r="F27">
        <v>59</v>
      </c>
      <c r="G27">
        <v>24348</v>
      </c>
      <c r="H27">
        <v>2033</v>
      </c>
      <c r="I27">
        <v>10177</v>
      </c>
      <c r="J27">
        <v>2386</v>
      </c>
      <c r="K27">
        <v>39366</v>
      </c>
      <c r="L27" s="3">
        <f t="shared" si="0"/>
        <v>61.85032769394909</v>
      </c>
      <c r="M27" s="3">
        <f t="shared" si="1"/>
        <v>5.1643550271808163</v>
      </c>
      <c r="N27" s="3">
        <f t="shared" si="2"/>
        <v>25.852258293959252</v>
      </c>
      <c r="O27" s="3">
        <f t="shared" si="3"/>
        <v>6.0610679266371994</v>
      </c>
      <c r="P27">
        <v>45.5</v>
      </c>
      <c r="Q27">
        <v>13.4</v>
      </c>
      <c r="R27">
        <v>32.5</v>
      </c>
      <c r="S27">
        <v>7.7</v>
      </c>
      <c r="T27">
        <f t="shared" si="4"/>
        <v>1</v>
      </c>
      <c r="U27">
        <f t="shared" si="5"/>
        <v>0</v>
      </c>
      <c r="V27">
        <f t="shared" si="6"/>
        <v>0</v>
      </c>
      <c r="W27">
        <f t="shared" si="7"/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G27" t="s">
        <v>687</v>
      </c>
      <c r="AH27" s="45">
        <f>AVERAGE(AH59:AI59)</f>
        <v>0.95387889999999997</v>
      </c>
      <c r="AI27" s="46">
        <f>AH27</f>
        <v>0.95387889999999997</v>
      </c>
      <c r="AJ27" s="46">
        <f>AH32</f>
        <v>0.83820090000000003</v>
      </c>
      <c r="AK27" s="46">
        <f>AH37</f>
        <v>0.81924595</v>
      </c>
      <c r="AN27" s="8">
        <f t="shared" si="8"/>
        <v>49.674608270462457</v>
      </c>
      <c r="AO27" s="8">
        <f t="shared" si="9"/>
        <v>23.247064363609503</v>
      </c>
      <c r="AP27" s="8">
        <f t="shared" si="10"/>
        <v>19.285183511688246</v>
      </c>
      <c r="AQ27" s="8">
        <f t="shared" si="11"/>
        <v>6.9210513198583206</v>
      </c>
      <c r="AR27" s="3">
        <f t="shared" si="12"/>
        <v>99.127907465618534</v>
      </c>
      <c r="AU27" s="3">
        <f t="array" ref="AU27">MIN(100,MAX(0,L27-AB27*5+$AI$16*(T27*AH$26+SUMPRODUCT($X27:$AA27,TRANSPOSE(AH$27:AH$30)))+$AJ$16*(T27*AH$31+SUMPRODUCT($X27:$AA27,TRANSPOSE(AH$32:AH$35)))+$AK$16*(T27*AH$36+SUMPRODUCT($X27:$AA27,TRANSPOSE(AH$37:AH$40)))))</f>
        <v>49.755270708730492</v>
      </c>
      <c r="AV27" s="3">
        <f t="array" ref="AV27">MIN(100,MAX(0,M27-AC27*5+$AH$17*(U27*AI$26+SUMPRODUCT($X27:$AA27,TRANSPOSE(AI$27:AI$30)))+$AJ$17*(U27*AI$31+SUMPRODUCT($X27:$AA27,TRANSPOSE(AI$32:AI$35)))+$AK$17*(U27*AI$36+SUMPRODUCT($X27:$AA27,TRANSPOSE(AI$37:AI$40)))))</f>
        <v>23.086477850711745</v>
      </c>
      <c r="AW27" s="3">
        <f t="array" ref="AW27">MIN(100,MAX(0,N27-AD27*5+$AH$18*(V27*AJ$26+SUMPRODUCT($X27:$AA27,TRANSPOSE(AJ$27:AJ$30)))+$AI$18*(V27*AJ$31+SUMPRODUCT($X27:$AA27,TRANSPOSE(AJ$32:AJ$35)))+$AK$18*(V27*AJ$36+SUMPRODUCT($X27:$AA27,TRANSPOSE(AJ$37:AJ$40)))))</f>
        <v>19.285183511688246</v>
      </c>
      <c r="AX27" s="3">
        <f t="array" ref="AX27">MIN(100,MAX(0,O27+$AH$19*(W27*AK$26+SUMPRODUCT($X27:$AA27,TRANSPOSE(AK$27:AK$30)))+$AI$19*(W27*AK$31+SUMPRODUCT($X27:$AA27,TRANSPOSE(AK$32:AK$35)))+$AJ$19*(W27*AK$36+SUMPRODUCT($X27:$AA27,TRANSPOSE(AK$37:AK$40)))))</f>
        <v>6.9210513198583206</v>
      </c>
      <c r="BA27">
        <f t="shared" si="13"/>
        <v>1</v>
      </c>
      <c r="BB27">
        <f t="shared" si="14"/>
        <v>0</v>
      </c>
      <c r="BC27">
        <f t="shared" si="15"/>
        <v>0</v>
      </c>
      <c r="BD27">
        <f t="shared" si="16"/>
        <v>0</v>
      </c>
      <c r="BG27">
        <f t="shared" si="17"/>
        <v>1</v>
      </c>
      <c r="BH27">
        <f t="shared" si="18"/>
        <v>0</v>
      </c>
      <c r="BI27">
        <f t="shared" si="19"/>
        <v>0</v>
      </c>
      <c r="BJ27">
        <f t="shared" si="20"/>
        <v>0</v>
      </c>
    </row>
    <row r="28" spans="1:62">
      <c r="A28" t="s">
        <v>692</v>
      </c>
      <c r="B28" t="s">
        <v>351</v>
      </c>
      <c r="C28" t="s">
        <v>351</v>
      </c>
      <c r="D28">
        <v>59025</v>
      </c>
      <c r="E28">
        <v>5904</v>
      </c>
      <c r="F28">
        <v>59</v>
      </c>
      <c r="G28">
        <v>19789</v>
      </c>
      <c r="H28">
        <v>6391</v>
      </c>
      <c r="I28">
        <v>6203</v>
      </c>
      <c r="J28">
        <v>1699</v>
      </c>
      <c r="K28">
        <v>34082</v>
      </c>
      <c r="L28" s="3">
        <f t="shared" si="0"/>
        <v>58.062907106390469</v>
      </c>
      <c r="M28" s="3">
        <f t="shared" si="1"/>
        <v>18.751833812569686</v>
      </c>
      <c r="N28" s="3">
        <f t="shared" si="2"/>
        <v>18.200222991608474</v>
      </c>
      <c r="O28" s="3">
        <f t="shared" si="3"/>
        <v>4.9850360894313717</v>
      </c>
      <c r="P28">
        <v>45.5</v>
      </c>
      <c r="Q28">
        <v>13.4</v>
      </c>
      <c r="R28">
        <v>32.5</v>
      </c>
      <c r="S28">
        <v>7.7</v>
      </c>
      <c r="T28">
        <f t="shared" si="4"/>
        <v>1</v>
      </c>
      <c r="U28">
        <f t="shared" si="5"/>
        <v>0</v>
      </c>
      <c r="V28">
        <f t="shared" si="6"/>
        <v>0</v>
      </c>
      <c r="W28">
        <f t="shared" si="7"/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G28" t="s">
        <v>688</v>
      </c>
      <c r="AH28" s="45">
        <f>AVERAGE(AH60:AI60)</f>
        <v>1.0219158500000001</v>
      </c>
      <c r="AI28" s="46">
        <f t="shared" ref="AI28:AI30" si="21">AH28</f>
        <v>1.0219158500000001</v>
      </c>
      <c r="AJ28" s="46">
        <f t="shared" ref="AJ28:AJ30" si="22">AH33</f>
        <v>0.97261790000000004</v>
      </c>
      <c r="AK28" s="46">
        <f t="shared" ref="AK28:AK30" si="23">AH38</f>
        <v>0.98668460000000002</v>
      </c>
      <c r="AN28" s="8">
        <f t="shared" si="8"/>
        <v>43.752638809034949</v>
      </c>
      <c r="AO28" s="8">
        <f t="shared" si="9"/>
        <v>38.872946373611349</v>
      </c>
      <c r="AP28" s="8">
        <f t="shared" si="10"/>
        <v>11.649985840558044</v>
      </c>
      <c r="AQ28" s="8">
        <f t="shared" si="11"/>
        <v>5.863779830154396</v>
      </c>
      <c r="AR28" s="3">
        <f t="shared" si="12"/>
        <v>100.13935085335874</v>
      </c>
      <c r="AU28" s="3">
        <f t="array" ref="AU28">MIN(100,MAX(0,L28-AB28*5+$AI$16*(T28*AH$26+SUMPRODUCT($X28:$AA28,TRANSPOSE(AH$27:AH$30)))+$AJ$16*(T28*AH$31+SUMPRODUCT($X28:$AA28,TRANSPOSE(AH$32:AH$35)))+$AK$16*(T28*AH$36+SUMPRODUCT($X28:$AA28,TRANSPOSE(AH$37:AH$40)))))</f>
        <v>43.80492193505421</v>
      </c>
      <c r="AV28" s="3">
        <f t="array" ref="AV28">MIN(100,MAX(0,M28-AC28*5+$AH$17*(U28*AI$26+SUMPRODUCT($X28:$AA28,TRANSPOSE(AI$27:AI$30)))+$AJ$17*(U28*AI$31+SUMPRODUCT($X28:$AA28,TRANSPOSE(AI$32:AI$35)))+$AK$17*(U28*AI$36+SUMPRODUCT($X28:$AA28,TRANSPOSE(AI$37:AI$40)))))</f>
        <v>38.872946373611349</v>
      </c>
      <c r="AW28" s="3">
        <f t="array" ref="AW28">MIN(100,MAX(0,N28-AD28*5+$AH$18*(V28*AJ$26+SUMPRODUCT($X28:$AA28,TRANSPOSE(AJ$27:AJ$30)))+$AI$18*(V28*AJ$31+SUMPRODUCT($X28:$AA28,TRANSPOSE(AJ$32:AJ$35)))+$AK$18*(V28*AJ$36+SUMPRODUCT($X28:$AA28,TRANSPOSE(AJ$37:AJ$40)))))</f>
        <v>11.649985840558044</v>
      </c>
      <c r="AX28" s="3">
        <f t="array" ref="AX28">MIN(100,MAX(0,O28+$AH$19*(W28*AK$26+SUMPRODUCT($X28:$AA28,TRANSPOSE(AK$27:AK$30)))+$AI$19*(W28*AK$31+SUMPRODUCT($X28:$AA28,TRANSPOSE(AK$32:AK$35)))+$AJ$19*(W28*AK$36+SUMPRODUCT($X28:$AA28,TRANSPOSE(AK$37:AK$40)))))</f>
        <v>5.863779830154396</v>
      </c>
      <c r="BA28">
        <f t="shared" si="13"/>
        <v>1</v>
      </c>
      <c r="BB28">
        <f t="shared" si="14"/>
        <v>0</v>
      </c>
      <c r="BC28">
        <f t="shared" si="15"/>
        <v>0</v>
      </c>
      <c r="BD28">
        <f t="shared" si="16"/>
        <v>0</v>
      </c>
      <c r="BG28">
        <f t="shared" si="17"/>
        <v>1</v>
      </c>
      <c r="BH28">
        <f t="shared" si="18"/>
        <v>1</v>
      </c>
      <c r="BI28">
        <f t="shared" si="19"/>
        <v>0</v>
      </c>
      <c r="BJ28">
        <f t="shared" si="20"/>
        <v>0</v>
      </c>
    </row>
    <row r="29" spans="1:62">
      <c r="A29" t="s">
        <v>692</v>
      </c>
      <c r="B29" t="s">
        <v>352</v>
      </c>
      <c r="C29" t="s">
        <v>715</v>
      </c>
      <c r="D29">
        <v>59027</v>
      </c>
      <c r="E29">
        <v>5902</v>
      </c>
      <c r="F29">
        <v>59</v>
      </c>
      <c r="G29">
        <v>22785</v>
      </c>
      <c r="H29">
        <v>3787</v>
      </c>
      <c r="I29">
        <v>6898</v>
      </c>
      <c r="J29">
        <v>28993</v>
      </c>
      <c r="K29">
        <v>62463</v>
      </c>
      <c r="L29" s="3">
        <f t="shared" si="0"/>
        <v>36.477594736083759</v>
      </c>
      <c r="M29" s="3">
        <f t="shared" si="1"/>
        <v>6.062789171189344</v>
      </c>
      <c r="N29" s="3">
        <f t="shared" si="2"/>
        <v>11.043337655892287</v>
      </c>
      <c r="O29" s="3">
        <f t="shared" si="3"/>
        <v>46.41627843683461</v>
      </c>
      <c r="P29">
        <v>45.5</v>
      </c>
      <c r="Q29">
        <v>13.4</v>
      </c>
      <c r="R29">
        <v>32.5</v>
      </c>
      <c r="S29">
        <v>7.7</v>
      </c>
      <c r="T29">
        <f t="shared" si="4"/>
        <v>0</v>
      </c>
      <c r="U29">
        <f t="shared" si="5"/>
        <v>0</v>
      </c>
      <c r="V29">
        <f t="shared" si="6"/>
        <v>0</v>
      </c>
      <c r="W29">
        <f t="shared" si="7"/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 t="s">
        <v>716</v>
      </c>
      <c r="AH29" s="45">
        <f>AVERAGE(AH61:AI61)</f>
        <v>1.0887083500000001</v>
      </c>
      <c r="AI29" s="46">
        <f t="shared" si="21"/>
        <v>1.0887083500000001</v>
      </c>
      <c r="AJ29" s="46">
        <f t="shared" si="22"/>
        <v>1.1588090000000002</v>
      </c>
      <c r="AK29" s="46">
        <f t="shared" si="23"/>
        <v>1.07173455</v>
      </c>
      <c r="AN29" s="8">
        <f t="shared" si="8"/>
        <v>24.476388431293348</v>
      </c>
      <c r="AO29" s="8">
        <f t="shared" si="9"/>
        <v>25.307109559337512</v>
      </c>
      <c r="AP29" s="8">
        <f t="shared" si="10"/>
        <v>3.8294137802896078</v>
      </c>
      <c r="AQ29" s="8">
        <f t="shared" si="11"/>
        <v>47.15238901564593</v>
      </c>
      <c r="AR29" s="3">
        <f t="shared" si="12"/>
        <v>100.7653007865664</v>
      </c>
      <c r="AU29" s="3">
        <f t="array" ref="AU29">MIN(100,MAX(0,L29-AB29*5+$AI$16*(T29*AH$26+SUMPRODUCT($X29:$AA29,TRANSPOSE(AH$27:AH$30)))+$AJ$16*(T29*AH$31+SUMPRODUCT($X29:$AA29,TRANSPOSE(AH$32:AH$35)))+$AK$16*(T29*AH$36+SUMPRODUCT($X29:$AA29,TRANSPOSE(AH$37:AH$40)))))</f>
        <v>24.476388431293348</v>
      </c>
      <c r="AV29" s="3">
        <f t="array" ref="AV29">MIN(100,MAX(0,M29-AC29*5+$AH$17*(U29*AI$26+SUMPRODUCT($X29:$AA29,TRANSPOSE(AI$27:AI$30)))+$AJ$17*(U29*AI$31+SUMPRODUCT($X29:$AA29,TRANSPOSE(AI$32:AI$35)))+$AK$17*(U29*AI$36+SUMPRODUCT($X29:$AA29,TRANSPOSE(AI$37:AI$40)))))</f>
        <v>25.183415995119685</v>
      </c>
      <c r="AW29" s="3">
        <f t="array" ref="AW29">MIN(100,MAX(0,N29-AD29*5+$AH$18*(V29*AJ$26+SUMPRODUCT($X29:$AA29,TRANSPOSE(AJ$27:AJ$30)))+$AI$18*(V29*AJ$31+SUMPRODUCT($X29:$AA29,TRANSPOSE(AJ$32:AJ$35)))+$AK$18*(V29*AJ$36+SUMPRODUCT($X29:$AA29,TRANSPOSE(AJ$37:AJ$40)))))</f>
        <v>3.8294137802896078</v>
      </c>
      <c r="AX29" s="3">
        <f t="array" ref="AX29">MIN(100,MAX(0,O29+$AH$19*(W29*AK$26+SUMPRODUCT($X29:$AA29,TRANSPOSE(AK$27:AK$30)))+$AI$19*(W29*AK$31+SUMPRODUCT($X29:$AA29,TRANSPOSE(AK$32:AK$35)))+$AJ$19*(W29*AK$36+SUMPRODUCT($X29:$AA29,TRANSPOSE(AK$37:AK$40)))))</f>
        <v>47.15238901564593</v>
      </c>
      <c r="BA29">
        <f t="shared" si="13"/>
        <v>0</v>
      </c>
      <c r="BB29">
        <f t="shared" si="14"/>
        <v>0</v>
      </c>
      <c r="BC29">
        <f t="shared" si="15"/>
        <v>0</v>
      </c>
      <c r="BD29">
        <f t="shared" si="16"/>
        <v>1</v>
      </c>
      <c r="BG29">
        <f t="shared" si="17"/>
        <v>0</v>
      </c>
      <c r="BH29">
        <f t="shared" si="18"/>
        <v>0</v>
      </c>
      <c r="BI29">
        <f t="shared" si="19"/>
        <v>0</v>
      </c>
      <c r="BJ29">
        <f t="shared" si="20"/>
        <v>1</v>
      </c>
    </row>
    <row r="30" spans="1:62">
      <c r="A30" t="s">
        <v>692</v>
      </c>
      <c r="B30" t="s">
        <v>353</v>
      </c>
      <c r="C30" t="s">
        <v>717</v>
      </c>
      <c r="D30">
        <v>59028</v>
      </c>
      <c r="E30">
        <v>5902</v>
      </c>
      <c r="F30">
        <v>59</v>
      </c>
      <c r="G30">
        <v>12236</v>
      </c>
      <c r="H30">
        <v>1278</v>
      </c>
      <c r="I30">
        <v>19550</v>
      </c>
      <c r="J30">
        <v>1131</v>
      </c>
      <c r="K30">
        <v>35402</v>
      </c>
      <c r="L30" s="3">
        <f t="shared" si="0"/>
        <v>34.563019038472405</v>
      </c>
      <c r="M30" s="3">
        <f t="shared" si="1"/>
        <v>3.6099655386701319</v>
      </c>
      <c r="N30" s="3">
        <f t="shared" si="2"/>
        <v>55.222868764476587</v>
      </c>
      <c r="O30" s="3">
        <f t="shared" si="3"/>
        <v>3.1947347607479806</v>
      </c>
      <c r="P30">
        <v>45.5</v>
      </c>
      <c r="Q30">
        <v>13.4</v>
      </c>
      <c r="R30">
        <v>32.5</v>
      </c>
      <c r="S30">
        <v>7.7</v>
      </c>
      <c r="T30">
        <f t="shared" si="4"/>
        <v>0</v>
      </c>
      <c r="U30">
        <f t="shared" si="5"/>
        <v>0</v>
      </c>
      <c r="V30">
        <f t="shared" si="6"/>
        <v>1</v>
      </c>
      <c r="W30">
        <f t="shared" si="7"/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G30" t="s">
        <v>718</v>
      </c>
      <c r="AH30" s="45">
        <f>AVERAGE(AH62:AI62)</f>
        <v>0.91381405000000004</v>
      </c>
      <c r="AI30" s="46">
        <f t="shared" si="21"/>
        <v>0.91381405000000004</v>
      </c>
      <c r="AJ30" s="46">
        <f t="shared" si="22"/>
        <v>0.97732249999999998</v>
      </c>
      <c r="AK30" s="46">
        <f t="shared" si="23"/>
        <v>0.99125099999999999</v>
      </c>
      <c r="AN30" s="8">
        <f t="shared" ref="AN30:AN35" si="24">(1-BG30*AH$11-(1-BG30)*AH$13)*AU30+BG30*AH$11*(AH$6+AH$6/AH$10*(AU30-AH$6))+(1-BG30)*AH$13*(AU30+(AH$6-AH$12)/(100-AH$12)*(AH$6-AU30))</f>
        <v>22.954871542433445</v>
      </c>
      <c r="AO30" s="8">
        <f t="shared" ref="AO30:AO35" si="25">(1-BH30*AI$11-(1-BH30)*AI$13)*AV30+BH30*AI$11*(AI$6+AI$6/AI$10*(AV30-AI$6))+(1-BH30)*AI$13*(AV30+(AI$6-AI$12)/(100-AI$12)*(AI$6-AV30))</f>
        <v>21.720022373059674</v>
      </c>
      <c r="AP30" s="8">
        <f t="shared" ref="AP30:AP35" si="26">(1-BI30*AJ$11-(1-BI30)*AJ$13)*AW30+BI30*AJ$11*(AJ$6+AJ$6/AJ$10*(AW30-AJ$6))+(1-BI30)*AJ$13*(AW30+(AJ$6-AJ$12)/(100-AJ$12)*(AJ$6-AW30))</f>
        <v>50.235708627455118</v>
      </c>
      <c r="AQ30" s="8">
        <f t="shared" ref="AQ30:AQ35" si="27">(1-BJ30*AK$11-(1-BJ30)*AK$13)*AX30+BJ30*AK$11*(AK$6+AK$6/AK$10*(AX30-AK$6))+(1-BJ30)*AK$13*(AX30+(AK$6-AK$12)/(100-AK$12)*(AK$6-AX30))</f>
        <v>4.0547181539691017</v>
      </c>
      <c r="AR30" s="3">
        <f t="shared" ref="AR30:AR35" si="28">SUM(AN30:AQ30)</f>
        <v>98.965320696917331</v>
      </c>
      <c r="AU30" s="3">
        <f t="array" ref="AU30">MIN(100,MAX(0,L30-AB30*5+$AI$16*(T30*AH$26+SUMPRODUCT($X30:$AA30,TRANSPOSE(AH$27:AH$30)))+$AJ$16*(T30*AH$31+SUMPRODUCT($X30:$AA30,TRANSPOSE(AH$32:AH$35)))+$AK$16*(T30*AH$36+SUMPRODUCT($X30:$AA30,TRANSPOSE(AH$37:AH$40)))))</f>
        <v>22.954871542433445</v>
      </c>
      <c r="AV30" s="3">
        <f t="array" ref="AV30">MIN(100,MAX(0,M30-AC30*5+$AH$17*(U30*AI$26+SUMPRODUCT($X30:$AA30,TRANSPOSE(AI$27:AI$30)))+$AJ$17*(U30*AI$31+SUMPRODUCT($X30:$AA30,TRANSPOSE(AI$32:AI$35)))+$AK$17*(U30*AI$36+SUMPRODUCT($X30:$AA30,TRANSPOSE(AI$37:AI$40)))))</f>
        <v>21.532088362201058</v>
      </c>
      <c r="AW30" s="3">
        <f t="array" ref="AW30">MIN(100,MAX(0,N30-AD30*5+$AH$18*(V30*AJ$26+SUMPRODUCT($X30:$AA30,TRANSPOSE(AJ$27:AJ$30)))+$AI$18*(V30*AJ$31+SUMPRODUCT($X30:$AA30,TRANSPOSE(AJ$32:AJ$35)))+$AK$18*(V30*AJ$36+SUMPRODUCT($X30:$AA30,TRANSPOSE(AJ$37:AJ$40)))))</f>
        <v>50.235708627455118</v>
      </c>
      <c r="AX30" s="3">
        <f t="array" ref="AX30">MIN(100,MAX(0,O30+$AH$19*(W30*AK$26+SUMPRODUCT($X30:$AA30,TRANSPOSE(AK$27:AK$30)))+$AI$19*(W30*AK$31+SUMPRODUCT($X30:$AA30,TRANSPOSE(AK$32:AK$35)))+$AJ$19*(W30*AK$36+SUMPRODUCT($X30:$AA30,TRANSPOSE(AK$37:AK$40)))))</f>
        <v>4.0547181539691017</v>
      </c>
      <c r="BA30">
        <f t="shared" ref="BA30:BA35" si="29">IF(AN30=MAX($AN30:$AQ30),1,0)</f>
        <v>0</v>
      </c>
      <c r="BB30">
        <f t="shared" ref="BB30:BB35" si="30">IF(AO30=MAX($AN30:$AQ30),1,0)</f>
        <v>0</v>
      </c>
      <c r="BC30">
        <f t="shared" ref="BC30:BC35" si="31">IF(AP30=MAX($AN30:$AQ30),1,0)</f>
        <v>1</v>
      </c>
      <c r="BD30">
        <f t="shared" ref="BD30:BD35" si="32">IF(AQ30=MAX($AN30:$AQ30),1,0)</f>
        <v>0</v>
      </c>
      <c r="BG30">
        <f t="shared" ref="BG30:BG35" si="33">IF(AU30&gt;AH$6,1,0)</f>
        <v>0</v>
      </c>
      <c r="BH30">
        <f t="shared" ref="BH30:BH35" si="34">IF(AV30&gt;AI$6,1,0)</f>
        <v>0</v>
      </c>
      <c r="BI30">
        <f t="shared" ref="BI30:BI35" si="35">IF(AW30&gt;AJ$6,1,0)</f>
        <v>1</v>
      </c>
      <c r="BJ30">
        <f t="shared" ref="BJ30:BJ35" si="36">IF(AX30&gt;AK$6,1,0)</f>
        <v>0</v>
      </c>
    </row>
    <row r="31" spans="1:62">
      <c r="A31" t="s">
        <v>692</v>
      </c>
      <c r="B31" t="s">
        <v>354</v>
      </c>
      <c r="C31" t="s">
        <v>719</v>
      </c>
      <c r="D31">
        <v>59029</v>
      </c>
      <c r="G31">
        <v>24846</v>
      </c>
      <c r="H31">
        <v>3942</v>
      </c>
      <c r="I31">
        <v>21886</v>
      </c>
      <c r="J31">
        <v>4512</v>
      </c>
      <c r="K31">
        <v>55495</v>
      </c>
      <c r="L31" s="3">
        <f t="shared" si="0"/>
        <v>44.771601045139207</v>
      </c>
      <c r="M31" s="3">
        <f t="shared" si="1"/>
        <v>7.1033426434813949</v>
      </c>
      <c r="N31" s="3">
        <f t="shared" si="2"/>
        <v>39.437787188034953</v>
      </c>
      <c r="O31" s="3">
        <f t="shared" si="3"/>
        <v>8.1304622038021446</v>
      </c>
      <c r="P31">
        <v>45.5</v>
      </c>
      <c r="Q31">
        <v>13.4</v>
      </c>
      <c r="R31">
        <v>32.5</v>
      </c>
      <c r="S31">
        <v>7.7</v>
      </c>
      <c r="T31" s="54">
        <v>0</v>
      </c>
      <c r="U31">
        <f t="shared" si="5"/>
        <v>0</v>
      </c>
      <c r="V31">
        <f t="shared" si="6"/>
        <v>0</v>
      </c>
      <c r="W31">
        <f t="shared" si="7"/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G31" t="s">
        <v>429</v>
      </c>
      <c r="AH31" s="47">
        <f>AH26</f>
        <v>3.84684E-2</v>
      </c>
      <c r="AI31" s="47">
        <f t="shared" ref="AI31:AK31" si="37">AI26</f>
        <v>-5.4700899999999997E-2</v>
      </c>
      <c r="AJ31" s="45">
        <f t="shared" si="37"/>
        <v>-0.2485473</v>
      </c>
      <c r="AK31" s="45">
        <f t="shared" si="37"/>
        <v>0</v>
      </c>
      <c r="AN31" s="8">
        <f t="shared" si="24"/>
        <v>33.161923339522858</v>
      </c>
      <c r="AO31" s="8">
        <f t="shared" si="25"/>
        <v>25.151937969055751</v>
      </c>
      <c r="AP31" s="8">
        <f t="shared" si="26"/>
        <v>32.870712405763946</v>
      </c>
      <c r="AQ31" s="8">
        <f t="shared" si="27"/>
        <v>8.9904455970232657</v>
      </c>
      <c r="AR31" s="3">
        <f t="shared" si="28"/>
        <v>100.17501931136582</v>
      </c>
      <c r="AU31" s="3">
        <f t="array" ref="AU31">MIN(100,MAX(0,L31-AB31*5+$AI$16*(T31*AH$26+SUMPRODUCT($X31:$AA31,TRANSPOSE(AH$27:AH$30)))+$AJ$16*(T31*AH$31+SUMPRODUCT($X31:$AA31,TRANSPOSE(AH$32:AH$35)))+$AK$16*(T31*AH$36+SUMPRODUCT($X31:$AA31,TRANSPOSE(AH$37:AH$40)))))</f>
        <v>33.163453549100247</v>
      </c>
      <c r="AV31" s="3">
        <f t="array" ref="AV31">MIN(100,MAX(0,M31-AC31*5+$AH$17*(U31*AI$26+SUMPRODUCT($X31:$AA31,TRANSPOSE(AI$27:AI$30)))+$AJ$17*(U31*AI$31+SUMPRODUCT($X31:$AA31,TRANSPOSE(AI$32:AI$35)))+$AK$17*(U31*AI$36+SUMPRODUCT($X31:$AA31,TRANSPOSE(AI$37:AI$40)))))</f>
        <v>25.025465467012324</v>
      </c>
      <c r="AW31" s="3">
        <f t="array" ref="AW31">MIN(100,MAX(0,N31-AD31*5+$AH$18*(V31*AJ$26+SUMPRODUCT($X31:$AA31,TRANSPOSE(AJ$27:AJ$30)))+$AI$18*(V31*AJ$31+SUMPRODUCT($X31:$AA31,TRANSPOSE(AJ$32:AJ$35)))+$AK$18*(V31*AJ$36+SUMPRODUCT($X31:$AA31,TRANSPOSE(AJ$37:AJ$40)))))</f>
        <v>32.870712405763946</v>
      </c>
      <c r="AX31" s="3">
        <f t="array" ref="AX31">MIN(100,MAX(0,O31+$AH$19*(W31*AK$26+SUMPRODUCT($X31:$AA31,TRANSPOSE(AK$27:AK$30)))+$AI$19*(W31*AK$31+SUMPRODUCT($X31:$AA31,TRANSPOSE(AK$32:AK$35)))+$AJ$19*(W31*AK$36+SUMPRODUCT($X31:$AA31,TRANSPOSE(AK$37:AK$40)))))</f>
        <v>8.9904455970232657</v>
      </c>
      <c r="BA31">
        <f t="shared" si="29"/>
        <v>1</v>
      </c>
      <c r="BB31">
        <f t="shared" si="30"/>
        <v>0</v>
      </c>
      <c r="BC31">
        <f t="shared" si="31"/>
        <v>0</v>
      </c>
      <c r="BD31">
        <f t="shared" si="32"/>
        <v>0</v>
      </c>
      <c r="BG31">
        <f t="shared" si="33"/>
        <v>1</v>
      </c>
      <c r="BH31">
        <f t="shared" si="34"/>
        <v>0</v>
      </c>
      <c r="BI31">
        <f t="shared" si="35"/>
        <v>1</v>
      </c>
      <c r="BJ31">
        <f t="shared" si="36"/>
        <v>1</v>
      </c>
    </row>
    <row r="32" spans="1:62">
      <c r="A32" t="s">
        <v>692</v>
      </c>
      <c r="B32" t="s">
        <v>355</v>
      </c>
      <c r="C32" t="s">
        <v>720</v>
      </c>
      <c r="D32">
        <v>59030</v>
      </c>
      <c r="G32">
        <v>23890</v>
      </c>
      <c r="H32">
        <v>8624</v>
      </c>
      <c r="I32">
        <v>8671</v>
      </c>
      <c r="J32">
        <v>2648</v>
      </c>
      <c r="K32">
        <v>45177</v>
      </c>
      <c r="L32" s="3">
        <f t="shared" si="0"/>
        <v>52.880890718728558</v>
      </c>
      <c r="M32" s="3">
        <f t="shared" si="1"/>
        <v>19.089359629900173</v>
      </c>
      <c r="N32" s="3">
        <f t="shared" si="2"/>
        <v>19.193394869070545</v>
      </c>
      <c r="O32" s="3">
        <f t="shared" si="3"/>
        <v>5.8613896451734284</v>
      </c>
      <c r="P32">
        <v>45.5</v>
      </c>
      <c r="Q32">
        <v>13.4</v>
      </c>
      <c r="R32">
        <v>32.5</v>
      </c>
      <c r="S32">
        <v>7.7</v>
      </c>
      <c r="T32" s="54">
        <v>0</v>
      </c>
      <c r="U32">
        <f t="shared" si="5"/>
        <v>0</v>
      </c>
      <c r="V32">
        <f t="shared" si="6"/>
        <v>0</v>
      </c>
      <c r="W32">
        <f t="shared" si="7"/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G32" t="s">
        <v>687</v>
      </c>
      <c r="AH32" s="47">
        <f>AVERAGE(AH59,AJ59)</f>
        <v>0.83820090000000003</v>
      </c>
      <c r="AI32" s="47">
        <f>AVERAGE(AI59:AJ59)</f>
        <v>1.140593</v>
      </c>
      <c r="AJ32" s="45">
        <f>AI32</f>
        <v>1.140593</v>
      </c>
      <c r="AK32" s="45">
        <f>AI37</f>
        <v>1.1216380500000001</v>
      </c>
      <c r="AN32" s="8">
        <f t="shared" si="24"/>
        <v>39.07992453152017</v>
      </c>
      <c r="AO32" s="8">
        <f t="shared" si="25"/>
        <v>39.210472190941836</v>
      </c>
      <c r="AP32" s="8">
        <f t="shared" si="26"/>
        <v>12.643157718020115</v>
      </c>
      <c r="AQ32" s="8">
        <f t="shared" si="27"/>
        <v>6.7401333858964527</v>
      </c>
      <c r="AR32" s="3">
        <f t="shared" si="28"/>
        <v>97.673687826378583</v>
      </c>
      <c r="AU32" s="3">
        <f t="array" ref="AU32">MIN(100,MAX(0,L32-AB32*5+$AI$16*(T32*AH$26+SUMPRODUCT($X32:$AA32,TRANSPOSE(AH$27:AH$30)))+$AJ$16*(T32*AH$31+SUMPRODUCT($X32:$AA32,TRANSPOSE(AH$32:AH$35)))+$AK$16*(T32*AH$36+SUMPRODUCT($X32:$AA32,TRANSPOSE(AH$37:AH$40)))))</f>
        <v>39.109815036571931</v>
      </c>
      <c r="AV32" s="3">
        <f t="array" ref="AV32">MIN(100,MAX(0,M32-AC32*5+$AH$17*(U32*AI$26+SUMPRODUCT($X32:$AA32,TRANSPOSE(AI$27:AI$30)))+$AJ$17*(U32*AI$31+SUMPRODUCT($X32:$AA32,TRANSPOSE(AI$32:AI$35)))+$AK$17*(U32*AI$36+SUMPRODUCT($X32:$AA32,TRANSPOSE(AI$37:AI$40)))))</f>
        <v>39.210472190941836</v>
      </c>
      <c r="AW32" s="3">
        <f t="array" ref="AW32">MIN(100,MAX(0,N32-AD32*5+$AH$18*(V32*AJ$26+SUMPRODUCT($X32:$AA32,TRANSPOSE(AJ$27:AJ$30)))+$AI$18*(V32*AJ$31+SUMPRODUCT($X32:$AA32,TRANSPOSE(AJ$32:AJ$35)))+$AK$18*(V32*AJ$36+SUMPRODUCT($X32:$AA32,TRANSPOSE(AJ$37:AJ$40)))))</f>
        <v>12.643157718020115</v>
      </c>
      <c r="AX32" s="3">
        <f t="array" ref="AX32">MIN(100,MAX(0,O32+$AH$19*(W32*AK$26+SUMPRODUCT($X32:$AA32,TRANSPOSE(AK$27:AK$30)))+$AI$19*(W32*AK$31+SUMPRODUCT($X32:$AA32,TRANSPOSE(AK$32:AK$35)))+$AJ$19*(W32*AK$36+SUMPRODUCT($X32:$AA32,TRANSPOSE(AK$37:AK$40)))))</f>
        <v>6.7401333858964527</v>
      </c>
      <c r="BA32">
        <f t="shared" si="29"/>
        <v>0</v>
      </c>
      <c r="BB32">
        <f t="shared" si="30"/>
        <v>1</v>
      </c>
      <c r="BC32">
        <f t="shared" si="31"/>
        <v>0</v>
      </c>
      <c r="BD32">
        <f t="shared" si="32"/>
        <v>0</v>
      </c>
      <c r="BG32">
        <f t="shared" si="33"/>
        <v>1</v>
      </c>
      <c r="BH32">
        <f t="shared" si="34"/>
        <v>1</v>
      </c>
      <c r="BI32">
        <f t="shared" si="35"/>
        <v>0</v>
      </c>
      <c r="BJ32">
        <f t="shared" si="36"/>
        <v>0</v>
      </c>
    </row>
    <row r="33" spans="1:62">
      <c r="A33" t="s">
        <v>692</v>
      </c>
      <c r="B33" t="s">
        <v>356</v>
      </c>
      <c r="C33" t="s">
        <v>721</v>
      </c>
      <c r="D33">
        <v>59031</v>
      </c>
      <c r="G33">
        <v>18224</v>
      </c>
      <c r="H33">
        <v>6286</v>
      </c>
      <c r="I33">
        <v>7714</v>
      </c>
      <c r="J33">
        <v>1398</v>
      </c>
      <c r="K33">
        <v>33798</v>
      </c>
      <c r="L33" s="3">
        <f t="shared" si="0"/>
        <v>53.920350316586784</v>
      </c>
      <c r="M33" s="3">
        <f t="shared" si="1"/>
        <v>18.598733652878867</v>
      </c>
      <c r="N33" s="3">
        <f t="shared" si="2"/>
        <v>22.823835729924848</v>
      </c>
      <c r="O33" s="3">
        <f t="shared" si="3"/>
        <v>4.1363394283685428</v>
      </c>
      <c r="P33">
        <v>45.5</v>
      </c>
      <c r="Q33">
        <v>13.4</v>
      </c>
      <c r="R33">
        <v>32.5</v>
      </c>
      <c r="S33">
        <v>7.7</v>
      </c>
      <c r="T33">
        <f t="shared" si="4"/>
        <v>1</v>
      </c>
      <c r="U33">
        <f t="shared" si="5"/>
        <v>0</v>
      </c>
      <c r="V33">
        <f t="shared" si="6"/>
        <v>0</v>
      </c>
      <c r="W33">
        <f t="shared" si="7"/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G33" t="s">
        <v>688</v>
      </c>
      <c r="AH33" s="47">
        <f>AVERAGE(AH60,AJ60)</f>
        <v>0.97261790000000004</v>
      </c>
      <c r="AI33" s="47">
        <f>AVERAGE(AI60:AJ60)</f>
        <v>1.0145100500000002</v>
      </c>
      <c r="AJ33" s="45">
        <f t="shared" ref="AJ33:AJ35" si="38">AI33</f>
        <v>1.0145100500000002</v>
      </c>
      <c r="AK33" s="45">
        <f t="shared" ref="AK33:AK35" si="39">AI38</f>
        <v>1.02857675</v>
      </c>
      <c r="AN33" s="8">
        <f t="shared" si="24"/>
        <v>39.629839333821984</v>
      </c>
      <c r="AO33" s="8">
        <f t="shared" si="25"/>
        <v>38.719846213920526</v>
      </c>
      <c r="AP33" s="8">
        <f t="shared" si="26"/>
        <v>16.273598578874417</v>
      </c>
      <c r="AQ33" s="8">
        <f t="shared" si="27"/>
        <v>5.0150831690915672</v>
      </c>
      <c r="AR33" s="3">
        <f t="shared" si="28"/>
        <v>99.638367295708491</v>
      </c>
      <c r="AU33" s="3">
        <f t="array" ref="AU33">MIN(100,MAX(0,L33-AB33*5+$AI$16*(T33*AH$26+SUMPRODUCT($X33:$AA33,TRANSPOSE(AH$27:AH$30)))+$AJ$16*(T33*AH$31+SUMPRODUCT($X33:$AA33,TRANSPOSE(AH$32:AH$35)))+$AK$16*(T33*AH$36+SUMPRODUCT($X33:$AA33,TRANSPOSE(AH$37:AH$40)))))</f>
        <v>39.662365145250519</v>
      </c>
      <c r="AV33" s="3">
        <f t="array" ref="AV33">MIN(100,MAX(0,M33-AC33*5+$AH$17*(U33*AI$26+SUMPRODUCT($X33:$AA33,TRANSPOSE(AI$27:AI$30)))+$AJ$17*(U33*AI$31+SUMPRODUCT($X33:$AA33,TRANSPOSE(AI$32:AI$35)))+$AK$17*(U33*AI$36+SUMPRODUCT($X33:$AA33,TRANSPOSE(AI$37:AI$40)))))</f>
        <v>38.719846213920526</v>
      </c>
      <c r="AW33" s="3">
        <f t="array" ref="AW33">MIN(100,MAX(0,N33-AD33*5+$AH$18*(V33*AJ$26+SUMPRODUCT($X33:$AA33,TRANSPOSE(AJ$27:AJ$30)))+$AI$18*(V33*AJ$31+SUMPRODUCT($X33:$AA33,TRANSPOSE(AJ$32:AJ$35)))+$AK$18*(V33*AJ$36+SUMPRODUCT($X33:$AA33,TRANSPOSE(AJ$37:AJ$40)))))</f>
        <v>16.273598578874417</v>
      </c>
      <c r="AX33" s="3">
        <f t="array" ref="AX33">MIN(100,MAX(0,O33+$AH$19*(W33*AK$26+SUMPRODUCT($X33:$AA33,TRANSPOSE(AK$27:AK$30)))+$AI$19*(W33*AK$31+SUMPRODUCT($X33:$AA33,TRANSPOSE(AK$32:AK$35)))+$AJ$19*(W33*AK$36+SUMPRODUCT($X33:$AA33,TRANSPOSE(AK$37:AK$40)))))</f>
        <v>5.0150831690915672</v>
      </c>
      <c r="BA33">
        <f t="shared" si="29"/>
        <v>1</v>
      </c>
      <c r="BB33">
        <f t="shared" si="30"/>
        <v>0</v>
      </c>
      <c r="BC33">
        <f t="shared" si="31"/>
        <v>0</v>
      </c>
      <c r="BD33">
        <f t="shared" si="32"/>
        <v>0</v>
      </c>
      <c r="BG33">
        <f t="shared" si="33"/>
        <v>1</v>
      </c>
      <c r="BH33">
        <f t="shared" si="34"/>
        <v>1</v>
      </c>
      <c r="BI33">
        <f t="shared" si="35"/>
        <v>0</v>
      </c>
      <c r="BJ33">
        <f t="shared" si="36"/>
        <v>0</v>
      </c>
    </row>
    <row r="34" spans="1:62">
      <c r="A34" t="s">
        <v>692</v>
      </c>
      <c r="B34" t="s">
        <v>357</v>
      </c>
      <c r="C34" t="s">
        <v>357</v>
      </c>
      <c r="D34">
        <v>59032</v>
      </c>
      <c r="G34">
        <v>11618</v>
      </c>
      <c r="H34">
        <v>5787</v>
      </c>
      <c r="I34">
        <v>13041</v>
      </c>
      <c r="J34">
        <v>1186</v>
      </c>
      <c r="K34">
        <v>32581</v>
      </c>
      <c r="L34" s="3">
        <f t="shared" si="0"/>
        <v>35.658819557410759</v>
      </c>
      <c r="M34" s="3">
        <f t="shared" si="1"/>
        <v>17.761885761640219</v>
      </c>
      <c r="N34" s="3">
        <f t="shared" si="2"/>
        <v>40.026395752125474</v>
      </c>
      <c r="O34" s="3">
        <f t="shared" si="3"/>
        <v>3.6401583745127528</v>
      </c>
      <c r="P34">
        <v>45.5</v>
      </c>
      <c r="Q34">
        <v>13.4</v>
      </c>
      <c r="R34">
        <v>32.5</v>
      </c>
      <c r="S34">
        <v>7.7</v>
      </c>
      <c r="T34">
        <f t="shared" si="4"/>
        <v>0</v>
      </c>
      <c r="U34">
        <f t="shared" si="5"/>
        <v>0</v>
      </c>
      <c r="V34">
        <f t="shared" si="6"/>
        <v>1</v>
      </c>
      <c r="W34">
        <f t="shared" si="7"/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G34" t="s">
        <v>716</v>
      </c>
      <c r="AH34" s="47">
        <f>AVERAGE(AH61,AJ61)</f>
        <v>1.1588090000000002</v>
      </c>
      <c r="AI34" s="47">
        <f>AVERAGE(AI61:AJ61)</f>
        <v>1.03118435</v>
      </c>
      <c r="AJ34" s="45">
        <f t="shared" si="38"/>
        <v>1.03118435</v>
      </c>
      <c r="AK34" s="45">
        <f t="shared" si="39"/>
        <v>0.94410989999999995</v>
      </c>
      <c r="AN34" s="8">
        <f t="shared" si="24"/>
        <v>21.887743875254131</v>
      </c>
      <c r="AO34" s="8">
        <f t="shared" si="25"/>
        <v>37.882998322681878</v>
      </c>
      <c r="AP34" s="8">
        <f t="shared" si="26"/>
        <v>35.056073246324573</v>
      </c>
      <c r="AQ34" s="8">
        <f t="shared" si="27"/>
        <v>4.5189021152357771</v>
      </c>
      <c r="AR34" s="3">
        <f t="shared" si="28"/>
        <v>99.34571755949635</v>
      </c>
      <c r="AU34" s="3">
        <f t="array" ref="AU34">MIN(100,MAX(0,L34-AB34*5+$AI$16*(T34*AH$26+SUMPRODUCT($X34:$AA34,TRANSPOSE(AH$27:AH$30)))+$AJ$16*(T34*AH$31+SUMPRODUCT($X34:$AA34,TRANSPOSE(AH$32:AH$35)))+$AK$16*(T34*AH$36+SUMPRODUCT($X34:$AA34,TRANSPOSE(AH$37:AH$40)))))</f>
        <v>21.887743875254131</v>
      </c>
      <c r="AV34" s="3">
        <f t="array" ref="AV34">MIN(100,MAX(0,M34-AC34*5+$AH$17*(U34*AI$26+SUMPRODUCT($X34:$AA34,TRANSPOSE(AI$27:AI$30)))+$AJ$17*(U34*AI$31+SUMPRODUCT($X34:$AA34,TRANSPOSE(AI$32:AI$35)))+$AK$17*(U34*AI$36+SUMPRODUCT($X34:$AA34,TRANSPOSE(AI$37:AI$40)))))</f>
        <v>37.882998322681878</v>
      </c>
      <c r="AW34" s="3">
        <f t="array" ref="AW34">MIN(100,MAX(0,N34-AD34*5+$AH$18*(V34*AJ$26+SUMPRODUCT($X34:$AA34,TRANSPOSE(AJ$27:AJ$30)))+$AI$18*(V34*AJ$31+SUMPRODUCT($X34:$AA34,TRANSPOSE(AJ$32:AJ$35)))+$AK$18*(V34*AJ$36+SUMPRODUCT($X34:$AA34,TRANSPOSE(AJ$37:AJ$40)))))</f>
        <v>35.056073246324573</v>
      </c>
      <c r="AX34" s="3">
        <f t="array" ref="AX34">MIN(100,MAX(0,O34+$AH$19*(W34*AK$26+SUMPRODUCT($X34:$AA34,TRANSPOSE(AK$27:AK$30)))+$AI$19*(W34*AK$31+SUMPRODUCT($X34:$AA34,TRANSPOSE(AK$32:AK$35)))+$AJ$19*(W34*AK$36+SUMPRODUCT($X34:$AA34,TRANSPOSE(AK$37:AK$40)))))</f>
        <v>4.5189021152357771</v>
      </c>
      <c r="BA34">
        <f t="shared" si="29"/>
        <v>0</v>
      </c>
      <c r="BB34">
        <f t="shared" si="30"/>
        <v>1</v>
      </c>
      <c r="BC34">
        <f t="shared" si="31"/>
        <v>0</v>
      </c>
      <c r="BD34">
        <f t="shared" si="32"/>
        <v>0</v>
      </c>
      <c r="BG34">
        <f t="shared" si="33"/>
        <v>0</v>
      </c>
      <c r="BH34">
        <f t="shared" si="34"/>
        <v>1</v>
      </c>
      <c r="BI34">
        <f t="shared" si="35"/>
        <v>1</v>
      </c>
      <c r="BJ34">
        <f t="shared" si="36"/>
        <v>0</v>
      </c>
    </row>
    <row r="35" spans="1:62">
      <c r="A35" t="s">
        <v>692</v>
      </c>
      <c r="B35" t="s">
        <v>358</v>
      </c>
      <c r="C35" t="s">
        <v>722</v>
      </c>
      <c r="D35">
        <v>59033</v>
      </c>
      <c r="G35">
        <v>8903</v>
      </c>
      <c r="H35">
        <v>11066</v>
      </c>
      <c r="I35">
        <v>11459</v>
      </c>
      <c r="J35">
        <v>844</v>
      </c>
      <c r="K35">
        <v>32471</v>
      </c>
      <c r="L35" s="3">
        <f t="shared" si="0"/>
        <v>27.418311724307841</v>
      </c>
      <c r="M35" s="3">
        <f t="shared" si="1"/>
        <v>34.079640294416556</v>
      </c>
      <c r="N35" s="3">
        <f t="shared" si="2"/>
        <v>35.289951033229649</v>
      </c>
      <c r="O35" s="3">
        <f t="shared" si="3"/>
        <v>2.5992424009115824</v>
      </c>
      <c r="P35">
        <v>45.5</v>
      </c>
      <c r="Q35">
        <v>13.4</v>
      </c>
      <c r="R35">
        <v>32.5</v>
      </c>
      <c r="S35">
        <v>7.7</v>
      </c>
      <c r="T35">
        <f t="shared" si="4"/>
        <v>0</v>
      </c>
      <c r="U35">
        <f t="shared" si="5"/>
        <v>0</v>
      </c>
      <c r="V35">
        <f t="shared" si="6"/>
        <v>1</v>
      </c>
      <c r="W35">
        <f t="shared" si="7"/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G35" t="s">
        <v>718</v>
      </c>
      <c r="AH35" s="47">
        <f>AVERAGE(AH62,AJ62)</f>
        <v>0.97732249999999998</v>
      </c>
      <c r="AI35" s="47">
        <f>AVERAGE(AI62:AJ62)</f>
        <v>1.0298215499999999</v>
      </c>
      <c r="AJ35" s="45">
        <f t="shared" si="38"/>
        <v>1.0298215499999999</v>
      </c>
      <c r="AK35" s="45">
        <f t="shared" si="39"/>
        <v>1.0437500499999999</v>
      </c>
      <c r="AN35" s="8">
        <f t="shared" si="24"/>
        <v>13.64723604215121</v>
      </c>
      <c r="AO35" s="8">
        <f t="shared" si="25"/>
        <v>54.200752855458219</v>
      </c>
      <c r="AP35" s="8">
        <f t="shared" si="26"/>
        <v>30.319628527428748</v>
      </c>
      <c r="AQ35" s="8">
        <f t="shared" si="27"/>
        <v>3.4779861416346072</v>
      </c>
      <c r="AR35" s="3">
        <f t="shared" si="28"/>
        <v>101.64560356667278</v>
      </c>
      <c r="AU35" s="3">
        <f t="array" ref="AU35">MIN(100,MAX(0,L35-AB35*5+$AI$16*(T35*AH$26+SUMPRODUCT($X35:$AA35,TRANSPOSE(AH$27:AH$30)))+$AJ$16*(T35*AH$31+SUMPRODUCT($X35:$AA35,TRANSPOSE(AH$32:AH$35)))+$AK$16*(T35*AH$36+SUMPRODUCT($X35:$AA35,TRANSPOSE(AH$37:AH$40)))))</f>
        <v>13.64723604215121</v>
      </c>
      <c r="AV35" s="3">
        <f t="array" ref="AV35">MIN(100,MAX(0,M35-AC35*5+$AH$17*(U35*AI$26+SUMPRODUCT($X35:$AA35,TRANSPOSE(AI$27:AI$30)))+$AJ$17*(U35*AI$31+SUMPRODUCT($X35:$AA35,TRANSPOSE(AI$32:AI$35)))+$AK$17*(U35*AI$36+SUMPRODUCT($X35:$AA35,TRANSPOSE(AI$37:AI$40)))))</f>
        <v>54.200752855458219</v>
      </c>
      <c r="AW35" s="3">
        <f t="array" ref="AW35">MIN(100,MAX(0,N35-AD35*5+$AH$18*(V35*AJ$26+SUMPRODUCT($X35:$AA35,TRANSPOSE(AJ$27:AJ$30)))+$AI$18*(V35*AJ$31+SUMPRODUCT($X35:$AA35,TRANSPOSE(AJ$32:AJ$35)))+$AK$18*(V35*AJ$36+SUMPRODUCT($X35:$AA35,TRANSPOSE(AJ$37:AJ$40)))))</f>
        <v>30.319628527428748</v>
      </c>
      <c r="AX35" s="3">
        <f t="array" ref="AX35">MIN(100,MAX(0,O35+$AH$19*(W35*AK$26+SUMPRODUCT($X35:$AA35,TRANSPOSE(AK$27:AK$30)))+$AI$19*(W35*AK$31+SUMPRODUCT($X35:$AA35,TRANSPOSE(AK$32:AK$35)))+$AJ$19*(W35*AK$36+SUMPRODUCT($X35:$AA35,TRANSPOSE(AK$37:AK$40)))))</f>
        <v>3.4779861416346072</v>
      </c>
      <c r="BA35">
        <f t="shared" si="29"/>
        <v>0</v>
      </c>
      <c r="BB35">
        <f t="shared" si="30"/>
        <v>1</v>
      </c>
      <c r="BC35">
        <f t="shared" si="31"/>
        <v>0</v>
      </c>
      <c r="BD35">
        <f t="shared" si="32"/>
        <v>0</v>
      </c>
      <c r="BG35">
        <f t="shared" si="33"/>
        <v>0</v>
      </c>
      <c r="BH35">
        <f t="shared" si="34"/>
        <v>1</v>
      </c>
      <c r="BI35">
        <f t="shared" si="35"/>
        <v>1</v>
      </c>
      <c r="BJ35">
        <f t="shared" si="36"/>
        <v>0</v>
      </c>
    </row>
    <row r="36" spans="1:62">
      <c r="A36" t="s">
        <v>692</v>
      </c>
      <c r="B36" t="s">
        <v>359</v>
      </c>
      <c r="C36" t="s">
        <v>359</v>
      </c>
      <c r="D36">
        <v>59034</v>
      </c>
      <c r="G36">
        <v>10828</v>
      </c>
      <c r="H36">
        <v>12894</v>
      </c>
      <c r="I36">
        <v>10952</v>
      </c>
      <c r="J36">
        <v>6267</v>
      </c>
      <c r="K36">
        <v>41562</v>
      </c>
      <c r="L36" s="3">
        <f t="shared" si="0"/>
        <v>26.052644242336747</v>
      </c>
      <c r="M36" s="3">
        <f t="shared" si="1"/>
        <v>31.023531110148696</v>
      </c>
      <c r="N36" s="3">
        <f t="shared" si="2"/>
        <v>26.350993696164764</v>
      </c>
      <c r="O36" s="3">
        <f t="shared" si="3"/>
        <v>15.078677638227228</v>
      </c>
      <c r="P36">
        <v>45.5</v>
      </c>
      <c r="Q36">
        <v>13.4</v>
      </c>
      <c r="R36">
        <v>32.5</v>
      </c>
      <c r="S36">
        <v>7.7</v>
      </c>
      <c r="T36">
        <f t="shared" si="4"/>
        <v>0</v>
      </c>
      <c r="U36">
        <f t="shared" si="5"/>
        <v>1</v>
      </c>
      <c r="V36">
        <f t="shared" si="6"/>
        <v>0</v>
      </c>
      <c r="W36">
        <f t="shared" si="7"/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G36" t="s">
        <v>429</v>
      </c>
      <c r="AH36" s="44">
        <f>AH26</f>
        <v>3.84684E-2</v>
      </c>
      <c r="AI36" s="44">
        <f t="shared" ref="AI36:AK36" si="40">AI26</f>
        <v>-5.4700899999999997E-2</v>
      </c>
      <c r="AJ36" s="44">
        <f t="shared" si="40"/>
        <v>-0.2485473</v>
      </c>
      <c r="AK36" s="47">
        <f t="shared" si="40"/>
        <v>0</v>
      </c>
      <c r="AN36" s="8">
        <f t="shared" si="8"/>
        <v>13.136806596509729</v>
      </c>
      <c r="AO36" s="8">
        <f t="shared" si="9"/>
        <v>49.174100683120599</v>
      </c>
      <c r="AP36" s="8">
        <f t="shared" si="10"/>
        <v>19.911679673296771</v>
      </c>
      <c r="AQ36" s="8">
        <f t="shared" si="11"/>
        <v>15.900401455035185</v>
      </c>
      <c r="AR36" s="3">
        <f t="shared" si="12"/>
        <v>98.122988407962282</v>
      </c>
      <c r="AU36" s="3">
        <f t="array" ref="AU36">MIN(100,MAX(0,L36-AB36*5+$AI$16*(T36*AH$26+SUMPRODUCT($X36:$AA36,TRANSPOSE(AH$27:AH$30)))+$AJ$16*(T36*AH$31+SUMPRODUCT($X36:$AA36,TRANSPOSE(AH$32:AH$35)))+$AK$16*(T36*AH$36+SUMPRODUCT($X36:$AA36,TRANSPOSE(AH$37:AH$40)))))</f>
        <v>13.136806596509729</v>
      </c>
      <c r="AV36" s="3">
        <f t="array" ref="AV36">MIN(100,MAX(0,M36-AC36*5+$AH$17*(U36*AI$26+SUMPRODUCT($X36:$AA36,TRANSPOSE(AI$27:AI$30)))+$AJ$17*(U36*AI$31+SUMPRODUCT($X36:$AA36,TRANSPOSE(AI$32:AI$35)))+$AK$17*(U36*AI$36+SUMPRODUCT($X36:$AA36,TRANSPOSE(AI$37:AI$40)))))</f>
        <v>49.174100683120599</v>
      </c>
      <c r="AW36" s="3">
        <f t="array" ref="AW36">MIN(100,MAX(0,N36-AD36*5+$AH$18*(V36*AJ$26+SUMPRODUCT($X36:$AA36,TRANSPOSE(AJ$27:AJ$30)))+$AI$18*(V36*AJ$31+SUMPRODUCT($X36:$AA36,TRANSPOSE(AJ$32:AJ$35)))+$AK$18*(V36*AJ$36+SUMPRODUCT($X36:$AA36,TRANSPOSE(AJ$37:AJ$40)))))</f>
        <v>19.911679673296771</v>
      </c>
      <c r="AX36" s="3">
        <f t="array" ref="AX36">MIN(100,MAX(0,O36+$AH$19*(W36*AK$26+SUMPRODUCT($X36:$AA36,TRANSPOSE(AK$27:AK$30)))+$AI$19*(W36*AK$31+SUMPRODUCT($X36:$AA36,TRANSPOSE(AK$32:AK$35)))+$AJ$19*(W36*AK$36+SUMPRODUCT($X36:$AA36,TRANSPOSE(AK$37:AK$40)))))</f>
        <v>15.900401455035185</v>
      </c>
      <c r="BA36">
        <f t="shared" si="13"/>
        <v>0</v>
      </c>
      <c r="BB36">
        <f t="shared" si="14"/>
        <v>1</v>
      </c>
      <c r="BC36">
        <f t="shared" si="15"/>
        <v>0</v>
      </c>
      <c r="BD36">
        <f t="shared" si="16"/>
        <v>0</v>
      </c>
      <c r="BG36">
        <f t="shared" si="17"/>
        <v>0</v>
      </c>
      <c r="BH36">
        <f t="shared" si="18"/>
        <v>1</v>
      </c>
      <c r="BI36">
        <f t="shared" si="19"/>
        <v>0</v>
      </c>
      <c r="BJ36">
        <f t="shared" si="20"/>
        <v>1</v>
      </c>
    </row>
    <row r="37" spans="1:62">
      <c r="A37" t="s">
        <v>692</v>
      </c>
      <c r="B37" t="s">
        <v>360</v>
      </c>
      <c r="C37" t="s">
        <v>360</v>
      </c>
      <c r="D37">
        <v>59035</v>
      </c>
      <c r="E37">
        <v>5901</v>
      </c>
      <c r="F37">
        <v>59</v>
      </c>
      <c r="G37">
        <v>8361</v>
      </c>
      <c r="H37">
        <v>4382</v>
      </c>
      <c r="I37">
        <v>27794</v>
      </c>
      <c r="J37">
        <v>3383</v>
      </c>
      <c r="K37">
        <v>44238</v>
      </c>
      <c r="L37" s="3">
        <f t="shared" si="0"/>
        <v>18.900040689000409</v>
      </c>
      <c r="M37" s="3">
        <f t="shared" si="1"/>
        <v>9.9055110990551114</v>
      </c>
      <c r="N37" s="3">
        <f t="shared" si="2"/>
        <v>62.828337628283379</v>
      </c>
      <c r="O37" s="3">
        <f t="shared" si="3"/>
        <v>7.6472715764727157</v>
      </c>
      <c r="P37">
        <v>45.5</v>
      </c>
      <c r="Q37">
        <v>13.4</v>
      </c>
      <c r="R37">
        <v>32.5</v>
      </c>
      <c r="S37">
        <v>7.7</v>
      </c>
      <c r="T37">
        <f t="shared" si="4"/>
        <v>0</v>
      </c>
      <c r="U37">
        <f t="shared" si="5"/>
        <v>0</v>
      </c>
      <c r="V37" s="54">
        <v>0</v>
      </c>
      <c r="W37">
        <f t="shared" si="7"/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G37" t="s">
        <v>687</v>
      </c>
      <c r="AH37" s="44">
        <f>AVERAGE(AH59,AK59)</f>
        <v>0.81924595</v>
      </c>
      <c r="AI37" s="44">
        <f>AVERAGE(AI59,AK59)</f>
        <v>1.1216380500000001</v>
      </c>
      <c r="AJ37" s="44">
        <f>AVERAGE(AJ59:AK59)</f>
        <v>1.0059600500000001</v>
      </c>
      <c r="AK37" s="47">
        <f>AJ37</f>
        <v>1.0059600500000001</v>
      </c>
      <c r="AN37" s="8">
        <f t="shared" si="8"/>
        <v>5.9842030431733901</v>
      </c>
      <c r="AO37" s="8">
        <f t="shared" si="9"/>
        <v>29.14026787065615</v>
      </c>
      <c r="AP37" s="8">
        <f t="shared" si="10"/>
        <v>51.389023605415389</v>
      </c>
      <c r="AQ37" s="8">
        <f t="shared" si="11"/>
        <v>8.4689953932806734</v>
      </c>
      <c r="AR37" s="3">
        <f t="shared" si="12"/>
        <v>94.982489912525608</v>
      </c>
      <c r="AU37" s="3">
        <f t="array" ref="AU37">MIN(100,MAX(0,L37-AB37*5+$AI$16*(T37*AH$26+SUMPRODUCT($X37:$AA37,TRANSPOSE(AH$27:AH$30)))+$AJ$16*(T37*AH$31+SUMPRODUCT($X37:$AA37,TRANSPOSE(AH$32:AH$35)))+$AK$16*(T37*AH$36+SUMPRODUCT($X37:$AA37,TRANSPOSE(AH$37:AH$40)))))</f>
        <v>5.9842030431733901</v>
      </c>
      <c r="AV37" s="3">
        <f t="array" ref="AV37">MIN(100,MAX(0,M37-AC37*5+$AH$17*(U37*AI$26+SUMPRODUCT($X37:$AA37,TRANSPOSE(AI$27:AI$30)))+$AJ$17*(U37*AI$31+SUMPRODUCT($X37:$AA37,TRANSPOSE(AI$32:AI$35)))+$AK$17*(U37*AI$36+SUMPRODUCT($X37:$AA37,TRANSPOSE(AI$37:AI$40)))))</f>
        <v>29.085221592990472</v>
      </c>
      <c r="AW37" s="3">
        <f t="array" ref="AW37">MIN(100,MAX(0,N37-AD37*5+$AH$18*(V37*AJ$26+SUMPRODUCT($X37:$AA37,TRANSPOSE(AJ$27:AJ$30)))+$AI$18*(V37*AJ$31+SUMPRODUCT($X37:$AA37,TRANSPOSE(AJ$32:AJ$35)))+$AK$18*(V37*AJ$36+SUMPRODUCT($X37:$AA37,TRANSPOSE(AJ$37:AJ$40)))))</f>
        <v>51.389023605415389</v>
      </c>
      <c r="AX37" s="3">
        <f t="array" ref="AX37">MIN(100,MAX(0,O37+$AH$19*(W37*AK$26+SUMPRODUCT($X37:$AA37,TRANSPOSE(AK$27:AK$30)))+$AI$19*(W37*AK$31+SUMPRODUCT($X37:$AA37,TRANSPOSE(AK$32:AK$35)))+$AJ$19*(W37*AK$36+SUMPRODUCT($X37:$AA37,TRANSPOSE(AK$37:AK$40)))))</f>
        <v>8.4689953932806734</v>
      </c>
      <c r="BA37">
        <f t="shared" si="13"/>
        <v>0</v>
      </c>
      <c r="BB37">
        <f t="shared" si="14"/>
        <v>0</v>
      </c>
      <c r="BC37">
        <f t="shared" si="15"/>
        <v>1</v>
      </c>
      <c r="BD37">
        <f t="shared" si="16"/>
        <v>0</v>
      </c>
      <c r="BG37">
        <f t="shared" si="17"/>
        <v>0</v>
      </c>
      <c r="BH37">
        <f t="shared" si="18"/>
        <v>0</v>
      </c>
      <c r="BI37">
        <f t="shared" si="19"/>
        <v>1</v>
      </c>
      <c r="BJ37">
        <f t="shared" si="20"/>
        <v>0</v>
      </c>
    </row>
    <row r="38" spans="1:62">
      <c r="A38" t="s">
        <v>692</v>
      </c>
      <c r="B38" t="s">
        <v>361</v>
      </c>
      <c r="C38" t="s">
        <v>361</v>
      </c>
      <c r="D38">
        <v>59036</v>
      </c>
      <c r="E38">
        <v>5901</v>
      </c>
      <c r="F38">
        <v>59</v>
      </c>
      <c r="G38">
        <v>15440</v>
      </c>
      <c r="H38">
        <v>13137</v>
      </c>
      <c r="I38">
        <v>10670</v>
      </c>
      <c r="J38">
        <v>4026</v>
      </c>
      <c r="K38">
        <v>43645</v>
      </c>
      <c r="L38" s="3">
        <f t="shared" si="0"/>
        <v>35.376331767670983</v>
      </c>
      <c r="M38" s="3">
        <f t="shared" si="1"/>
        <v>30.099667774086381</v>
      </c>
      <c r="N38" s="3">
        <f t="shared" si="2"/>
        <v>24.447244816130141</v>
      </c>
      <c r="O38" s="3">
        <f t="shared" si="3"/>
        <v>9.2244243326841548</v>
      </c>
      <c r="P38">
        <v>45.5</v>
      </c>
      <c r="Q38">
        <v>13.4</v>
      </c>
      <c r="R38">
        <v>32.5</v>
      </c>
      <c r="S38">
        <v>7.7</v>
      </c>
      <c r="T38">
        <f t="shared" si="4"/>
        <v>1</v>
      </c>
      <c r="U38">
        <f t="shared" si="5"/>
        <v>0</v>
      </c>
      <c r="V38">
        <f t="shared" si="6"/>
        <v>0</v>
      </c>
      <c r="W38">
        <f t="shared" si="7"/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G38" t="s">
        <v>688</v>
      </c>
      <c r="AH38" s="44">
        <f>AVERAGE(AH60,AK60)</f>
        <v>0.98668460000000002</v>
      </c>
      <c r="AI38" s="44">
        <f>AVERAGE(AI60,AK60)</f>
        <v>1.02857675</v>
      </c>
      <c r="AJ38" s="44">
        <f>AVERAGE(AJ60:AK60)</f>
        <v>0.9792788</v>
      </c>
      <c r="AK38" s="47">
        <f t="shared" ref="AK38:AK40" si="41">AJ38</f>
        <v>0.9792788</v>
      </c>
      <c r="AN38" s="8">
        <f t="shared" si="8"/>
        <v>28.473584632664334</v>
      </c>
      <c r="AO38" s="8">
        <f t="shared" si="9"/>
        <v>37.279378268021745</v>
      </c>
      <c r="AP38" s="8">
        <f t="shared" si="10"/>
        <v>26.007930793262144</v>
      </c>
      <c r="AQ38" s="8">
        <f t="shared" si="11"/>
        <v>10.046148149492112</v>
      </c>
      <c r="AR38" s="3">
        <f t="shared" si="12"/>
        <v>101.80704184344033</v>
      </c>
      <c r="AU38" s="43">
        <f t="array" ref="AU38">MIN(100,MAX(0,L38+6.5-AB38*5+$AI$16*(T38*AH$26+SUMPRODUCT($X38:$AA38,TRANSPOSE(AH$27:AH$30)))+$AJ$16*(T38*AH$31+SUMPRODUCT($X38:$AA38,TRANSPOSE(AH$32:AH$35)))+$AK$16*(T38*AH$36+SUMPRODUCT($X38:$AA38,TRANSPOSE(AH$37:AH$40)))))</f>
        <v>28.473584632664334</v>
      </c>
      <c r="AV38" s="43">
        <f t="array" ref="AV38">MIN(100,MAX(0,M38-12-AC38*5+$AH$17*(U38*AI$26+SUMPRODUCT($X38:$AA38,TRANSPOSE(AI$27:AI$30)))+$AJ$17*(U38*AI$31+SUMPRODUCT($X38:$AA38,TRANSPOSE(AI$32:AI$35)))+$AK$17*(U38*AI$36+SUMPRODUCT($X38:$AA38,TRANSPOSE(AI$37:AI$40)))))</f>
        <v>37.279378268021745</v>
      </c>
      <c r="AW38" s="43">
        <f t="array" ref="AW38">MIN(100,MAX(0,N38+8-AD38*5+$AH$18*(V38*AJ$26+SUMPRODUCT($X38:$AA38,TRANSPOSE(AJ$27:AJ$30)))+$AI$18*(V38*AJ$31+SUMPRODUCT($X38:$AA38,TRANSPOSE(AJ$32:AJ$35)))+$AK$18*(V38*AJ$36+SUMPRODUCT($X38:$AA38,TRANSPOSE(AJ$37:AJ$40)))))</f>
        <v>26.007930793262144</v>
      </c>
      <c r="AX38" s="3">
        <f t="array" ref="AX38">MIN(100,MAX(0,O38+$AH$19*(W38*AK$26+SUMPRODUCT($X38:$AA38,TRANSPOSE(AK$27:AK$30)))+$AI$19*(W38*AK$31+SUMPRODUCT($X38:$AA38,TRANSPOSE(AK$32:AK$35)))+$AJ$19*(W38*AK$36+SUMPRODUCT($X38:$AA38,TRANSPOSE(AK$37:AK$40)))))</f>
        <v>10.046148149492112</v>
      </c>
      <c r="BA38">
        <f t="shared" si="13"/>
        <v>0</v>
      </c>
      <c r="BB38">
        <f t="shared" si="14"/>
        <v>1</v>
      </c>
      <c r="BC38">
        <f t="shared" si="15"/>
        <v>0</v>
      </c>
      <c r="BD38">
        <f t="shared" si="16"/>
        <v>0</v>
      </c>
      <c r="BG38">
        <f t="shared" si="17"/>
        <v>0</v>
      </c>
      <c r="BH38">
        <f t="shared" si="18"/>
        <v>1</v>
      </c>
      <c r="BI38">
        <f t="shared" si="19"/>
        <v>0</v>
      </c>
      <c r="BJ38">
        <f t="shared" si="20"/>
        <v>1</v>
      </c>
    </row>
    <row r="39" spans="1:62">
      <c r="A39" t="s">
        <v>692</v>
      </c>
      <c r="B39" t="s">
        <v>362</v>
      </c>
      <c r="C39" t="s">
        <v>362</v>
      </c>
      <c r="D39">
        <v>59038</v>
      </c>
      <c r="E39">
        <v>5901</v>
      </c>
      <c r="F39">
        <v>59</v>
      </c>
      <c r="G39">
        <v>10177</v>
      </c>
      <c r="H39">
        <v>5916</v>
      </c>
      <c r="I39">
        <v>18752</v>
      </c>
      <c r="J39">
        <v>1292</v>
      </c>
      <c r="K39">
        <v>36579</v>
      </c>
      <c r="L39" s="3">
        <f t="shared" si="0"/>
        <v>27.821974356871433</v>
      </c>
      <c r="M39" s="3">
        <f t="shared" si="1"/>
        <v>16.173214139260232</v>
      </c>
      <c r="N39" s="3">
        <f t="shared" si="2"/>
        <v>51.264386669947235</v>
      </c>
      <c r="O39" s="3">
        <f t="shared" si="3"/>
        <v>3.5320812488039586</v>
      </c>
      <c r="P39">
        <v>45.5</v>
      </c>
      <c r="Q39">
        <v>13.4</v>
      </c>
      <c r="R39">
        <v>32.5</v>
      </c>
      <c r="S39">
        <v>7.7</v>
      </c>
      <c r="T39">
        <f t="shared" si="4"/>
        <v>0</v>
      </c>
      <c r="U39">
        <f t="shared" si="5"/>
        <v>0</v>
      </c>
      <c r="V39">
        <f t="shared" si="6"/>
        <v>1</v>
      </c>
      <c r="W39">
        <f t="shared" si="7"/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G39" t="s">
        <v>716</v>
      </c>
      <c r="AH39" s="44">
        <f>AVERAGE(AH61,AK61)</f>
        <v>1.07173455</v>
      </c>
      <c r="AI39" s="44">
        <f>AVERAGE(AI61,AK61)</f>
        <v>0.94410989999999995</v>
      </c>
      <c r="AJ39" s="44">
        <f>AVERAGE(AJ61:AK61)</f>
        <v>1.01421055</v>
      </c>
      <c r="AK39" s="47">
        <f t="shared" si="41"/>
        <v>1.01421055</v>
      </c>
      <c r="AN39" s="8">
        <f t="shared" si="8"/>
        <v>14.906136711044415</v>
      </c>
      <c r="AO39" s="8">
        <f t="shared" si="9"/>
        <v>35.352924633195592</v>
      </c>
      <c r="AP39" s="8">
        <f t="shared" si="10"/>
        <v>46.404987292328777</v>
      </c>
      <c r="AQ39" s="8">
        <f t="shared" si="11"/>
        <v>4.3538050656119145</v>
      </c>
      <c r="AR39" s="3">
        <f t="shared" si="12"/>
        <v>101.0178537021807</v>
      </c>
      <c r="AU39" s="3">
        <f t="array" ref="AU39">MIN(100,MAX(0,L39-AB39*5+$AI$16*(T39*AH$26+SUMPRODUCT($X39:$AA39,TRANSPOSE(AH$27:AH$30)))+$AJ$16*(T39*AH$31+SUMPRODUCT($X39:$AA39,TRANSPOSE(AH$32:AH$35)))+$AK$16*(T39*AH$36+SUMPRODUCT($X39:$AA39,TRANSPOSE(AH$37:AH$40)))))</f>
        <v>14.906136711044415</v>
      </c>
      <c r="AV39" s="3">
        <f t="array" ref="AV39">MIN(100,MAX(0,M39-AC39*5+$AH$17*(U39*AI$26+SUMPRODUCT($X39:$AA39,TRANSPOSE(AI$27:AI$30)))+$AJ$17*(U39*AI$31+SUMPRODUCT($X39:$AA39,TRANSPOSE(AI$32:AI$35)))+$AK$17*(U39*AI$36+SUMPRODUCT($X39:$AA39,TRANSPOSE(AI$37:AI$40)))))</f>
        <v>35.352924633195592</v>
      </c>
      <c r="AW39" s="3">
        <f t="array" ref="AW39">MIN(100,MAX(0,N39-AD39*5+$AH$18*(V39*AJ$26+SUMPRODUCT($X39:$AA39,TRANSPOSE(AJ$27:AJ$30)))+$AI$18*(V39*AJ$31+SUMPRODUCT($X39:$AA39,TRANSPOSE(AJ$32:AJ$35)))+$AK$18*(V39*AJ$36+SUMPRODUCT($X39:$AA39,TRANSPOSE(AJ$37:AJ$40)))))</f>
        <v>46.404987292328777</v>
      </c>
      <c r="AX39" s="3">
        <f t="array" ref="AX39">MIN(100,MAX(0,O39+$AH$19*(W39*AK$26+SUMPRODUCT($X39:$AA39,TRANSPOSE(AK$27:AK$30)))+$AI$19*(W39*AK$31+SUMPRODUCT($X39:$AA39,TRANSPOSE(AK$32:AK$35)))+$AJ$19*(W39*AK$36+SUMPRODUCT($X39:$AA39,TRANSPOSE(AK$37:AK$40)))))</f>
        <v>4.3538050656119145</v>
      </c>
      <c r="BA39">
        <f t="shared" si="13"/>
        <v>0</v>
      </c>
      <c r="BB39">
        <f t="shared" si="14"/>
        <v>0</v>
      </c>
      <c r="BC39">
        <f t="shared" si="15"/>
        <v>1</v>
      </c>
      <c r="BD39">
        <f t="shared" si="16"/>
        <v>0</v>
      </c>
      <c r="BG39">
        <f t="shared" si="17"/>
        <v>0</v>
      </c>
      <c r="BH39">
        <f t="shared" si="18"/>
        <v>1</v>
      </c>
      <c r="BI39">
        <f t="shared" si="19"/>
        <v>1</v>
      </c>
      <c r="BJ39">
        <f t="shared" si="20"/>
        <v>0</v>
      </c>
    </row>
    <row r="40" spans="1:62">
      <c r="A40" t="s">
        <v>692</v>
      </c>
      <c r="B40" t="s">
        <v>363</v>
      </c>
      <c r="C40" t="s">
        <v>363</v>
      </c>
      <c r="D40">
        <v>59039</v>
      </c>
      <c r="E40">
        <v>5901</v>
      </c>
      <c r="F40">
        <v>59</v>
      </c>
      <c r="G40">
        <v>16953</v>
      </c>
      <c r="H40">
        <v>20226</v>
      </c>
      <c r="I40">
        <v>6723</v>
      </c>
      <c r="J40">
        <v>2629</v>
      </c>
      <c r="K40">
        <v>46531</v>
      </c>
      <c r="L40" s="3">
        <f t="shared" si="0"/>
        <v>36.43377533257398</v>
      </c>
      <c r="M40" s="3">
        <f t="shared" si="1"/>
        <v>43.467795663106315</v>
      </c>
      <c r="N40" s="3">
        <f t="shared" si="2"/>
        <v>14.448432227977047</v>
      </c>
      <c r="O40" s="3">
        <f t="shared" si="3"/>
        <v>5.649996776342654</v>
      </c>
      <c r="P40">
        <v>45.5</v>
      </c>
      <c r="Q40">
        <v>13.4</v>
      </c>
      <c r="R40">
        <v>32.5</v>
      </c>
      <c r="S40">
        <v>7.7</v>
      </c>
      <c r="T40">
        <f t="shared" si="4"/>
        <v>0</v>
      </c>
      <c r="U40">
        <f t="shared" si="5"/>
        <v>1</v>
      </c>
      <c r="V40">
        <f t="shared" si="6"/>
        <v>0</v>
      </c>
      <c r="W40">
        <f t="shared" si="7"/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G40" t="s">
        <v>718</v>
      </c>
      <c r="AH40" s="44">
        <f>AVERAGE(AH62,AK62)</f>
        <v>0.99125099999999999</v>
      </c>
      <c r="AI40" s="44">
        <f>AVERAGE(AI62,AK62)</f>
        <v>1.0437500499999999</v>
      </c>
      <c r="AJ40" s="44">
        <f>AVERAGE(AJ62:AK62)</f>
        <v>1.1072584999999999</v>
      </c>
      <c r="AK40" s="47">
        <f t="shared" si="41"/>
        <v>1.1072584999999999</v>
      </c>
      <c r="AN40" s="8">
        <f t="shared" si="8"/>
        <v>23.517937686746961</v>
      </c>
      <c r="AO40" s="8">
        <f t="shared" si="9"/>
        <v>61.618365236078219</v>
      </c>
      <c r="AP40" s="8">
        <f t="shared" si="10"/>
        <v>8.0091182051090559</v>
      </c>
      <c r="AQ40" s="8">
        <f t="shared" si="11"/>
        <v>6.4717205931506099</v>
      </c>
      <c r="AR40" s="3">
        <f t="shared" si="12"/>
        <v>99.617141721084849</v>
      </c>
      <c r="AU40" s="3">
        <f t="array" ref="AU40">MIN(100,MAX(0,L40-AB40*5+$AI$16*(T40*AH$26+SUMPRODUCT($X40:$AA40,TRANSPOSE(AH$27:AH$30)))+$AJ$16*(T40*AH$31+SUMPRODUCT($X40:$AA40,TRANSPOSE(AH$32:AH$35)))+$AK$16*(T40*AH$36+SUMPRODUCT($X40:$AA40,TRANSPOSE(AH$37:AH$40)))))</f>
        <v>23.517937686746961</v>
      </c>
      <c r="AV40" s="3">
        <f t="array" ref="AV40">MIN(100,MAX(0,M40-AC40*5+$AH$17*(U40*AI$26+SUMPRODUCT($X40:$AA40,TRANSPOSE(AI$27:AI$30)))+$AJ$17*(U40*AI$31+SUMPRODUCT($X40:$AA40,TRANSPOSE(AI$32:AI$35)))+$AK$17*(U40*AI$36+SUMPRODUCT($X40:$AA40,TRANSPOSE(AI$37:AI$40)))))</f>
        <v>61.618365236078219</v>
      </c>
      <c r="AW40" s="3">
        <f t="array" ref="AW40">MIN(100,MAX(0,N40-AD40*5+$AH$18*(V40*AJ$26+SUMPRODUCT($X40:$AA40,TRANSPOSE(AJ$27:AJ$30)))+$AI$18*(V40*AJ$31+SUMPRODUCT($X40:$AA40,TRANSPOSE(AJ$32:AJ$35)))+$AK$18*(V40*AJ$36+SUMPRODUCT($X40:$AA40,TRANSPOSE(AJ$37:AJ$40)))))</f>
        <v>8.0091182051090559</v>
      </c>
      <c r="AX40" s="3">
        <f t="array" ref="AX40">MIN(100,MAX(0,O40+$AH$19*(W40*AK$26+SUMPRODUCT($X40:$AA40,TRANSPOSE(AK$27:AK$30)))+$AI$19*(W40*AK$31+SUMPRODUCT($X40:$AA40,TRANSPOSE(AK$32:AK$35)))+$AJ$19*(W40*AK$36+SUMPRODUCT($X40:$AA40,TRANSPOSE(AK$37:AK$40)))))</f>
        <v>6.4717205931506099</v>
      </c>
      <c r="BA40">
        <f t="shared" si="13"/>
        <v>0</v>
      </c>
      <c r="BB40">
        <f t="shared" si="14"/>
        <v>1</v>
      </c>
      <c r="BC40">
        <f t="shared" si="15"/>
        <v>0</v>
      </c>
      <c r="BD40">
        <f t="shared" si="16"/>
        <v>0</v>
      </c>
      <c r="BG40">
        <f t="shared" si="17"/>
        <v>0</v>
      </c>
      <c r="BH40">
        <f t="shared" si="18"/>
        <v>1</v>
      </c>
      <c r="BI40">
        <f t="shared" si="19"/>
        <v>0</v>
      </c>
      <c r="BJ40">
        <f t="shared" si="20"/>
        <v>0</v>
      </c>
    </row>
    <row r="41" spans="1:62">
      <c r="A41" t="s">
        <v>692</v>
      </c>
      <c r="B41" t="s">
        <v>364</v>
      </c>
      <c r="C41" t="s">
        <v>364</v>
      </c>
      <c r="D41">
        <v>59040</v>
      </c>
      <c r="E41">
        <v>5901</v>
      </c>
      <c r="F41">
        <v>59</v>
      </c>
      <c r="G41">
        <v>15571</v>
      </c>
      <c r="H41">
        <v>12389</v>
      </c>
      <c r="I41">
        <v>7732</v>
      </c>
      <c r="J41">
        <v>808</v>
      </c>
      <c r="K41">
        <v>36701</v>
      </c>
      <c r="L41" s="3">
        <f t="shared" si="0"/>
        <v>42.426636876379391</v>
      </c>
      <c r="M41" s="3">
        <f t="shared" si="1"/>
        <v>33.756573390370839</v>
      </c>
      <c r="N41" s="3">
        <f t="shared" si="2"/>
        <v>21.067545843437507</v>
      </c>
      <c r="O41" s="3">
        <f t="shared" si="3"/>
        <v>2.201574888967603</v>
      </c>
      <c r="P41">
        <v>45.5</v>
      </c>
      <c r="Q41">
        <v>13.4</v>
      </c>
      <c r="R41">
        <v>32.5</v>
      </c>
      <c r="S41">
        <v>7.7</v>
      </c>
      <c r="T41">
        <f t="shared" si="4"/>
        <v>1</v>
      </c>
      <c r="U41">
        <f t="shared" si="5"/>
        <v>0</v>
      </c>
      <c r="V41">
        <f t="shared" si="6"/>
        <v>0</v>
      </c>
      <c r="W41">
        <f t="shared" si="7"/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N41" s="8">
        <f t="shared" si="8"/>
        <v>29.023889741372741</v>
      </c>
      <c r="AO41" s="8">
        <f t="shared" si="9"/>
        <v>52.936283884306199</v>
      </c>
      <c r="AP41" s="8">
        <f t="shared" si="10"/>
        <v>14.628231820569516</v>
      </c>
      <c r="AQ41" s="8">
        <f t="shared" si="11"/>
        <v>3.0232987057755598</v>
      </c>
      <c r="AR41" s="3">
        <f t="shared" si="12"/>
        <v>99.611704152024018</v>
      </c>
      <c r="AU41" s="3">
        <f t="array" ref="AU41">MIN(100,MAX(0,L41-AB41*5+$AI$16*(T41*AH$26+SUMPRODUCT($X41:$AA41,TRANSPOSE(AH$27:AH$30)))+$AJ$16*(T41*AH$31+SUMPRODUCT($X41:$AA41,TRANSPOSE(AH$32:AH$35)))+$AK$16*(T41*AH$36+SUMPRODUCT($X41:$AA41,TRANSPOSE(AH$37:AH$40)))))</f>
        <v>29.023889741372741</v>
      </c>
      <c r="AV41" s="3">
        <f t="array" ref="AV41">MIN(100,MAX(0,M41-AC41*5+$AH$17*(U41*AI$26+SUMPRODUCT($X41:$AA41,TRANSPOSE(AI$27:AI$30)))+$AJ$17*(U41*AI$31+SUMPRODUCT($X41:$AA41,TRANSPOSE(AI$32:AI$35)))+$AK$17*(U41*AI$36+SUMPRODUCT($X41:$AA41,TRANSPOSE(AI$37:AI$40)))))</f>
        <v>52.936283884306199</v>
      </c>
      <c r="AW41" s="3">
        <f t="array" ref="AW41">MIN(100,MAX(0,N41-AD41*5+$AH$18*(V41*AJ$26+SUMPRODUCT($X41:$AA41,TRANSPOSE(AJ$27:AJ$30)))+$AI$18*(V41*AJ$31+SUMPRODUCT($X41:$AA41,TRANSPOSE(AJ$32:AJ$35)))+$AK$18*(V41*AJ$36+SUMPRODUCT($X41:$AA41,TRANSPOSE(AJ$37:AJ$40)))))</f>
        <v>14.628231820569516</v>
      </c>
      <c r="AX41" s="3">
        <f t="array" ref="AX41">MIN(100,MAX(0,O41+$AH$19*(W41*AK$26+SUMPRODUCT($X41:$AA41,TRANSPOSE(AK$27:AK$30)))+$AI$19*(W41*AK$31+SUMPRODUCT($X41:$AA41,TRANSPOSE(AK$32:AK$35)))+$AJ$19*(W41*AK$36+SUMPRODUCT($X41:$AA41,TRANSPOSE(AK$37:AK$40)))))</f>
        <v>3.0232987057755598</v>
      </c>
      <c r="BA41">
        <f t="shared" si="13"/>
        <v>0</v>
      </c>
      <c r="BB41">
        <f t="shared" si="14"/>
        <v>1</v>
      </c>
      <c r="BC41">
        <f t="shared" si="15"/>
        <v>0</v>
      </c>
      <c r="BD41">
        <f t="shared" si="16"/>
        <v>0</v>
      </c>
      <c r="BG41">
        <f t="shared" si="17"/>
        <v>0</v>
      </c>
      <c r="BH41">
        <f t="shared" si="18"/>
        <v>1</v>
      </c>
      <c r="BI41">
        <f t="shared" si="19"/>
        <v>0</v>
      </c>
      <c r="BJ41">
        <f t="shared" si="20"/>
        <v>0</v>
      </c>
    </row>
    <row r="42" spans="1:62">
      <c r="A42" t="s">
        <v>692</v>
      </c>
      <c r="B42" t="s">
        <v>365</v>
      </c>
      <c r="C42" t="s">
        <v>365</v>
      </c>
      <c r="D42">
        <v>59041</v>
      </c>
      <c r="E42">
        <v>5903</v>
      </c>
      <c r="F42">
        <v>59</v>
      </c>
      <c r="G42">
        <v>14275</v>
      </c>
      <c r="H42">
        <v>8448</v>
      </c>
      <c r="I42">
        <v>30679</v>
      </c>
      <c r="J42">
        <v>7015</v>
      </c>
      <c r="K42">
        <v>60417</v>
      </c>
      <c r="L42" s="43">
        <f>L51</f>
        <v>22.008727924259727</v>
      </c>
      <c r="M42" s="43">
        <f>M51</f>
        <v>10.24640970256716</v>
      </c>
      <c r="N42" s="43">
        <f>N51</f>
        <v>43.061877162057037</v>
      </c>
      <c r="O42" s="43">
        <f>O51</f>
        <v>24.292985211116076</v>
      </c>
      <c r="P42">
        <v>45.5</v>
      </c>
      <c r="Q42">
        <v>13.4</v>
      </c>
      <c r="R42">
        <v>32.5</v>
      </c>
      <c r="S42">
        <v>7.7</v>
      </c>
      <c r="T42">
        <f t="shared" si="4"/>
        <v>0</v>
      </c>
      <c r="U42">
        <f t="shared" si="5"/>
        <v>0</v>
      </c>
      <c r="V42">
        <f t="shared" si="6"/>
        <v>1</v>
      </c>
      <c r="W42">
        <f t="shared" si="7"/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N42" s="8">
        <f t="shared" si="8"/>
        <v>10.007521619469314</v>
      </c>
      <c r="AO42" s="8">
        <f t="shared" si="9"/>
        <v>14.99194411878354</v>
      </c>
      <c r="AP42" s="8">
        <f t="shared" si="10"/>
        <v>37.427867931703886</v>
      </c>
      <c r="AQ42" s="8">
        <f t="shared" si="11"/>
        <v>33.839206747876645</v>
      </c>
      <c r="AR42" s="3">
        <f t="shared" si="12"/>
        <v>96.266540417833383</v>
      </c>
      <c r="AU42" s="3">
        <f t="array" ref="AU42">MIN(100,MAX(0,L42-AB42*5+$AI$16*(T42*AH$26+SUMPRODUCT($X42:$AA42,TRANSPOSE(AH$27:AH$30)))+$AJ$16*(T42*AH$31+SUMPRODUCT($X42:$AA42,TRANSPOSE(AH$32:AH$35)))+$AK$16*(T42*AH$36+SUMPRODUCT($X42:$AA42,TRANSPOSE(AH$37:AH$40)))))</f>
        <v>10.007521619469314</v>
      </c>
      <c r="AV42" s="75">
        <f t="array" ref="AV42">MIN(100,MAX(0,0.5*(M42-AC42*5+$AH$17*(U42*AI$26+SUMPRODUCT($X42:$AA42,TRANSPOSE(AI$27:AI$30)))+$AJ$17*(U42*AI$31+SUMPRODUCT($X42:$AA42,TRANSPOSE(AI$32:AI$35)))+$AK$17*(U42*AI$36+SUMPRODUCT($X42:$AA42,TRANSPOSE(AI$37:AI$40))))))</f>
        <v>14.68351826324875</v>
      </c>
      <c r="AW42" s="3">
        <f t="array" ref="AW42">MIN(100,MAX(0,N42-AD42*5+$AH$18*(V42*AJ$26+SUMPRODUCT($X42:$AA42,TRANSPOSE(AJ$27:AJ$30)))+$AI$18*(V42*AJ$31+SUMPRODUCT($X42:$AA42,TRANSPOSE(AJ$32:AJ$35)))+$AK$18*(V42*AJ$36+SUMPRODUCT($X42:$AA42,TRANSPOSE(AJ$37:AJ$40)))))</f>
        <v>37.427867931703886</v>
      </c>
      <c r="AX42" s="43">
        <f t="array" ref="AX42">MIN(100,MAX(0,O42+0.3*AY42+$AH$19*(W42*AK$26+SUMPRODUCT($X42:$AA42,TRANSPOSE(AK$27:AK$30)))+$AI$19*(W42*AK$31+SUMPRODUCT($X42:$AA42,TRANSPOSE(AK$32:AK$35)))+$AJ$19*(W42*AK$36+SUMPRODUCT($X42:$AA42,TRANSPOSE(AK$37:AK$40)))))</f>
        <v>33.839206747876645</v>
      </c>
      <c r="AY42" s="75">
        <f t="array" ref="AY42">MIN(100,MAX(0,M42-AC42*5+$AH$17*(U42*AI$26+SUMPRODUCT($X42:$AA42,TRANSPOSE(AI$27:AI$30)))+$AJ$17*(U42*AI$31+SUMPRODUCT($X42:$AA42,TRANSPOSE(AI$32:AI$35)))+$AK$17*(U42*AI$36+SUMPRODUCT($X42:$AA42,TRANSPOSE(AI$37:AI$40)))))</f>
        <v>29.3670365264975</v>
      </c>
      <c r="BA42">
        <f t="shared" si="13"/>
        <v>0</v>
      </c>
      <c r="BB42">
        <f t="shared" si="14"/>
        <v>0</v>
      </c>
      <c r="BC42">
        <f t="shared" si="15"/>
        <v>1</v>
      </c>
      <c r="BD42">
        <f t="shared" si="16"/>
        <v>0</v>
      </c>
      <c r="BG42">
        <f t="shared" si="17"/>
        <v>0</v>
      </c>
      <c r="BH42">
        <f t="shared" si="18"/>
        <v>0</v>
      </c>
      <c r="BI42">
        <f t="shared" si="19"/>
        <v>1</v>
      </c>
      <c r="BJ42">
        <f t="shared" si="20"/>
        <v>1</v>
      </c>
    </row>
    <row r="43" spans="1:62">
      <c r="A43" t="s">
        <v>692</v>
      </c>
      <c r="B43" t="s">
        <v>366</v>
      </c>
      <c r="C43" t="s">
        <v>723</v>
      </c>
      <c r="D43">
        <v>59042</v>
      </c>
      <c r="E43">
        <v>5902</v>
      </c>
      <c r="F43">
        <v>59</v>
      </c>
      <c r="G43">
        <v>23840</v>
      </c>
      <c r="H43">
        <v>12395</v>
      </c>
      <c r="I43">
        <v>11177</v>
      </c>
      <c r="J43">
        <v>3971</v>
      </c>
      <c r="K43">
        <v>52062</v>
      </c>
      <c r="L43" s="3">
        <f>G43/$K43*100</f>
        <v>45.791556221428294</v>
      </c>
      <c r="M43" s="3">
        <f>H43/$K43*100</f>
        <v>23.808151818985056</v>
      </c>
      <c r="N43" s="3">
        <f>I43/$K43*100</f>
        <v>21.468633552303025</v>
      </c>
      <c r="O43" s="3">
        <f>J43/$K43*100</f>
        <v>7.6274442011447885</v>
      </c>
      <c r="P43">
        <v>45.5</v>
      </c>
      <c r="Q43">
        <v>13.4</v>
      </c>
      <c r="R43">
        <v>32.5</v>
      </c>
      <c r="S43">
        <v>7.7</v>
      </c>
      <c r="T43">
        <f t="shared" si="4"/>
        <v>1</v>
      </c>
      <c r="U43">
        <f t="shared" si="5"/>
        <v>0</v>
      </c>
      <c r="V43">
        <f t="shared" si="6"/>
        <v>0</v>
      </c>
      <c r="W43">
        <f t="shared" si="7"/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N43" s="8">
        <f t="shared" si="8"/>
        <v>31.533571050092039</v>
      </c>
      <c r="AO43" s="8">
        <f t="shared" si="9"/>
        <v>43.929264380026716</v>
      </c>
      <c r="AP43" s="8">
        <f t="shared" si="10"/>
        <v>14.918396401252595</v>
      </c>
      <c r="AQ43" s="8">
        <f t="shared" si="11"/>
        <v>8.5061879418678128</v>
      </c>
      <c r="AR43" s="3">
        <f t="shared" si="12"/>
        <v>98.887419773239159</v>
      </c>
      <c r="AU43" s="3">
        <f t="array" ref="AU43">MIN(100,MAX(0,L43-AB43*5+$AI$16*(T43*AH$26+SUMPRODUCT($X43:$AA43,TRANSPOSE(AH$27:AH$30)))+$AJ$16*(T43*AH$31+SUMPRODUCT($X43:$AA43,TRANSPOSE(AH$32:AH$35)))+$AK$16*(T43*AH$36+SUMPRODUCT($X43:$AA43,TRANSPOSE(AH$37:AH$40)))))</f>
        <v>31.533571050092039</v>
      </c>
      <c r="AV43" s="3">
        <f t="array" ref="AV43">MIN(100,MAX(0,M43-AC43*5+$AH$17*(U43*AI$26+SUMPRODUCT($X43:$AA43,TRANSPOSE(AI$27:AI$30)))+$AJ$17*(U43*AI$31+SUMPRODUCT($X43:$AA43,TRANSPOSE(AI$32:AI$35)))+$AK$17*(U43*AI$36+SUMPRODUCT($X43:$AA43,TRANSPOSE(AI$37:AI$40)))))</f>
        <v>43.929264380026716</v>
      </c>
      <c r="AW43" s="3">
        <f t="array" ref="AW43">MIN(100,MAX(0,N43-AD43*5+$AH$18*(V43*AJ$26+SUMPRODUCT($X43:$AA43,TRANSPOSE(AJ$27:AJ$30)))+$AI$18*(V43*AJ$31+SUMPRODUCT($X43:$AA43,TRANSPOSE(AJ$32:AJ$35)))+$AK$18*(V43*AJ$36+SUMPRODUCT($X43:$AA43,TRANSPOSE(AJ$37:AJ$40)))))</f>
        <v>14.918396401252595</v>
      </c>
      <c r="AX43" s="3">
        <f t="array" ref="AX43">MIN(100,MAX(0,O43+$AH$19*(W43*AK$26+SUMPRODUCT($X43:$AA43,TRANSPOSE(AK$27:AK$30)))+$AI$19*(W43*AK$31+SUMPRODUCT($X43:$AA43,TRANSPOSE(AK$32:AK$35)))+$AJ$19*(W43*AK$36+SUMPRODUCT($X43:$AA43,TRANSPOSE(AK$37:AK$40)))))</f>
        <v>8.5061879418678128</v>
      </c>
      <c r="BA43">
        <f t="shared" si="13"/>
        <v>0</v>
      </c>
      <c r="BB43">
        <f t="shared" si="14"/>
        <v>1</v>
      </c>
      <c r="BC43">
        <f t="shared" si="15"/>
        <v>0</v>
      </c>
      <c r="BD43">
        <f t="shared" si="16"/>
        <v>0</v>
      </c>
      <c r="BG43">
        <f t="shared" si="17"/>
        <v>0</v>
      </c>
      <c r="BH43">
        <f t="shared" si="18"/>
        <v>1</v>
      </c>
      <c r="BI43">
        <f t="shared" si="19"/>
        <v>0</v>
      </c>
      <c r="BJ43">
        <f t="shared" si="20"/>
        <v>0</v>
      </c>
    </row>
    <row r="44" spans="1:62">
      <c r="L44" s="3"/>
      <c r="AG44" t="s">
        <v>3</v>
      </c>
    </row>
    <row r="45" spans="1:62">
      <c r="AG45" t="s">
        <v>724</v>
      </c>
      <c r="AH45" s="2">
        <f>SUMPRODUCT(AN$2:AN$43,$X$2:$X$43)/SUM($X$2:$X$43)</f>
        <v>26.496223493555309</v>
      </c>
      <c r="AI45" s="2">
        <f t="shared" ref="AI45:AJ45" si="42">SUMPRODUCT(AO$2:AO$43,$X$2:$X$43)/SUM($X$2:$X$43)</f>
        <v>24.527693017649728</v>
      </c>
      <c r="AJ45" s="2">
        <f t="shared" si="42"/>
        <v>30.150467658455447</v>
      </c>
      <c r="AK45" s="2">
        <f>SUMPRODUCT(AQ$2:AQ$43,$X$2:$X$43)/SUM($X$2:$X$43)</f>
        <v>19.205331921411439</v>
      </c>
      <c r="AN45" s="3">
        <f>AVERAGE(AN2:AN43)</f>
        <v>32.531880754312368</v>
      </c>
      <c r="AO45" s="3">
        <f>AVERAGE(AO2:AO43)</f>
        <v>32.326362052042398</v>
      </c>
      <c r="AP45" s="3">
        <f>AVERAGE(AP2:AP43)</f>
        <v>25.939424223638646</v>
      </c>
      <c r="AQ45" s="3">
        <f>AVERAGE(AQ2:AQ43)</f>
        <v>8.3690023219005418</v>
      </c>
      <c r="AU45" s="3">
        <f>AVERAGE(AU2:AU43)</f>
        <v>32.551836193158422</v>
      </c>
      <c r="AV45" s="3">
        <f>AVERAGE(AV2:AV43)</f>
        <v>32.258645536755438</v>
      </c>
      <c r="AW45" s="3">
        <f>AVERAGE(AW2:AW43)</f>
        <v>25.939424223638646</v>
      </c>
      <c r="AX45" s="3">
        <f>AVERAGE(AX2:AX43)</f>
        <v>8.3690023219005418</v>
      </c>
      <c r="AZ45" t="s">
        <v>405</v>
      </c>
      <c r="BA45">
        <f>SUM(BA2:BA43)</f>
        <v>18</v>
      </c>
      <c r="BB45">
        <f>SUM(BB2:BB43)</f>
        <v>11</v>
      </c>
      <c r="BC45">
        <f>SUM(BC2:BC43)</f>
        <v>12</v>
      </c>
      <c r="BD45">
        <f>SUM(BD2:BD43)</f>
        <v>1</v>
      </c>
    </row>
    <row r="46" spans="1:62">
      <c r="F46" t="s">
        <v>439</v>
      </c>
      <c r="AG46" t="s">
        <v>725</v>
      </c>
      <c r="AH46" s="2">
        <f>SUMPRODUCT(AN$2:AN$43,$Y$2:$Y$43)/SUM($Y$2:$Y$43)</f>
        <v>19.173759735251927</v>
      </c>
      <c r="AI46" s="2">
        <f t="shared" ref="AI46:AK46" si="43">SUMPRODUCT(AO$2:AO$43,$Y$2:$Y$43)/SUM($Y$2:$Y$43)</f>
        <v>44.250220095896417</v>
      </c>
      <c r="AJ46" s="2">
        <f t="shared" si="43"/>
        <v>27.725161898330274</v>
      </c>
      <c r="AK46" s="2">
        <f t="shared" si="43"/>
        <v>8.0440615603910093</v>
      </c>
    </row>
    <row r="47" spans="1:62">
      <c r="AG47" t="s">
        <v>726</v>
      </c>
      <c r="AH47" s="2">
        <f>SUMPRODUCT(AN$2:AN$43,$Z$2:$Z$43)/SUM($Z$2:$Z$43)</f>
        <v>33.556486063447409</v>
      </c>
      <c r="AI47" s="2">
        <f t="shared" ref="AI47:AK47" si="44">SUMPRODUCT(AO$2:AO$43,$Z$2:$Z$43)/SUM($Z$2:$Z$43)</f>
        <v>36.063714665733237</v>
      </c>
      <c r="AJ47" s="2">
        <f t="shared" si="44"/>
        <v>24.366184953833987</v>
      </c>
      <c r="AK47" s="2">
        <f t="shared" si="44"/>
        <v>5.3812802964066799</v>
      </c>
    </row>
    <row r="48" spans="1:62">
      <c r="F48" s="54" t="s">
        <v>727</v>
      </c>
      <c r="K48" t="s">
        <v>728</v>
      </c>
      <c r="L48" s="3">
        <v>23.627455848519457</v>
      </c>
      <c r="M48" s="3">
        <v>13.982819405134316</v>
      </c>
      <c r="N48" s="3">
        <v>50.778754324114075</v>
      </c>
      <c r="O48" s="3">
        <v>11.610970422232153</v>
      </c>
      <c r="Q48" t="s">
        <v>729</v>
      </c>
      <c r="AG48" t="s">
        <v>730</v>
      </c>
      <c r="AH48" s="2">
        <f>SUMPRODUCT(AN$2:AN$43,$AA$2:$AA$43)/SUM($AA$2:$AA$43)</f>
        <v>41.280217144676215</v>
      </c>
      <c r="AI48" s="2">
        <f t="shared" ref="AI48:AK48" si="45">SUMPRODUCT(AO$2:AO$43,$AA$2:$AA$43)/SUM($AA$2:$AA$43)</f>
        <v>25.619073764115758</v>
      </c>
      <c r="AJ48" s="2">
        <f t="shared" si="45"/>
        <v>24.818869014872956</v>
      </c>
      <c r="AK48" s="2">
        <f t="shared" si="45"/>
        <v>6.4428866390569128</v>
      </c>
    </row>
    <row r="49" spans="11:37">
      <c r="K49" t="s">
        <v>731</v>
      </c>
      <c r="L49">
        <v>14.49</v>
      </c>
      <c r="M49">
        <v>13.06</v>
      </c>
      <c r="N49">
        <v>37.17</v>
      </c>
      <c r="O49">
        <v>34.299999999999997</v>
      </c>
      <c r="Q49">
        <v>39.6</v>
      </c>
      <c r="R49">
        <v>19.95</v>
      </c>
      <c r="S49">
        <v>34.325000000000003</v>
      </c>
      <c r="T49">
        <v>5.0250000000000004</v>
      </c>
    </row>
    <row r="50" spans="11:37">
      <c r="K50" t="s">
        <v>442</v>
      </c>
      <c r="L50" s="3">
        <f>L48+(Q49-AH5)</f>
        <v>17.727455848519458</v>
      </c>
      <c r="M50" s="3">
        <f>M48+(R49-AI5)</f>
        <v>20.532819405134315</v>
      </c>
      <c r="N50" s="3">
        <f>N48+(S49-AJ5)</f>
        <v>52.603754324114078</v>
      </c>
      <c r="O50" s="3">
        <f>O48+(T49-AK5)</f>
        <v>8.9359704222321525</v>
      </c>
    </row>
    <row r="51" spans="11:37">
      <c r="K51" t="s">
        <v>443</v>
      </c>
      <c r="L51" s="3">
        <f>L48+0.5*(L49-L50)</f>
        <v>22.008727924259727</v>
      </c>
      <c r="M51" s="3">
        <f>M48+0.5*(M49-M50)</f>
        <v>10.24640970256716</v>
      </c>
      <c r="N51" s="3">
        <f t="shared" ref="N51" si="46">N48+0.5*(N49-N50)</f>
        <v>43.061877162057037</v>
      </c>
      <c r="O51" s="3">
        <f>O48+0.5*(O49-O50)</f>
        <v>24.292985211116076</v>
      </c>
    </row>
    <row r="56" spans="11:37">
      <c r="AG56" t="s">
        <v>664</v>
      </c>
    </row>
    <row r="57" spans="11:37">
      <c r="AH57" t="s">
        <v>478</v>
      </c>
      <c r="AI57" t="s">
        <v>479</v>
      </c>
      <c r="AJ57" t="s">
        <v>480</v>
      </c>
      <c r="AK57" t="s">
        <v>481</v>
      </c>
    </row>
    <row r="58" spans="11:37">
      <c r="AG58" t="s">
        <v>429</v>
      </c>
      <c r="AH58">
        <v>3.84684E-2</v>
      </c>
      <c r="AI58">
        <v>-5.4700899999999997E-2</v>
      </c>
      <c r="AJ58">
        <v>-0.2485473</v>
      </c>
      <c r="AK58">
        <v>0</v>
      </c>
    </row>
    <row r="59" spans="11:37">
      <c r="AG59" t="s">
        <v>687</v>
      </c>
      <c r="AH59">
        <v>0.65148680000000003</v>
      </c>
      <c r="AI59">
        <v>1.2562709999999999</v>
      </c>
      <c r="AJ59">
        <v>1.024915</v>
      </c>
      <c r="AK59">
        <v>0.98700509999999997</v>
      </c>
    </row>
    <row r="60" spans="11:37">
      <c r="AG60" t="s">
        <v>688</v>
      </c>
      <c r="AH60">
        <v>0.98002370000000005</v>
      </c>
      <c r="AI60">
        <v>1.0638080000000001</v>
      </c>
      <c r="AJ60">
        <v>0.96521210000000002</v>
      </c>
      <c r="AK60">
        <v>0.99334549999999999</v>
      </c>
    </row>
    <row r="61" spans="11:37">
      <c r="AG61" t="s">
        <v>716</v>
      </c>
      <c r="AH61">
        <v>1.2163330000000001</v>
      </c>
      <c r="AI61">
        <v>0.96108369999999999</v>
      </c>
      <c r="AJ61">
        <v>1.1012850000000001</v>
      </c>
      <c r="AK61">
        <v>0.92713610000000002</v>
      </c>
    </row>
    <row r="62" spans="11:37">
      <c r="AG62" t="s">
        <v>718</v>
      </c>
      <c r="AH62">
        <v>0.86131500000000005</v>
      </c>
      <c r="AI62">
        <v>0.96631310000000004</v>
      </c>
      <c r="AJ62">
        <v>1.0933299999999999</v>
      </c>
      <c r="AK62">
        <v>1.1211869999999999</v>
      </c>
    </row>
  </sheetData>
  <sortState ref="A3:AA44">
    <sortCondition ref="B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zoomScale="80" zoomScaleNormal="80" workbookViewId="0">
      <pane xSplit="2" ySplit="1" topLeftCell="C2" activePane="bottomRight" state="frozen"/>
      <selection pane="bottomLeft" activeCell="A2" sqref="A2"/>
      <selection pane="topRight" activeCell="C1" sqref="C1"/>
      <selection pane="bottomRight" activeCell="AE22" sqref="AE22"/>
    </sheetView>
  </sheetViews>
  <sheetFormatPr defaultRowHeight="15"/>
  <sheetData>
    <row r="1" spans="1:48">
      <c r="A1" t="s">
        <v>377</v>
      </c>
      <c r="B1" t="s">
        <v>375</v>
      </c>
      <c r="C1" t="s">
        <v>376</v>
      </c>
      <c r="E1" t="s">
        <v>732</v>
      </c>
      <c r="F1" t="s">
        <v>733</v>
      </c>
      <c r="G1" t="s">
        <v>734</v>
      </c>
      <c r="H1" t="s">
        <v>735</v>
      </c>
      <c r="I1" t="s">
        <v>383</v>
      </c>
      <c r="J1" t="s">
        <v>384</v>
      </c>
      <c r="K1" t="s">
        <v>385</v>
      </c>
      <c r="L1" t="s">
        <v>386</v>
      </c>
      <c r="M1" t="s">
        <v>391</v>
      </c>
      <c r="N1" t="s">
        <v>392</v>
      </c>
      <c r="O1" t="s">
        <v>393</v>
      </c>
      <c r="P1" t="s">
        <v>394</v>
      </c>
      <c r="Y1" t="s">
        <v>402</v>
      </c>
      <c r="Z1" t="s">
        <v>478</v>
      </c>
      <c r="AA1" t="s">
        <v>479</v>
      </c>
      <c r="AB1" t="s">
        <v>480</v>
      </c>
      <c r="AC1" t="s">
        <v>481</v>
      </c>
      <c r="AD1" t="s">
        <v>405</v>
      </c>
      <c r="AF1" t="s">
        <v>406</v>
      </c>
      <c r="AG1" t="s">
        <v>478</v>
      </c>
      <c r="AH1" t="s">
        <v>479</v>
      </c>
      <c r="AI1" t="s">
        <v>480</v>
      </c>
      <c r="AJ1" t="s">
        <v>481</v>
      </c>
      <c r="AL1" t="s">
        <v>736</v>
      </c>
      <c r="AM1" t="s">
        <v>478</v>
      </c>
      <c r="AN1" t="s">
        <v>479</v>
      </c>
      <c r="AO1" t="s">
        <v>480</v>
      </c>
      <c r="AP1" t="s">
        <v>481</v>
      </c>
      <c r="AR1" t="s">
        <v>409</v>
      </c>
      <c r="AS1" t="s">
        <v>478</v>
      </c>
      <c r="AT1" t="s">
        <v>479</v>
      </c>
      <c r="AU1" t="s">
        <v>480</v>
      </c>
      <c r="AV1" t="s">
        <v>481</v>
      </c>
    </row>
    <row r="2" spans="1:48">
      <c r="A2" t="s">
        <v>368</v>
      </c>
      <c r="B2" t="s">
        <v>368</v>
      </c>
      <c r="C2">
        <v>60001</v>
      </c>
      <c r="E2">
        <v>5422</v>
      </c>
      <c r="F2">
        <v>5290</v>
      </c>
      <c r="G2">
        <v>2308</v>
      </c>
      <c r="H2">
        <v>3037</v>
      </c>
      <c r="I2">
        <v>33.799999999999997</v>
      </c>
      <c r="J2">
        <v>32.9</v>
      </c>
      <c r="K2">
        <v>14.4</v>
      </c>
      <c r="L2">
        <v>18.899999999999999</v>
      </c>
      <c r="M2">
        <v>1</v>
      </c>
      <c r="N2">
        <v>0</v>
      </c>
      <c r="O2">
        <v>0</v>
      </c>
      <c r="P2">
        <v>0</v>
      </c>
      <c r="T2" t="s">
        <v>478</v>
      </c>
      <c r="U2" t="s">
        <v>479</v>
      </c>
      <c r="V2" t="s">
        <v>480</v>
      </c>
      <c r="W2" t="s">
        <v>481</v>
      </c>
      <c r="Z2" s="8">
        <f t="shared" ref="Z2:AC4" si="0">(1-AS2*T$7-(1-AS2)*T$9)*AG2+AS2*T$7*(T$4+T$4/T$6*(AG2-T$4))+(1-AS2)*T$9*(AG2+(T$4-T$8)/(100-T$8)*(T$4-AG2))</f>
        <v>26.719287743456917</v>
      </c>
      <c r="AA2" s="8">
        <f t="shared" si="0"/>
        <v>50.775820066280687</v>
      </c>
      <c r="AB2" s="8">
        <f t="shared" si="0"/>
        <v>13.169000556328228</v>
      </c>
      <c r="AC2" s="8">
        <f t="shared" si="0"/>
        <v>11.043970291690282</v>
      </c>
      <c r="AD2">
        <f>SUM(Z2:AC2)</f>
        <v>101.70807865775612</v>
      </c>
      <c r="AG2">
        <f t="shared" ref="AG2:AJ4" si="1">MIN(100,MAX(0,I2+T$5))</f>
        <v>26.719287743456917</v>
      </c>
      <c r="AH2">
        <f t="shared" si="1"/>
        <v>50.775820066280687</v>
      </c>
      <c r="AI2" s="54">
        <f t="array" ref="AI2">MIN(100,MAX(0,K2+8+V$5))</f>
        <v>13.169000556328228</v>
      </c>
      <c r="AJ2" s="54">
        <f t="array" ref="AJ2">MIN(100,MAX(0,L2-8+W$5))</f>
        <v>11.043970291690282</v>
      </c>
      <c r="AM2">
        <f t="shared" ref="AM2:AP4" si="2">IF(Z2=MAX($Z2:$AC2),1,0)</f>
        <v>0</v>
      </c>
      <c r="AN2">
        <f t="shared" si="2"/>
        <v>1</v>
      </c>
      <c r="AO2">
        <f t="shared" si="2"/>
        <v>0</v>
      </c>
      <c r="AP2">
        <f t="shared" si="2"/>
        <v>0</v>
      </c>
      <c r="AS2">
        <f t="shared" ref="AS2:AV4" si="3">IF(AG2&gt;T$4,1,0)</f>
        <v>0</v>
      </c>
      <c r="AT2">
        <f t="shared" si="3"/>
        <v>1</v>
      </c>
      <c r="AU2">
        <f t="shared" si="3"/>
        <v>0</v>
      </c>
      <c r="AV2">
        <f t="shared" si="3"/>
        <v>1</v>
      </c>
    </row>
    <row r="3" spans="1:48">
      <c r="A3" t="s">
        <v>737</v>
      </c>
      <c r="B3" t="s">
        <v>369</v>
      </c>
      <c r="C3">
        <v>60002</v>
      </c>
      <c r="E3">
        <v>5001</v>
      </c>
      <c r="F3">
        <v>2872</v>
      </c>
      <c r="G3">
        <v>7140</v>
      </c>
      <c r="H3">
        <v>477</v>
      </c>
      <c r="I3">
        <v>32.1</v>
      </c>
      <c r="J3">
        <v>18.399999999999999</v>
      </c>
      <c r="K3">
        <v>45.8</v>
      </c>
      <c r="L3">
        <v>3.1</v>
      </c>
      <c r="M3">
        <v>0</v>
      </c>
      <c r="N3">
        <v>0</v>
      </c>
      <c r="O3">
        <v>1</v>
      </c>
      <c r="P3">
        <v>0</v>
      </c>
      <c r="S3">
        <v>2011</v>
      </c>
      <c r="T3" s="38">
        <v>39.619999999999997</v>
      </c>
      <c r="U3" s="38">
        <v>18.91</v>
      </c>
      <c r="V3" s="38">
        <v>30.63</v>
      </c>
      <c r="W3" s="38">
        <v>3.91</v>
      </c>
      <c r="Z3" s="8">
        <f t="shared" si="0"/>
        <v>25.019287743456921</v>
      </c>
      <c r="AA3" s="8">
        <f t="shared" si="0"/>
        <v>36.275820066280687</v>
      </c>
      <c r="AB3" s="8">
        <f t="shared" si="0"/>
        <v>36.569000556328227</v>
      </c>
      <c r="AC3" s="8">
        <f t="shared" si="0"/>
        <v>3.2439702916902848</v>
      </c>
      <c r="AD3">
        <f>SUM(Z3:AC3)</f>
        <v>101.10807865775612</v>
      </c>
      <c r="AG3">
        <f t="shared" si="1"/>
        <v>25.019287743456921</v>
      </c>
      <c r="AH3">
        <f t="shared" si="1"/>
        <v>36.275820066280687</v>
      </c>
      <c r="AI3">
        <f t="shared" si="1"/>
        <v>36.569000556328227</v>
      </c>
      <c r="AJ3">
        <f t="shared" si="1"/>
        <v>3.2439702916902848</v>
      </c>
      <c r="AM3">
        <f t="shared" si="2"/>
        <v>0</v>
      </c>
      <c r="AN3">
        <f t="shared" si="2"/>
        <v>0</v>
      </c>
      <c r="AO3">
        <f t="shared" si="2"/>
        <v>1</v>
      </c>
      <c r="AP3">
        <f t="shared" si="2"/>
        <v>0</v>
      </c>
      <c r="AS3">
        <f t="shared" si="3"/>
        <v>0</v>
      </c>
      <c r="AT3">
        <f t="shared" si="3"/>
        <v>0</v>
      </c>
      <c r="AU3">
        <f t="shared" si="3"/>
        <v>1</v>
      </c>
      <c r="AV3">
        <f t="shared" si="3"/>
        <v>0</v>
      </c>
    </row>
    <row r="4" spans="1:48">
      <c r="A4" t="s">
        <v>370</v>
      </c>
      <c r="B4" t="s">
        <v>370</v>
      </c>
      <c r="C4">
        <v>60003</v>
      </c>
      <c r="E4">
        <v>3930</v>
      </c>
      <c r="F4">
        <v>2260</v>
      </c>
      <c r="G4">
        <v>1525</v>
      </c>
      <c r="H4">
        <v>160</v>
      </c>
      <c r="I4">
        <v>49.9</v>
      </c>
      <c r="J4">
        <v>28.7</v>
      </c>
      <c r="K4">
        <v>19.399999999999999</v>
      </c>
      <c r="L4">
        <v>2</v>
      </c>
      <c r="M4">
        <v>1</v>
      </c>
      <c r="N4">
        <v>0</v>
      </c>
      <c r="O4">
        <v>0</v>
      </c>
      <c r="P4">
        <v>0</v>
      </c>
      <c r="S4">
        <v>2015</v>
      </c>
      <c r="T4" s="38">
        <f>projections!C10</f>
        <v>32.539287743456917</v>
      </c>
      <c r="U4" s="38">
        <f>projections!D10</f>
        <v>36.785820066280685</v>
      </c>
      <c r="V4" s="38">
        <f>projections!E10</f>
        <v>21.399000556328229</v>
      </c>
      <c r="W4" s="38">
        <f>projections!F10</f>
        <v>4.0539702916902849</v>
      </c>
      <c r="Z4" s="8">
        <f t="shared" si="0"/>
        <v>42.819287743456918</v>
      </c>
      <c r="AA4" s="8">
        <f t="shared" si="0"/>
        <v>46.575820066280684</v>
      </c>
      <c r="AB4" s="8">
        <f t="shared" si="0"/>
        <v>10.169000556328228</v>
      </c>
      <c r="AC4" s="8">
        <f t="shared" si="0"/>
        <v>2.1439702916902847</v>
      </c>
      <c r="AD4">
        <f>SUM(Z4:AC4)</f>
        <v>101.7080786577561</v>
      </c>
      <c r="AG4">
        <f t="shared" si="1"/>
        <v>42.819287743456918</v>
      </c>
      <c r="AH4">
        <f t="shared" si="1"/>
        <v>46.575820066280684</v>
      </c>
      <c r="AI4">
        <f t="shared" si="1"/>
        <v>10.169000556328228</v>
      </c>
      <c r="AJ4">
        <f t="shared" si="1"/>
        <v>2.1439702916902847</v>
      </c>
      <c r="AM4">
        <f t="shared" si="2"/>
        <v>0</v>
      </c>
      <c r="AN4">
        <f t="shared" si="2"/>
        <v>1</v>
      </c>
      <c r="AO4">
        <f t="shared" si="2"/>
        <v>0</v>
      </c>
      <c r="AP4">
        <f t="shared" si="2"/>
        <v>0</v>
      </c>
      <c r="AS4">
        <f t="shared" si="3"/>
        <v>1</v>
      </c>
      <c r="AT4">
        <f t="shared" si="3"/>
        <v>1</v>
      </c>
      <c r="AU4">
        <f t="shared" si="3"/>
        <v>0</v>
      </c>
      <c r="AV4">
        <f t="shared" si="3"/>
        <v>0</v>
      </c>
    </row>
    <row r="5" spans="1:48">
      <c r="S5" t="s">
        <v>415</v>
      </c>
      <c r="T5" s="38">
        <f>T4-T3</f>
        <v>-7.0807122565430802</v>
      </c>
      <c r="U5" s="38">
        <f>U4-U3</f>
        <v>17.875820066280685</v>
      </c>
      <c r="V5" s="38">
        <f>V4-V3</f>
        <v>-9.2309994436717702</v>
      </c>
      <c r="W5" s="38">
        <f>W4-W3</f>
        <v>0.14397029169028475</v>
      </c>
    </row>
    <row r="6" spans="1:48">
      <c r="S6" t="s">
        <v>417</v>
      </c>
      <c r="T6">
        <v>27</v>
      </c>
      <c r="U6">
        <v>15</v>
      </c>
      <c r="V6">
        <v>15</v>
      </c>
      <c r="W6">
        <v>2</v>
      </c>
      <c r="Z6" s="3">
        <f>AVERAGE(Z2:Z4)</f>
        <v>31.519287743456918</v>
      </c>
      <c r="AA6" s="3">
        <f>AVERAGE(AA2:AA4)</f>
        <v>44.54248673294736</v>
      </c>
      <c r="AB6" s="3">
        <f>AVERAGE(AB2:AB4)</f>
        <v>19.969000556328229</v>
      </c>
      <c r="AC6" s="3">
        <f>AVERAGE(AC2:AC4)</f>
        <v>5.4773036250236169</v>
      </c>
      <c r="AM6">
        <f>SUM(AM2:AM4)</f>
        <v>0</v>
      </c>
      <c r="AN6">
        <f>SUM(AN2:AN4)</f>
        <v>2</v>
      </c>
      <c r="AO6">
        <f>SUM(AO2:AO4)</f>
        <v>1</v>
      </c>
      <c r="AP6">
        <f>SUM(AP2:AP4)</f>
        <v>0</v>
      </c>
    </row>
    <row r="7" spans="1:48">
      <c r="S7" t="s">
        <v>419</v>
      </c>
      <c r="T7">
        <f>IF(T4&lt;T6,1,0)</f>
        <v>0</v>
      </c>
      <c r="U7">
        <f>IF(U4&lt;U6,1,0)</f>
        <v>0</v>
      </c>
      <c r="V7">
        <f>IF(V4&lt;V6,1,0)</f>
        <v>0</v>
      </c>
      <c r="W7">
        <f>IF(W4&lt;W6,1,0)</f>
        <v>0</v>
      </c>
    </row>
    <row r="8" spans="1:48">
      <c r="S8" t="s">
        <v>544</v>
      </c>
      <c r="T8">
        <v>42</v>
      </c>
      <c r="U8">
        <v>39</v>
      </c>
      <c r="V8">
        <v>33</v>
      </c>
      <c r="W8">
        <v>7</v>
      </c>
    </row>
    <row r="9" spans="1:48">
      <c r="S9" t="s">
        <v>545</v>
      </c>
      <c r="T9">
        <f>IF(T4&gt;T8,1,0)</f>
        <v>0</v>
      </c>
      <c r="U9">
        <f>IF(U4&gt;U8,1,0)</f>
        <v>0</v>
      </c>
      <c r="V9">
        <f>IF(V4&gt;V8,1,0)</f>
        <v>0</v>
      </c>
      <c r="W9">
        <f>IF(W4&gt;W8,1,0)</f>
        <v>0</v>
      </c>
    </row>
    <row r="12" spans="1:48">
      <c r="S12" t="s">
        <v>3</v>
      </c>
      <c r="T12" s="3">
        <f>Z6</f>
        <v>31.519287743456918</v>
      </c>
      <c r="U12" s="3">
        <f>AA6</f>
        <v>44.54248673294736</v>
      </c>
      <c r="V12" s="3">
        <f>AB6</f>
        <v>19.969000556328229</v>
      </c>
      <c r="W12" s="3">
        <f>AC6</f>
        <v>5.4773036250236169</v>
      </c>
    </row>
    <row r="13" spans="1:48">
      <c r="S13" t="s">
        <v>425</v>
      </c>
      <c r="T13">
        <f>AM6</f>
        <v>0</v>
      </c>
      <c r="U13">
        <f>AN6</f>
        <v>2</v>
      </c>
      <c r="V13">
        <f>AO6</f>
        <v>1</v>
      </c>
      <c r="W13">
        <f>AP6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7"/>
  <sheetViews>
    <sheetView zoomScale="80" zoomScaleNormal="80" workbookViewId="0">
      <selection activeCell="B3" sqref="B3:G337"/>
    </sheetView>
  </sheetViews>
  <sheetFormatPr defaultRowHeight="15"/>
  <cols>
    <col min="1" max="1" width="23.140625" customWidth="1"/>
  </cols>
  <sheetData>
    <row r="2" spans="1:17">
      <c r="B2" s="19" t="s">
        <v>4</v>
      </c>
      <c r="C2" s="20" t="s">
        <v>5</v>
      </c>
      <c r="D2" s="21" t="s">
        <v>6</v>
      </c>
      <c r="E2" s="22" t="s">
        <v>7</v>
      </c>
      <c r="F2" s="23" t="s">
        <v>8</v>
      </c>
      <c r="G2" s="74" t="s">
        <v>738</v>
      </c>
      <c r="J2" t="s">
        <v>739</v>
      </c>
      <c r="L2" s="19" t="s">
        <v>4</v>
      </c>
      <c r="M2" s="20" t="s">
        <v>5</v>
      </c>
      <c r="N2" s="21" t="s">
        <v>6</v>
      </c>
      <c r="O2" s="22" t="s">
        <v>7</v>
      </c>
      <c r="P2" s="23" t="s">
        <v>8</v>
      </c>
    </row>
    <row r="3" spans="1:17">
      <c r="A3" t="s">
        <v>24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f>SUM(B3:G3)</f>
        <v>1</v>
      </c>
      <c r="L3">
        <v>0.1061</v>
      </c>
      <c r="M3">
        <v>0.89390000000000003</v>
      </c>
      <c r="N3">
        <v>0</v>
      </c>
      <c r="O3">
        <v>0</v>
      </c>
      <c r="P3">
        <v>0</v>
      </c>
      <c r="Q3">
        <f>SUM(L3:P3)</f>
        <v>1</v>
      </c>
    </row>
    <row r="4" spans="1:17">
      <c r="A4" t="s">
        <v>25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f t="shared" ref="H4:H67" si="0">SUM(B4:G4)</f>
        <v>1</v>
      </c>
    </row>
    <row r="5" spans="1:17">
      <c r="A5" t="s">
        <v>26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f t="shared" si="0"/>
        <v>1</v>
      </c>
      <c r="J5" t="s">
        <v>740</v>
      </c>
    </row>
    <row r="6" spans="1:17">
      <c r="A6" t="s">
        <v>27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f t="shared" si="0"/>
        <v>1</v>
      </c>
      <c r="L6">
        <v>0</v>
      </c>
      <c r="M6">
        <v>3.245E-2</v>
      </c>
      <c r="N6">
        <v>0</v>
      </c>
      <c r="O6">
        <v>0</v>
      </c>
      <c r="P6">
        <v>0</v>
      </c>
      <c r="Q6">
        <v>5000</v>
      </c>
    </row>
    <row r="7" spans="1:17">
      <c r="A7" t="s">
        <v>28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f t="shared" si="0"/>
        <v>1</v>
      </c>
    </row>
    <row r="8" spans="1:17">
      <c r="A8" t="s">
        <v>29</v>
      </c>
      <c r="B8">
        <v>0</v>
      </c>
      <c r="C8">
        <v>1.8E-3</v>
      </c>
      <c r="D8">
        <v>0.99819999999999998</v>
      </c>
      <c r="E8">
        <v>0</v>
      </c>
      <c r="F8">
        <v>0</v>
      </c>
      <c r="G8">
        <v>0</v>
      </c>
      <c r="H8">
        <f t="shared" si="0"/>
        <v>1</v>
      </c>
    </row>
    <row r="9" spans="1:17">
      <c r="A9" t="s">
        <v>30</v>
      </c>
      <c r="B9">
        <v>0</v>
      </c>
      <c r="C9">
        <v>0.98599999999999999</v>
      </c>
      <c r="D9">
        <v>1.4E-2</v>
      </c>
      <c r="E9">
        <v>0</v>
      </c>
      <c r="F9">
        <v>0</v>
      </c>
      <c r="G9">
        <v>0</v>
      </c>
      <c r="H9">
        <f t="shared" si="0"/>
        <v>1</v>
      </c>
    </row>
    <row r="10" spans="1:17">
      <c r="A10" t="s">
        <v>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f t="shared" si="0"/>
        <v>1</v>
      </c>
    </row>
    <row r="11" spans="1:17">
      <c r="A11" t="s">
        <v>33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f t="shared" si="0"/>
        <v>1</v>
      </c>
    </row>
    <row r="12" spans="1:17">
      <c r="A12" t="s">
        <v>34</v>
      </c>
      <c r="B12">
        <v>2.0500000000000002E-3</v>
      </c>
      <c r="C12">
        <v>0.99795</v>
      </c>
      <c r="D12">
        <v>0</v>
      </c>
      <c r="E12">
        <v>0</v>
      </c>
      <c r="F12">
        <v>0</v>
      </c>
      <c r="G12">
        <v>0</v>
      </c>
      <c r="H12">
        <f t="shared" si="0"/>
        <v>1</v>
      </c>
    </row>
    <row r="13" spans="1:17">
      <c r="A13" t="s">
        <v>35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f t="shared" si="0"/>
        <v>1</v>
      </c>
    </row>
    <row r="14" spans="1:17">
      <c r="A14" t="s">
        <v>37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f t="shared" si="0"/>
        <v>1</v>
      </c>
    </row>
    <row r="15" spans="1:17">
      <c r="A15" t="s">
        <v>38</v>
      </c>
      <c r="B15">
        <v>8.5999999999999993E-2</v>
      </c>
      <c r="C15">
        <v>0.91374999999999995</v>
      </c>
      <c r="D15">
        <v>2.5000000000000001E-4</v>
      </c>
      <c r="E15">
        <v>0</v>
      </c>
      <c r="F15">
        <v>0</v>
      </c>
      <c r="G15">
        <v>0</v>
      </c>
      <c r="H15">
        <f t="shared" si="0"/>
        <v>0.99999999999999989</v>
      </c>
    </row>
    <row r="16" spans="1:17">
      <c r="A16" t="s">
        <v>39</v>
      </c>
      <c r="B16">
        <v>6.1000000000000004E-3</v>
      </c>
      <c r="C16">
        <v>0.99390000000000001</v>
      </c>
      <c r="D16">
        <v>0</v>
      </c>
      <c r="E16">
        <v>0</v>
      </c>
      <c r="F16">
        <v>0</v>
      </c>
      <c r="G16">
        <v>0</v>
      </c>
      <c r="H16">
        <f t="shared" si="0"/>
        <v>1</v>
      </c>
    </row>
    <row r="17" spans="1:8">
      <c r="A17" t="s">
        <v>40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f t="shared" si="0"/>
        <v>1</v>
      </c>
    </row>
    <row r="18" spans="1:8">
      <c r="A18" t="s">
        <v>41</v>
      </c>
      <c r="B18">
        <v>0</v>
      </c>
      <c r="C18">
        <v>0.86219999999999997</v>
      </c>
      <c r="D18">
        <v>0.13780000000000001</v>
      </c>
      <c r="E18">
        <v>0</v>
      </c>
      <c r="F18">
        <v>0</v>
      </c>
      <c r="G18">
        <v>0</v>
      </c>
      <c r="H18">
        <f t="shared" si="0"/>
        <v>1</v>
      </c>
    </row>
    <row r="19" spans="1:8">
      <c r="A19" t="s">
        <v>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f t="shared" si="0"/>
        <v>1</v>
      </c>
    </row>
    <row r="20" spans="1:8">
      <c r="A20" t="s">
        <v>43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f t="shared" si="0"/>
        <v>1</v>
      </c>
    </row>
    <row r="21" spans="1:8">
      <c r="A21" t="s">
        <v>44</v>
      </c>
      <c r="B21">
        <v>0</v>
      </c>
      <c r="C21">
        <v>0.17829999999999999</v>
      </c>
      <c r="D21">
        <v>0.82169999999999999</v>
      </c>
      <c r="E21">
        <v>0</v>
      </c>
      <c r="F21">
        <v>0</v>
      </c>
      <c r="G21">
        <v>0</v>
      </c>
      <c r="H21">
        <f t="shared" si="0"/>
        <v>1</v>
      </c>
    </row>
    <row r="22" spans="1:8">
      <c r="A22" t="s">
        <v>45</v>
      </c>
      <c r="B22" s="76">
        <v>0</v>
      </c>
      <c r="C22">
        <v>0.99345000000000006</v>
      </c>
      <c r="D22">
        <v>6.5500000000000003E-3</v>
      </c>
      <c r="E22">
        <v>0</v>
      </c>
      <c r="F22">
        <v>0</v>
      </c>
      <c r="G22">
        <v>0</v>
      </c>
      <c r="H22">
        <f t="shared" si="0"/>
        <v>1</v>
      </c>
    </row>
    <row r="23" spans="1:8">
      <c r="A23" t="s">
        <v>46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f t="shared" si="0"/>
        <v>1</v>
      </c>
    </row>
    <row r="24" spans="1:8">
      <c r="A24" t="s">
        <v>47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f t="shared" si="0"/>
        <v>1</v>
      </c>
    </row>
    <row r="25" spans="1:8">
      <c r="A25" t="s">
        <v>49</v>
      </c>
      <c r="B25">
        <v>0</v>
      </c>
      <c r="C25">
        <v>4.0399999999999998E-2</v>
      </c>
      <c r="D25">
        <v>0.95960000000000001</v>
      </c>
      <c r="E25">
        <v>0</v>
      </c>
      <c r="F25">
        <v>0</v>
      </c>
      <c r="G25">
        <v>0</v>
      </c>
      <c r="H25">
        <f t="shared" si="0"/>
        <v>1</v>
      </c>
    </row>
    <row r="26" spans="1:8">
      <c r="A26" t="s">
        <v>50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f t="shared" si="0"/>
        <v>1</v>
      </c>
    </row>
    <row r="27" spans="1:8">
      <c r="A27" t="s">
        <v>51</v>
      </c>
      <c r="B27">
        <v>1.2999999999999999E-3</v>
      </c>
      <c r="C27">
        <v>0.99870000000000003</v>
      </c>
      <c r="D27">
        <v>0</v>
      </c>
      <c r="E27">
        <v>0</v>
      </c>
      <c r="F27">
        <v>0</v>
      </c>
      <c r="G27">
        <v>0</v>
      </c>
      <c r="H27">
        <f t="shared" si="0"/>
        <v>1</v>
      </c>
    </row>
    <row r="28" spans="1:8">
      <c r="A28" t="s">
        <v>52</v>
      </c>
      <c r="B28">
        <v>0.44424999999999998</v>
      </c>
      <c r="C28">
        <v>0.55569999999999997</v>
      </c>
      <c r="D28" s="76">
        <v>5.0000000000000002E-5</v>
      </c>
      <c r="E28">
        <v>0</v>
      </c>
      <c r="F28">
        <v>0</v>
      </c>
      <c r="G28">
        <v>0</v>
      </c>
      <c r="H28">
        <f t="shared" si="0"/>
        <v>0.99999999999999989</v>
      </c>
    </row>
    <row r="29" spans="1:8">
      <c r="A29" t="s">
        <v>53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f t="shared" si="0"/>
        <v>1</v>
      </c>
    </row>
    <row r="30" spans="1:8">
      <c r="A30" t="s">
        <v>54</v>
      </c>
      <c r="B30">
        <v>2.8649999999999998E-2</v>
      </c>
      <c r="C30">
        <v>0.97135000000000005</v>
      </c>
      <c r="D30">
        <v>0</v>
      </c>
      <c r="E30">
        <v>0</v>
      </c>
      <c r="F30">
        <v>0</v>
      </c>
      <c r="G30">
        <v>0</v>
      </c>
      <c r="H30">
        <f t="shared" si="0"/>
        <v>1</v>
      </c>
    </row>
    <row r="31" spans="1:8">
      <c r="A31" t="s">
        <v>55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f t="shared" si="0"/>
        <v>1</v>
      </c>
    </row>
    <row r="32" spans="1:8">
      <c r="A32" t="s">
        <v>56</v>
      </c>
      <c r="B32">
        <v>0.26474999999999999</v>
      </c>
      <c r="C32">
        <v>0.73524999999999996</v>
      </c>
      <c r="D32">
        <v>0</v>
      </c>
      <c r="E32">
        <v>0</v>
      </c>
      <c r="F32">
        <v>0</v>
      </c>
      <c r="G32">
        <v>0</v>
      </c>
      <c r="H32">
        <f t="shared" si="0"/>
        <v>1</v>
      </c>
    </row>
    <row r="33" spans="1:8">
      <c r="A33" t="s">
        <v>57</v>
      </c>
      <c r="B33">
        <v>0.10440000000000001</v>
      </c>
      <c r="C33">
        <v>0.89559999999999995</v>
      </c>
      <c r="D33" s="76">
        <v>0</v>
      </c>
      <c r="E33">
        <v>0</v>
      </c>
      <c r="F33">
        <v>0</v>
      </c>
      <c r="G33">
        <v>0</v>
      </c>
      <c r="H33">
        <f t="shared" si="0"/>
        <v>1</v>
      </c>
    </row>
    <row r="34" spans="1:8">
      <c r="A34" t="s">
        <v>58</v>
      </c>
      <c r="B34">
        <v>0.19525000000000001</v>
      </c>
      <c r="C34">
        <v>0.80474999999999997</v>
      </c>
      <c r="D34">
        <v>0</v>
      </c>
      <c r="E34">
        <v>0</v>
      </c>
      <c r="F34">
        <v>0</v>
      </c>
      <c r="G34">
        <v>0</v>
      </c>
      <c r="H34">
        <f t="shared" si="0"/>
        <v>1</v>
      </c>
    </row>
    <row r="35" spans="1:8">
      <c r="A35" t="s">
        <v>60</v>
      </c>
      <c r="B35">
        <v>0.23930000000000001</v>
      </c>
      <c r="C35">
        <v>0.40744999999999998</v>
      </c>
      <c r="D35">
        <v>0.35235</v>
      </c>
      <c r="E35">
        <v>0</v>
      </c>
      <c r="F35">
        <v>8.9999999999999998E-4</v>
      </c>
      <c r="G35">
        <v>0</v>
      </c>
      <c r="H35">
        <f t="shared" si="0"/>
        <v>0.99999999999999989</v>
      </c>
    </row>
    <row r="36" spans="1:8">
      <c r="A36" t="s">
        <v>61</v>
      </c>
      <c r="B36">
        <v>1E-4</v>
      </c>
      <c r="C36">
        <v>2.435E-2</v>
      </c>
      <c r="D36">
        <v>0.79559999999999997</v>
      </c>
      <c r="E36">
        <v>0</v>
      </c>
      <c r="F36">
        <v>0.17995</v>
      </c>
      <c r="G36">
        <v>0</v>
      </c>
      <c r="H36">
        <f t="shared" si="0"/>
        <v>1</v>
      </c>
    </row>
    <row r="37" spans="1:8">
      <c r="A37" t="s">
        <v>62</v>
      </c>
      <c r="B37">
        <v>0</v>
      </c>
      <c r="C37">
        <v>0.99709999999999999</v>
      </c>
      <c r="D37">
        <v>2.8999999999999998E-3</v>
      </c>
      <c r="E37">
        <v>0</v>
      </c>
      <c r="F37">
        <v>0</v>
      </c>
      <c r="G37">
        <v>0</v>
      </c>
      <c r="H37">
        <f t="shared" si="0"/>
        <v>1</v>
      </c>
    </row>
    <row r="38" spans="1:8">
      <c r="A38" t="s">
        <v>63</v>
      </c>
      <c r="B38" s="76">
        <v>0</v>
      </c>
      <c r="C38">
        <v>0.96735000000000004</v>
      </c>
      <c r="D38">
        <v>3.175E-2</v>
      </c>
      <c r="E38">
        <v>0</v>
      </c>
      <c r="F38">
        <v>8.9999999999999998E-4</v>
      </c>
      <c r="G38">
        <v>0</v>
      </c>
      <c r="H38">
        <f t="shared" si="0"/>
        <v>1</v>
      </c>
    </row>
    <row r="39" spans="1:8">
      <c r="A39" t="s">
        <v>64</v>
      </c>
      <c r="B39">
        <v>2.7499999999999998E-3</v>
      </c>
      <c r="C39">
        <v>0.66564999999999996</v>
      </c>
      <c r="D39">
        <v>0.31909999999999999</v>
      </c>
      <c r="E39">
        <v>0</v>
      </c>
      <c r="F39">
        <v>1.2500000000000001E-2</v>
      </c>
      <c r="G39">
        <v>0</v>
      </c>
      <c r="H39">
        <f t="shared" si="0"/>
        <v>1</v>
      </c>
    </row>
    <row r="40" spans="1:8">
      <c r="A40" t="s">
        <v>65</v>
      </c>
      <c r="B40">
        <v>1E-4</v>
      </c>
      <c r="C40">
        <v>0.99950000000000006</v>
      </c>
      <c r="D40">
        <v>0</v>
      </c>
      <c r="E40">
        <v>0</v>
      </c>
      <c r="F40" s="76">
        <v>1.4999999999999999E-4</v>
      </c>
      <c r="G40">
        <v>4.4999999999999999E-4</v>
      </c>
      <c r="H40">
        <f t="shared" si="0"/>
        <v>1.0002</v>
      </c>
    </row>
    <row r="41" spans="1:8">
      <c r="A41" t="s">
        <v>66</v>
      </c>
      <c r="B41">
        <v>1</v>
      </c>
      <c r="C41" s="76">
        <v>0</v>
      </c>
      <c r="D41">
        <v>0</v>
      </c>
      <c r="E41">
        <v>0</v>
      </c>
      <c r="F41">
        <v>0</v>
      </c>
      <c r="G41">
        <v>0</v>
      </c>
      <c r="H41">
        <f t="shared" si="0"/>
        <v>1</v>
      </c>
    </row>
    <row r="42" spans="1:8">
      <c r="A42" t="s">
        <v>67</v>
      </c>
      <c r="B42">
        <v>0.28815000000000002</v>
      </c>
      <c r="C42">
        <v>3.0349999999999999E-2</v>
      </c>
      <c r="D42">
        <v>9.425E-2</v>
      </c>
      <c r="E42">
        <v>0</v>
      </c>
      <c r="F42">
        <v>0.58730000000000004</v>
      </c>
      <c r="G42">
        <v>0</v>
      </c>
      <c r="H42">
        <f t="shared" si="0"/>
        <v>1.0000500000000001</v>
      </c>
    </row>
    <row r="43" spans="1:8">
      <c r="A43" t="s">
        <v>68</v>
      </c>
      <c r="B43">
        <v>0.44824999999999998</v>
      </c>
      <c r="C43">
        <v>4.8250000000000001E-2</v>
      </c>
      <c r="D43">
        <v>0.50229999999999997</v>
      </c>
      <c r="E43">
        <v>0</v>
      </c>
      <c r="F43">
        <v>1.1999999999999999E-3</v>
      </c>
      <c r="G43">
        <v>0</v>
      </c>
      <c r="H43">
        <f t="shared" si="0"/>
        <v>0.99999999999999989</v>
      </c>
    </row>
    <row r="44" spans="1:8">
      <c r="A44" t="s">
        <v>69</v>
      </c>
      <c r="B44">
        <v>4.0000000000000002E-4</v>
      </c>
      <c r="C44">
        <v>0.10865</v>
      </c>
      <c r="D44">
        <v>3.8500000000000001E-3</v>
      </c>
      <c r="E44">
        <v>0</v>
      </c>
      <c r="F44">
        <v>0.8871</v>
      </c>
      <c r="G44">
        <v>0</v>
      </c>
      <c r="H44">
        <f t="shared" si="0"/>
        <v>1</v>
      </c>
    </row>
    <row r="45" spans="1:8">
      <c r="A45" t="s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0"/>
        <v>1</v>
      </c>
    </row>
    <row r="46" spans="1:8">
      <c r="A46" t="s">
        <v>71</v>
      </c>
      <c r="B46" s="76">
        <v>0</v>
      </c>
      <c r="C46">
        <v>0.25269999999999998</v>
      </c>
      <c r="D46">
        <v>0.51175000000000004</v>
      </c>
      <c r="E46">
        <v>0</v>
      </c>
      <c r="F46">
        <v>0.23555000000000001</v>
      </c>
      <c r="G46">
        <v>0</v>
      </c>
      <c r="H46">
        <f t="shared" si="0"/>
        <v>1</v>
      </c>
    </row>
    <row r="47" spans="1:8">
      <c r="A47" t="s">
        <v>72</v>
      </c>
      <c r="B47">
        <v>1.4499999999999999E-3</v>
      </c>
      <c r="C47">
        <v>0.48180000000000001</v>
      </c>
      <c r="D47">
        <v>0.13159999999999999</v>
      </c>
      <c r="E47">
        <v>0</v>
      </c>
      <c r="F47">
        <v>0.38514999999999999</v>
      </c>
      <c r="G47">
        <v>0</v>
      </c>
      <c r="H47">
        <f t="shared" si="0"/>
        <v>1</v>
      </c>
    </row>
    <row r="48" spans="1:8">
      <c r="A48" t="s">
        <v>73</v>
      </c>
      <c r="B48">
        <v>0</v>
      </c>
      <c r="C48">
        <v>0.99914999999999998</v>
      </c>
      <c r="D48">
        <v>8.4999999999999995E-4</v>
      </c>
      <c r="E48">
        <v>0</v>
      </c>
      <c r="F48">
        <v>0</v>
      </c>
      <c r="G48">
        <v>0</v>
      </c>
      <c r="H48">
        <f t="shared" si="0"/>
        <v>1</v>
      </c>
    </row>
    <row r="49" spans="1:8">
      <c r="A49" t="s">
        <v>74</v>
      </c>
      <c r="B49" s="76">
        <v>5.0000000000000002E-5</v>
      </c>
      <c r="C49">
        <v>0.97509999999999997</v>
      </c>
      <c r="D49">
        <v>2.46E-2</v>
      </c>
      <c r="E49">
        <v>0</v>
      </c>
      <c r="F49">
        <v>2.5000000000000001E-4</v>
      </c>
      <c r="G49">
        <v>0</v>
      </c>
      <c r="H49">
        <f t="shared" si="0"/>
        <v>0.99999999999999989</v>
      </c>
    </row>
    <row r="50" spans="1:8">
      <c r="A50" t="s">
        <v>75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f t="shared" si="0"/>
        <v>1</v>
      </c>
    </row>
    <row r="51" spans="1:8">
      <c r="A51" t="s">
        <v>76</v>
      </c>
      <c r="B51">
        <v>0.79320000000000002</v>
      </c>
      <c r="C51">
        <v>1.8149999999999999E-2</v>
      </c>
      <c r="D51">
        <v>0.18865000000000001</v>
      </c>
      <c r="E51">
        <v>0</v>
      </c>
      <c r="F51">
        <v>0</v>
      </c>
      <c r="G51">
        <v>0</v>
      </c>
      <c r="H51">
        <f t="shared" si="0"/>
        <v>1</v>
      </c>
    </row>
    <row r="52" spans="1:8">
      <c r="A52" t="s">
        <v>77</v>
      </c>
      <c r="B52">
        <v>1.4999999999999999E-4</v>
      </c>
      <c r="C52">
        <v>0.1043</v>
      </c>
      <c r="D52">
        <v>0.84730000000000005</v>
      </c>
      <c r="E52">
        <v>0</v>
      </c>
      <c r="F52">
        <v>4.8250000000000001E-2</v>
      </c>
      <c r="G52">
        <v>0</v>
      </c>
      <c r="H52">
        <f t="shared" si="0"/>
        <v>1</v>
      </c>
    </row>
    <row r="53" spans="1:8">
      <c r="A53" t="s">
        <v>78</v>
      </c>
      <c r="B53">
        <v>0.2853</v>
      </c>
      <c r="C53">
        <v>0.16600000000000001</v>
      </c>
      <c r="D53">
        <v>0.17299999999999999</v>
      </c>
      <c r="E53">
        <v>0</v>
      </c>
      <c r="F53">
        <v>0.37574999999999997</v>
      </c>
      <c r="G53">
        <v>0</v>
      </c>
      <c r="H53">
        <f t="shared" si="0"/>
        <v>1.0000500000000001</v>
      </c>
    </row>
    <row r="54" spans="1:8">
      <c r="A54" t="s">
        <v>79</v>
      </c>
      <c r="B54">
        <v>2.9999999999999997E-4</v>
      </c>
      <c r="C54">
        <v>0.34715000000000001</v>
      </c>
      <c r="D54">
        <v>0.60089999999999999</v>
      </c>
      <c r="E54">
        <v>0</v>
      </c>
      <c r="F54">
        <v>5.1650000000000001E-2</v>
      </c>
      <c r="G54">
        <v>0</v>
      </c>
      <c r="H54">
        <f t="shared" si="0"/>
        <v>1</v>
      </c>
    </row>
    <row r="55" spans="1:8">
      <c r="A55" t="s">
        <v>80</v>
      </c>
      <c r="B55">
        <v>0</v>
      </c>
      <c r="C55">
        <v>0.99544999999999995</v>
      </c>
      <c r="D55">
        <v>4.5500000000000002E-3</v>
      </c>
      <c r="E55">
        <v>0</v>
      </c>
      <c r="F55">
        <v>0</v>
      </c>
      <c r="G55">
        <v>0</v>
      </c>
      <c r="H55">
        <f t="shared" si="0"/>
        <v>1</v>
      </c>
    </row>
    <row r="56" spans="1:8">
      <c r="A56" t="s">
        <v>81</v>
      </c>
      <c r="B56">
        <v>2.3999999999999998E-3</v>
      </c>
      <c r="C56">
        <v>6.0199999999999997E-2</v>
      </c>
      <c r="D56">
        <v>0.93484999999999996</v>
      </c>
      <c r="E56">
        <v>0</v>
      </c>
      <c r="F56">
        <v>2.5500000000000002E-3</v>
      </c>
      <c r="G56">
        <v>0</v>
      </c>
      <c r="H56">
        <f t="shared" si="0"/>
        <v>1</v>
      </c>
    </row>
    <row r="57" spans="1:8">
      <c r="A57" t="s">
        <v>82</v>
      </c>
      <c r="B57">
        <v>1.46E-2</v>
      </c>
      <c r="C57">
        <v>0.63160000000000005</v>
      </c>
      <c r="D57" s="76">
        <v>0</v>
      </c>
      <c r="E57">
        <v>0</v>
      </c>
      <c r="F57">
        <v>0.3538</v>
      </c>
      <c r="G57">
        <v>0</v>
      </c>
      <c r="H57">
        <f t="shared" si="0"/>
        <v>1</v>
      </c>
    </row>
    <row r="58" spans="1:8">
      <c r="A58" t="s">
        <v>83</v>
      </c>
      <c r="B58">
        <v>0</v>
      </c>
      <c r="C58">
        <v>2.12E-2</v>
      </c>
      <c r="D58">
        <v>0.9788</v>
      </c>
      <c r="E58">
        <v>0</v>
      </c>
      <c r="F58">
        <v>0</v>
      </c>
      <c r="G58">
        <v>0</v>
      </c>
      <c r="H58">
        <f t="shared" si="0"/>
        <v>1</v>
      </c>
    </row>
    <row r="59" spans="1:8">
      <c r="A59" t="s">
        <v>84</v>
      </c>
      <c r="B59">
        <v>0</v>
      </c>
      <c r="C59">
        <v>3.5299999999999998E-2</v>
      </c>
      <c r="D59">
        <v>0.83165</v>
      </c>
      <c r="E59">
        <v>0</v>
      </c>
      <c r="F59">
        <v>0.13305</v>
      </c>
      <c r="G59">
        <v>0</v>
      </c>
      <c r="H59">
        <f t="shared" si="0"/>
        <v>1</v>
      </c>
    </row>
    <row r="60" spans="1:8">
      <c r="A60" t="s">
        <v>85</v>
      </c>
      <c r="B60">
        <v>0</v>
      </c>
      <c r="C60">
        <v>0.99995000000000001</v>
      </c>
      <c r="D60" s="76">
        <v>5.0000000000000002E-5</v>
      </c>
      <c r="E60">
        <v>0</v>
      </c>
      <c r="F60">
        <v>0</v>
      </c>
      <c r="G60">
        <v>0</v>
      </c>
      <c r="H60">
        <f t="shared" si="0"/>
        <v>1</v>
      </c>
    </row>
    <row r="61" spans="1:8">
      <c r="A61" t="s">
        <v>86</v>
      </c>
      <c r="B61">
        <v>0</v>
      </c>
      <c r="C61">
        <v>0.27810000000000001</v>
      </c>
      <c r="D61">
        <v>0.72189999999999999</v>
      </c>
      <c r="E61">
        <v>0</v>
      </c>
      <c r="F61">
        <v>0</v>
      </c>
      <c r="G61">
        <v>0</v>
      </c>
      <c r="H61">
        <f t="shared" si="0"/>
        <v>1</v>
      </c>
    </row>
    <row r="62" spans="1:8">
      <c r="A62" t="s">
        <v>87</v>
      </c>
      <c r="B62" s="76">
        <v>0</v>
      </c>
      <c r="C62">
        <v>2.4049999999999998E-2</v>
      </c>
      <c r="D62">
        <v>0.56325000000000003</v>
      </c>
      <c r="E62">
        <v>0</v>
      </c>
      <c r="F62">
        <v>0.41270000000000001</v>
      </c>
      <c r="G62">
        <v>0</v>
      </c>
      <c r="H62">
        <f t="shared" si="0"/>
        <v>1</v>
      </c>
    </row>
    <row r="63" spans="1:8">
      <c r="A63" t="s">
        <v>88</v>
      </c>
      <c r="B63">
        <v>0.83340000000000003</v>
      </c>
      <c r="C63">
        <v>1.6750000000000001E-2</v>
      </c>
      <c r="D63">
        <v>0.1273</v>
      </c>
      <c r="E63">
        <v>0</v>
      </c>
      <c r="F63">
        <v>2.2550000000000001E-2</v>
      </c>
      <c r="G63">
        <v>0</v>
      </c>
      <c r="H63">
        <f t="shared" si="0"/>
        <v>1</v>
      </c>
    </row>
    <row r="64" spans="1:8">
      <c r="A64" t="s">
        <v>89</v>
      </c>
      <c r="B64">
        <v>0</v>
      </c>
      <c r="C64">
        <v>1.345E-2</v>
      </c>
      <c r="D64">
        <v>0.78225</v>
      </c>
      <c r="E64">
        <v>0</v>
      </c>
      <c r="F64">
        <v>0.20430000000000001</v>
      </c>
      <c r="G64">
        <v>0</v>
      </c>
      <c r="H64">
        <f t="shared" si="0"/>
        <v>1</v>
      </c>
    </row>
    <row r="65" spans="1:8">
      <c r="A65" t="s">
        <v>90</v>
      </c>
      <c r="B65" s="76">
        <v>0</v>
      </c>
      <c r="C65">
        <v>0.18725</v>
      </c>
      <c r="D65">
        <v>0.80059999999999998</v>
      </c>
      <c r="E65">
        <v>0</v>
      </c>
      <c r="F65">
        <v>1.2149999999999999E-2</v>
      </c>
      <c r="G65">
        <v>0</v>
      </c>
      <c r="H65">
        <f t="shared" si="0"/>
        <v>1</v>
      </c>
    </row>
    <row r="66" spans="1:8">
      <c r="A66" t="s">
        <v>91</v>
      </c>
      <c r="B66">
        <v>0.99995000000000001</v>
      </c>
      <c r="C66" s="76">
        <v>5.0000000000000002E-5</v>
      </c>
      <c r="D66">
        <v>0</v>
      </c>
      <c r="E66">
        <v>0</v>
      </c>
      <c r="F66">
        <v>0</v>
      </c>
      <c r="G66">
        <v>0</v>
      </c>
      <c r="H66">
        <f t="shared" si="0"/>
        <v>1</v>
      </c>
    </row>
    <row r="67" spans="1:8">
      <c r="A67" t="s">
        <v>92</v>
      </c>
      <c r="B67">
        <v>3.5999999999999999E-3</v>
      </c>
      <c r="C67">
        <v>0.99639999999999995</v>
      </c>
      <c r="D67">
        <v>0</v>
      </c>
      <c r="E67">
        <v>0</v>
      </c>
      <c r="F67">
        <v>0</v>
      </c>
      <c r="G67">
        <v>0</v>
      </c>
      <c r="H67">
        <f t="shared" si="0"/>
        <v>1</v>
      </c>
    </row>
    <row r="68" spans="1:8">
      <c r="A68" t="s">
        <v>93</v>
      </c>
      <c r="B68">
        <v>0</v>
      </c>
      <c r="C68">
        <v>0.59130000000000005</v>
      </c>
      <c r="D68">
        <v>0.40529999999999999</v>
      </c>
      <c r="E68">
        <v>0</v>
      </c>
      <c r="F68">
        <v>3.3999999999999998E-3</v>
      </c>
      <c r="G68">
        <v>0</v>
      </c>
      <c r="H68">
        <f t="shared" ref="H68:H131" si="1">SUM(B68:G68)</f>
        <v>1</v>
      </c>
    </row>
    <row r="69" spans="1:8">
      <c r="A69" t="s">
        <v>94</v>
      </c>
      <c r="B69" s="76">
        <v>0</v>
      </c>
      <c r="C69">
        <v>0.35194999999999999</v>
      </c>
      <c r="D69">
        <v>0.30014999999999997</v>
      </c>
      <c r="E69">
        <v>0</v>
      </c>
      <c r="F69">
        <v>0.34789999999999999</v>
      </c>
      <c r="G69">
        <v>0</v>
      </c>
      <c r="H69">
        <f t="shared" si="1"/>
        <v>0.99999999999999989</v>
      </c>
    </row>
    <row r="70" spans="1:8">
      <c r="A70" t="s">
        <v>95</v>
      </c>
      <c r="B70">
        <v>0</v>
      </c>
      <c r="C70">
        <v>1.6250000000000001E-2</v>
      </c>
      <c r="D70">
        <v>0.58684999999999998</v>
      </c>
      <c r="E70">
        <v>0</v>
      </c>
      <c r="F70">
        <v>0.39689999999999998</v>
      </c>
      <c r="G70">
        <v>0</v>
      </c>
      <c r="H70">
        <f t="shared" si="1"/>
        <v>1</v>
      </c>
    </row>
    <row r="71" spans="1:8">
      <c r="A71" t="s">
        <v>96</v>
      </c>
      <c r="B71">
        <v>3.5E-4</v>
      </c>
      <c r="C71">
        <v>0.78010000000000002</v>
      </c>
      <c r="D71">
        <v>0.21955</v>
      </c>
      <c r="E71">
        <v>0</v>
      </c>
      <c r="F71">
        <v>0</v>
      </c>
      <c r="G71">
        <v>0</v>
      </c>
      <c r="H71">
        <f t="shared" si="1"/>
        <v>1</v>
      </c>
    </row>
    <row r="72" spans="1:8">
      <c r="A72" t="s">
        <v>97</v>
      </c>
      <c r="B72">
        <v>0.99924999999999997</v>
      </c>
      <c r="C72" s="76">
        <v>5.0000000000000002E-5</v>
      </c>
      <c r="D72">
        <v>6.9999999999999999E-4</v>
      </c>
      <c r="E72">
        <v>0</v>
      </c>
      <c r="F72">
        <v>0</v>
      </c>
      <c r="G72">
        <v>0</v>
      </c>
      <c r="H72">
        <f t="shared" si="1"/>
        <v>1</v>
      </c>
    </row>
    <row r="73" spans="1:8">
      <c r="A73" t="s">
        <v>98</v>
      </c>
      <c r="B73">
        <v>0</v>
      </c>
      <c r="C73">
        <v>0.39279999999999998</v>
      </c>
      <c r="D73">
        <v>0.49230000000000002</v>
      </c>
      <c r="E73">
        <v>0</v>
      </c>
      <c r="F73">
        <v>0.1149</v>
      </c>
      <c r="G73">
        <v>0</v>
      </c>
      <c r="H73">
        <f t="shared" si="1"/>
        <v>1</v>
      </c>
    </row>
    <row r="74" spans="1:8">
      <c r="A74" t="s">
        <v>99</v>
      </c>
      <c r="B74">
        <v>0</v>
      </c>
      <c r="C74">
        <v>6.9000000000000006E-2</v>
      </c>
      <c r="D74">
        <v>0.8649</v>
      </c>
      <c r="E74">
        <v>0</v>
      </c>
      <c r="F74">
        <v>6.6100000000000006E-2</v>
      </c>
      <c r="G74">
        <v>0</v>
      </c>
      <c r="H74">
        <f t="shared" si="1"/>
        <v>1</v>
      </c>
    </row>
    <row r="75" spans="1:8">
      <c r="A75" t="s">
        <v>100</v>
      </c>
      <c r="B75">
        <v>0.22105</v>
      </c>
      <c r="C75">
        <v>0.67874999999999996</v>
      </c>
      <c r="D75">
        <v>6.5250000000000002E-2</v>
      </c>
      <c r="E75">
        <v>0</v>
      </c>
      <c r="F75">
        <v>3.4950000000000002E-2</v>
      </c>
      <c r="G75">
        <v>0</v>
      </c>
      <c r="H75">
        <f t="shared" si="1"/>
        <v>1</v>
      </c>
    </row>
    <row r="76" spans="1:8">
      <c r="A76" t="s">
        <v>101</v>
      </c>
      <c r="B76">
        <v>0.99944999999999995</v>
      </c>
      <c r="C76">
        <v>1.4999999999999999E-4</v>
      </c>
      <c r="D76">
        <v>4.0000000000000002E-4</v>
      </c>
      <c r="E76">
        <v>0</v>
      </c>
      <c r="F76">
        <v>0</v>
      </c>
      <c r="G76">
        <v>0</v>
      </c>
      <c r="H76">
        <f t="shared" si="1"/>
        <v>0.99999999999999989</v>
      </c>
    </row>
    <row r="77" spans="1:8">
      <c r="A77" t="s">
        <v>102</v>
      </c>
      <c r="B77">
        <v>2.9999999999999997E-4</v>
      </c>
      <c r="C77">
        <v>4.8500000000000001E-2</v>
      </c>
      <c r="D77">
        <v>0.5252</v>
      </c>
      <c r="E77">
        <v>0</v>
      </c>
      <c r="F77">
        <v>0.42599999999999999</v>
      </c>
      <c r="G77">
        <v>0</v>
      </c>
      <c r="H77">
        <f t="shared" si="1"/>
        <v>1</v>
      </c>
    </row>
    <row r="78" spans="1:8">
      <c r="A78" t="s">
        <v>103</v>
      </c>
      <c r="B78" s="76">
        <v>0</v>
      </c>
      <c r="C78">
        <v>0.27829999999999999</v>
      </c>
      <c r="D78">
        <v>0.71214999999999995</v>
      </c>
      <c r="E78">
        <v>0</v>
      </c>
      <c r="F78">
        <v>9.5499999999999995E-3</v>
      </c>
      <c r="G78">
        <v>0</v>
      </c>
      <c r="H78">
        <f t="shared" si="1"/>
        <v>0.99999999999999989</v>
      </c>
    </row>
    <row r="79" spans="1:8">
      <c r="A79" t="s">
        <v>104</v>
      </c>
      <c r="B79">
        <v>0.99995000000000001</v>
      </c>
      <c r="C79" s="76">
        <v>5.0000000000000002E-5</v>
      </c>
      <c r="D79">
        <v>0</v>
      </c>
      <c r="E79">
        <v>0</v>
      </c>
      <c r="F79">
        <v>0</v>
      </c>
      <c r="G79">
        <v>0</v>
      </c>
      <c r="H79">
        <f t="shared" si="1"/>
        <v>1</v>
      </c>
    </row>
    <row r="80" spans="1:8">
      <c r="A80" t="s">
        <v>105</v>
      </c>
      <c r="B80">
        <v>0</v>
      </c>
      <c r="C80">
        <v>2.955E-2</v>
      </c>
      <c r="D80">
        <v>0.79984999999999995</v>
      </c>
      <c r="E80">
        <v>0</v>
      </c>
      <c r="F80">
        <v>0.1706</v>
      </c>
      <c r="G80">
        <v>0</v>
      </c>
      <c r="H80">
        <f t="shared" si="1"/>
        <v>0.99999999999999989</v>
      </c>
    </row>
    <row r="81" spans="1:8">
      <c r="A81" t="s">
        <v>106</v>
      </c>
      <c r="B81" s="76">
        <v>0</v>
      </c>
      <c r="C81">
        <v>0.36709999999999998</v>
      </c>
      <c r="D81">
        <v>0.44719999999999999</v>
      </c>
      <c r="E81">
        <v>0</v>
      </c>
      <c r="F81">
        <v>0.1857</v>
      </c>
      <c r="G81">
        <v>0</v>
      </c>
      <c r="H81">
        <f t="shared" si="1"/>
        <v>1</v>
      </c>
    </row>
    <row r="82" spans="1:8">
      <c r="A82" t="s">
        <v>107</v>
      </c>
      <c r="B82">
        <v>0</v>
      </c>
      <c r="C82">
        <v>3.3500000000000001E-3</v>
      </c>
      <c r="D82">
        <v>0.88934999999999997</v>
      </c>
      <c r="E82">
        <v>0</v>
      </c>
      <c r="F82">
        <v>0.10730000000000001</v>
      </c>
      <c r="G82">
        <v>0</v>
      </c>
      <c r="H82">
        <f t="shared" si="1"/>
        <v>1</v>
      </c>
    </row>
    <row r="83" spans="1:8">
      <c r="A83" t="s">
        <v>108</v>
      </c>
      <c r="B83">
        <v>0.99760000000000004</v>
      </c>
      <c r="C83">
        <v>1.5E-3</v>
      </c>
      <c r="D83">
        <v>8.9999999999999998E-4</v>
      </c>
      <c r="E83">
        <v>0</v>
      </c>
      <c r="F83" s="76">
        <v>0</v>
      </c>
      <c r="G83">
        <v>0</v>
      </c>
      <c r="H83">
        <f t="shared" si="1"/>
        <v>1</v>
      </c>
    </row>
    <row r="84" spans="1:8">
      <c r="A84" t="s">
        <v>109</v>
      </c>
      <c r="B84">
        <v>2.1700000000000001E-2</v>
      </c>
      <c r="C84">
        <v>0.97829999999999995</v>
      </c>
      <c r="D84">
        <v>0</v>
      </c>
      <c r="E84">
        <v>0</v>
      </c>
      <c r="F84">
        <v>0</v>
      </c>
      <c r="G84">
        <v>0</v>
      </c>
      <c r="H84">
        <f t="shared" si="1"/>
        <v>1</v>
      </c>
    </row>
    <row r="85" spans="1:8">
      <c r="A85" t="s">
        <v>110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f t="shared" si="1"/>
        <v>1</v>
      </c>
    </row>
    <row r="86" spans="1:8">
      <c r="A86" t="s">
        <v>111</v>
      </c>
      <c r="B86">
        <v>0</v>
      </c>
      <c r="C86">
        <v>0.18970000000000001</v>
      </c>
      <c r="D86">
        <v>0.81030000000000002</v>
      </c>
      <c r="E86">
        <v>0</v>
      </c>
      <c r="F86">
        <v>0</v>
      </c>
      <c r="G86">
        <v>0</v>
      </c>
      <c r="H86">
        <f t="shared" si="1"/>
        <v>1</v>
      </c>
    </row>
    <row r="87" spans="1:8">
      <c r="A87" t="s">
        <v>112</v>
      </c>
      <c r="B87">
        <v>0</v>
      </c>
      <c r="C87">
        <v>0.99995000000000001</v>
      </c>
      <c r="D87">
        <v>0</v>
      </c>
      <c r="E87">
        <v>0</v>
      </c>
      <c r="F87" s="76">
        <v>5.0000000000000002E-5</v>
      </c>
      <c r="G87">
        <v>0</v>
      </c>
      <c r="H87">
        <f t="shared" si="1"/>
        <v>1</v>
      </c>
    </row>
    <row r="88" spans="1:8">
      <c r="A88" t="s">
        <v>113</v>
      </c>
      <c r="B88">
        <v>0</v>
      </c>
      <c r="C88">
        <v>0.1023</v>
      </c>
      <c r="D88">
        <v>0.34620000000000001</v>
      </c>
      <c r="E88">
        <v>0</v>
      </c>
      <c r="F88">
        <v>0.55149999999999999</v>
      </c>
      <c r="G88">
        <v>0</v>
      </c>
      <c r="H88">
        <f t="shared" si="1"/>
        <v>1</v>
      </c>
    </row>
    <row r="89" spans="1:8">
      <c r="A89" t="s">
        <v>114</v>
      </c>
      <c r="B89">
        <v>6.0000000000000001E-3</v>
      </c>
      <c r="C89">
        <v>0.99399999999999999</v>
      </c>
      <c r="D89">
        <v>0</v>
      </c>
      <c r="E89">
        <v>0</v>
      </c>
      <c r="F89">
        <v>0</v>
      </c>
      <c r="G89">
        <v>0</v>
      </c>
      <c r="H89">
        <f t="shared" si="1"/>
        <v>1</v>
      </c>
    </row>
    <row r="90" spans="1:8">
      <c r="A90" t="s">
        <v>115</v>
      </c>
      <c r="B90">
        <v>3.3399999999999999E-2</v>
      </c>
      <c r="C90">
        <v>0.61024999999999996</v>
      </c>
      <c r="D90">
        <v>0.35635</v>
      </c>
      <c r="E90">
        <v>0</v>
      </c>
      <c r="F90">
        <v>0</v>
      </c>
      <c r="G90">
        <v>0</v>
      </c>
      <c r="H90">
        <f t="shared" si="1"/>
        <v>1</v>
      </c>
    </row>
    <row r="91" spans="1:8">
      <c r="A91" t="s">
        <v>116</v>
      </c>
      <c r="B91">
        <v>0.76595000000000002</v>
      </c>
      <c r="C91">
        <v>4.4400000000000002E-2</v>
      </c>
      <c r="D91">
        <v>0.18740000000000001</v>
      </c>
      <c r="E91">
        <v>0</v>
      </c>
      <c r="F91">
        <v>2.2499999999999998E-3</v>
      </c>
      <c r="G91">
        <v>0</v>
      </c>
      <c r="H91">
        <f t="shared" si="1"/>
        <v>1</v>
      </c>
    </row>
    <row r="92" spans="1:8">
      <c r="A92" t="s">
        <v>117</v>
      </c>
      <c r="B92">
        <v>7.0499999999999993E-2</v>
      </c>
      <c r="C92">
        <v>0.28094999999999998</v>
      </c>
      <c r="D92">
        <v>0.38664999999999999</v>
      </c>
      <c r="E92">
        <v>0</v>
      </c>
      <c r="F92">
        <v>0.26190000000000002</v>
      </c>
      <c r="G92">
        <v>0</v>
      </c>
      <c r="H92">
        <f t="shared" si="1"/>
        <v>1</v>
      </c>
    </row>
    <row r="93" spans="1:8">
      <c r="A93" t="s">
        <v>118</v>
      </c>
      <c r="B93">
        <v>0</v>
      </c>
      <c r="C93">
        <v>1.555E-2</v>
      </c>
      <c r="D93">
        <v>0.8992</v>
      </c>
      <c r="E93">
        <v>0</v>
      </c>
      <c r="F93">
        <v>8.5250000000000006E-2</v>
      </c>
      <c r="G93">
        <v>0</v>
      </c>
      <c r="H93">
        <f t="shared" si="1"/>
        <v>1</v>
      </c>
    </row>
    <row r="94" spans="1:8">
      <c r="A94" t="s">
        <v>119</v>
      </c>
      <c r="B94">
        <v>0.9526</v>
      </c>
      <c r="C94">
        <v>1.3100000000000001E-2</v>
      </c>
      <c r="D94">
        <v>1.4999999999999999E-4</v>
      </c>
      <c r="E94">
        <v>0</v>
      </c>
      <c r="F94">
        <v>3.415E-2</v>
      </c>
      <c r="G94">
        <v>0</v>
      </c>
      <c r="H94">
        <f t="shared" si="1"/>
        <v>1</v>
      </c>
    </row>
    <row r="95" spans="1:8">
      <c r="A95" t="s">
        <v>120</v>
      </c>
      <c r="B95">
        <v>4.1999999999999997E-3</v>
      </c>
      <c r="C95">
        <v>0.16220000000000001</v>
      </c>
      <c r="D95">
        <v>0.41635</v>
      </c>
      <c r="E95">
        <v>0</v>
      </c>
      <c r="F95">
        <v>0.41725000000000001</v>
      </c>
      <c r="G95">
        <v>0</v>
      </c>
      <c r="H95">
        <f t="shared" si="1"/>
        <v>1</v>
      </c>
    </row>
    <row r="96" spans="1:8">
      <c r="A96" t="s">
        <v>121</v>
      </c>
      <c r="B96">
        <v>0</v>
      </c>
      <c r="C96">
        <v>0.1394</v>
      </c>
      <c r="D96">
        <v>0.81269999999999998</v>
      </c>
      <c r="E96">
        <v>0</v>
      </c>
      <c r="F96">
        <v>4.7899999999999998E-2</v>
      </c>
      <c r="G96">
        <v>0</v>
      </c>
      <c r="H96">
        <f t="shared" si="1"/>
        <v>1</v>
      </c>
    </row>
    <row r="97" spans="1:8">
      <c r="A97" t="s">
        <v>122</v>
      </c>
      <c r="B97">
        <v>0</v>
      </c>
      <c r="C97">
        <v>2.7000000000000001E-3</v>
      </c>
      <c r="D97">
        <v>0.98575000000000002</v>
      </c>
      <c r="E97">
        <v>0</v>
      </c>
      <c r="F97">
        <v>1.155E-2</v>
      </c>
      <c r="G97">
        <v>0</v>
      </c>
      <c r="H97">
        <f t="shared" si="1"/>
        <v>1</v>
      </c>
    </row>
    <row r="98" spans="1:8">
      <c r="A98" t="s">
        <v>123</v>
      </c>
      <c r="B98">
        <v>0</v>
      </c>
      <c r="C98">
        <v>1.8E-3</v>
      </c>
      <c r="D98">
        <v>0.90425</v>
      </c>
      <c r="E98">
        <v>0</v>
      </c>
      <c r="F98">
        <v>9.3950000000000006E-2</v>
      </c>
      <c r="G98">
        <v>0</v>
      </c>
      <c r="H98">
        <f t="shared" si="1"/>
        <v>1</v>
      </c>
    </row>
    <row r="99" spans="1:8">
      <c r="A99" t="s">
        <v>124</v>
      </c>
      <c r="B99">
        <v>7.5000000000000002E-4</v>
      </c>
      <c r="C99">
        <v>5.1000000000000004E-3</v>
      </c>
      <c r="D99">
        <v>0.98895</v>
      </c>
      <c r="E99">
        <v>0</v>
      </c>
      <c r="F99">
        <v>5.1999999999999998E-3</v>
      </c>
      <c r="G99">
        <v>0</v>
      </c>
      <c r="H99">
        <f t="shared" si="1"/>
        <v>1</v>
      </c>
    </row>
    <row r="100" spans="1:8">
      <c r="A100" t="s">
        <v>125</v>
      </c>
      <c r="B100" s="76">
        <v>5.0000000000000002E-5</v>
      </c>
      <c r="C100">
        <v>7.0199999999999999E-2</v>
      </c>
      <c r="D100">
        <v>0.71650000000000003</v>
      </c>
      <c r="E100">
        <v>0</v>
      </c>
      <c r="F100">
        <v>0.21325</v>
      </c>
      <c r="G100">
        <v>0</v>
      </c>
      <c r="H100">
        <f t="shared" si="1"/>
        <v>1</v>
      </c>
    </row>
    <row r="101" spans="1:8">
      <c r="A101" t="s">
        <v>126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f t="shared" si="1"/>
        <v>1</v>
      </c>
    </row>
    <row r="102" spans="1:8">
      <c r="A102" t="s">
        <v>127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f t="shared" si="1"/>
        <v>1</v>
      </c>
    </row>
    <row r="103" spans="1:8">
      <c r="A103" t="s">
        <v>128</v>
      </c>
      <c r="B103">
        <v>3.1949999999999999E-2</v>
      </c>
      <c r="C103">
        <v>0.49435000000000001</v>
      </c>
      <c r="D103">
        <v>0.2089</v>
      </c>
      <c r="E103">
        <v>0</v>
      </c>
      <c r="F103">
        <v>0.26479999999999998</v>
      </c>
      <c r="G103">
        <v>0</v>
      </c>
      <c r="H103">
        <f t="shared" si="1"/>
        <v>1</v>
      </c>
    </row>
    <row r="104" spans="1:8">
      <c r="A104" t="s">
        <v>129</v>
      </c>
      <c r="B104">
        <v>4.0000000000000002E-4</v>
      </c>
      <c r="C104">
        <v>7.1150000000000005E-2</v>
      </c>
      <c r="D104">
        <v>0.30930000000000002</v>
      </c>
      <c r="E104">
        <v>0</v>
      </c>
      <c r="F104">
        <v>0.61914999999999998</v>
      </c>
      <c r="G104">
        <v>0</v>
      </c>
      <c r="H104">
        <f t="shared" si="1"/>
        <v>1</v>
      </c>
    </row>
    <row r="105" spans="1:8">
      <c r="A105" t="s">
        <v>130</v>
      </c>
      <c r="B105">
        <v>1.1999999999999999E-3</v>
      </c>
      <c r="C105">
        <v>8.0049999999999996E-2</v>
      </c>
      <c r="D105">
        <v>0.91290000000000004</v>
      </c>
      <c r="E105">
        <v>0</v>
      </c>
      <c r="F105">
        <v>5.8500000000000002E-3</v>
      </c>
      <c r="G105">
        <v>0</v>
      </c>
      <c r="H105">
        <f t="shared" si="1"/>
        <v>1</v>
      </c>
    </row>
    <row r="106" spans="1:8">
      <c r="A106" t="s">
        <v>131</v>
      </c>
      <c r="B106" s="76">
        <v>0</v>
      </c>
      <c r="C106">
        <v>0.14949999999999999</v>
      </c>
      <c r="D106">
        <v>0.16889999999999999</v>
      </c>
      <c r="E106">
        <v>0</v>
      </c>
      <c r="F106">
        <v>0.68159999999999998</v>
      </c>
      <c r="G106">
        <v>0</v>
      </c>
      <c r="H106">
        <f t="shared" si="1"/>
        <v>1</v>
      </c>
    </row>
    <row r="107" spans="1:8">
      <c r="A107" t="s">
        <v>132</v>
      </c>
      <c r="B107">
        <v>0</v>
      </c>
      <c r="C107">
        <v>1.085E-2</v>
      </c>
      <c r="D107">
        <v>0.88665000000000005</v>
      </c>
      <c r="E107">
        <v>0</v>
      </c>
      <c r="F107">
        <v>0.10249999999999999</v>
      </c>
      <c r="G107">
        <v>0</v>
      </c>
      <c r="H107">
        <f t="shared" si="1"/>
        <v>1</v>
      </c>
    </row>
    <row r="108" spans="1:8">
      <c r="A108" t="s">
        <v>133</v>
      </c>
      <c r="B108">
        <v>0</v>
      </c>
      <c r="C108">
        <v>8.4949999999999998E-2</v>
      </c>
      <c r="D108">
        <v>0.86199999999999999</v>
      </c>
      <c r="E108">
        <v>0</v>
      </c>
      <c r="F108">
        <v>5.305E-2</v>
      </c>
      <c r="G108">
        <v>0</v>
      </c>
      <c r="H108">
        <f t="shared" si="1"/>
        <v>1</v>
      </c>
    </row>
    <row r="109" spans="1:8">
      <c r="A109" t="s">
        <v>134</v>
      </c>
      <c r="B109">
        <v>5.0000000000000001E-4</v>
      </c>
      <c r="C109">
        <v>0.1497</v>
      </c>
      <c r="D109">
        <v>0.83809999999999996</v>
      </c>
      <c r="E109">
        <v>0</v>
      </c>
      <c r="F109">
        <v>1.17E-2</v>
      </c>
      <c r="G109">
        <v>0</v>
      </c>
      <c r="H109">
        <f t="shared" si="1"/>
        <v>1</v>
      </c>
    </row>
    <row r="110" spans="1:8">
      <c r="A110" t="s">
        <v>135</v>
      </c>
      <c r="B110">
        <v>2.4850000000000001E-2</v>
      </c>
      <c r="C110">
        <v>0.48020000000000002</v>
      </c>
      <c r="D110">
        <v>0.46279999999999999</v>
      </c>
      <c r="E110">
        <v>0</v>
      </c>
      <c r="F110">
        <v>3.2149999999999998E-2</v>
      </c>
      <c r="G110">
        <v>0</v>
      </c>
      <c r="H110">
        <f t="shared" si="1"/>
        <v>1</v>
      </c>
    </row>
    <row r="111" spans="1:8">
      <c r="A111" t="s">
        <v>136</v>
      </c>
      <c r="B111">
        <v>0</v>
      </c>
      <c r="C111">
        <v>0.98909999999999998</v>
      </c>
      <c r="D111">
        <v>1.09E-2</v>
      </c>
      <c r="E111">
        <v>0</v>
      </c>
      <c r="F111">
        <v>0</v>
      </c>
      <c r="G111">
        <v>0</v>
      </c>
      <c r="H111">
        <f t="shared" si="1"/>
        <v>1</v>
      </c>
    </row>
    <row r="112" spans="1:8">
      <c r="A112" t="s">
        <v>137</v>
      </c>
      <c r="B112">
        <v>1E-4</v>
      </c>
      <c r="C112">
        <v>0.92769999999999997</v>
      </c>
      <c r="D112">
        <v>7.1249999999999994E-2</v>
      </c>
      <c r="E112">
        <v>0</v>
      </c>
      <c r="F112">
        <v>9.5E-4</v>
      </c>
      <c r="G112">
        <v>0</v>
      </c>
      <c r="H112">
        <f t="shared" si="1"/>
        <v>1</v>
      </c>
    </row>
    <row r="113" spans="1:8">
      <c r="A113" t="s">
        <v>139</v>
      </c>
      <c r="B113">
        <v>8.0000000000000004E-4</v>
      </c>
      <c r="C113">
        <v>0.99919999999999998</v>
      </c>
      <c r="D113">
        <v>0</v>
      </c>
      <c r="E113">
        <v>0</v>
      </c>
      <c r="F113">
        <v>0</v>
      </c>
      <c r="G113">
        <v>0</v>
      </c>
      <c r="H113">
        <f t="shared" si="1"/>
        <v>1</v>
      </c>
    </row>
    <row r="114" spans="1:8">
      <c r="A114" t="s">
        <v>140</v>
      </c>
      <c r="B114">
        <v>1E-3</v>
      </c>
      <c r="C114">
        <v>0.1002</v>
      </c>
      <c r="D114">
        <v>0.89880000000000004</v>
      </c>
      <c r="E114">
        <v>0</v>
      </c>
      <c r="F114">
        <v>0</v>
      </c>
      <c r="G114">
        <v>0</v>
      </c>
      <c r="H114">
        <f t="shared" si="1"/>
        <v>1</v>
      </c>
    </row>
    <row r="115" spans="1:8">
      <c r="A115" t="s">
        <v>141</v>
      </c>
      <c r="B115">
        <v>0.17130000000000001</v>
      </c>
      <c r="C115">
        <v>0.82869999999999999</v>
      </c>
      <c r="D115">
        <v>0</v>
      </c>
      <c r="E115">
        <v>0</v>
      </c>
      <c r="F115">
        <v>0</v>
      </c>
      <c r="G115">
        <v>0</v>
      </c>
      <c r="H115">
        <f t="shared" si="1"/>
        <v>1</v>
      </c>
    </row>
    <row r="116" spans="1:8">
      <c r="A116" t="s">
        <v>142</v>
      </c>
      <c r="B116">
        <v>0.99629999999999996</v>
      </c>
      <c r="C116">
        <v>3.7000000000000002E-3</v>
      </c>
      <c r="D116">
        <v>0</v>
      </c>
      <c r="E116">
        <v>0</v>
      </c>
      <c r="F116">
        <v>0</v>
      </c>
      <c r="G116">
        <v>0</v>
      </c>
      <c r="H116">
        <f t="shared" si="1"/>
        <v>1</v>
      </c>
    </row>
    <row r="117" spans="1:8">
      <c r="A117" t="s">
        <v>143</v>
      </c>
      <c r="B117">
        <v>0.88224999999999998</v>
      </c>
      <c r="C117">
        <v>0.11774999999999999</v>
      </c>
      <c r="D117">
        <v>0</v>
      </c>
      <c r="E117">
        <v>0</v>
      </c>
      <c r="F117">
        <v>0</v>
      </c>
      <c r="G117">
        <v>0</v>
      </c>
      <c r="H117">
        <f t="shared" si="1"/>
        <v>1</v>
      </c>
    </row>
    <row r="118" spans="1:8">
      <c r="A118" t="s">
        <v>144</v>
      </c>
      <c r="B118">
        <v>0.83374999999999999</v>
      </c>
      <c r="C118">
        <v>0.16625000000000001</v>
      </c>
      <c r="D118">
        <v>0</v>
      </c>
      <c r="E118">
        <v>0</v>
      </c>
      <c r="F118">
        <v>0</v>
      </c>
      <c r="G118">
        <v>0</v>
      </c>
      <c r="H118">
        <f t="shared" si="1"/>
        <v>1</v>
      </c>
    </row>
    <row r="119" spans="1:8">
      <c r="A119" t="s">
        <v>145</v>
      </c>
      <c r="B119">
        <v>0</v>
      </c>
      <c r="C119">
        <v>0.99624999999999997</v>
      </c>
      <c r="D119">
        <v>3.7499999999999999E-3</v>
      </c>
      <c r="E119">
        <v>0</v>
      </c>
      <c r="F119">
        <v>0</v>
      </c>
      <c r="G119">
        <v>0</v>
      </c>
      <c r="H119">
        <f t="shared" si="1"/>
        <v>1</v>
      </c>
    </row>
    <row r="120" spans="1:8">
      <c r="A120" t="s">
        <v>146</v>
      </c>
      <c r="B120">
        <v>0.13285</v>
      </c>
      <c r="C120">
        <v>0.86714999999999998</v>
      </c>
      <c r="D120">
        <v>0</v>
      </c>
      <c r="E120">
        <v>0</v>
      </c>
      <c r="F120">
        <v>0</v>
      </c>
      <c r="G120">
        <v>0</v>
      </c>
      <c r="H120">
        <f t="shared" si="1"/>
        <v>1</v>
      </c>
    </row>
    <row r="121" spans="1:8">
      <c r="A121" t="s">
        <v>147</v>
      </c>
      <c r="B121">
        <v>3.5E-4</v>
      </c>
      <c r="C121">
        <v>0.99965000000000004</v>
      </c>
      <c r="D121">
        <v>0</v>
      </c>
      <c r="E121">
        <v>0</v>
      </c>
      <c r="F121">
        <v>0</v>
      </c>
      <c r="G121">
        <v>0</v>
      </c>
      <c r="H121">
        <f t="shared" si="1"/>
        <v>1</v>
      </c>
    </row>
    <row r="122" spans="1:8">
      <c r="A122" t="s">
        <v>148</v>
      </c>
      <c r="B122">
        <v>0.12825</v>
      </c>
      <c r="C122">
        <v>0.87175000000000002</v>
      </c>
      <c r="D122">
        <v>0</v>
      </c>
      <c r="E122">
        <v>0</v>
      </c>
      <c r="F122">
        <v>0</v>
      </c>
      <c r="G122">
        <v>0</v>
      </c>
      <c r="H122">
        <f t="shared" si="1"/>
        <v>1</v>
      </c>
    </row>
    <row r="123" spans="1:8">
      <c r="A123" t="s">
        <v>149</v>
      </c>
      <c r="B123">
        <v>6.1500000000000001E-3</v>
      </c>
      <c r="C123">
        <v>0.99385000000000001</v>
      </c>
      <c r="D123">
        <v>0</v>
      </c>
      <c r="E123">
        <v>0</v>
      </c>
      <c r="F123">
        <v>0</v>
      </c>
      <c r="G123">
        <v>0</v>
      </c>
      <c r="H123">
        <f t="shared" si="1"/>
        <v>1</v>
      </c>
    </row>
    <row r="124" spans="1:8">
      <c r="A124" t="s">
        <v>150</v>
      </c>
      <c r="B124">
        <v>8.0000000000000004E-4</v>
      </c>
      <c r="C124">
        <v>0.99919999999999998</v>
      </c>
      <c r="D124">
        <v>0</v>
      </c>
      <c r="E124">
        <v>0</v>
      </c>
      <c r="F124">
        <v>0</v>
      </c>
      <c r="G124">
        <v>0</v>
      </c>
      <c r="H124">
        <f t="shared" si="1"/>
        <v>1</v>
      </c>
    </row>
    <row r="125" spans="1:8">
      <c r="A125" t="s">
        <v>151</v>
      </c>
      <c r="B125">
        <v>0.59214999999999995</v>
      </c>
      <c r="C125">
        <v>0.40739999999999998</v>
      </c>
      <c r="D125">
        <v>4.4999999999999999E-4</v>
      </c>
      <c r="E125">
        <v>0</v>
      </c>
      <c r="F125">
        <v>0</v>
      </c>
      <c r="G125">
        <v>0</v>
      </c>
      <c r="H125">
        <f t="shared" si="1"/>
        <v>0.99999999999999989</v>
      </c>
    </row>
    <row r="126" spans="1:8">
      <c r="A126" t="s">
        <v>152</v>
      </c>
      <c r="B126">
        <v>0.78215000000000001</v>
      </c>
      <c r="C126">
        <v>0.21784999999999999</v>
      </c>
      <c r="D126">
        <v>0</v>
      </c>
      <c r="E126">
        <v>0</v>
      </c>
      <c r="F126">
        <v>0</v>
      </c>
      <c r="G126">
        <v>0</v>
      </c>
      <c r="H126">
        <f t="shared" si="1"/>
        <v>1</v>
      </c>
    </row>
    <row r="127" spans="1:8">
      <c r="A127" t="s">
        <v>153</v>
      </c>
      <c r="B127">
        <v>0.71894999999999998</v>
      </c>
      <c r="C127">
        <v>0.28105000000000002</v>
      </c>
      <c r="D127">
        <v>0</v>
      </c>
      <c r="E127">
        <v>0</v>
      </c>
      <c r="F127">
        <v>0</v>
      </c>
      <c r="G127">
        <v>0</v>
      </c>
      <c r="H127">
        <f t="shared" si="1"/>
        <v>1</v>
      </c>
    </row>
    <row r="128" spans="1:8">
      <c r="A128" t="s">
        <v>154</v>
      </c>
      <c r="B128">
        <v>0.93694999999999995</v>
      </c>
      <c r="C128">
        <v>6.2950000000000006E-2</v>
      </c>
      <c r="D128">
        <v>1E-4</v>
      </c>
      <c r="E128">
        <v>0</v>
      </c>
      <c r="F128">
        <v>0</v>
      </c>
      <c r="G128">
        <v>0</v>
      </c>
      <c r="H128">
        <f t="shared" si="1"/>
        <v>1</v>
      </c>
    </row>
    <row r="129" spans="1:8">
      <c r="A129" t="s">
        <v>155</v>
      </c>
      <c r="B129">
        <v>0.99514999999999998</v>
      </c>
      <c r="C129">
        <v>4.8500000000000001E-3</v>
      </c>
      <c r="D129">
        <v>0</v>
      </c>
      <c r="E129">
        <v>0</v>
      </c>
      <c r="F129">
        <v>0</v>
      </c>
      <c r="G129">
        <v>0</v>
      </c>
      <c r="H129">
        <f t="shared" si="1"/>
        <v>1</v>
      </c>
    </row>
    <row r="130" spans="1:8">
      <c r="A130" t="s">
        <v>156</v>
      </c>
      <c r="B130">
        <v>0.89980000000000004</v>
      </c>
      <c r="C130">
        <v>0.10015</v>
      </c>
      <c r="D130" s="76">
        <v>5.0000000000000002E-5</v>
      </c>
      <c r="E130">
        <v>0</v>
      </c>
      <c r="F130">
        <v>0</v>
      </c>
      <c r="G130">
        <v>0</v>
      </c>
      <c r="H130">
        <f t="shared" si="1"/>
        <v>1</v>
      </c>
    </row>
    <row r="131" spans="1:8">
      <c r="A131" t="s">
        <v>157</v>
      </c>
      <c r="B131">
        <v>0</v>
      </c>
      <c r="C131">
        <v>0.59409999999999996</v>
      </c>
      <c r="D131">
        <v>0.40589999999999998</v>
      </c>
      <c r="E131">
        <v>0</v>
      </c>
      <c r="F131">
        <v>0</v>
      </c>
      <c r="G131">
        <v>0</v>
      </c>
      <c r="H131">
        <f t="shared" si="1"/>
        <v>1</v>
      </c>
    </row>
    <row r="132" spans="1:8">
      <c r="A132" t="s">
        <v>158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f t="shared" ref="H132:H195" si="2">SUM(B132:G132)</f>
        <v>1</v>
      </c>
    </row>
    <row r="133" spans="1:8">
      <c r="A133" t="s">
        <v>159</v>
      </c>
      <c r="B133">
        <v>1.4999999999999999E-4</v>
      </c>
      <c r="C133">
        <v>0.99985000000000002</v>
      </c>
      <c r="D133">
        <v>0</v>
      </c>
      <c r="E133">
        <v>0</v>
      </c>
      <c r="F133">
        <v>0</v>
      </c>
      <c r="G133">
        <v>0</v>
      </c>
      <c r="H133">
        <f t="shared" si="2"/>
        <v>1</v>
      </c>
    </row>
    <row r="134" spans="1:8">
      <c r="A134" t="s">
        <v>160</v>
      </c>
      <c r="B134" s="76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f t="shared" si="2"/>
        <v>1</v>
      </c>
    </row>
    <row r="135" spans="1:8">
      <c r="A135" t="s">
        <v>161</v>
      </c>
      <c r="B135">
        <v>0.99045000000000005</v>
      </c>
      <c r="C135">
        <v>9.5499999999999995E-3</v>
      </c>
      <c r="D135">
        <v>0</v>
      </c>
      <c r="E135">
        <v>0</v>
      </c>
      <c r="F135">
        <v>0</v>
      </c>
      <c r="G135">
        <v>0</v>
      </c>
      <c r="H135">
        <f t="shared" si="2"/>
        <v>1</v>
      </c>
    </row>
    <row r="136" spans="1:8">
      <c r="A136" t="s">
        <v>162</v>
      </c>
      <c r="B136">
        <v>0.99065000000000003</v>
      </c>
      <c r="C136">
        <v>9.3500000000000007E-3</v>
      </c>
      <c r="D136">
        <v>0</v>
      </c>
      <c r="E136">
        <v>0</v>
      </c>
      <c r="F136">
        <v>0</v>
      </c>
      <c r="G136">
        <v>0</v>
      </c>
      <c r="H136">
        <f t="shared" si="2"/>
        <v>1</v>
      </c>
    </row>
    <row r="137" spans="1:8">
      <c r="A137" t="s">
        <v>163</v>
      </c>
      <c r="B137">
        <v>2.1100000000000001E-2</v>
      </c>
      <c r="C137">
        <v>0.97889999999999999</v>
      </c>
      <c r="D137">
        <v>0</v>
      </c>
      <c r="E137">
        <v>0</v>
      </c>
      <c r="F137">
        <v>0</v>
      </c>
      <c r="G137">
        <v>0</v>
      </c>
      <c r="H137">
        <f t="shared" si="2"/>
        <v>1</v>
      </c>
    </row>
    <row r="138" spans="1:8">
      <c r="A138" t="s">
        <v>164</v>
      </c>
      <c r="B138">
        <v>0.95914999999999995</v>
      </c>
      <c r="C138">
        <v>4.0849999999999997E-2</v>
      </c>
      <c r="D138">
        <v>0</v>
      </c>
      <c r="E138">
        <v>0</v>
      </c>
      <c r="F138">
        <v>0</v>
      </c>
      <c r="G138">
        <v>0</v>
      </c>
      <c r="H138">
        <f t="shared" si="2"/>
        <v>1</v>
      </c>
    </row>
    <row r="139" spans="1:8">
      <c r="A139" t="s">
        <v>165</v>
      </c>
      <c r="B139">
        <v>0.78754999999999997</v>
      </c>
      <c r="C139">
        <v>0.17935000000000001</v>
      </c>
      <c r="D139">
        <v>3.3099999999999997E-2</v>
      </c>
      <c r="E139">
        <v>0</v>
      </c>
      <c r="F139">
        <v>0</v>
      </c>
      <c r="G139">
        <v>0</v>
      </c>
      <c r="H139">
        <f t="shared" si="2"/>
        <v>1</v>
      </c>
    </row>
    <row r="140" spans="1:8">
      <c r="A140" t="s">
        <v>166</v>
      </c>
      <c r="B140">
        <v>9.4999999999999998E-3</v>
      </c>
      <c r="C140">
        <v>0.99050000000000005</v>
      </c>
      <c r="D140">
        <v>0</v>
      </c>
      <c r="E140">
        <v>0</v>
      </c>
      <c r="F140">
        <v>0</v>
      </c>
      <c r="G140">
        <v>0</v>
      </c>
      <c r="H140">
        <f t="shared" si="2"/>
        <v>1</v>
      </c>
    </row>
    <row r="141" spans="1:8">
      <c r="A141" t="s">
        <v>167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f t="shared" si="2"/>
        <v>1</v>
      </c>
    </row>
    <row r="142" spans="1:8">
      <c r="A142" t="s">
        <v>168</v>
      </c>
      <c r="B142" s="76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f t="shared" si="2"/>
        <v>1</v>
      </c>
    </row>
    <row r="143" spans="1:8">
      <c r="A143" t="s">
        <v>169</v>
      </c>
      <c r="B143">
        <v>0.93049999999999999</v>
      </c>
      <c r="C143">
        <v>6.9500000000000006E-2</v>
      </c>
      <c r="D143">
        <v>0</v>
      </c>
      <c r="E143">
        <v>0</v>
      </c>
      <c r="F143">
        <v>0</v>
      </c>
      <c r="G143">
        <v>0</v>
      </c>
      <c r="H143">
        <f t="shared" si="2"/>
        <v>1</v>
      </c>
    </row>
    <row r="144" spans="1:8">
      <c r="A144" t="s">
        <v>170</v>
      </c>
      <c r="B144">
        <v>0.18545</v>
      </c>
      <c r="C144">
        <v>0.81455</v>
      </c>
      <c r="D144">
        <v>0</v>
      </c>
      <c r="E144">
        <v>0</v>
      </c>
      <c r="F144">
        <v>0</v>
      </c>
      <c r="G144">
        <v>0</v>
      </c>
      <c r="H144">
        <f t="shared" si="2"/>
        <v>1</v>
      </c>
    </row>
    <row r="145" spans="1:8">
      <c r="A145" t="s">
        <v>171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f t="shared" si="2"/>
        <v>1</v>
      </c>
    </row>
    <row r="146" spans="1:8">
      <c r="A146" t="s">
        <v>172</v>
      </c>
      <c r="B146">
        <v>0.39205000000000001</v>
      </c>
      <c r="C146">
        <v>0.60794999999999999</v>
      </c>
      <c r="D146">
        <v>0</v>
      </c>
      <c r="E146">
        <v>0</v>
      </c>
      <c r="F146">
        <v>0</v>
      </c>
      <c r="G146">
        <v>0</v>
      </c>
      <c r="H146">
        <f t="shared" si="2"/>
        <v>1</v>
      </c>
    </row>
    <row r="147" spans="1:8">
      <c r="A147" t="s">
        <v>173</v>
      </c>
      <c r="B147">
        <v>0.99604999999999999</v>
      </c>
      <c r="C147">
        <v>3.9500000000000004E-3</v>
      </c>
      <c r="D147">
        <v>0</v>
      </c>
      <c r="E147">
        <v>0</v>
      </c>
      <c r="F147">
        <v>0</v>
      </c>
      <c r="G147">
        <v>0</v>
      </c>
      <c r="H147">
        <f t="shared" si="2"/>
        <v>1</v>
      </c>
    </row>
    <row r="148" spans="1:8">
      <c r="A148" t="s">
        <v>174</v>
      </c>
      <c r="B148">
        <v>0</v>
      </c>
      <c r="C148">
        <v>1.8E-3</v>
      </c>
      <c r="D148">
        <v>0.99819999999999998</v>
      </c>
      <c r="E148">
        <v>0</v>
      </c>
      <c r="F148">
        <v>0</v>
      </c>
      <c r="G148">
        <v>0</v>
      </c>
      <c r="H148">
        <f t="shared" si="2"/>
        <v>1</v>
      </c>
    </row>
    <row r="149" spans="1:8">
      <c r="A149" t="s">
        <v>175</v>
      </c>
      <c r="B149">
        <v>3.8949999999999999E-2</v>
      </c>
      <c r="C149">
        <v>0.20319999999999999</v>
      </c>
      <c r="D149">
        <v>0.75785000000000002</v>
      </c>
      <c r="E149">
        <v>0</v>
      </c>
      <c r="F149">
        <v>0</v>
      </c>
      <c r="G149">
        <v>0</v>
      </c>
      <c r="H149">
        <f t="shared" si="2"/>
        <v>1</v>
      </c>
    </row>
    <row r="150" spans="1:8">
      <c r="A150" t="s">
        <v>176</v>
      </c>
      <c r="B150">
        <v>2.2499999999999998E-3</v>
      </c>
      <c r="C150">
        <v>0.25905</v>
      </c>
      <c r="D150">
        <v>0.73870000000000002</v>
      </c>
      <c r="E150">
        <v>0</v>
      </c>
      <c r="F150">
        <v>0</v>
      </c>
      <c r="G150">
        <v>0</v>
      </c>
      <c r="H150">
        <f t="shared" si="2"/>
        <v>1</v>
      </c>
    </row>
    <row r="151" spans="1:8">
      <c r="A151" t="s">
        <v>177</v>
      </c>
      <c r="B151">
        <v>4.1000000000000003E-3</v>
      </c>
      <c r="C151">
        <v>0.99590000000000001</v>
      </c>
      <c r="D151">
        <v>0</v>
      </c>
      <c r="E151">
        <v>0</v>
      </c>
      <c r="F151">
        <v>0</v>
      </c>
      <c r="G151">
        <v>0</v>
      </c>
      <c r="H151">
        <f t="shared" si="2"/>
        <v>1</v>
      </c>
    </row>
    <row r="152" spans="1:8">
      <c r="A152" t="s">
        <v>178</v>
      </c>
      <c r="B152">
        <v>0.97814999999999996</v>
      </c>
      <c r="C152">
        <v>2.1850000000000001E-2</v>
      </c>
      <c r="D152">
        <v>0</v>
      </c>
      <c r="E152">
        <v>0</v>
      </c>
      <c r="F152">
        <v>0</v>
      </c>
      <c r="G152">
        <v>0</v>
      </c>
      <c r="H152">
        <f t="shared" si="2"/>
        <v>1</v>
      </c>
    </row>
    <row r="153" spans="1:8">
      <c r="A153" t="s">
        <v>179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f t="shared" si="2"/>
        <v>1</v>
      </c>
    </row>
    <row r="154" spans="1:8">
      <c r="A154" t="s">
        <v>180</v>
      </c>
      <c r="B154">
        <v>0.90339999999999998</v>
      </c>
      <c r="C154">
        <v>9.6600000000000005E-2</v>
      </c>
      <c r="D154">
        <v>0</v>
      </c>
      <c r="E154">
        <v>0</v>
      </c>
      <c r="F154">
        <v>0</v>
      </c>
      <c r="G154">
        <v>0</v>
      </c>
      <c r="H154">
        <f t="shared" si="2"/>
        <v>1</v>
      </c>
    </row>
    <row r="155" spans="1:8">
      <c r="A155" t="s">
        <v>181</v>
      </c>
      <c r="B155">
        <v>0.31</v>
      </c>
      <c r="C155">
        <v>0.69</v>
      </c>
      <c r="D155">
        <v>0</v>
      </c>
      <c r="E155">
        <v>0</v>
      </c>
      <c r="F155">
        <v>0</v>
      </c>
      <c r="G155">
        <v>0</v>
      </c>
      <c r="H155">
        <f t="shared" si="2"/>
        <v>1</v>
      </c>
    </row>
    <row r="156" spans="1:8">
      <c r="A156" t="s">
        <v>182</v>
      </c>
      <c r="B156">
        <v>0.37075000000000002</v>
      </c>
      <c r="C156">
        <v>0.62909999999999999</v>
      </c>
      <c r="D156">
        <v>1.4999999999999999E-4</v>
      </c>
      <c r="E156">
        <v>0</v>
      </c>
      <c r="F156">
        <v>0</v>
      </c>
      <c r="G156">
        <v>0</v>
      </c>
      <c r="H156">
        <f t="shared" si="2"/>
        <v>1</v>
      </c>
    </row>
    <row r="157" spans="1:8">
      <c r="A157" t="s">
        <v>183</v>
      </c>
      <c r="B157" s="76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f t="shared" si="2"/>
        <v>1</v>
      </c>
    </row>
    <row r="158" spans="1:8">
      <c r="A158" t="s">
        <v>184</v>
      </c>
      <c r="B158">
        <v>0.53354999999999997</v>
      </c>
      <c r="C158">
        <v>0.46644999999999998</v>
      </c>
      <c r="D158">
        <v>0</v>
      </c>
      <c r="E158">
        <v>0</v>
      </c>
      <c r="F158">
        <v>0</v>
      </c>
      <c r="G158">
        <v>0</v>
      </c>
      <c r="H158">
        <f t="shared" si="2"/>
        <v>1</v>
      </c>
    </row>
    <row r="159" spans="1:8">
      <c r="A159" t="s">
        <v>185</v>
      </c>
      <c r="B159">
        <v>4.845E-2</v>
      </c>
      <c r="C159">
        <v>0.95065</v>
      </c>
      <c r="D159">
        <v>8.9999999999999998E-4</v>
      </c>
      <c r="E159">
        <v>0</v>
      </c>
      <c r="F159">
        <v>0</v>
      </c>
      <c r="G159">
        <v>0</v>
      </c>
      <c r="H159">
        <f t="shared" si="2"/>
        <v>1</v>
      </c>
    </row>
    <row r="160" spans="1:8">
      <c r="A160" t="s">
        <v>186</v>
      </c>
      <c r="B160">
        <v>0.78320000000000001</v>
      </c>
      <c r="C160">
        <v>0.21675</v>
      </c>
      <c r="D160" s="76">
        <v>5.0000000000000002E-5</v>
      </c>
      <c r="E160">
        <v>0</v>
      </c>
      <c r="F160">
        <v>0</v>
      </c>
      <c r="G160">
        <v>0</v>
      </c>
      <c r="H160">
        <f t="shared" si="2"/>
        <v>1</v>
      </c>
    </row>
    <row r="161" spans="1:8">
      <c r="A161" t="s">
        <v>187</v>
      </c>
      <c r="B161">
        <v>0.70845000000000002</v>
      </c>
      <c r="C161">
        <v>0.29154999999999998</v>
      </c>
      <c r="D161">
        <v>0</v>
      </c>
      <c r="E161">
        <v>0</v>
      </c>
      <c r="F161">
        <v>0</v>
      </c>
      <c r="G161">
        <v>0</v>
      </c>
      <c r="H161">
        <f t="shared" si="2"/>
        <v>1</v>
      </c>
    </row>
    <row r="162" spans="1:8">
      <c r="A162" t="s">
        <v>188</v>
      </c>
      <c r="B162">
        <v>0.98519999999999996</v>
      </c>
      <c r="C162">
        <v>1.4800000000000001E-2</v>
      </c>
      <c r="D162">
        <v>0</v>
      </c>
      <c r="E162">
        <v>0</v>
      </c>
      <c r="F162">
        <v>0</v>
      </c>
      <c r="G162">
        <v>0</v>
      </c>
      <c r="H162">
        <f t="shared" si="2"/>
        <v>1</v>
      </c>
    </row>
    <row r="163" spans="1:8">
      <c r="A163" t="s">
        <v>189</v>
      </c>
      <c r="B163">
        <v>0.99750000000000005</v>
      </c>
      <c r="C163">
        <v>2.5000000000000001E-3</v>
      </c>
      <c r="D163">
        <v>0</v>
      </c>
      <c r="E163">
        <v>0</v>
      </c>
      <c r="F163">
        <v>0</v>
      </c>
      <c r="G163">
        <v>0</v>
      </c>
      <c r="H163">
        <f t="shared" si="2"/>
        <v>1</v>
      </c>
    </row>
    <row r="164" spans="1:8">
      <c r="A164" t="s">
        <v>190</v>
      </c>
      <c r="B164">
        <v>0.99870000000000003</v>
      </c>
      <c r="C164">
        <v>1.2999999999999999E-3</v>
      </c>
      <c r="D164">
        <v>0</v>
      </c>
      <c r="E164">
        <v>0</v>
      </c>
      <c r="F164">
        <v>0</v>
      </c>
      <c r="G164">
        <v>0</v>
      </c>
      <c r="H164">
        <f t="shared" si="2"/>
        <v>1</v>
      </c>
    </row>
    <row r="165" spans="1:8">
      <c r="A165" t="s">
        <v>191</v>
      </c>
      <c r="B165">
        <v>6.6499999999999997E-3</v>
      </c>
      <c r="C165">
        <v>0.99334999999999996</v>
      </c>
      <c r="D165">
        <v>0</v>
      </c>
      <c r="E165">
        <v>0</v>
      </c>
      <c r="F165">
        <v>0</v>
      </c>
      <c r="G165">
        <v>0</v>
      </c>
      <c r="H165">
        <f t="shared" si="2"/>
        <v>1</v>
      </c>
    </row>
    <row r="166" spans="1:8">
      <c r="A166" t="s">
        <v>192</v>
      </c>
      <c r="B166">
        <v>8.745E-2</v>
      </c>
      <c r="C166">
        <v>0.91254999999999997</v>
      </c>
      <c r="D166" s="76">
        <v>0</v>
      </c>
      <c r="E166">
        <v>0</v>
      </c>
      <c r="F166">
        <v>0</v>
      </c>
      <c r="G166">
        <v>0</v>
      </c>
      <c r="H166">
        <f t="shared" si="2"/>
        <v>1</v>
      </c>
    </row>
    <row r="167" spans="1:8">
      <c r="A167" t="s">
        <v>193</v>
      </c>
      <c r="B167">
        <v>2.4499999999999999E-3</v>
      </c>
      <c r="C167">
        <v>4.6550000000000001E-2</v>
      </c>
      <c r="D167">
        <v>0.95099999999999996</v>
      </c>
      <c r="E167">
        <v>0</v>
      </c>
      <c r="F167">
        <v>0</v>
      </c>
      <c r="G167">
        <v>0</v>
      </c>
      <c r="H167">
        <f t="shared" si="2"/>
        <v>1</v>
      </c>
    </row>
    <row r="168" spans="1:8">
      <c r="A168" t="s">
        <v>194</v>
      </c>
      <c r="B168">
        <v>0.11335000000000001</v>
      </c>
      <c r="C168">
        <v>0.88665000000000005</v>
      </c>
      <c r="D168">
        <v>0</v>
      </c>
      <c r="E168">
        <v>0</v>
      </c>
      <c r="F168">
        <v>0</v>
      </c>
      <c r="G168">
        <v>0</v>
      </c>
      <c r="H168">
        <f t="shared" si="2"/>
        <v>1</v>
      </c>
    </row>
    <row r="169" spans="1:8">
      <c r="A169" t="s">
        <v>195</v>
      </c>
      <c r="B169" s="76">
        <v>1E-4</v>
      </c>
      <c r="C169">
        <v>0.99990000000000001</v>
      </c>
      <c r="D169">
        <v>0</v>
      </c>
      <c r="E169">
        <v>0</v>
      </c>
      <c r="F169">
        <v>0</v>
      </c>
      <c r="G169">
        <v>0</v>
      </c>
      <c r="H169">
        <f t="shared" si="2"/>
        <v>1</v>
      </c>
    </row>
    <row r="170" spans="1:8">
      <c r="A170" t="s">
        <v>196</v>
      </c>
      <c r="B170">
        <v>7.7000000000000002E-3</v>
      </c>
      <c r="C170">
        <v>0.99229999999999996</v>
      </c>
      <c r="D170">
        <v>0</v>
      </c>
      <c r="E170">
        <v>0</v>
      </c>
      <c r="F170">
        <v>0</v>
      </c>
      <c r="G170">
        <v>0</v>
      </c>
      <c r="H170">
        <f t="shared" si="2"/>
        <v>1</v>
      </c>
    </row>
    <row r="171" spans="1:8">
      <c r="A171" t="s">
        <v>197</v>
      </c>
      <c r="B171">
        <v>0.71240000000000003</v>
      </c>
      <c r="C171">
        <v>0.28760000000000002</v>
      </c>
      <c r="D171">
        <v>0</v>
      </c>
      <c r="E171">
        <v>0</v>
      </c>
      <c r="F171">
        <v>0</v>
      </c>
      <c r="G171">
        <v>0</v>
      </c>
      <c r="H171">
        <f t="shared" si="2"/>
        <v>1</v>
      </c>
    </row>
    <row r="172" spans="1:8">
      <c r="A172" t="s">
        <v>198</v>
      </c>
      <c r="B172">
        <v>7.5000000000000002E-4</v>
      </c>
      <c r="C172">
        <v>0.99924999999999997</v>
      </c>
      <c r="D172">
        <v>0</v>
      </c>
      <c r="E172">
        <v>0</v>
      </c>
      <c r="F172">
        <v>0</v>
      </c>
      <c r="G172">
        <v>0</v>
      </c>
      <c r="H172">
        <f t="shared" si="2"/>
        <v>1</v>
      </c>
    </row>
    <row r="173" spans="1:8">
      <c r="A173" t="s">
        <v>199</v>
      </c>
      <c r="B173">
        <v>1.9E-3</v>
      </c>
      <c r="C173">
        <v>0.99809999999999999</v>
      </c>
      <c r="D173">
        <v>0</v>
      </c>
      <c r="E173">
        <v>0</v>
      </c>
      <c r="F173">
        <v>0</v>
      </c>
      <c r="G173">
        <v>0</v>
      </c>
      <c r="H173">
        <f t="shared" si="2"/>
        <v>1</v>
      </c>
    </row>
    <row r="174" spans="1:8">
      <c r="A174" t="s">
        <v>200</v>
      </c>
      <c r="B174">
        <v>1.2449999999999999E-2</v>
      </c>
      <c r="C174">
        <v>0.98755000000000004</v>
      </c>
      <c r="D174">
        <v>0</v>
      </c>
      <c r="E174">
        <v>0</v>
      </c>
      <c r="F174">
        <v>0</v>
      </c>
      <c r="G174">
        <v>0</v>
      </c>
      <c r="H174">
        <f t="shared" si="2"/>
        <v>1</v>
      </c>
    </row>
    <row r="175" spans="1:8">
      <c r="A175" t="s">
        <v>201</v>
      </c>
      <c r="B175">
        <v>5.7499999999999999E-3</v>
      </c>
      <c r="C175">
        <v>0.99424999999999997</v>
      </c>
      <c r="D175">
        <v>0</v>
      </c>
      <c r="E175">
        <v>0</v>
      </c>
      <c r="F175">
        <v>0</v>
      </c>
      <c r="G175">
        <v>0</v>
      </c>
      <c r="H175">
        <f t="shared" si="2"/>
        <v>1</v>
      </c>
    </row>
    <row r="176" spans="1:8">
      <c r="A176" t="s">
        <v>202</v>
      </c>
      <c r="B176" s="76">
        <v>5.0000000000000002E-5</v>
      </c>
      <c r="C176">
        <v>0.99995000000000001</v>
      </c>
      <c r="D176">
        <v>0</v>
      </c>
      <c r="E176">
        <v>0</v>
      </c>
      <c r="F176">
        <v>0</v>
      </c>
      <c r="G176">
        <v>0</v>
      </c>
      <c r="H176">
        <f t="shared" si="2"/>
        <v>1</v>
      </c>
    </row>
    <row r="177" spans="1:8">
      <c r="A177" t="s">
        <v>203</v>
      </c>
      <c r="B177">
        <v>8.5000000000000006E-3</v>
      </c>
      <c r="C177">
        <v>0.99150000000000005</v>
      </c>
      <c r="D177">
        <v>0</v>
      </c>
      <c r="E177">
        <v>0</v>
      </c>
      <c r="F177">
        <v>0</v>
      </c>
      <c r="G177">
        <v>0</v>
      </c>
      <c r="H177">
        <f t="shared" si="2"/>
        <v>1</v>
      </c>
    </row>
    <row r="178" spans="1:8">
      <c r="A178" t="s">
        <v>204</v>
      </c>
      <c r="B178">
        <v>0.31835000000000002</v>
      </c>
      <c r="C178">
        <v>0.68164999999999998</v>
      </c>
      <c r="D178">
        <v>0</v>
      </c>
      <c r="E178">
        <v>0</v>
      </c>
      <c r="F178">
        <v>0</v>
      </c>
      <c r="G178">
        <v>0</v>
      </c>
      <c r="H178">
        <f t="shared" si="2"/>
        <v>1</v>
      </c>
    </row>
    <row r="179" spans="1:8">
      <c r="A179" t="s">
        <v>205</v>
      </c>
      <c r="B179">
        <v>0.48330000000000001</v>
      </c>
      <c r="C179">
        <v>0.51670000000000005</v>
      </c>
      <c r="D179">
        <v>0</v>
      </c>
      <c r="E179">
        <v>0</v>
      </c>
      <c r="F179">
        <v>0</v>
      </c>
      <c r="G179">
        <v>0</v>
      </c>
      <c r="H179">
        <f t="shared" si="2"/>
        <v>1</v>
      </c>
    </row>
    <row r="180" spans="1:8">
      <c r="A180" t="s">
        <v>206</v>
      </c>
      <c r="B180">
        <v>9.8500000000000004E-2</v>
      </c>
      <c r="C180">
        <v>0.27439999999999998</v>
      </c>
      <c r="D180">
        <v>0.62709999999999999</v>
      </c>
      <c r="E180">
        <v>0</v>
      </c>
      <c r="F180">
        <v>0</v>
      </c>
      <c r="G180">
        <v>0</v>
      </c>
      <c r="H180">
        <f t="shared" si="2"/>
        <v>1</v>
      </c>
    </row>
    <row r="181" spans="1:8">
      <c r="A181" t="s">
        <v>207</v>
      </c>
      <c r="B181">
        <v>0.82350000000000001</v>
      </c>
      <c r="C181">
        <v>0.17649999999999999</v>
      </c>
      <c r="D181">
        <v>0</v>
      </c>
      <c r="E181">
        <v>0</v>
      </c>
      <c r="F181">
        <v>0</v>
      </c>
      <c r="G181">
        <v>0</v>
      </c>
      <c r="H181">
        <f t="shared" si="2"/>
        <v>1</v>
      </c>
    </row>
    <row r="182" spans="1:8">
      <c r="A182" t="s">
        <v>208</v>
      </c>
      <c r="B182">
        <v>0.99285000000000001</v>
      </c>
      <c r="C182">
        <v>7.1500000000000001E-3</v>
      </c>
      <c r="D182">
        <v>0</v>
      </c>
      <c r="E182">
        <v>0</v>
      </c>
      <c r="F182">
        <v>0</v>
      </c>
      <c r="G182">
        <v>0</v>
      </c>
      <c r="H182">
        <f t="shared" si="2"/>
        <v>1</v>
      </c>
    </row>
    <row r="183" spans="1:8">
      <c r="A183" t="s">
        <v>209</v>
      </c>
      <c r="B183" s="76">
        <v>0</v>
      </c>
      <c r="C183">
        <v>2.35E-2</v>
      </c>
      <c r="D183">
        <v>0.97650000000000003</v>
      </c>
      <c r="E183">
        <v>0</v>
      </c>
      <c r="F183">
        <v>0</v>
      </c>
      <c r="G183">
        <v>0</v>
      </c>
      <c r="H183">
        <f t="shared" si="2"/>
        <v>1</v>
      </c>
    </row>
    <row r="184" spans="1:8">
      <c r="A184" t="s">
        <v>210</v>
      </c>
      <c r="B184">
        <v>1E-4</v>
      </c>
      <c r="C184">
        <v>0.99990000000000001</v>
      </c>
      <c r="D184">
        <v>0</v>
      </c>
      <c r="E184">
        <v>0</v>
      </c>
      <c r="F184">
        <v>0</v>
      </c>
      <c r="G184">
        <v>0</v>
      </c>
      <c r="H184">
        <f t="shared" si="2"/>
        <v>1</v>
      </c>
    </row>
    <row r="185" spans="1:8">
      <c r="A185" t="s">
        <v>211</v>
      </c>
      <c r="B185">
        <v>0.67425000000000002</v>
      </c>
      <c r="C185">
        <v>0.32574999999999998</v>
      </c>
      <c r="D185">
        <v>0</v>
      </c>
      <c r="E185">
        <v>0</v>
      </c>
      <c r="F185">
        <v>0</v>
      </c>
      <c r="G185">
        <v>0</v>
      </c>
      <c r="H185">
        <f t="shared" si="2"/>
        <v>1</v>
      </c>
    </row>
    <row r="186" spans="1:8">
      <c r="A186" t="s">
        <v>212</v>
      </c>
      <c r="B186">
        <v>0.20730000000000001</v>
      </c>
      <c r="C186">
        <v>0.79269999999999996</v>
      </c>
      <c r="D186">
        <v>0</v>
      </c>
      <c r="E186">
        <v>0</v>
      </c>
      <c r="F186">
        <v>0</v>
      </c>
      <c r="G186">
        <v>0</v>
      </c>
      <c r="H186">
        <f t="shared" si="2"/>
        <v>1</v>
      </c>
    </row>
    <row r="187" spans="1:8">
      <c r="A187" t="s">
        <v>213</v>
      </c>
      <c r="B187">
        <v>0.52159999999999995</v>
      </c>
      <c r="C187">
        <v>0.47839999999999999</v>
      </c>
      <c r="D187">
        <v>0</v>
      </c>
      <c r="E187">
        <v>0</v>
      </c>
      <c r="F187">
        <v>0</v>
      </c>
      <c r="G187">
        <v>0</v>
      </c>
      <c r="H187">
        <f t="shared" si="2"/>
        <v>1</v>
      </c>
    </row>
    <row r="188" spans="1:8">
      <c r="A188" t="s">
        <v>214</v>
      </c>
      <c r="B188">
        <v>0.01</v>
      </c>
      <c r="C188">
        <v>0.99</v>
      </c>
      <c r="D188">
        <v>0</v>
      </c>
      <c r="E188">
        <v>0</v>
      </c>
      <c r="F188">
        <v>0</v>
      </c>
      <c r="G188">
        <v>0</v>
      </c>
      <c r="H188">
        <f t="shared" si="2"/>
        <v>1</v>
      </c>
    </row>
    <row r="189" spans="1:8">
      <c r="A189" t="s">
        <v>215</v>
      </c>
      <c r="B189">
        <v>0.90974999999999995</v>
      </c>
      <c r="C189">
        <v>3.1699999999999999E-2</v>
      </c>
      <c r="D189">
        <v>5.8549999999999998E-2</v>
      </c>
      <c r="E189">
        <v>0</v>
      </c>
      <c r="F189">
        <v>0</v>
      </c>
      <c r="G189">
        <v>0</v>
      </c>
      <c r="H189">
        <f t="shared" si="2"/>
        <v>0.99999999999999989</v>
      </c>
    </row>
    <row r="190" spans="1:8">
      <c r="A190" t="s">
        <v>216</v>
      </c>
      <c r="B190">
        <v>0</v>
      </c>
      <c r="C190">
        <v>8.1000000000000003E-2</v>
      </c>
      <c r="D190">
        <v>0.91900000000000004</v>
      </c>
      <c r="E190">
        <v>0</v>
      </c>
      <c r="F190">
        <v>0</v>
      </c>
      <c r="G190">
        <v>0</v>
      </c>
      <c r="H190">
        <f t="shared" si="2"/>
        <v>1</v>
      </c>
    </row>
    <row r="191" spans="1:8">
      <c r="A191" t="s">
        <v>217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f t="shared" si="2"/>
        <v>1</v>
      </c>
    </row>
    <row r="192" spans="1:8">
      <c r="A192" t="s">
        <v>218</v>
      </c>
      <c r="B192">
        <v>1.1050000000000001E-2</v>
      </c>
      <c r="C192">
        <v>0.98895</v>
      </c>
      <c r="D192">
        <v>0</v>
      </c>
      <c r="E192">
        <v>0</v>
      </c>
      <c r="F192">
        <v>0</v>
      </c>
      <c r="G192">
        <v>0</v>
      </c>
      <c r="H192">
        <f t="shared" si="2"/>
        <v>1</v>
      </c>
    </row>
    <row r="193" spans="1:8">
      <c r="A193" t="s">
        <v>219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f t="shared" si="2"/>
        <v>1</v>
      </c>
    </row>
    <row r="194" spans="1:8">
      <c r="A194" t="s">
        <v>220</v>
      </c>
      <c r="B194">
        <v>0.99890000000000001</v>
      </c>
      <c r="C194">
        <v>1.1000000000000001E-3</v>
      </c>
      <c r="D194">
        <v>0</v>
      </c>
      <c r="E194">
        <v>0</v>
      </c>
      <c r="F194">
        <v>0</v>
      </c>
      <c r="G194">
        <v>0</v>
      </c>
      <c r="H194">
        <f t="shared" si="2"/>
        <v>1</v>
      </c>
    </row>
    <row r="195" spans="1:8">
      <c r="A195" t="s">
        <v>221</v>
      </c>
      <c r="B195">
        <v>0</v>
      </c>
      <c r="C195">
        <v>0.96335000000000004</v>
      </c>
      <c r="D195">
        <v>3.6650000000000002E-2</v>
      </c>
      <c r="E195">
        <v>0</v>
      </c>
      <c r="F195">
        <v>0</v>
      </c>
      <c r="G195">
        <v>0</v>
      </c>
      <c r="H195">
        <f t="shared" si="2"/>
        <v>1</v>
      </c>
    </row>
    <row r="196" spans="1:8">
      <c r="A196" t="s">
        <v>222</v>
      </c>
      <c r="B196">
        <v>0.99160000000000004</v>
      </c>
      <c r="C196">
        <v>8.3999999999999995E-3</v>
      </c>
      <c r="D196" s="76">
        <v>0</v>
      </c>
      <c r="E196">
        <v>0</v>
      </c>
      <c r="F196">
        <v>0</v>
      </c>
      <c r="G196">
        <v>0</v>
      </c>
      <c r="H196">
        <f t="shared" ref="H196:H259" si="3">SUM(B196:G196)</f>
        <v>1</v>
      </c>
    </row>
    <row r="197" spans="1:8">
      <c r="A197" t="s">
        <v>223</v>
      </c>
      <c r="B197">
        <v>0.63580000000000003</v>
      </c>
      <c r="C197">
        <v>0.36420000000000002</v>
      </c>
      <c r="D197">
        <v>0</v>
      </c>
      <c r="E197">
        <v>0</v>
      </c>
      <c r="F197">
        <v>0</v>
      </c>
      <c r="G197">
        <v>0</v>
      </c>
      <c r="H197">
        <f t="shared" si="3"/>
        <v>1</v>
      </c>
    </row>
    <row r="198" spans="1:8">
      <c r="A198" t="s">
        <v>224</v>
      </c>
      <c r="B198">
        <v>0.16569999999999999</v>
      </c>
      <c r="C198">
        <v>0.83430000000000004</v>
      </c>
      <c r="D198">
        <v>0</v>
      </c>
      <c r="E198">
        <v>0</v>
      </c>
      <c r="F198">
        <v>0</v>
      </c>
      <c r="G198">
        <v>0</v>
      </c>
      <c r="H198">
        <f t="shared" si="3"/>
        <v>1</v>
      </c>
    </row>
    <row r="199" spans="1:8">
      <c r="A199" t="s">
        <v>225</v>
      </c>
      <c r="B199">
        <v>7.7000000000000002E-3</v>
      </c>
      <c r="C199">
        <v>0.99229999999999996</v>
      </c>
      <c r="D199">
        <v>0</v>
      </c>
      <c r="E199">
        <v>0</v>
      </c>
      <c r="F199">
        <v>0</v>
      </c>
      <c r="G199">
        <v>0</v>
      </c>
      <c r="H199">
        <f t="shared" si="3"/>
        <v>1</v>
      </c>
    </row>
    <row r="200" spans="1:8">
      <c r="A200" t="s">
        <v>226</v>
      </c>
      <c r="B200">
        <v>0.99595</v>
      </c>
      <c r="C200">
        <v>4.0499999999999998E-3</v>
      </c>
      <c r="D200">
        <v>0</v>
      </c>
      <c r="E200">
        <v>0</v>
      </c>
      <c r="F200">
        <v>0</v>
      </c>
      <c r="G200">
        <v>0</v>
      </c>
      <c r="H200">
        <f t="shared" si="3"/>
        <v>1</v>
      </c>
    </row>
    <row r="201" spans="1:8">
      <c r="A201" t="s">
        <v>227</v>
      </c>
      <c r="B201">
        <v>1.3500000000000001E-3</v>
      </c>
      <c r="C201">
        <v>0.99865000000000004</v>
      </c>
      <c r="D201">
        <v>0</v>
      </c>
      <c r="E201">
        <v>0</v>
      </c>
      <c r="F201">
        <v>0</v>
      </c>
      <c r="G201">
        <v>0</v>
      </c>
      <c r="H201">
        <f t="shared" si="3"/>
        <v>1</v>
      </c>
    </row>
    <row r="202" spans="1:8">
      <c r="A202" t="s">
        <v>228</v>
      </c>
      <c r="B202">
        <v>0.79459999999999997</v>
      </c>
      <c r="C202">
        <v>0.20230000000000001</v>
      </c>
      <c r="D202">
        <v>3.0999999999999999E-3</v>
      </c>
      <c r="E202">
        <v>0</v>
      </c>
      <c r="F202">
        <v>0</v>
      </c>
      <c r="G202">
        <v>0</v>
      </c>
      <c r="H202">
        <f t="shared" si="3"/>
        <v>1</v>
      </c>
    </row>
    <row r="203" spans="1:8">
      <c r="A203" t="s">
        <v>229</v>
      </c>
      <c r="B203">
        <v>0.12934999999999999</v>
      </c>
      <c r="C203">
        <v>0.76834999999999998</v>
      </c>
      <c r="D203">
        <v>0.1023</v>
      </c>
      <c r="E203">
        <v>0</v>
      </c>
      <c r="F203">
        <v>0</v>
      </c>
      <c r="G203">
        <v>0</v>
      </c>
      <c r="H203">
        <f t="shared" si="3"/>
        <v>1</v>
      </c>
    </row>
    <row r="204" spans="1:8">
      <c r="A204" t="s">
        <v>230</v>
      </c>
      <c r="B204">
        <v>0</v>
      </c>
      <c r="C204">
        <v>0.99995000000000001</v>
      </c>
      <c r="D204" s="76">
        <v>5.0000000000000002E-5</v>
      </c>
      <c r="E204">
        <v>0</v>
      </c>
      <c r="F204">
        <v>0</v>
      </c>
      <c r="G204">
        <v>0</v>
      </c>
      <c r="H204">
        <f t="shared" si="3"/>
        <v>1</v>
      </c>
    </row>
    <row r="205" spans="1:8">
      <c r="A205" t="s">
        <v>231</v>
      </c>
      <c r="B205" s="76">
        <v>5.0000000000000002E-5</v>
      </c>
      <c r="C205">
        <v>0.99955000000000005</v>
      </c>
      <c r="D205">
        <v>4.0000000000000002E-4</v>
      </c>
      <c r="E205">
        <v>0</v>
      </c>
      <c r="F205">
        <v>0</v>
      </c>
      <c r="G205">
        <v>0</v>
      </c>
      <c r="H205">
        <f t="shared" si="3"/>
        <v>1</v>
      </c>
    </row>
    <row r="206" spans="1:8">
      <c r="A206" t="s">
        <v>232</v>
      </c>
      <c r="B206" s="76">
        <v>0</v>
      </c>
      <c r="C206">
        <v>0.99970000000000003</v>
      </c>
      <c r="D206">
        <v>2.9999999999999997E-4</v>
      </c>
      <c r="E206">
        <v>0</v>
      </c>
      <c r="F206">
        <v>0</v>
      </c>
      <c r="G206">
        <v>0</v>
      </c>
      <c r="H206">
        <f t="shared" si="3"/>
        <v>1</v>
      </c>
    </row>
    <row r="207" spans="1:8">
      <c r="A207" t="s">
        <v>233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f t="shared" si="3"/>
        <v>1</v>
      </c>
    </row>
    <row r="208" spans="1:8">
      <c r="A208" t="s">
        <v>234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f t="shared" si="3"/>
        <v>1</v>
      </c>
    </row>
    <row r="209" spans="1:8">
      <c r="A209" t="s">
        <v>235</v>
      </c>
      <c r="B209">
        <v>0</v>
      </c>
      <c r="C209">
        <v>1</v>
      </c>
      <c r="D209" s="76">
        <v>0</v>
      </c>
      <c r="E209">
        <v>0</v>
      </c>
      <c r="F209">
        <v>0</v>
      </c>
      <c r="G209">
        <v>0</v>
      </c>
      <c r="H209">
        <f t="shared" si="3"/>
        <v>1</v>
      </c>
    </row>
    <row r="210" spans="1:8">
      <c r="A210" t="s">
        <v>236</v>
      </c>
      <c r="B210">
        <v>0.77625</v>
      </c>
      <c r="C210">
        <v>0.22375</v>
      </c>
      <c r="D210">
        <v>0</v>
      </c>
      <c r="E210">
        <v>0</v>
      </c>
      <c r="F210">
        <v>0</v>
      </c>
      <c r="G210">
        <v>0</v>
      </c>
      <c r="H210">
        <f t="shared" si="3"/>
        <v>1</v>
      </c>
    </row>
    <row r="211" spans="1:8">
      <c r="A211" t="s">
        <v>237</v>
      </c>
      <c r="B211">
        <v>0.83840000000000003</v>
      </c>
      <c r="C211">
        <v>0.16159999999999999</v>
      </c>
      <c r="D211">
        <v>0</v>
      </c>
      <c r="E211">
        <v>0</v>
      </c>
      <c r="F211">
        <v>0</v>
      </c>
      <c r="G211">
        <v>0</v>
      </c>
      <c r="H211">
        <f t="shared" si="3"/>
        <v>1</v>
      </c>
    </row>
    <row r="212" spans="1:8">
      <c r="A212" t="s">
        <v>238</v>
      </c>
      <c r="B212">
        <v>0</v>
      </c>
      <c r="C212">
        <v>0.95714999999999995</v>
      </c>
      <c r="D212">
        <v>4.2849999999999999E-2</v>
      </c>
      <c r="E212">
        <v>0</v>
      </c>
      <c r="F212">
        <v>0</v>
      </c>
      <c r="G212">
        <v>0</v>
      </c>
      <c r="H212">
        <f t="shared" si="3"/>
        <v>1</v>
      </c>
    </row>
    <row r="213" spans="1:8">
      <c r="A213" t="s">
        <v>239</v>
      </c>
      <c r="B213">
        <v>0.61970000000000003</v>
      </c>
      <c r="C213">
        <v>0.38030000000000003</v>
      </c>
      <c r="D213">
        <v>0</v>
      </c>
      <c r="E213">
        <v>0</v>
      </c>
      <c r="F213">
        <v>0</v>
      </c>
      <c r="G213">
        <v>0</v>
      </c>
      <c r="H213">
        <f t="shared" si="3"/>
        <v>1</v>
      </c>
    </row>
    <row r="214" spans="1:8">
      <c r="A214" t="s">
        <v>240</v>
      </c>
      <c r="B214">
        <v>0.99744999999999995</v>
      </c>
      <c r="C214">
        <v>2.5500000000000002E-3</v>
      </c>
      <c r="D214">
        <v>0</v>
      </c>
      <c r="E214">
        <v>0</v>
      </c>
      <c r="F214">
        <v>0</v>
      </c>
      <c r="G214">
        <v>0</v>
      </c>
      <c r="H214">
        <f t="shared" si="3"/>
        <v>1</v>
      </c>
    </row>
    <row r="215" spans="1:8">
      <c r="A215" t="s">
        <v>241</v>
      </c>
      <c r="B215" s="76">
        <v>1.4999999999999999E-4</v>
      </c>
      <c r="C215">
        <v>0.2281</v>
      </c>
      <c r="D215">
        <v>0.77175000000000005</v>
      </c>
      <c r="E215">
        <v>0</v>
      </c>
      <c r="F215">
        <v>0</v>
      </c>
      <c r="G215">
        <v>0</v>
      </c>
      <c r="H215">
        <f t="shared" si="3"/>
        <v>1</v>
      </c>
    </row>
    <row r="216" spans="1:8">
      <c r="A216" t="s">
        <v>242</v>
      </c>
      <c r="B216">
        <v>0.93779999999999997</v>
      </c>
      <c r="C216">
        <v>6.2199999999999998E-2</v>
      </c>
      <c r="D216">
        <v>0</v>
      </c>
      <c r="E216">
        <v>0</v>
      </c>
      <c r="F216">
        <v>0</v>
      </c>
      <c r="G216">
        <v>0</v>
      </c>
      <c r="H216">
        <f t="shared" si="3"/>
        <v>1</v>
      </c>
    </row>
    <row r="217" spans="1:8">
      <c r="A217" t="s">
        <v>243</v>
      </c>
      <c r="B217">
        <v>0</v>
      </c>
      <c r="C217">
        <v>0.48814999999999997</v>
      </c>
      <c r="D217">
        <v>0.51185000000000003</v>
      </c>
      <c r="E217">
        <v>0</v>
      </c>
      <c r="F217">
        <v>0</v>
      </c>
      <c r="G217">
        <v>0</v>
      </c>
      <c r="H217">
        <f t="shared" si="3"/>
        <v>1</v>
      </c>
    </row>
    <row r="218" spans="1:8">
      <c r="A218" t="s">
        <v>244</v>
      </c>
      <c r="B218" s="76">
        <v>0</v>
      </c>
      <c r="C218">
        <v>0.15540000000000001</v>
      </c>
      <c r="D218">
        <v>0.84460000000000002</v>
      </c>
      <c r="E218">
        <v>0</v>
      </c>
      <c r="F218">
        <v>0</v>
      </c>
      <c r="G218">
        <v>0</v>
      </c>
      <c r="H218">
        <f t="shared" si="3"/>
        <v>1</v>
      </c>
    </row>
    <row r="219" spans="1:8">
      <c r="A219" t="s">
        <v>245</v>
      </c>
      <c r="B219">
        <v>5.9999999999999995E-4</v>
      </c>
      <c r="C219">
        <v>0.14765</v>
      </c>
      <c r="D219">
        <v>0.85175000000000001</v>
      </c>
      <c r="E219">
        <v>0</v>
      </c>
      <c r="F219">
        <v>0</v>
      </c>
      <c r="G219">
        <v>0</v>
      </c>
      <c r="H219">
        <f t="shared" si="3"/>
        <v>1</v>
      </c>
    </row>
    <row r="220" spans="1:8">
      <c r="A220" t="s">
        <v>246</v>
      </c>
      <c r="B220">
        <v>0</v>
      </c>
      <c r="C220">
        <v>0.99990000000000001</v>
      </c>
      <c r="D220">
        <v>1E-4</v>
      </c>
      <c r="E220">
        <v>0</v>
      </c>
      <c r="F220">
        <v>0</v>
      </c>
      <c r="G220">
        <v>0</v>
      </c>
      <c r="H220">
        <f t="shared" si="3"/>
        <v>1</v>
      </c>
    </row>
    <row r="221" spans="1:8">
      <c r="A221" t="s">
        <v>247</v>
      </c>
      <c r="B221">
        <v>0</v>
      </c>
      <c r="C221">
        <v>6.8250000000000005E-2</v>
      </c>
      <c r="D221">
        <v>0.93174999999999997</v>
      </c>
      <c r="E221">
        <v>0</v>
      </c>
      <c r="F221">
        <v>0</v>
      </c>
      <c r="G221">
        <v>0</v>
      </c>
      <c r="H221">
        <f t="shared" si="3"/>
        <v>1</v>
      </c>
    </row>
    <row r="222" spans="1:8">
      <c r="A222" t="s">
        <v>248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f t="shared" si="3"/>
        <v>1</v>
      </c>
    </row>
    <row r="223" spans="1:8">
      <c r="A223" t="s">
        <v>249</v>
      </c>
      <c r="B223">
        <v>0</v>
      </c>
      <c r="C223">
        <v>0.97645000000000004</v>
      </c>
      <c r="D223">
        <v>2.3550000000000001E-2</v>
      </c>
      <c r="E223">
        <v>0</v>
      </c>
      <c r="F223">
        <v>0</v>
      </c>
      <c r="G223">
        <v>0</v>
      </c>
      <c r="H223">
        <f t="shared" si="3"/>
        <v>1</v>
      </c>
    </row>
    <row r="224" spans="1:8">
      <c r="A224" t="s">
        <v>250</v>
      </c>
      <c r="B224">
        <v>0.34310000000000002</v>
      </c>
      <c r="C224">
        <v>0.65690000000000004</v>
      </c>
      <c r="D224">
        <v>0</v>
      </c>
      <c r="E224">
        <v>0</v>
      </c>
      <c r="F224">
        <v>0</v>
      </c>
      <c r="G224">
        <v>0</v>
      </c>
      <c r="H224">
        <f t="shared" si="3"/>
        <v>1</v>
      </c>
    </row>
    <row r="225" spans="1:8">
      <c r="A225" t="s">
        <v>251</v>
      </c>
      <c r="B225">
        <v>5.9999999999999995E-4</v>
      </c>
      <c r="C225">
        <v>0.99939999999999996</v>
      </c>
      <c r="D225">
        <v>0</v>
      </c>
      <c r="E225">
        <v>0</v>
      </c>
      <c r="F225">
        <v>0</v>
      </c>
      <c r="G225">
        <v>0</v>
      </c>
      <c r="H225">
        <f t="shared" si="3"/>
        <v>1</v>
      </c>
    </row>
    <row r="226" spans="1:8">
      <c r="A226" t="s">
        <v>252</v>
      </c>
      <c r="B226">
        <v>0.99765000000000004</v>
      </c>
      <c r="C226">
        <v>2.3500000000000001E-3</v>
      </c>
      <c r="D226">
        <v>0</v>
      </c>
      <c r="E226">
        <v>0</v>
      </c>
      <c r="F226">
        <v>0</v>
      </c>
      <c r="G226">
        <v>0</v>
      </c>
      <c r="H226">
        <f t="shared" si="3"/>
        <v>1</v>
      </c>
    </row>
    <row r="227" spans="1:8">
      <c r="A227" t="s">
        <v>253</v>
      </c>
      <c r="B227">
        <v>0.66515000000000002</v>
      </c>
      <c r="C227">
        <v>0.33484999999999998</v>
      </c>
      <c r="D227">
        <v>0</v>
      </c>
      <c r="E227">
        <v>0</v>
      </c>
      <c r="F227">
        <v>0</v>
      </c>
      <c r="G227">
        <v>0</v>
      </c>
      <c r="H227">
        <f t="shared" si="3"/>
        <v>1</v>
      </c>
    </row>
    <row r="228" spans="1:8">
      <c r="A228" t="s">
        <v>254</v>
      </c>
      <c r="B228" s="76">
        <v>1E-4</v>
      </c>
      <c r="C228">
        <v>0.99990000000000001</v>
      </c>
      <c r="D228">
        <v>0</v>
      </c>
      <c r="E228">
        <v>0</v>
      </c>
      <c r="F228">
        <v>0</v>
      </c>
      <c r="G228">
        <v>0</v>
      </c>
      <c r="H228">
        <f t="shared" si="3"/>
        <v>1</v>
      </c>
    </row>
    <row r="229" spans="1:8">
      <c r="A229" t="s">
        <v>255</v>
      </c>
      <c r="B229">
        <v>1E-4</v>
      </c>
      <c r="C229">
        <v>7.0000000000000001E-3</v>
      </c>
      <c r="D229">
        <v>0.9929</v>
      </c>
      <c r="E229">
        <v>0</v>
      </c>
      <c r="F229">
        <v>0</v>
      </c>
      <c r="G229">
        <v>0</v>
      </c>
      <c r="H229">
        <f t="shared" si="3"/>
        <v>1</v>
      </c>
    </row>
    <row r="230" spans="1:8">
      <c r="A230" t="s">
        <v>256</v>
      </c>
      <c r="B230">
        <v>5.1000000000000004E-3</v>
      </c>
      <c r="C230">
        <v>0.12239999999999999</v>
      </c>
      <c r="D230">
        <v>0.87250000000000005</v>
      </c>
      <c r="E230">
        <v>0</v>
      </c>
      <c r="F230">
        <v>0</v>
      </c>
      <c r="G230">
        <v>0</v>
      </c>
      <c r="H230">
        <f t="shared" si="3"/>
        <v>1</v>
      </c>
    </row>
    <row r="231" spans="1:8">
      <c r="A231" t="s">
        <v>257</v>
      </c>
      <c r="B231">
        <v>3.9399999999999998E-2</v>
      </c>
      <c r="C231">
        <v>0.96060000000000001</v>
      </c>
      <c r="D231">
        <v>0</v>
      </c>
      <c r="E231">
        <v>0</v>
      </c>
      <c r="F231">
        <v>0</v>
      </c>
      <c r="G231">
        <v>0</v>
      </c>
      <c r="H231">
        <f t="shared" si="3"/>
        <v>1</v>
      </c>
    </row>
    <row r="232" spans="1:8">
      <c r="A232" t="s">
        <v>258</v>
      </c>
      <c r="B232">
        <v>0</v>
      </c>
      <c r="C232">
        <v>0.99719999999999998</v>
      </c>
      <c r="D232">
        <v>2.8E-3</v>
      </c>
      <c r="E232">
        <v>0</v>
      </c>
      <c r="F232">
        <v>0</v>
      </c>
      <c r="G232">
        <v>0</v>
      </c>
      <c r="H232">
        <f t="shared" si="3"/>
        <v>1</v>
      </c>
    </row>
    <row r="233" spans="1:8">
      <c r="A233" t="s">
        <v>259</v>
      </c>
      <c r="B233">
        <v>0.99909999999999999</v>
      </c>
      <c r="C233">
        <v>8.9999999999999998E-4</v>
      </c>
      <c r="D233">
        <v>0</v>
      </c>
      <c r="E233">
        <v>0</v>
      </c>
      <c r="F233">
        <v>0</v>
      </c>
      <c r="G233">
        <v>0</v>
      </c>
      <c r="H233">
        <f t="shared" si="3"/>
        <v>1</v>
      </c>
    </row>
    <row r="234" spans="1:8">
      <c r="A234" t="s">
        <v>261</v>
      </c>
      <c r="B234">
        <v>0.99934999999999996</v>
      </c>
      <c r="C234">
        <v>6.4999999999999997E-4</v>
      </c>
      <c r="D234">
        <v>0</v>
      </c>
      <c r="E234">
        <v>0</v>
      </c>
      <c r="F234">
        <v>0</v>
      </c>
      <c r="G234">
        <v>0</v>
      </c>
      <c r="H234">
        <f t="shared" si="3"/>
        <v>1</v>
      </c>
    </row>
    <row r="235" spans="1:8">
      <c r="A235" t="s">
        <v>262</v>
      </c>
      <c r="B235">
        <v>0.70009999999999994</v>
      </c>
      <c r="C235">
        <v>0.2999</v>
      </c>
      <c r="D235">
        <v>0</v>
      </c>
      <c r="E235">
        <v>0</v>
      </c>
      <c r="F235">
        <v>0</v>
      </c>
      <c r="G235">
        <v>0</v>
      </c>
      <c r="H235">
        <f t="shared" si="3"/>
        <v>1</v>
      </c>
    </row>
    <row r="236" spans="1:8">
      <c r="A236" t="s">
        <v>263</v>
      </c>
      <c r="B236">
        <v>0</v>
      </c>
      <c r="C236">
        <v>0.29335</v>
      </c>
      <c r="D236">
        <v>0.70665</v>
      </c>
      <c r="E236">
        <v>0</v>
      </c>
      <c r="F236">
        <v>0</v>
      </c>
      <c r="G236">
        <v>0</v>
      </c>
      <c r="H236">
        <f t="shared" si="3"/>
        <v>1</v>
      </c>
    </row>
    <row r="237" spans="1:8">
      <c r="A237" t="s">
        <v>264</v>
      </c>
      <c r="B237">
        <v>0.99924999999999997</v>
      </c>
      <c r="C237">
        <v>7.5000000000000002E-4</v>
      </c>
      <c r="D237">
        <v>0</v>
      </c>
      <c r="E237">
        <v>0</v>
      </c>
      <c r="F237">
        <v>0</v>
      </c>
      <c r="G237">
        <v>0</v>
      </c>
      <c r="H237">
        <f t="shared" si="3"/>
        <v>1</v>
      </c>
    </row>
    <row r="238" spans="1:8">
      <c r="A238" t="s">
        <v>265</v>
      </c>
      <c r="B238">
        <v>0.2059</v>
      </c>
      <c r="C238">
        <v>2.7050000000000001E-2</v>
      </c>
      <c r="D238">
        <v>0.76705000000000001</v>
      </c>
      <c r="E238">
        <v>0</v>
      </c>
      <c r="F238">
        <v>0</v>
      </c>
      <c r="G238">
        <v>0</v>
      </c>
      <c r="H238">
        <f t="shared" si="3"/>
        <v>1</v>
      </c>
    </row>
    <row r="239" spans="1:8">
      <c r="A239" t="s">
        <v>266</v>
      </c>
      <c r="B239">
        <v>0.9405</v>
      </c>
      <c r="C239">
        <v>5.7250000000000002E-2</v>
      </c>
      <c r="D239">
        <v>2.2499999999999998E-3</v>
      </c>
      <c r="E239">
        <v>0</v>
      </c>
      <c r="F239">
        <v>0</v>
      </c>
      <c r="G239">
        <v>0</v>
      </c>
      <c r="H239">
        <f t="shared" si="3"/>
        <v>1</v>
      </c>
    </row>
    <row r="240" spans="1:8">
      <c r="A240" t="s">
        <v>267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f t="shared" si="3"/>
        <v>1</v>
      </c>
    </row>
    <row r="241" spans="1:8">
      <c r="A241" t="s">
        <v>268</v>
      </c>
      <c r="B241">
        <v>1</v>
      </c>
      <c r="C241" s="76">
        <v>0</v>
      </c>
      <c r="D241">
        <v>0</v>
      </c>
      <c r="E241">
        <v>0</v>
      </c>
      <c r="F241">
        <v>0</v>
      </c>
      <c r="G241">
        <v>0</v>
      </c>
      <c r="H241">
        <f t="shared" si="3"/>
        <v>1</v>
      </c>
    </row>
    <row r="242" spans="1:8">
      <c r="A242" t="s">
        <v>269</v>
      </c>
      <c r="B242">
        <v>1.2699999999999999E-2</v>
      </c>
      <c r="C242">
        <v>0.98729999999999996</v>
      </c>
      <c r="D242">
        <v>0</v>
      </c>
      <c r="E242">
        <v>0</v>
      </c>
      <c r="F242">
        <v>0</v>
      </c>
      <c r="G242">
        <v>0</v>
      </c>
      <c r="H242">
        <f t="shared" si="3"/>
        <v>1</v>
      </c>
    </row>
    <row r="243" spans="1:8">
      <c r="A243" t="s">
        <v>270</v>
      </c>
      <c r="B243">
        <v>0.99995000000000001</v>
      </c>
      <c r="C243" s="76">
        <v>5.0000000000000002E-5</v>
      </c>
      <c r="D243">
        <v>0</v>
      </c>
      <c r="E243">
        <v>0</v>
      </c>
      <c r="F243">
        <v>0</v>
      </c>
      <c r="G243">
        <v>0</v>
      </c>
      <c r="H243">
        <f t="shared" si="3"/>
        <v>1</v>
      </c>
    </row>
    <row r="244" spans="1:8">
      <c r="A244" t="s">
        <v>271</v>
      </c>
      <c r="B244">
        <v>0</v>
      </c>
      <c r="C244">
        <v>2.0449999999999999E-2</v>
      </c>
      <c r="D244">
        <v>0.97955000000000003</v>
      </c>
      <c r="E244">
        <v>0</v>
      </c>
      <c r="F244">
        <v>0</v>
      </c>
      <c r="G244">
        <v>0</v>
      </c>
      <c r="H244">
        <f t="shared" si="3"/>
        <v>1</v>
      </c>
    </row>
    <row r="245" spans="1:8">
      <c r="A245" t="s">
        <v>272</v>
      </c>
      <c r="B245">
        <v>0</v>
      </c>
      <c r="C245">
        <v>1</v>
      </c>
      <c r="D245" s="76">
        <v>0</v>
      </c>
      <c r="E245">
        <v>0</v>
      </c>
      <c r="F245">
        <v>0</v>
      </c>
      <c r="G245">
        <v>0</v>
      </c>
      <c r="H245">
        <f t="shared" si="3"/>
        <v>1</v>
      </c>
    </row>
    <row r="246" spans="1:8">
      <c r="A246" t="s">
        <v>273</v>
      </c>
      <c r="B246">
        <v>2E-3</v>
      </c>
      <c r="C246">
        <v>0.998</v>
      </c>
      <c r="D246">
        <v>0</v>
      </c>
      <c r="E246">
        <v>0</v>
      </c>
      <c r="F246">
        <v>0</v>
      </c>
      <c r="G246">
        <v>0</v>
      </c>
      <c r="H246">
        <f t="shared" si="3"/>
        <v>1</v>
      </c>
    </row>
    <row r="247" spans="1:8">
      <c r="A247" t="s">
        <v>274</v>
      </c>
      <c r="B247">
        <v>6.4999999999999997E-4</v>
      </c>
      <c r="C247">
        <v>0.99934999999999996</v>
      </c>
      <c r="D247">
        <v>0</v>
      </c>
      <c r="E247">
        <v>0</v>
      </c>
      <c r="F247">
        <v>0</v>
      </c>
      <c r="G247">
        <v>0</v>
      </c>
      <c r="H247">
        <f t="shared" si="3"/>
        <v>1</v>
      </c>
    </row>
    <row r="248" spans="1:8">
      <c r="A248" t="s">
        <v>276</v>
      </c>
      <c r="B248">
        <v>0.99995000000000001</v>
      </c>
      <c r="C248" s="76">
        <v>5.0000000000000002E-5</v>
      </c>
      <c r="D248">
        <v>0</v>
      </c>
      <c r="E248">
        <v>0</v>
      </c>
      <c r="F248">
        <v>0</v>
      </c>
      <c r="G248">
        <v>0</v>
      </c>
      <c r="H248">
        <f t="shared" si="3"/>
        <v>1</v>
      </c>
    </row>
    <row r="249" spans="1:8">
      <c r="A249" t="s">
        <v>277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f t="shared" si="3"/>
        <v>1</v>
      </c>
    </row>
    <row r="250" spans="1:8">
      <c r="A250" t="s">
        <v>278</v>
      </c>
      <c r="B250">
        <v>0.13755000000000001</v>
      </c>
      <c r="C250">
        <v>1.3899999999999999E-2</v>
      </c>
      <c r="D250">
        <v>0.84855000000000003</v>
      </c>
      <c r="E250">
        <v>0</v>
      </c>
      <c r="F250">
        <v>0</v>
      </c>
      <c r="G250">
        <v>0</v>
      </c>
      <c r="H250">
        <f t="shared" si="3"/>
        <v>1</v>
      </c>
    </row>
    <row r="251" spans="1:8">
      <c r="A251" t="s">
        <v>279</v>
      </c>
      <c r="B251">
        <v>1</v>
      </c>
      <c r="C251" s="76">
        <v>0</v>
      </c>
      <c r="D251">
        <v>0</v>
      </c>
      <c r="E251">
        <v>0</v>
      </c>
      <c r="F251">
        <v>0</v>
      </c>
      <c r="G251">
        <v>0</v>
      </c>
      <c r="H251">
        <f t="shared" si="3"/>
        <v>1</v>
      </c>
    </row>
    <row r="252" spans="1:8">
      <c r="A252" t="s">
        <v>280</v>
      </c>
      <c r="B252">
        <v>0.998</v>
      </c>
      <c r="C252">
        <v>1.1999999999999999E-3</v>
      </c>
      <c r="D252">
        <v>8.0000000000000004E-4</v>
      </c>
      <c r="E252">
        <v>0</v>
      </c>
      <c r="F252">
        <v>0</v>
      </c>
      <c r="G252">
        <v>0</v>
      </c>
      <c r="H252">
        <f t="shared" si="3"/>
        <v>1</v>
      </c>
    </row>
    <row r="253" spans="1:8">
      <c r="A253" t="s">
        <v>281</v>
      </c>
      <c r="B253">
        <v>0.99895</v>
      </c>
      <c r="C253" s="76">
        <v>4.4999999999999999E-4</v>
      </c>
      <c r="D253">
        <v>5.9999999999999995E-4</v>
      </c>
      <c r="E253">
        <v>0</v>
      </c>
      <c r="F253">
        <v>0</v>
      </c>
      <c r="G253">
        <v>0</v>
      </c>
      <c r="H253">
        <f t="shared" si="3"/>
        <v>1</v>
      </c>
    </row>
    <row r="254" spans="1:8">
      <c r="A254" t="s">
        <v>282</v>
      </c>
      <c r="B254">
        <v>0.49625000000000002</v>
      </c>
      <c r="C254">
        <v>0.13894999999999999</v>
      </c>
      <c r="D254">
        <v>0.36480000000000001</v>
      </c>
      <c r="E254">
        <v>0</v>
      </c>
      <c r="F254">
        <v>0</v>
      </c>
      <c r="G254">
        <v>0</v>
      </c>
      <c r="H254">
        <f t="shared" si="3"/>
        <v>1</v>
      </c>
    </row>
    <row r="255" spans="1:8">
      <c r="A255" t="s">
        <v>283</v>
      </c>
      <c r="B255">
        <v>0.83665</v>
      </c>
      <c r="C255">
        <v>3.1300000000000001E-2</v>
      </c>
      <c r="D255">
        <v>0.13205</v>
      </c>
      <c r="E255">
        <v>0</v>
      </c>
      <c r="F255">
        <v>0</v>
      </c>
      <c r="G255">
        <v>0</v>
      </c>
      <c r="H255">
        <f t="shared" si="3"/>
        <v>1</v>
      </c>
    </row>
    <row r="256" spans="1:8">
      <c r="A256" t="s">
        <v>284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f t="shared" si="3"/>
        <v>1</v>
      </c>
    </row>
    <row r="257" spans="1:8">
      <c r="A257" t="s">
        <v>285</v>
      </c>
      <c r="B257">
        <v>0.3231</v>
      </c>
      <c r="C257">
        <v>0.19234999999999999</v>
      </c>
      <c r="D257">
        <v>0.48454999999999998</v>
      </c>
      <c r="E257">
        <v>0</v>
      </c>
      <c r="F257">
        <v>0</v>
      </c>
      <c r="G257">
        <v>0</v>
      </c>
      <c r="H257">
        <f t="shared" si="3"/>
        <v>1</v>
      </c>
    </row>
    <row r="258" spans="1:8">
      <c r="A258" t="s">
        <v>286</v>
      </c>
      <c r="B258">
        <v>0.52200000000000002</v>
      </c>
      <c r="C258">
        <v>0.26900000000000002</v>
      </c>
      <c r="D258">
        <v>0.20899999999999999</v>
      </c>
      <c r="E258">
        <v>0</v>
      </c>
      <c r="F258">
        <v>0</v>
      </c>
      <c r="G258">
        <v>0</v>
      </c>
      <c r="H258">
        <f t="shared" si="3"/>
        <v>1</v>
      </c>
    </row>
    <row r="259" spans="1:8">
      <c r="A259" t="s">
        <v>287</v>
      </c>
      <c r="B259">
        <v>6.8250000000000005E-2</v>
      </c>
      <c r="C259">
        <v>0.1095</v>
      </c>
      <c r="D259">
        <v>0.82225000000000004</v>
      </c>
      <c r="E259">
        <v>0</v>
      </c>
      <c r="F259">
        <v>0</v>
      </c>
      <c r="G259">
        <v>0</v>
      </c>
      <c r="H259">
        <f t="shared" si="3"/>
        <v>1</v>
      </c>
    </row>
    <row r="260" spans="1:8">
      <c r="A260" t="s">
        <v>288</v>
      </c>
      <c r="B260">
        <v>0.99995000000000001</v>
      </c>
      <c r="C260" s="76">
        <v>5.0000000000000002E-5</v>
      </c>
      <c r="D260">
        <v>0</v>
      </c>
      <c r="E260">
        <v>0</v>
      </c>
      <c r="F260">
        <v>0</v>
      </c>
      <c r="G260">
        <v>0</v>
      </c>
      <c r="H260">
        <f t="shared" ref="H260:H323" si="4">SUM(B260:G260)</f>
        <v>1</v>
      </c>
    </row>
    <row r="261" spans="1:8">
      <c r="A261" t="s">
        <v>289</v>
      </c>
      <c r="B261">
        <v>0.999</v>
      </c>
      <c r="C261">
        <v>1E-3</v>
      </c>
      <c r="D261">
        <v>0</v>
      </c>
      <c r="E261">
        <v>0</v>
      </c>
      <c r="F261">
        <v>0</v>
      </c>
      <c r="G261">
        <v>0</v>
      </c>
      <c r="H261">
        <f t="shared" si="4"/>
        <v>1</v>
      </c>
    </row>
    <row r="262" spans="1:8">
      <c r="A262" t="s">
        <v>291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f t="shared" si="4"/>
        <v>1</v>
      </c>
    </row>
    <row r="263" spans="1:8">
      <c r="A263" t="s">
        <v>292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f t="shared" si="4"/>
        <v>1</v>
      </c>
    </row>
    <row r="264" spans="1:8">
      <c r="A264" t="s">
        <v>293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f t="shared" si="4"/>
        <v>1</v>
      </c>
    </row>
    <row r="265" spans="1:8">
      <c r="A265" t="s">
        <v>294</v>
      </c>
      <c r="B265">
        <v>0.89715</v>
      </c>
      <c r="C265">
        <v>0.10285</v>
      </c>
      <c r="D265">
        <v>0</v>
      </c>
      <c r="E265">
        <v>0</v>
      </c>
      <c r="F265">
        <v>0</v>
      </c>
      <c r="G265">
        <v>0</v>
      </c>
      <c r="H265">
        <f t="shared" si="4"/>
        <v>1</v>
      </c>
    </row>
    <row r="266" spans="1:8">
      <c r="A266" t="s">
        <v>295</v>
      </c>
      <c r="B266">
        <v>0.65980000000000005</v>
      </c>
      <c r="C266">
        <v>0.3402</v>
      </c>
      <c r="D266">
        <v>0</v>
      </c>
      <c r="E266">
        <v>0</v>
      </c>
      <c r="F266">
        <v>0</v>
      </c>
      <c r="G266">
        <v>0</v>
      </c>
      <c r="H266">
        <f t="shared" si="4"/>
        <v>1</v>
      </c>
    </row>
    <row r="267" spans="1:8">
      <c r="A267" t="s">
        <v>296</v>
      </c>
      <c r="B267">
        <v>0.99570000000000003</v>
      </c>
      <c r="C267">
        <v>4.3E-3</v>
      </c>
      <c r="D267">
        <v>0</v>
      </c>
      <c r="E267">
        <v>0</v>
      </c>
      <c r="F267">
        <v>0</v>
      </c>
      <c r="G267">
        <v>0</v>
      </c>
      <c r="H267">
        <f t="shared" si="4"/>
        <v>1</v>
      </c>
    </row>
    <row r="268" spans="1:8">
      <c r="A268" t="s">
        <v>297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f t="shared" si="4"/>
        <v>1</v>
      </c>
    </row>
    <row r="269" spans="1:8">
      <c r="A269" t="s">
        <v>298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f t="shared" si="4"/>
        <v>1</v>
      </c>
    </row>
    <row r="270" spans="1:8">
      <c r="A270" t="s">
        <v>299</v>
      </c>
      <c r="B270">
        <v>0.99995000000000001</v>
      </c>
      <c r="C270" s="76">
        <v>5.0000000000000002E-5</v>
      </c>
      <c r="D270">
        <v>0</v>
      </c>
      <c r="E270">
        <v>0</v>
      </c>
      <c r="F270">
        <v>0</v>
      </c>
      <c r="G270">
        <v>0</v>
      </c>
      <c r="H270">
        <f t="shared" si="4"/>
        <v>1</v>
      </c>
    </row>
    <row r="271" spans="1:8">
      <c r="A271" t="s">
        <v>300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f t="shared" si="4"/>
        <v>1</v>
      </c>
    </row>
    <row r="272" spans="1:8">
      <c r="A272" t="s">
        <v>301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f t="shared" si="4"/>
        <v>1</v>
      </c>
    </row>
    <row r="273" spans="1:8">
      <c r="A273" t="s">
        <v>302</v>
      </c>
      <c r="B273">
        <v>0.99339999999999995</v>
      </c>
      <c r="C273">
        <v>6.6E-3</v>
      </c>
      <c r="D273">
        <v>0</v>
      </c>
      <c r="E273">
        <v>0</v>
      </c>
      <c r="F273">
        <v>0</v>
      </c>
      <c r="G273">
        <v>0</v>
      </c>
      <c r="H273">
        <f t="shared" si="4"/>
        <v>1</v>
      </c>
    </row>
    <row r="274" spans="1:8">
      <c r="A274" t="s">
        <v>303</v>
      </c>
      <c r="B274">
        <v>0.52200000000000002</v>
      </c>
      <c r="C274">
        <v>0.47799999999999998</v>
      </c>
      <c r="D274">
        <v>0</v>
      </c>
      <c r="E274">
        <v>0</v>
      </c>
      <c r="F274">
        <v>0</v>
      </c>
      <c r="G274">
        <v>0</v>
      </c>
      <c r="H274">
        <f t="shared" si="4"/>
        <v>1</v>
      </c>
    </row>
    <row r="275" spans="1:8">
      <c r="A275" t="s">
        <v>304</v>
      </c>
      <c r="B275">
        <v>0.88070000000000004</v>
      </c>
      <c r="C275">
        <v>0.1154</v>
      </c>
      <c r="D275">
        <v>3.8999999999999998E-3</v>
      </c>
      <c r="E275">
        <v>0</v>
      </c>
      <c r="F275">
        <v>0</v>
      </c>
      <c r="G275">
        <v>0</v>
      </c>
      <c r="H275">
        <f t="shared" si="4"/>
        <v>1</v>
      </c>
    </row>
    <row r="276" spans="1:8">
      <c r="A276" t="s">
        <v>305</v>
      </c>
      <c r="B276">
        <v>0.40584999999999999</v>
      </c>
      <c r="C276">
        <v>7.4999999999999997E-3</v>
      </c>
      <c r="D276">
        <v>0.58665</v>
      </c>
      <c r="E276">
        <v>0</v>
      </c>
      <c r="F276">
        <v>0</v>
      </c>
      <c r="G276">
        <v>0</v>
      </c>
      <c r="H276">
        <f t="shared" si="4"/>
        <v>1</v>
      </c>
    </row>
    <row r="277" spans="1:8">
      <c r="A277" t="s">
        <v>306</v>
      </c>
      <c r="B277">
        <v>0.98604999999999998</v>
      </c>
      <c r="C277">
        <v>8.3000000000000001E-3</v>
      </c>
      <c r="D277">
        <v>5.6499999999999996E-3</v>
      </c>
      <c r="E277">
        <v>0</v>
      </c>
      <c r="F277">
        <v>0</v>
      </c>
      <c r="G277">
        <v>0</v>
      </c>
      <c r="H277">
        <f t="shared" si="4"/>
        <v>1</v>
      </c>
    </row>
    <row r="278" spans="1:8">
      <c r="A278" t="s">
        <v>307</v>
      </c>
      <c r="B278">
        <v>0.97360000000000002</v>
      </c>
      <c r="C278">
        <v>2.615E-2</v>
      </c>
      <c r="D278" s="76">
        <v>2.5000000000000001E-4</v>
      </c>
      <c r="E278">
        <v>0</v>
      </c>
      <c r="F278">
        <v>0</v>
      </c>
      <c r="G278">
        <v>0</v>
      </c>
      <c r="H278">
        <f t="shared" si="4"/>
        <v>1</v>
      </c>
    </row>
    <row r="279" spans="1:8">
      <c r="A279" t="s">
        <v>308</v>
      </c>
      <c r="B279">
        <v>0.92059999999999997</v>
      </c>
      <c r="C279">
        <v>7.9200000000000007E-2</v>
      </c>
      <c r="D279">
        <v>2.0000000000000001E-4</v>
      </c>
      <c r="E279">
        <v>0</v>
      </c>
      <c r="F279">
        <v>0</v>
      </c>
      <c r="G279">
        <v>0</v>
      </c>
      <c r="H279">
        <f t="shared" si="4"/>
        <v>1</v>
      </c>
    </row>
    <row r="280" spans="1:8">
      <c r="A280" t="s">
        <v>309</v>
      </c>
      <c r="B280">
        <v>1.1000000000000001E-3</v>
      </c>
      <c r="C280">
        <v>0</v>
      </c>
      <c r="D280">
        <v>0.99890000000000001</v>
      </c>
      <c r="E280">
        <v>0</v>
      </c>
      <c r="F280">
        <v>0</v>
      </c>
      <c r="G280">
        <v>0</v>
      </c>
      <c r="H280">
        <f t="shared" si="4"/>
        <v>1</v>
      </c>
    </row>
    <row r="281" spans="1:8">
      <c r="A281" t="s">
        <v>310</v>
      </c>
      <c r="B281">
        <v>0.99855000000000005</v>
      </c>
      <c r="C281">
        <v>1.4499999999999999E-3</v>
      </c>
      <c r="D281">
        <v>0</v>
      </c>
      <c r="E281">
        <v>0</v>
      </c>
      <c r="F281">
        <v>0</v>
      </c>
      <c r="G281">
        <v>0</v>
      </c>
      <c r="H281">
        <f t="shared" si="4"/>
        <v>1</v>
      </c>
    </row>
    <row r="282" spans="1:8">
      <c r="A282" t="s">
        <v>311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f t="shared" si="4"/>
        <v>1</v>
      </c>
    </row>
    <row r="283" spans="1:8">
      <c r="A283" t="s">
        <v>312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f t="shared" si="4"/>
        <v>1</v>
      </c>
    </row>
    <row r="284" spans="1:8">
      <c r="A284" t="s">
        <v>313</v>
      </c>
      <c r="B284">
        <v>0.99870000000000003</v>
      </c>
      <c r="C284">
        <v>1.2999999999999999E-3</v>
      </c>
      <c r="D284">
        <v>0</v>
      </c>
      <c r="E284">
        <v>0</v>
      </c>
      <c r="F284">
        <v>0</v>
      </c>
      <c r="G284">
        <v>0</v>
      </c>
      <c r="H284">
        <f t="shared" si="4"/>
        <v>1</v>
      </c>
    </row>
    <row r="285" spans="1:8">
      <c r="A285" t="s">
        <v>314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f t="shared" si="4"/>
        <v>1</v>
      </c>
    </row>
    <row r="286" spans="1:8">
      <c r="A286" t="s">
        <v>315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f t="shared" si="4"/>
        <v>1</v>
      </c>
    </row>
    <row r="287" spans="1:8">
      <c r="A287" t="s">
        <v>316</v>
      </c>
      <c r="B287">
        <v>0.96189999999999998</v>
      </c>
      <c r="C287">
        <v>4.8999999999999998E-3</v>
      </c>
      <c r="D287">
        <v>3.32E-2</v>
      </c>
      <c r="E287">
        <v>0</v>
      </c>
      <c r="F287">
        <v>0</v>
      </c>
      <c r="G287">
        <v>0</v>
      </c>
      <c r="H287">
        <f t="shared" si="4"/>
        <v>1</v>
      </c>
    </row>
    <row r="288" spans="1:8">
      <c r="A288" t="s">
        <v>317</v>
      </c>
      <c r="B288">
        <v>1</v>
      </c>
      <c r="C288" s="76">
        <v>0</v>
      </c>
      <c r="D288">
        <v>0</v>
      </c>
      <c r="E288">
        <v>0</v>
      </c>
      <c r="F288">
        <v>0</v>
      </c>
      <c r="G288">
        <v>0</v>
      </c>
      <c r="H288">
        <f t="shared" si="4"/>
        <v>1</v>
      </c>
    </row>
    <row r="289" spans="1:8">
      <c r="A289" t="s">
        <v>318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f t="shared" si="4"/>
        <v>1</v>
      </c>
    </row>
    <row r="290" spans="1:8">
      <c r="A290" t="s">
        <v>319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f t="shared" si="4"/>
        <v>1</v>
      </c>
    </row>
    <row r="291" spans="1:8">
      <c r="A291" t="s">
        <v>320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f t="shared" si="4"/>
        <v>1</v>
      </c>
    </row>
    <row r="292" spans="1:8">
      <c r="A292" t="s">
        <v>321</v>
      </c>
      <c r="B292">
        <v>0.91110000000000002</v>
      </c>
      <c r="C292">
        <v>4.7499999999999999E-3</v>
      </c>
      <c r="D292">
        <v>0</v>
      </c>
      <c r="E292">
        <v>0</v>
      </c>
      <c r="F292">
        <v>0</v>
      </c>
      <c r="G292">
        <v>9.6549999999999997E-2</v>
      </c>
      <c r="H292">
        <f t="shared" si="4"/>
        <v>1.0124</v>
      </c>
    </row>
    <row r="293" spans="1:8">
      <c r="A293" t="s">
        <v>322</v>
      </c>
      <c r="B293">
        <v>0.99904999999999999</v>
      </c>
      <c r="C293" s="76">
        <v>5.0000000000000002E-5</v>
      </c>
      <c r="D293">
        <v>0</v>
      </c>
      <c r="E293">
        <v>0</v>
      </c>
      <c r="F293">
        <v>0</v>
      </c>
      <c r="G293">
        <v>1.1000000000000001E-3</v>
      </c>
      <c r="H293">
        <f t="shared" si="4"/>
        <v>1.0002</v>
      </c>
    </row>
    <row r="294" spans="1:8">
      <c r="A294" t="s">
        <v>323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f t="shared" si="4"/>
        <v>1</v>
      </c>
    </row>
    <row r="295" spans="1:8">
      <c r="A295" t="s">
        <v>324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f t="shared" si="4"/>
        <v>1</v>
      </c>
    </row>
    <row r="296" spans="1:8">
      <c r="A296" t="s">
        <v>325</v>
      </c>
      <c r="B296">
        <v>0.99980000000000002</v>
      </c>
      <c r="C296" s="76">
        <v>2.0000000000000001E-4</v>
      </c>
      <c r="D296">
        <v>0</v>
      </c>
      <c r="E296">
        <v>0</v>
      </c>
      <c r="F296">
        <v>0</v>
      </c>
      <c r="G296">
        <v>0</v>
      </c>
      <c r="H296">
        <f t="shared" si="4"/>
        <v>1</v>
      </c>
    </row>
    <row r="297" spans="1:8">
      <c r="A297" t="s">
        <v>326</v>
      </c>
      <c r="B297">
        <v>0.56964999999999999</v>
      </c>
      <c r="C297">
        <v>0.30790000000000001</v>
      </c>
      <c r="D297">
        <v>0.12245</v>
      </c>
      <c r="E297">
        <v>0</v>
      </c>
      <c r="F297">
        <v>0</v>
      </c>
      <c r="G297">
        <v>0</v>
      </c>
      <c r="H297">
        <f t="shared" si="4"/>
        <v>1</v>
      </c>
    </row>
    <row r="298" spans="1:8">
      <c r="A298" t="s">
        <v>327</v>
      </c>
      <c r="B298">
        <v>1.43E-2</v>
      </c>
      <c r="C298">
        <v>0.1305</v>
      </c>
      <c r="D298">
        <v>0.85519999999999996</v>
      </c>
      <c r="E298">
        <v>0</v>
      </c>
      <c r="F298">
        <v>0</v>
      </c>
      <c r="G298">
        <v>0</v>
      </c>
      <c r="H298">
        <f t="shared" si="4"/>
        <v>1</v>
      </c>
    </row>
    <row r="299" spans="1:8">
      <c r="A299" t="s">
        <v>328</v>
      </c>
      <c r="B299">
        <v>0.99029999999999996</v>
      </c>
      <c r="C299">
        <v>5.1999999999999998E-3</v>
      </c>
      <c r="D299">
        <v>4.4999999999999997E-3</v>
      </c>
      <c r="E299">
        <v>0</v>
      </c>
      <c r="F299">
        <v>0</v>
      </c>
      <c r="G299">
        <v>0</v>
      </c>
      <c r="H299">
        <f t="shared" si="4"/>
        <v>0.99999999999999989</v>
      </c>
    </row>
    <row r="300" spans="1:8">
      <c r="A300" t="s">
        <v>329</v>
      </c>
      <c r="B300">
        <v>0.98094999999999999</v>
      </c>
      <c r="C300">
        <v>1.9E-2</v>
      </c>
      <c r="D300" s="76">
        <v>5.0000000000000002E-5</v>
      </c>
      <c r="E300">
        <v>0</v>
      </c>
      <c r="F300">
        <v>0</v>
      </c>
      <c r="G300">
        <v>0</v>
      </c>
      <c r="H300">
        <f t="shared" si="4"/>
        <v>1</v>
      </c>
    </row>
    <row r="301" spans="1:8">
      <c r="A301" t="s">
        <v>330</v>
      </c>
      <c r="B301">
        <v>0.99339999999999995</v>
      </c>
      <c r="C301">
        <v>6.6E-3</v>
      </c>
      <c r="D301">
        <v>0</v>
      </c>
      <c r="E301">
        <v>0</v>
      </c>
      <c r="F301">
        <v>0</v>
      </c>
      <c r="G301">
        <v>0</v>
      </c>
      <c r="H301">
        <f t="shared" si="4"/>
        <v>1</v>
      </c>
    </row>
    <row r="302" spans="1:8">
      <c r="A302" t="s">
        <v>331</v>
      </c>
      <c r="B302">
        <v>0.93564999999999998</v>
      </c>
      <c r="C302">
        <v>6.4350000000000004E-2</v>
      </c>
      <c r="D302">
        <v>0</v>
      </c>
      <c r="E302">
        <v>0</v>
      </c>
      <c r="F302">
        <v>0</v>
      </c>
      <c r="G302">
        <v>0</v>
      </c>
      <c r="H302">
        <f t="shared" si="4"/>
        <v>1</v>
      </c>
    </row>
    <row r="303" spans="1:8">
      <c r="A303" t="s">
        <v>332</v>
      </c>
      <c r="B303">
        <v>0.86734999999999995</v>
      </c>
      <c r="C303">
        <v>0.1137</v>
      </c>
      <c r="D303">
        <v>1.8950000000000002E-2</v>
      </c>
      <c r="E303">
        <v>0</v>
      </c>
      <c r="F303">
        <v>0</v>
      </c>
      <c r="G303">
        <v>0</v>
      </c>
      <c r="H303">
        <f t="shared" si="4"/>
        <v>1</v>
      </c>
    </row>
    <row r="304" spans="1:8">
      <c r="A304" t="s">
        <v>333</v>
      </c>
      <c r="B304">
        <v>0.40844999999999998</v>
      </c>
      <c r="C304">
        <v>5.8200000000000002E-2</v>
      </c>
      <c r="D304">
        <v>0.53334999999999999</v>
      </c>
      <c r="E304">
        <v>0</v>
      </c>
      <c r="F304">
        <v>0</v>
      </c>
      <c r="G304">
        <v>0</v>
      </c>
      <c r="H304">
        <f t="shared" si="4"/>
        <v>1</v>
      </c>
    </row>
    <row r="305" spans="1:8">
      <c r="A305" t="s">
        <v>334</v>
      </c>
      <c r="B305">
        <v>0.20280000000000001</v>
      </c>
      <c r="C305">
        <v>2.9049999999999999E-2</v>
      </c>
      <c r="D305">
        <v>0.76815</v>
      </c>
      <c r="E305">
        <v>0</v>
      </c>
      <c r="F305">
        <v>0</v>
      </c>
      <c r="G305">
        <v>0</v>
      </c>
      <c r="H305">
        <f t="shared" si="4"/>
        <v>1</v>
      </c>
    </row>
    <row r="306" spans="1:8">
      <c r="A306" t="s">
        <v>335</v>
      </c>
      <c r="B306">
        <v>0.23300000000000001</v>
      </c>
      <c r="C306">
        <v>0.7661</v>
      </c>
      <c r="D306">
        <v>8.9999999999999998E-4</v>
      </c>
      <c r="E306">
        <v>0</v>
      </c>
      <c r="F306">
        <v>0</v>
      </c>
      <c r="G306">
        <v>0</v>
      </c>
      <c r="H306">
        <f t="shared" si="4"/>
        <v>1</v>
      </c>
    </row>
    <row r="307" spans="1:8">
      <c r="A307" t="s">
        <v>336</v>
      </c>
      <c r="B307">
        <v>5.7099999999999998E-2</v>
      </c>
      <c r="C307">
        <v>0.21575</v>
      </c>
      <c r="D307">
        <v>0.72714999999999996</v>
      </c>
      <c r="E307">
        <v>0</v>
      </c>
      <c r="F307">
        <v>0</v>
      </c>
      <c r="G307">
        <v>0</v>
      </c>
      <c r="H307">
        <f t="shared" si="4"/>
        <v>1</v>
      </c>
    </row>
    <row r="308" spans="1:8">
      <c r="A308" t="s">
        <v>337</v>
      </c>
      <c r="B308">
        <v>0.35425000000000001</v>
      </c>
      <c r="C308">
        <v>0.6159</v>
      </c>
      <c r="D308">
        <v>2.9850000000000002E-2</v>
      </c>
      <c r="E308">
        <v>0</v>
      </c>
      <c r="F308">
        <v>0</v>
      </c>
      <c r="G308">
        <v>0</v>
      </c>
      <c r="H308">
        <f t="shared" si="4"/>
        <v>1</v>
      </c>
    </row>
    <row r="309" spans="1:8">
      <c r="A309" t="s">
        <v>338</v>
      </c>
      <c r="B309">
        <v>0.9214</v>
      </c>
      <c r="C309">
        <v>5.1999999999999998E-3</v>
      </c>
      <c r="D309">
        <v>7.3400000000000007E-2</v>
      </c>
      <c r="E309">
        <v>0</v>
      </c>
      <c r="F309">
        <v>0</v>
      </c>
      <c r="G309">
        <v>0</v>
      </c>
      <c r="H309">
        <f t="shared" si="4"/>
        <v>1</v>
      </c>
    </row>
    <row r="310" spans="1:8">
      <c r="A310" t="s">
        <v>339</v>
      </c>
      <c r="B310">
        <v>0.96314999999999995</v>
      </c>
      <c r="C310">
        <v>3.6850000000000001E-2</v>
      </c>
      <c r="D310">
        <v>0</v>
      </c>
      <c r="E310">
        <v>0</v>
      </c>
      <c r="F310">
        <v>0</v>
      </c>
      <c r="G310">
        <v>0</v>
      </c>
      <c r="H310">
        <f t="shared" si="4"/>
        <v>1</v>
      </c>
    </row>
    <row r="311" spans="1:8">
      <c r="A311" t="s">
        <v>340</v>
      </c>
      <c r="B311">
        <v>0.79984999999999995</v>
      </c>
      <c r="C311">
        <v>2.8999999999999998E-3</v>
      </c>
      <c r="D311">
        <v>0.19725000000000001</v>
      </c>
      <c r="E311">
        <v>0</v>
      </c>
      <c r="F311">
        <v>0</v>
      </c>
      <c r="G311">
        <v>0</v>
      </c>
      <c r="H311">
        <f t="shared" si="4"/>
        <v>1</v>
      </c>
    </row>
    <row r="312" spans="1:8">
      <c r="A312" t="s">
        <v>341</v>
      </c>
      <c r="B312">
        <v>0.99709999999999999</v>
      </c>
      <c r="C312">
        <v>2.8999999999999998E-3</v>
      </c>
      <c r="D312">
        <v>0</v>
      </c>
      <c r="E312">
        <v>0</v>
      </c>
      <c r="F312">
        <v>0</v>
      </c>
      <c r="G312">
        <v>0</v>
      </c>
      <c r="H312">
        <f t="shared" si="4"/>
        <v>1</v>
      </c>
    </row>
    <row r="313" spans="1:8">
      <c r="A313" t="s">
        <v>342</v>
      </c>
      <c r="B313">
        <v>0.98334999999999995</v>
      </c>
      <c r="C313">
        <v>1.065E-2</v>
      </c>
      <c r="D313">
        <v>6.0000000000000001E-3</v>
      </c>
      <c r="E313">
        <v>0</v>
      </c>
      <c r="F313">
        <v>0</v>
      </c>
      <c r="G313">
        <v>0</v>
      </c>
      <c r="H313">
        <f t="shared" si="4"/>
        <v>1</v>
      </c>
    </row>
    <row r="314" spans="1:8">
      <c r="A314" t="s">
        <v>343</v>
      </c>
      <c r="B314">
        <v>0.25174999999999997</v>
      </c>
      <c r="C314">
        <v>0.13005</v>
      </c>
      <c r="D314">
        <v>0.61799999999999999</v>
      </c>
      <c r="E314">
        <v>3.5E-4</v>
      </c>
      <c r="F314">
        <v>0</v>
      </c>
      <c r="G314">
        <v>0</v>
      </c>
      <c r="H314">
        <f t="shared" si="4"/>
        <v>1.0001500000000001</v>
      </c>
    </row>
    <row r="315" spans="1:8">
      <c r="A315" t="s">
        <v>344</v>
      </c>
      <c r="B315">
        <v>0</v>
      </c>
      <c r="C315">
        <v>5.0000000000000001E-3</v>
      </c>
      <c r="D315">
        <v>0.995</v>
      </c>
      <c r="E315">
        <v>0</v>
      </c>
      <c r="F315">
        <v>0</v>
      </c>
      <c r="G315">
        <v>0</v>
      </c>
      <c r="H315">
        <f t="shared" si="4"/>
        <v>1</v>
      </c>
    </row>
    <row r="316" spans="1:8">
      <c r="A316" t="s">
        <v>345</v>
      </c>
      <c r="B316">
        <v>0.42465000000000003</v>
      </c>
      <c r="C316">
        <v>3.7249999999999998E-2</v>
      </c>
      <c r="D316">
        <v>0.53810000000000002</v>
      </c>
      <c r="E316">
        <v>0</v>
      </c>
      <c r="F316">
        <v>0</v>
      </c>
      <c r="G316">
        <v>0</v>
      </c>
      <c r="H316">
        <f t="shared" si="4"/>
        <v>1</v>
      </c>
    </row>
    <row r="317" spans="1:8">
      <c r="A317" t="s">
        <v>346</v>
      </c>
      <c r="B317">
        <v>0.97694999999999999</v>
      </c>
      <c r="C317">
        <v>2.205E-2</v>
      </c>
      <c r="D317">
        <v>1E-3</v>
      </c>
      <c r="E317">
        <v>0</v>
      </c>
      <c r="F317">
        <v>0</v>
      </c>
      <c r="G317">
        <v>0</v>
      </c>
      <c r="H317">
        <f t="shared" si="4"/>
        <v>1</v>
      </c>
    </row>
    <row r="318" spans="1:8">
      <c r="A318" t="s">
        <v>347</v>
      </c>
      <c r="B318">
        <v>1.18E-2</v>
      </c>
      <c r="C318">
        <v>0.98819999999999997</v>
      </c>
      <c r="D318">
        <v>0</v>
      </c>
      <c r="E318">
        <v>0</v>
      </c>
      <c r="F318">
        <v>0</v>
      </c>
      <c r="G318">
        <v>0</v>
      </c>
      <c r="H318">
        <f t="shared" si="4"/>
        <v>1</v>
      </c>
    </row>
    <row r="319" spans="1:8">
      <c r="A319" t="s">
        <v>348</v>
      </c>
      <c r="B319">
        <v>0.73045000000000004</v>
      </c>
      <c r="C319">
        <v>3.9100000000000003E-2</v>
      </c>
      <c r="D319">
        <v>0.23044999999999999</v>
      </c>
      <c r="E319">
        <v>0</v>
      </c>
      <c r="F319">
        <v>0</v>
      </c>
      <c r="G319">
        <v>0</v>
      </c>
      <c r="H319">
        <f t="shared" si="4"/>
        <v>1</v>
      </c>
    </row>
    <row r="320" spans="1:8">
      <c r="A320" t="s">
        <v>349</v>
      </c>
      <c r="B320">
        <v>0.35020000000000001</v>
      </c>
      <c r="C320">
        <v>0.1234</v>
      </c>
      <c r="D320">
        <v>0.52639999999999998</v>
      </c>
      <c r="E320">
        <v>0</v>
      </c>
      <c r="F320">
        <v>0</v>
      </c>
      <c r="G320">
        <v>0</v>
      </c>
      <c r="H320">
        <f t="shared" si="4"/>
        <v>1</v>
      </c>
    </row>
    <row r="321" spans="1:8">
      <c r="A321" t="s">
        <v>350</v>
      </c>
      <c r="B321">
        <v>0.99970000000000003</v>
      </c>
      <c r="C321">
        <v>2.5000000000000001E-4</v>
      </c>
      <c r="D321" s="76">
        <v>5.0000000000000002E-5</v>
      </c>
      <c r="E321">
        <v>0</v>
      </c>
      <c r="F321">
        <v>0</v>
      </c>
      <c r="G321">
        <v>0</v>
      </c>
      <c r="H321">
        <f t="shared" si="4"/>
        <v>1</v>
      </c>
    </row>
    <row r="322" spans="1:8">
      <c r="A322" t="s">
        <v>351</v>
      </c>
      <c r="B322">
        <v>0.72814999999999996</v>
      </c>
      <c r="C322">
        <v>0.27184999999999998</v>
      </c>
      <c r="D322">
        <v>0</v>
      </c>
      <c r="E322">
        <v>0</v>
      </c>
      <c r="F322">
        <v>0</v>
      </c>
      <c r="G322">
        <v>0</v>
      </c>
      <c r="H322">
        <f t="shared" si="4"/>
        <v>1</v>
      </c>
    </row>
    <row r="323" spans="1:8">
      <c r="A323" t="s">
        <v>352</v>
      </c>
      <c r="B323" s="76">
        <v>5.0000000000000002E-5</v>
      </c>
      <c r="C323">
        <v>5.0000000000000001E-4</v>
      </c>
      <c r="D323">
        <v>0</v>
      </c>
      <c r="E323">
        <v>0.99955000000000005</v>
      </c>
      <c r="F323">
        <v>0</v>
      </c>
      <c r="G323">
        <v>0</v>
      </c>
      <c r="H323">
        <f t="shared" si="4"/>
        <v>1.0001</v>
      </c>
    </row>
    <row r="324" spans="1:8">
      <c r="A324" t="s">
        <v>353</v>
      </c>
      <c r="B324">
        <v>0</v>
      </c>
      <c r="C324" s="76">
        <v>5.0000000000000002E-5</v>
      </c>
      <c r="D324">
        <v>0.99995000000000001</v>
      </c>
      <c r="E324">
        <v>0</v>
      </c>
      <c r="F324">
        <v>0</v>
      </c>
      <c r="G324">
        <v>0</v>
      </c>
      <c r="H324">
        <f t="shared" ref="H324:H337" si="5">SUM(B324:G324)</f>
        <v>1</v>
      </c>
    </row>
    <row r="325" spans="1:8">
      <c r="A325" t="s">
        <v>354</v>
      </c>
      <c r="B325">
        <v>0.50114999999999998</v>
      </c>
      <c r="C325">
        <v>3.9100000000000003E-2</v>
      </c>
      <c r="D325">
        <v>0.45974999999999999</v>
      </c>
      <c r="E325">
        <v>0</v>
      </c>
      <c r="F325">
        <v>0</v>
      </c>
      <c r="G325">
        <v>0</v>
      </c>
      <c r="H325">
        <f t="shared" si="5"/>
        <v>1</v>
      </c>
    </row>
    <row r="326" spans="1:8">
      <c r="A326" t="s">
        <v>355</v>
      </c>
      <c r="B326">
        <v>0.48185</v>
      </c>
      <c r="C326">
        <v>0.51815</v>
      </c>
      <c r="D326">
        <v>0</v>
      </c>
      <c r="E326">
        <v>0</v>
      </c>
      <c r="F326">
        <v>0</v>
      </c>
      <c r="G326">
        <v>0</v>
      </c>
      <c r="H326">
        <f t="shared" si="5"/>
        <v>1</v>
      </c>
    </row>
    <row r="327" spans="1:8">
      <c r="A327" t="s">
        <v>356</v>
      </c>
      <c r="B327">
        <v>0.53505000000000003</v>
      </c>
      <c r="C327">
        <v>0.46494999999999997</v>
      </c>
      <c r="D327">
        <v>0</v>
      </c>
      <c r="E327">
        <v>0</v>
      </c>
      <c r="F327">
        <v>0</v>
      </c>
      <c r="G327">
        <v>0</v>
      </c>
      <c r="H327">
        <f t="shared" si="5"/>
        <v>1</v>
      </c>
    </row>
    <row r="328" spans="1:8">
      <c r="A328" t="s">
        <v>357</v>
      </c>
      <c r="B328">
        <v>2.0999999999999999E-3</v>
      </c>
      <c r="C328">
        <v>0.67015000000000002</v>
      </c>
      <c r="D328">
        <v>0.32774999999999999</v>
      </c>
      <c r="E328">
        <v>0</v>
      </c>
      <c r="F328">
        <v>0</v>
      </c>
      <c r="G328">
        <v>0</v>
      </c>
      <c r="H328">
        <f t="shared" si="5"/>
        <v>1</v>
      </c>
    </row>
    <row r="329" spans="1:8">
      <c r="A329" t="s">
        <v>358</v>
      </c>
      <c r="B329">
        <v>0</v>
      </c>
      <c r="C329">
        <v>0.99970000000000003</v>
      </c>
      <c r="D329">
        <v>2.9999999999999997E-4</v>
      </c>
      <c r="E329">
        <v>0</v>
      </c>
      <c r="F329">
        <v>0</v>
      </c>
      <c r="G329">
        <v>0</v>
      </c>
      <c r="H329">
        <f t="shared" si="5"/>
        <v>1</v>
      </c>
    </row>
    <row r="330" spans="1:8">
      <c r="A330" t="s">
        <v>359</v>
      </c>
      <c r="B330">
        <v>0</v>
      </c>
      <c r="C330">
        <v>1</v>
      </c>
      <c r="D330" s="76">
        <v>0</v>
      </c>
      <c r="E330">
        <v>0</v>
      </c>
      <c r="F330">
        <v>0</v>
      </c>
      <c r="G330">
        <v>0</v>
      </c>
      <c r="H330">
        <f t="shared" si="5"/>
        <v>1</v>
      </c>
    </row>
    <row r="331" spans="1:8">
      <c r="A331" t="s">
        <v>360</v>
      </c>
      <c r="B331">
        <v>0</v>
      </c>
      <c r="C331">
        <v>5.9999999999999995E-4</v>
      </c>
      <c r="D331">
        <v>0.99939999999999996</v>
      </c>
      <c r="E331">
        <v>0</v>
      </c>
      <c r="F331">
        <v>0</v>
      </c>
      <c r="G331">
        <v>0</v>
      </c>
      <c r="H331">
        <f t="shared" si="5"/>
        <v>1</v>
      </c>
    </row>
    <row r="332" spans="1:8">
      <c r="A332" t="s">
        <v>361</v>
      </c>
      <c r="B332">
        <v>8.6800000000000002E-2</v>
      </c>
      <c r="C332">
        <v>0.88580000000000003</v>
      </c>
      <c r="D332">
        <v>2.7400000000000001E-2</v>
      </c>
      <c r="E332">
        <v>0</v>
      </c>
      <c r="F332">
        <v>0</v>
      </c>
      <c r="G332">
        <v>0</v>
      </c>
      <c r="H332">
        <f t="shared" si="5"/>
        <v>1</v>
      </c>
    </row>
    <row r="333" spans="1:8">
      <c r="A333" t="s">
        <v>362</v>
      </c>
      <c r="B333">
        <v>0</v>
      </c>
      <c r="C333">
        <v>5.5500000000000001E-2</v>
      </c>
      <c r="D333">
        <v>0.94450000000000001</v>
      </c>
      <c r="E333">
        <v>0</v>
      </c>
      <c r="F333">
        <v>0</v>
      </c>
      <c r="G333">
        <v>0</v>
      </c>
      <c r="H333">
        <f t="shared" si="5"/>
        <v>1</v>
      </c>
    </row>
    <row r="334" spans="1:8">
      <c r="A334" t="s">
        <v>363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f t="shared" si="5"/>
        <v>1</v>
      </c>
    </row>
    <row r="335" spans="1:8">
      <c r="A335" t="s">
        <v>364</v>
      </c>
      <c r="B335">
        <v>5.5000000000000003E-4</v>
      </c>
      <c r="C335">
        <v>0.99944999999999995</v>
      </c>
      <c r="D335">
        <v>0</v>
      </c>
      <c r="E335">
        <v>0</v>
      </c>
      <c r="F335">
        <v>0</v>
      </c>
      <c r="G335">
        <v>0</v>
      </c>
      <c r="H335">
        <f t="shared" si="5"/>
        <v>1</v>
      </c>
    </row>
    <row r="336" spans="1:8">
      <c r="A336" t="s">
        <v>365</v>
      </c>
      <c r="B336">
        <v>0</v>
      </c>
      <c r="C336">
        <v>0</v>
      </c>
      <c r="D336">
        <v>0.73499999999999999</v>
      </c>
      <c r="E336">
        <v>0.28584999999999999</v>
      </c>
      <c r="F336">
        <v>0</v>
      </c>
      <c r="G336">
        <v>0</v>
      </c>
      <c r="H336">
        <f t="shared" si="5"/>
        <v>1.02085</v>
      </c>
    </row>
    <row r="337" spans="1:8">
      <c r="A337" t="s">
        <v>366</v>
      </c>
      <c r="B337">
        <v>3.73E-2</v>
      </c>
      <c r="C337">
        <v>0.9627</v>
      </c>
      <c r="D337">
        <v>0</v>
      </c>
      <c r="E337">
        <v>0</v>
      </c>
      <c r="F337">
        <v>0</v>
      </c>
      <c r="G337">
        <v>0</v>
      </c>
      <c r="H337">
        <f t="shared" si="5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zoomScale="80" zoomScaleNormal="80" workbookViewId="0">
      <selection activeCell="K33" sqref="K33"/>
    </sheetView>
  </sheetViews>
  <sheetFormatPr defaultRowHeight="15"/>
  <cols>
    <col min="1" max="1" width="21" customWidth="1"/>
  </cols>
  <sheetData>
    <row r="1" spans="1:6">
      <c r="B1" t="s">
        <v>582</v>
      </c>
      <c r="C1" t="s">
        <v>583</v>
      </c>
      <c r="D1" t="s">
        <v>480</v>
      </c>
      <c r="E1" t="s">
        <v>481</v>
      </c>
      <c r="F1" t="s">
        <v>482</v>
      </c>
    </row>
    <row r="2" spans="1:6">
      <c r="A2" t="s">
        <v>24</v>
      </c>
      <c r="B2">
        <v>21.45168</v>
      </c>
      <c r="C2">
        <v>55.5931199999999</v>
      </c>
      <c r="D2">
        <v>21.30312</v>
      </c>
      <c r="E2">
        <v>1.65208</v>
      </c>
    </row>
    <row r="3" spans="1:6">
      <c r="A3" t="s">
        <v>741</v>
      </c>
      <c r="B3">
        <v>14.729840000000101</v>
      </c>
      <c r="C3">
        <v>76.824879999999894</v>
      </c>
      <c r="D3">
        <v>6.5256800000000199</v>
      </c>
      <c r="E3">
        <v>1.91959999999999</v>
      </c>
    </row>
    <row r="4" spans="1:6">
      <c r="A4" t="s">
        <v>742</v>
      </c>
      <c r="B4">
        <v>14.4816</v>
      </c>
      <c r="C4">
        <v>77.431919999999906</v>
      </c>
      <c r="D4">
        <v>6.1943999999999901</v>
      </c>
      <c r="E4">
        <v>1.89208</v>
      </c>
    </row>
    <row r="5" spans="1:6">
      <c r="A5" t="s">
        <v>27</v>
      </c>
      <c r="B5">
        <v>23.969439999999999</v>
      </c>
      <c r="C5">
        <v>61.281520000000199</v>
      </c>
      <c r="D5">
        <v>12.442640000000001</v>
      </c>
      <c r="E5">
        <v>2.3063999999999898</v>
      </c>
    </row>
    <row r="6" spans="1:6">
      <c r="A6" t="s">
        <v>743</v>
      </c>
      <c r="B6">
        <v>9.46936</v>
      </c>
      <c r="C6">
        <v>77.966399999999993</v>
      </c>
      <c r="D6">
        <v>10.492000000000001</v>
      </c>
      <c r="E6">
        <v>2.0722399999999999</v>
      </c>
    </row>
    <row r="7" spans="1:6">
      <c r="A7" t="s">
        <v>744</v>
      </c>
      <c r="B7">
        <v>4.5659999999999901</v>
      </c>
      <c r="C7">
        <v>29.6491199999999</v>
      </c>
      <c r="D7">
        <v>63.639600000000002</v>
      </c>
      <c r="E7">
        <v>2.1452799999999899</v>
      </c>
    </row>
    <row r="8" spans="1:6">
      <c r="A8" t="s">
        <v>745</v>
      </c>
      <c r="B8">
        <v>8.3487200000000197</v>
      </c>
      <c r="C8">
        <v>50.768240000000098</v>
      </c>
      <c r="D8">
        <v>39.146720000000101</v>
      </c>
      <c r="E8">
        <v>1.7363200000000001</v>
      </c>
    </row>
    <row r="9" spans="1:6">
      <c r="A9" t="s">
        <v>32</v>
      </c>
      <c r="B9">
        <v>22.621759999999998</v>
      </c>
      <c r="C9">
        <v>71.750880000000095</v>
      </c>
      <c r="D9">
        <v>2.8495999999999899</v>
      </c>
      <c r="E9">
        <v>2.7777599999999998</v>
      </c>
    </row>
    <row r="10" spans="1:6">
      <c r="A10" t="s">
        <v>33</v>
      </c>
      <c r="B10">
        <v>16.962800000000101</v>
      </c>
      <c r="C10">
        <v>61.935920000000003</v>
      </c>
      <c r="D10">
        <v>17.795279999999899</v>
      </c>
      <c r="E10">
        <v>3.306</v>
      </c>
    </row>
    <row r="11" spans="1:6">
      <c r="A11" t="s">
        <v>34</v>
      </c>
      <c r="B11">
        <v>39.022959999999998</v>
      </c>
      <c r="C11">
        <v>53.356400000000001</v>
      </c>
      <c r="D11">
        <v>4.9147199999999698</v>
      </c>
      <c r="E11">
        <v>2.7059199999999901</v>
      </c>
    </row>
    <row r="12" spans="1:6">
      <c r="A12" t="s">
        <v>35</v>
      </c>
      <c r="B12">
        <v>23.3025599999999</v>
      </c>
      <c r="C12">
        <v>64.587760000000003</v>
      </c>
      <c r="D12">
        <v>7.1914399999999903</v>
      </c>
      <c r="E12">
        <v>4.9182400000000097</v>
      </c>
    </row>
    <row r="13" spans="1:6">
      <c r="A13" t="s">
        <v>37</v>
      </c>
      <c r="B13">
        <v>16.81128</v>
      </c>
      <c r="C13">
        <v>66.261840000000007</v>
      </c>
      <c r="D13">
        <v>12.64968</v>
      </c>
      <c r="E13">
        <v>4.2771999999999899</v>
      </c>
    </row>
    <row r="14" spans="1:6">
      <c r="A14" t="s">
        <v>746</v>
      </c>
      <c r="B14">
        <v>39.705199999999998</v>
      </c>
      <c r="C14">
        <v>35.951759999999901</v>
      </c>
      <c r="D14">
        <v>19.5152</v>
      </c>
      <c r="E14">
        <v>4.8278400000000099</v>
      </c>
    </row>
    <row r="15" spans="1:6">
      <c r="A15" t="s">
        <v>40</v>
      </c>
      <c r="B15">
        <v>37.637200000000099</v>
      </c>
      <c r="C15">
        <v>40.683519999999902</v>
      </c>
      <c r="D15">
        <v>15.22912</v>
      </c>
      <c r="E15">
        <v>6.4501599999999799</v>
      </c>
    </row>
    <row r="16" spans="1:6">
      <c r="A16" t="s">
        <v>41</v>
      </c>
      <c r="B16">
        <v>9.1634399999999907</v>
      </c>
      <c r="C16">
        <v>56.831840000000099</v>
      </c>
      <c r="D16">
        <v>29.155280000000001</v>
      </c>
      <c r="E16">
        <v>4.8494399999999898</v>
      </c>
    </row>
    <row r="17" spans="1:5">
      <c r="A17" t="s">
        <v>747</v>
      </c>
      <c r="B17">
        <v>2.2919200000000002</v>
      </c>
      <c r="C17">
        <v>47.819200000000102</v>
      </c>
      <c r="D17">
        <v>44.442879999999903</v>
      </c>
      <c r="E17">
        <v>5.4459999999999997</v>
      </c>
    </row>
    <row r="18" spans="1:5">
      <c r="A18" t="s">
        <v>43</v>
      </c>
      <c r="B18">
        <v>14.394399999999999</v>
      </c>
      <c r="C18">
        <v>59.376560000000303</v>
      </c>
      <c r="D18">
        <v>21.114080000000101</v>
      </c>
      <c r="E18">
        <v>5.1149600000000097</v>
      </c>
    </row>
    <row r="19" spans="1:5">
      <c r="A19" t="s">
        <v>748</v>
      </c>
      <c r="B19">
        <v>20.84056</v>
      </c>
      <c r="C19">
        <v>61.652160000000102</v>
      </c>
      <c r="D19">
        <v>12.73296</v>
      </c>
      <c r="E19">
        <v>4.7743200000000003</v>
      </c>
    </row>
    <row r="20" spans="1:5">
      <c r="A20" t="s">
        <v>749</v>
      </c>
      <c r="B20">
        <v>14.375920000000001</v>
      </c>
      <c r="C20">
        <v>33.261520000000097</v>
      </c>
      <c r="D20">
        <v>47.076160000000002</v>
      </c>
      <c r="E20">
        <v>5.2864000000000004</v>
      </c>
    </row>
    <row r="21" spans="1:5">
      <c r="A21" t="s">
        <v>750</v>
      </c>
      <c r="B21">
        <v>26.287999999999901</v>
      </c>
      <c r="C21">
        <v>39.909120000000001</v>
      </c>
      <c r="D21">
        <v>28.762319999999999</v>
      </c>
      <c r="E21">
        <v>5.0405600000000099</v>
      </c>
    </row>
    <row r="22" spans="1:5">
      <c r="A22" t="s">
        <v>46</v>
      </c>
      <c r="B22">
        <v>22.021920000000101</v>
      </c>
      <c r="C22">
        <v>62.105760000000103</v>
      </c>
      <c r="D22">
        <v>11.62632</v>
      </c>
      <c r="E22">
        <v>4.2460000000000004</v>
      </c>
    </row>
    <row r="23" spans="1:5">
      <c r="A23" t="s">
        <v>751</v>
      </c>
      <c r="B23">
        <v>31.3539999999999</v>
      </c>
      <c r="C23">
        <v>58.484800000000099</v>
      </c>
      <c r="D23">
        <v>5.6673600000000004</v>
      </c>
      <c r="E23">
        <v>4.4938400000000103</v>
      </c>
    </row>
    <row r="24" spans="1:5">
      <c r="A24" t="s">
        <v>49</v>
      </c>
      <c r="B24">
        <v>1.17032</v>
      </c>
      <c r="C24">
        <v>35.986559999999997</v>
      </c>
      <c r="D24">
        <v>61.72392</v>
      </c>
      <c r="E24">
        <v>1.1192</v>
      </c>
    </row>
    <row r="25" spans="1:5">
      <c r="A25" t="s">
        <v>50</v>
      </c>
      <c r="B25">
        <v>15.8649599999999</v>
      </c>
      <c r="C25">
        <v>62.842240000000203</v>
      </c>
      <c r="D25">
        <v>16.111599999999999</v>
      </c>
      <c r="E25">
        <v>5.1811999999999996</v>
      </c>
    </row>
    <row r="26" spans="1:5">
      <c r="A26" t="s">
        <v>51</v>
      </c>
      <c r="B26">
        <v>31.49776</v>
      </c>
      <c r="C26">
        <v>46.318240000000102</v>
      </c>
      <c r="D26">
        <v>17.041679999999999</v>
      </c>
      <c r="E26">
        <v>5.1423200000000202</v>
      </c>
    </row>
    <row r="27" spans="1:5">
      <c r="A27" t="s">
        <v>52</v>
      </c>
      <c r="B27">
        <v>42.3162400000001</v>
      </c>
      <c r="C27">
        <v>32.360639999999997</v>
      </c>
      <c r="D27">
        <v>19.538799999999998</v>
      </c>
      <c r="E27">
        <v>5.7843200000000001</v>
      </c>
    </row>
    <row r="28" spans="1:5">
      <c r="A28" t="s">
        <v>53</v>
      </c>
      <c r="B28">
        <v>25.6101600000001</v>
      </c>
      <c r="C28">
        <v>59.041839999999901</v>
      </c>
      <c r="D28">
        <v>12.39024</v>
      </c>
      <c r="E28">
        <v>2.9577600000000102</v>
      </c>
    </row>
    <row r="29" spans="1:5">
      <c r="A29" t="s">
        <v>752</v>
      </c>
      <c r="B29">
        <v>37.572799999999901</v>
      </c>
      <c r="C29">
        <v>43.428800000000003</v>
      </c>
      <c r="D29">
        <v>15.505520000000001</v>
      </c>
      <c r="E29">
        <v>3.4928800000000102</v>
      </c>
    </row>
    <row r="30" spans="1:5">
      <c r="A30" t="s">
        <v>55</v>
      </c>
      <c r="B30">
        <v>20.96696</v>
      </c>
      <c r="C30">
        <v>52.63496</v>
      </c>
      <c r="D30">
        <v>21.092479999999998</v>
      </c>
      <c r="E30">
        <v>5.3055999999999903</v>
      </c>
    </row>
    <row r="31" spans="1:5">
      <c r="A31" t="s">
        <v>753</v>
      </c>
      <c r="B31">
        <v>41.560880000000097</v>
      </c>
      <c r="C31">
        <v>36.0931199999999</v>
      </c>
      <c r="D31">
        <v>16.147680000000001</v>
      </c>
      <c r="E31">
        <v>6.1983199999999998</v>
      </c>
    </row>
    <row r="32" spans="1:5">
      <c r="A32" t="s">
        <v>754</v>
      </c>
      <c r="B32">
        <v>34.246639999999999</v>
      </c>
      <c r="C32">
        <v>38.258159999999997</v>
      </c>
      <c r="D32">
        <v>23.655919999999998</v>
      </c>
      <c r="E32">
        <v>3.83927999999998</v>
      </c>
    </row>
    <row r="33" spans="1:6">
      <c r="A33" t="s">
        <v>58</v>
      </c>
      <c r="B33">
        <v>46.505600000000101</v>
      </c>
      <c r="C33">
        <v>38.243360000000003</v>
      </c>
      <c r="D33">
        <v>11.74696</v>
      </c>
      <c r="E33">
        <v>3.5040800000000099</v>
      </c>
    </row>
    <row r="34" spans="1:6">
      <c r="A34" t="s">
        <v>61</v>
      </c>
      <c r="B34">
        <v>18.5868</v>
      </c>
      <c r="C34">
        <v>29.944479999999999</v>
      </c>
      <c r="D34">
        <v>34.914879999999997</v>
      </c>
      <c r="E34">
        <v>4.7796000000000003</v>
      </c>
      <c r="F34">
        <v>38.438000000000002</v>
      </c>
    </row>
    <row r="35" spans="1:6">
      <c r="A35" t="s">
        <v>755</v>
      </c>
      <c r="B35">
        <v>7.5135999999999896</v>
      </c>
      <c r="C35">
        <v>31.195119999999999</v>
      </c>
      <c r="D35">
        <v>33.960320000000003</v>
      </c>
      <c r="E35">
        <v>2.2984799999999899</v>
      </c>
      <c r="F35">
        <v>38.405999999999999</v>
      </c>
    </row>
    <row r="36" spans="1:6">
      <c r="A36" t="s">
        <v>63</v>
      </c>
      <c r="B36">
        <v>7.4593600000000002</v>
      </c>
      <c r="C36">
        <v>52.232400000000098</v>
      </c>
      <c r="D36">
        <v>15.962879999999901</v>
      </c>
      <c r="E36">
        <v>2.4091200000000099</v>
      </c>
      <c r="F36">
        <v>31.2805</v>
      </c>
    </row>
    <row r="37" spans="1:6">
      <c r="A37" t="s">
        <v>756</v>
      </c>
      <c r="B37">
        <v>9.3186399999999594</v>
      </c>
      <c r="C37">
        <v>44.549440000000203</v>
      </c>
      <c r="D37">
        <v>27.660240000000002</v>
      </c>
      <c r="E37">
        <v>2.32967999999999</v>
      </c>
      <c r="F37">
        <v>36.111750000000001</v>
      </c>
    </row>
    <row r="38" spans="1:6">
      <c r="A38" t="s">
        <v>66</v>
      </c>
      <c r="B38">
        <v>12.33352</v>
      </c>
      <c r="C38">
        <v>39.179119999999998</v>
      </c>
      <c r="D38">
        <v>28.059920000000002</v>
      </c>
      <c r="E38">
        <v>3.5156799999999899</v>
      </c>
      <c r="F38">
        <v>15.861499999999999</v>
      </c>
    </row>
    <row r="39" spans="1:6">
      <c r="A39" t="s">
        <v>757</v>
      </c>
      <c r="B39">
        <v>10.37584</v>
      </c>
      <c r="C39">
        <v>45.864159999999998</v>
      </c>
      <c r="D39">
        <v>12.401439999999999</v>
      </c>
      <c r="E39">
        <v>3.3822399999999999</v>
      </c>
      <c r="F39">
        <v>40.189250000000001</v>
      </c>
    </row>
    <row r="40" spans="1:6">
      <c r="A40" t="s">
        <v>68</v>
      </c>
      <c r="B40">
        <v>45.7092799999999</v>
      </c>
      <c r="C40">
        <v>32.470479999999903</v>
      </c>
      <c r="D40">
        <v>18.488479999999999</v>
      </c>
      <c r="E40">
        <v>2.45824</v>
      </c>
      <c r="F40">
        <v>28.38325</v>
      </c>
    </row>
    <row r="41" spans="1:6">
      <c r="A41" t="s">
        <v>72</v>
      </c>
      <c r="B41">
        <v>21.089600000000001</v>
      </c>
      <c r="C41">
        <v>28.230320000000098</v>
      </c>
      <c r="D41">
        <v>34.432720000000003</v>
      </c>
      <c r="E41">
        <v>2.7724799999999998</v>
      </c>
      <c r="F41">
        <v>36.812249999999999</v>
      </c>
    </row>
    <row r="42" spans="1:6">
      <c r="A42" t="s">
        <v>73</v>
      </c>
      <c r="B42">
        <v>10.33704</v>
      </c>
      <c r="C42">
        <v>31.8411200000001</v>
      </c>
      <c r="D42">
        <v>22.49616</v>
      </c>
      <c r="E42">
        <v>3.8345600000000002</v>
      </c>
      <c r="F42">
        <v>22.422000000000001</v>
      </c>
    </row>
    <row r="43" spans="1:6">
      <c r="A43" t="s">
        <v>74</v>
      </c>
      <c r="B43">
        <v>39.361120000000099</v>
      </c>
      <c r="C43">
        <v>27.526480000000099</v>
      </c>
      <c r="D43">
        <v>22.399519999999999</v>
      </c>
      <c r="E43">
        <v>2.3681600000000098</v>
      </c>
      <c r="F43">
        <v>28.52975</v>
      </c>
    </row>
    <row r="44" spans="1:6">
      <c r="A44" t="s">
        <v>758</v>
      </c>
      <c r="B44">
        <v>6.3136000000000099</v>
      </c>
      <c r="C44">
        <v>33.385919999999999</v>
      </c>
      <c r="D44">
        <v>34.00376</v>
      </c>
      <c r="E44">
        <v>2.7870400000000002</v>
      </c>
      <c r="F44">
        <v>24.842500000000001</v>
      </c>
    </row>
    <row r="45" spans="1:6">
      <c r="A45" t="s">
        <v>759</v>
      </c>
      <c r="B45">
        <v>10.06208</v>
      </c>
      <c r="C45">
        <v>34.0228800000001</v>
      </c>
      <c r="D45">
        <v>28.198239999999998</v>
      </c>
      <c r="E45">
        <v>3.1822400000000002</v>
      </c>
      <c r="F45">
        <v>39.31</v>
      </c>
    </row>
    <row r="46" spans="1:6">
      <c r="A46" t="s">
        <v>76</v>
      </c>
      <c r="B46">
        <v>7.84543999999996</v>
      </c>
      <c r="C46">
        <v>32.126159999999899</v>
      </c>
      <c r="D46">
        <v>35.499760000000101</v>
      </c>
      <c r="E46">
        <v>3.0227999999999899</v>
      </c>
      <c r="F46">
        <v>25.269749999999998</v>
      </c>
    </row>
    <row r="47" spans="1:6">
      <c r="A47" t="s">
        <v>760</v>
      </c>
      <c r="B47">
        <v>6.1166400000000003</v>
      </c>
      <c r="C47">
        <v>30.672720000000002</v>
      </c>
      <c r="D47">
        <v>32.508080000000099</v>
      </c>
      <c r="E47">
        <v>2.9820800000000101</v>
      </c>
      <c r="F47">
        <v>42.607500000000002</v>
      </c>
    </row>
    <row r="48" spans="1:6">
      <c r="A48" t="s">
        <v>761</v>
      </c>
      <c r="B48">
        <v>7.0716000000000001</v>
      </c>
      <c r="C48">
        <v>59.482639999999897</v>
      </c>
      <c r="D48">
        <v>18.394639999999999</v>
      </c>
      <c r="E48">
        <v>2.5087199999999998</v>
      </c>
      <c r="F48">
        <v>34.106000000000002</v>
      </c>
    </row>
    <row r="49" spans="1:6">
      <c r="A49" t="s">
        <v>78</v>
      </c>
      <c r="B49">
        <v>9.1947999999999794</v>
      </c>
      <c r="C49">
        <v>43.786079999999998</v>
      </c>
      <c r="D49">
        <v>29.385919999999999</v>
      </c>
      <c r="E49">
        <v>2.9492799999999999</v>
      </c>
      <c r="F49">
        <v>38.451999999999998</v>
      </c>
    </row>
    <row r="50" spans="1:6">
      <c r="A50" t="s">
        <v>79</v>
      </c>
      <c r="B50">
        <v>10.512</v>
      </c>
      <c r="C50">
        <v>53.309440000000102</v>
      </c>
      <c r="D50">
        <v>24.34768</v>
      </c>
      <c r="E50">
        <v>2.3717600000000001</v>
      </c>
      <c r="F50">
        <v>33.24</v>
      </c>
    </row>
    <row r="51" spans="1:6">
      <c r="A51" t="s">
        <v>81</v>
      </c>
      <c r="B51">
        <v>11.743359999999999</v>
      </c>
      <c r="C51">
        <v>32.310560000000002</v>
      </c>
      <c r="D51">
        <v>28.736400000000099</v>
      </c>
      <c r="E51">
        <v>2.89384</v>
      </c>
      <c r="F51">
        <v>29.318750000000001</v>
      </c>
    </row>
    <row r="52" spans="1:6">
      <c r="A52" t="s">
        <v>762</v>
      </c>
      <c r="B52">
        <v>25.98</v>
      </c>
      <c r="C52">
        <v>28.2933599999999</v>
      </c>
      <c r="D52">
        <v>33.513919999999999</v>
      </c>
      <c r="E52">
        <v>2.4828800000000002</v>
      </c>
      <c r="F52">
        <v>39.311</v>
      </c>
    </row>
    <row r="53" spans="1:6">
      <c r="A53" t="s">
        <v>83</v>
      </c>
      <c r="B53">
        <v>20.176960000000001</v>
      </c>
      <c r="C53">
        <v>28.031199999999998</v>
      </c>
      <c r="D53">
        <v>24.026399999999999</v>
      </c>
      <c r="E53">
        <v>2.5768</v>
      </c>
      <c r="F53">
        <v>21.957750000000001</v>
      </c>
    </row>
    <row r="54" spans="1:6">
      <c r="A54" t="s">
        <v>84</v>
      </c>
      <c r="B54">
        <v>9.7615200000000204</v>
      </c>
      <c r="C54">
        <v>30.89048</v>
      </c>
      <c r="D54">
        <v>36.166959999999897</v>
      </c>
      <c r="E54">
        <v>2.7964799999999999</v>
      </c>
      <c r="F54">
        <v>37.960250000000002</v>
      </c>
    </row>
    <row r="55" spans="1:6">
      <c r="A55" t="s">
        <v>85</v>
      </c>
      <c r="B55">
        <v>21.67792</v>
      </c>
      <c r="C55">
        <v>25.44464</v>
      </c>
      <c r="D55">
        <v>27.992000000000001</v>
      </c>
      <c r="E55">
        <v>2.4028800000000001</v>
      </c>
      <c r="F55">
        <v>24.85</v>
      </c>
    </row>
    <row r="56" spans="1:6">
      <c r="A56" t="s">
        <v>86</v>
      </c>
      <c r="B56">
        <v>9.2213600000000095</v>
      </c>
      <c r="C56">
        <v>33.767280000000099</v>
      </c>
      <c r="D56">
        <v>34.021600000000099</v>
      </c>
      <c r="E56">
        <v>3.26624000000001</v>
      </c>
      <c r="F56">
        <v>15.0815</v>
      </c>
    </row>
    <row r="57" spans="1:6">
      <c r="A57" t="s">
        <v>763</v>
      </c>
      <c r="B57">
        <v>12.875920000000001</v>
      </c>
      <c r="C57">
        <v>54.789519999999897</v>
      </c>
      <c r="D57">
        <v>23.266719999999999</v>
      </c>
      <c r="E57">
        <v>3.93736</v>
      </c>
      <c r="F57">
        <v>28.102499999999999</v>
      </c>
    </row>
    <row r="58" spans="1:6">
      <c r="A58" t="s">
        <v>87</v>
      </c>
      <c r="B58">
        <v>13.187760000000001</v>
      </c>
      <c r="C58">
        <v>30.162480000000102</v>
      </c>
      <c r="D58">
        <v>38.261119999999998</v>
      </c>
      <c r="E58">
        <v>2.9785599999999901</v>
      </c>
      <c r="F58">
        <v>39.845500000000001</v>
      </c>
    </row>
    <row r="59" spans="1:6">
      <c r="A59" t="s">
        <v>764</v>
      </c>
      <c r="B59">
        <v>16.299520000000001</v>
      </c>
      <c r="C59">
        <v>39.6520000000002</v>
      </c>
      <c r="D59">
        <v>14.589840000000001</v>
      </c>
      <c r="E59">
        <v>2.8860000000000001</v>
      </c>
      <c r="F59">
        <v>27.756</v>
      </c>
    </row>
    <row r="60" spans="1:6">
      <c r="A60" t="s">
        <v>92</v>
      </c>
      <c r="B60">
        <v>5.5969600000000099</v>
      </c>
      <c r="C60">
        <v>39.043040000000097</v>
      </c>
      <c r="D60">
        <v>44.84552</v>
      </c>
      <c r="E60">
        <v>2.0255200000000002</v>
      </c>
      <c r="F60">
        <v>6.032</v>
      </c>
    </row>
    <row r="61" spans="1:6">
      <c r="A61" t="s">
        <v>89</v>
      </c>
      <c r="B61">
        <v>6.1267199999999997</v>
      </c>
      <c r="C61">
        <v>33.056080000000101</v>
      </c>
      <c r="D61">
        <v>33.672319999999999</v>
      </c>
      <c r="E61">
        <v>2.6123200000000102</v>
      </c>
      <c r="F61">
        <v>39.008249999999997</v>
      </c>
    </row>
    <row r="62" spans="1:6">
      <c r="A62" t="s">
        <v>765</v>
      </c>
      <c r="B62">
        <v>11.86016</v>
      </c>
      <c r="C62">
        <v>54.765120000000103</v>
      </c>
      <c r="D62">
        <v>21.27704</v>
      </c>
      <c r="E62">
        <v>2.5091199999999998</v>
      </c>
      <c r="F62">
        <v>18.257750000000001</v>
      </c>
    </row>
    <row r="63" spans="1:6">
      <c r="A63" t="s">
        <v>94</v>
      </c>
      <c r="B63">
        <v>7.6420800000000302</v>
      </c>
      <c r="C63">
        <v>45.636960000000002</v>
      </c>
      <c r="D63">
        <v>41.478639999999999</v>
      </c>
      <c r="E63">
        <v>2.8864800000000002</v>
      </c>
      <c r="F63">
        <v>39.884500000000003</v>
      </c>
    </row>
    <row r="64" spans="1:6">
      <c r="A64" t="s">
        <v>95</v>
      </c>
      <c r="B64">
        <v>7.7488000000000001</v>
      </c>
      <c r="C64">
        <v>28.169040000000098</v>
      </c>
      <c r="D64">
        <v>32.402480000000097</v>
      </c>
      <c r="E64">
        <v>4.9019199999999996</v>
      </c>
      <c r="F64">
        <v>42.47325</v>
      </c>
    </row>
    <row r="65" spans="1:6">
      <c r="A65" t="s">
        <v>766</v>
      </c>
      <c r="B65">
        <v>30.039359999999899</v>
      </c>
      <c r="C65">
        <v>22.258959999999998</v>
      </c>
      <c r="D65">
        <v>32.658639999999899</v>
      </c>
      <c r="E65">
        <v>2.1976800000000001</v>
      </c>
      <c r="F65">
        <v>31.11975</v>
      </c>
    </row>
    <row r="66" spans="1:6">
      <c r="A66" t="s">
        <v>96</v>
      </c>
      <c r="B66">
        <v>6.5323200000000003</v>
      </c>
      <c r="C66">
        <v>31.29016</v>
      </c>
      <c r="D66">
        <v>33.50864</v>
      </c>
      <c r="E66">
        <v>2.7743999999999902</v>
      </c>
      <c r="F66">
        <v>21.459499999999998</v>
      </c>
    </row>
    <row r="67" spans="1:6">
      <c r="A67" t="s">
        <v>767</v>
      </c>
      <c r="B67">
        <v>7.1952799999999897</v>
      </c>
      <c r="C67">
        <v>33.787840000000003</v>
      </c>
      <c r="D67">
        <v>37.510720000000099</v>
      </c>
      <c r="E67">
        <v>2.3697599999999999</v>
      </c>
      <c r="F67">
        <v>23.757999999999999</v>
      </c>
    </row>
    <row r="68" spans="1:6">
      <c r="A68" t="s">
        <v>768</v>
      </c>
      <c r="B68">
        <v>38.194400000000101</v>
      </c>
      <c r="C68">
        <v>22.762560000000001</v>
      </c>
      <c r="D68">
        <v>22.275120000000001</v>
      </c>
      <c r="E68">
        <v>2.20072</v>
      </c>
      <c r="F68">
        <v>34.466749999999998</v>
      </c>
    </row>
    <row r="69" spans="1:6">
      <c r="A69" t="s">
        <v>769</v>
      </c>
      <c r="B69">
        <v>26.177440000000001</v>
      </c>
      <c r="C69">
        <v>57.151119999999899</v>
      </c>
      <c r="D69">
        <v>11.640639999999999</v>
      </c>
      <c r="E69">
        <v>5.00063999999999</v>
      </c>
      <c r="F69">
        <v>23.75975</v>
      </c>
    </row>
    <row r="70" spans="1:6">
      <c r="A70" t="s">
        <v>100</v>
      </c>
      <c r="B70">
        <v>8.3823999999999703</v>
      </c>
      <c r="C70">
        <v>43.628479999999897</v>
      </c>
      <c r="D70">
        <v>27.370160000000102</v>
      </c>
      <c r="E70">
        <v>3.5323999999999902</v>
      </c>
      <c r="F70">
        <v>32.963000000000001</v>
      </c>
    </row>
    <row r="71" spans="1:6">
      <c r="A71" t="s">
        <v>101</v>
      </c>
      <c r="B71">
        <v>7.3683999999999701</v>
      </c>
      <c r="C71">
        <v>34.596319999999999</v>
      </c>
      <c r="D71">
        <v>29.2311200000001</v>
      </c>
      <c r="E71">
        <v>3.4570400000000001</v>
      </c>
      <c r="F71">
        <v>23.4315</v>
      </c>
    </row>
    <row r="72" spans="1:6">
      <c r="A72" t="s">
        <v>102</v>
      </c>
      <c r="B72">
        <v>2.9111199999999999</v>
      </c>
      <c r="C72">
        <v>32.010399999999997</v>
      </c>
      <c r="D72">
        <v>32.786160000000002</v>
      </c>
      <c r="E72">
        <v>3.5513600000000101</v>
      </c>
      <c r="F72">
        <v>40.49</v>
      </c>
    </row>
    <row r="73" spans="1:6">
      <c r="A73" t="s">
        <v>103</v>
      </c>
      <c r="B73">
        <v>14.6532</v>
      </c>
      <c r="C73">
        <v>42.9955199999999</v>
      </c>
      <c r="D73">
        <v>32.947760000000102</v>
      </c>
      <c r="E73">
        <v>2.74688</v>
      </c>
      <c r="F73">
        <v>34.602499999999999</v>
      </c>
    </row>
    <row r="74" spans="1:6">
      <c r="A74" t="s">
        <v>770</v>
      </c>
      <c r="B74">
        <v>8.2132799999999992</v>
      </c>
      <c r="C74">
        <v>33.927840000000003</v>
      </c>
      <c r="D74">
        <v>32.9116</v>
      </c>
      <c r="E74">
        <v>3.2939200000000102</v>
      </c>
      <c r="F74">
        <v>43.781750000000002</v>
      </c>
    </row>
    <row r="75" spans="1:6">
      <c r="A75" t="s">
        <v>104</v>
      </c>
      <c r="B75">
        <v>35.349359999999997</v>
      </c>
      <c r="C75">
        <v>26.770720000000001</v>
      </c>
      <c r="D75">
        <v>27.01136</v>
      </c>
      <c r="E75">
        <v>2.5535999999999999</v>
      </c>
      <c r="F75">
        <v>25.779</v>
      </c>
    </row>
    <row r="76" spans="1:6">
      <c r="A76" t="s">
        <v>107</v>
      </c>
      <c r="B76">
        <v>6.4096000000000002</v>
      </c>
      <c r="C76">
        <v>30.772400000000001</v>
      </c>
      <c r="D76">
        <v>37.43056</v>
      </c>
      <c r="E76">
        <v>3.0856799999999902</v>
      </c>
      <c r="F76">
        <v>38.362749999999998</v>
      </c>
    </row>
    <row r="77" spans="1:6">
      <c r="A77" t="s">
        <v>771</v>
      </c>
      <c r="B77">
        <v>17.6035199999999</v>
      </c>
      <c r="C77">
        <v>35.12312</v>
      </c>
      <c r="D77">
        <v>27.20384</v>
      </c>
      <c r="E77">
        <v>2.4731200000000002</v>
      </c>
      <c r="F77">
        <v>5.7642499999999997</v>
      </c>
    </row>
    <row r="78" spans="1:6">
      <c r="A78" t="s">
        <v>772</v>
      </c>
      <c r="B78">
        <v>33.272480000000002</v>
      </c>
      <c r="C78">
        <v>28.09216</v>
      </c>
      <c r="D78">
        <v>28.410960000000099</v>
      </c>
      <c r="E78">
        <v>2.3482400000000001</v>
      </c>
      <c r="F78">
        <v>11.99775</v>
      </c>
    </row>
    <row r="79" spans="1:6">
      <c r="A79" t="s">
        <v>60</v>
      </c>
      <c r="B79">
        <v>7.6170400000000003</v>
      </c>
      <c r="C79">
        <v>24.933119999999999</v>
      </c>
      <c r="D79">
        <v>37.792639999999899</v>
      </c>
      <c r="E79">
        <v>3.4116</v>
      </c>
      <c r="F79">
        <v>27.80275</v>
      </c>
    </row>
    <row r="80" spans="1:6">
      <c r="A80" t="s">
        <v>111</v>
      </c>
      <c r="B80">
        <v>44.596640000000001</v>
      </c>
      <c r="C80">
        <v>27.881679999999999</v>
      </c>
      <c r="D80">
        <v>15.1188</v>
      </c>
      <c r="E80">
        <v>2.3638400000000002</v>
      </c>
      <c r="F80">
        <v>11.299250000000001</v>
      </c>
    </row>
    <row r="81" spans="1:6">
      <c r="A81" t="s">
        <v>112</v>
      </c>
      <c r="B81">
        <v>7.3248000000000397</v>
      </c>
      <c r="C81">
        <v>29.690719999999999</v>
      </c>
      <c r="D81">
        <v>35.11768</v>
      </c>
      <c r="E81">
        <v>2.9419200000000001</v>
      </c>
      <c r="F81">
        <v>32.309750000000001</v>
      </c>
    </row>
    <row r="82" spans="1:6">
      <c r="A82" t="s">
        <v>114</v>
      </c>
      <c r="B82">
        <v>7.4776800000000003</v>
      </c>
      <c r="C82">
        <v>33.652159999999903</v>
      </c>
      <c r="D82">
        <v>32.513840000000002</v>
      </c>
      <c r="E82">
        <v>3.46936000000002</v>
      </c>
      <c r="F82">
        <v>7.8887499999999999</v>
      </c>
    </row>
    <row r="83" spans="1:6">
      <c r="A83" t="s">
        <v>115</v>
      </c>
      <c r="B83">
        <v>5.9572000000000003</v>
      </c>
      <c r="C83">
        <v>26.682479999999899</v>
      </c>
      <c r="D83">
        <v>37.432160000000003</v>
      </c>
      <c r="E83">
        <v>4.7217599999999997</v>
      </c>
      <c r="F83">
        <v>16.823250000000002</v>
      </c>
    </row>
    <row r="84" spans="1:6">
      <c r="A84" t="s">
        <v>116</v>
      </c>
      <c r="B84">
        <v>33.31512</v>
      </c>
      <c r="C84">
        <v>28.44904</v>
      </c>
      <c r="D84">
        <v>22.175279999999901</v>
      </c>
      <c r="E84">
        <v>2.39256</v>
      </c>
      <c r="F84">
        <v>30.1435</v>
      </c>
    </row>
    <row r="85" spans="1:6">
      <c r="A85" t="s">
        <v>117</v>
      </c>
      <c r="B85">
        <v>32.810160000000003</v>
      </c>
      <c r="C85">
        <v>63.548959999999902</v>
      </c>
      <c r="D85">
        <v>1.05488</v>
      </c>
      <c r="E85">
        <v>2.5646399999999998</v>
      </c>
      <c r="F85">
        <v>36.904000000000003</v>
      </c>
    </row>
    <row r="86" spans="1:6">
      <c r="A86" t="s">
        <v>118</v>
      </c>
      <c r="B86">
        <v>15.98648</v>
      </c>
      <c r="C86">
        <v>62.021120000000202</v>
      </c>
      <c r="D86">
        <v>16.74464</v>
      </c>
      <c r="E86">
        <v>5.1471200000000001</v>
      </c>
      <c r="F86">
        <v>39.231000000000002</v>
      </c>
    </row>
    <row r="87" spans="1:6">
      <c r="A87" t="s">
        <v>773</v>
      </c>
      <c r="B87">
        <v>6.6827199999999802</v>
      </c>
      <c r="C87">
        <v>47.106639999999999</v>
      </c>
      <c r="D87">
        <v>37.845360000000099</v>
      </c>
      <c r="E87">
        <v>3.11592</v>
      </c>
      <c r="F87">
        <v>45.378749999999997</v>
      </c>
    </row>
    <row r="88" spans="1:6">
      <c r="A88" t="s">
        <v>119</v>
      </c>
      <c r="B88">
        <v>3.8863999999999899</v>
      </c>
      <c r="C88">
        <v>59.147840000000102</v>
      </c>
      <c r="D88">
        <v>15.58248</v>
      </c>
      <c r="E88">
        <v>2.8163999999999998</v>
      </c>
      <c r="F88">
        <v>40.811500000000002</v>
      </c>
    </row>
    <row r="89" spans="1:6">
      <c r="A89" t="s">
        <v>120</v>
      </c>
      <c r="B89">
        <v>25.04832</v>
      </c>
      <c r="C89">
        <v>54.584879999999998</v>
      </c>
      <c r="D89">
        <v>15.74464</v>
      </c>
      <c r="E89">
        <v>4.3794399999999802</v>
      </c>
      <c r="F89">
        <v>38.527000000000001</v>
      </c>
    </row>
    <row r="90" spans="1:6">
      <c r="A90" t="s">
        <v>121</v>
      </c>
      <c r="B90">
        <v>23.8064</v>
      </c>
      <c r="C90">
        <v>40.4731999999998</v>
      </c>
      <c r="D90">
        <v>30.014720000000001</v>
      </c>
      <c r="E90">
        <v>2.4949599999999998</v>
      </c>
      <c r="F90">
        <v>36.746499999999997</v>
      </c>
    </row>
    <row r="91" spans="1:6">
      <c r="A91" t="s">
        <v>108</v>
      </c>
      <c r="B91">
        <v>0.11216</v>
      </c>
      <c r="C91">
        <v>36.875040000000098</v>
      </c>
      <c r="D91">
        <v>40.635840000000002</v>
      </c>
      <c r="E91">
        <v>4.2484800000000096</v>
      </c>
      <c r="F91">
        <v>27.8155</v>
      </c>
    </row>
    <row r="92" spans="1:6">
      <c r="A92" t="s">
        <v>122</v>
      </c>
      <c r="B92">
        <v>13.6585599999999</v>
      </c>
      <c r="C92">
        <v>30.743759999999899</v>
      </c>
      <c r="D92">
        <v>31.201840000000001</v>
      </c>
      <c r="E92">
        <v>3.0810399999999998</v>
      </c>
      <c r="F92">
        <v>36.292250000000003</v>
      </c>
    </row>
    <row r="93" spans="1:6">
      <c r="A93" t="s">
        <v>774</v>
      </c>
      <c r="B93">
        <v>5.5016800000000003</v>
      </c>
      <c r="C93">
        <v>29.80744</v>
      </c>
      <c r="D93">
        <v>37.586000000000098</v>
      </c>
      <c r="E93">
        <v>2.6175999999999999</v>
      </c>
      <c r="F93">
        <v>30.75825</v>
      </c>
    </row>
    <row r="94" spans="1:6">
      <c r="A94" t="s">
        <v>123</v>
      </c>
      <c r="B94">
        <v>21.829359999999902</v>
      </c>
      <c r="C94">
        <v>28.748080000000002</v>
      </c>
      <c r="D94">
        <v>19.463840000000001</v>
      </c>
      <c r="E94">
        <v>2.9849600000000001</v>
      </c>
      <c r="F94">
        <v>39.229999999999997</v>
      </c>
    </row>
    <row r="95" spans="1:6">
      <c r="A95" t="s">
        <v>775</v>
      </c>
      <c r="B95">
        <v>8.3612799999999901</v>
      </c>
      <c r="C95">
        <v>32.95232</v>
      </c>
      <c r="D95">
        <v>34.504800000000103</v>
      </c>
      <c r="E95">
        <v>3.3418399999999999</v>
      </c>
      <c r="F95">
        <v>35.422750000000001</v>
      </c>
    </row>
    <row r="96" spans="1:6">
      <c r="A96" t="s">
        <v>124</v>
      </c>
      <c r="B96">
        <v>6.43920000000002</v>
      </c>
      <c r="C96">
        <v>28.349679999999999</v>
      </c>
      <c r="D96">
        <v>40.508159999999997</v>
      </c>
      <c r="E96">
        <v>2.7219999999999902</v>
      </c>
      <c r="F96">
        <v>31.771000000000001</v>
      </c>
    </row>
    <row r="97" spans="1:6">
      <c r="A97" t="s">
        <v>125</v>
      </c>
      <c r="B97">
        <v>3.18832</v>
      </c>
      <c r="C97">
        <v>30.407679999999999</v>
      </c>
      <c r="D97">
        <v>37.345440000000103</v>
      </c>
      <c r="E97">
        <v>2.5895999999999999</v>
      </c>
      <c r="F97">
        <v>37.634500000000003</v>
      </c>
    </row>
    <row r="98" spans="1:6">
      <c r="A98" t="s">
        <v>776</v>
      </c>
      <c r="B98">
        <v>8.5108799999999807</v>
      </c>
      <c r="C98">
        <v>35.762479999999897</v>
      </c>
      <c r="D98">
        <v>34.442319999999903</v>
      </c>
      <c r="E98">
        <v>3.23</v>
      </c>
      <c r="F98">
        <v>33.131749999999997</v>
      </c>
    </row>
    <row r="99" spans="1:6">
      <c r="A99" t="s">
        <v>777</v>
      </c>
      <c r="B99">
        <v>13.38856</v>
      </c>
      <c r="C99">
        <v>25.975999999999999</v>
      </c>
      <c r="D99">
        <v>39.853199999999902</v>
      </c>
      <c r="E99">
        <v>2.7889599999999901</v>
      </c>
      <c r="F99">
        <v>10.30775</v>
      </c>
    </row>
    <row r="100" spans="1:6">
      <c r="A100" t="s">
        <v>127</v>
      </c>
      <c r="B100">
        <v>8.3963999999999999</v>
      </c>
      <c r="C100">
        <v>29.4328800000001</v>
      </c>
      <c r="D100">
        <v>34.891599999999997</v>
      </c>
      <c r="E100">
        <v>3.3886400000000001</v>
      </c>
      <c r="F100">
        <v>15.58825</v>
      </c>
    </row>
    <row r="101" spans="1:6">
      <c r="A101" t="s">
        <v>128</v>
      </c>
      <c r="B101">
        <v>17.699839999999998</v>
      </c>
      <c r="C101">
        <v>67.539600000000107</v>
      </c>
      <c r="D101">
        <v>11.02544</v>
      </c>
      <c r="E101">
        <v>2.9922400000000202</v>
      </c>
      <c r="F101">
        <v>36.506749999999997</v>
      </c>
    </row>
    <row r="102" spans="1:6">
      <c r="A102" t="s">
        <v>130</v>
      </c>
      <c r="B102">
        <v>12.477600000000001</v>
      </c>
      <c r="C102">
        <v>63.334800000000001</v>
      </c>
      <c r="D102">
        <v>18.250319999999999</v>
      </c>
      <c r="E102">
        <v>2.7037599999999999</v>
      </c>
      <c r="F102">
        <v>30.425249999999998</v>
      </c>
    </row>
    <row r="103" spans="1:6">
      <c r="A103" t="s">
        <v>131</v>
      </c>
      <c r="B103">
        <v>14.375679999999999</v>
      </c>
      <c r="C103">
        <v>32.75224</v>
      </c>
      <c r="D103">
        <v>28.107920000000099</v>
      </c>
      <c r="E103">
        <v>2.8564799999999901</v>
      </c>
      <c r="F103">
        <v>43.101999999999997</v>
      </c>
    </row>
    <row r="104" spans="1:6">
      <c r="A104" t="s">
        <v>778</v>
      </c>
      <c r="B104">
        <v>10.381919999999999</v>
      </c>
      <c r="C104">
        <v>28.787679999999899</v>
      </c>
      <c r="D104">
        <v>31.054960000000001</v>
      </c>
      <c r="E104">
        <v>2.6734399999999998</v>
      </c>
      <c r="F104">
        <v>39.117750000000001</v>
      </c>
    </row>
    <row r="105" spans="1:6">
      <c r="A105" t="s">
        <v>134</v>
      </c>
      <c r="B105">
        <v>11.86408</v>
      </c>
      <c r="C105">
        <v>30.80208</v>
      </c>
      <c r="D105">
        <v>37.785440000000101</v>
      </c>
      <c r="E105">
        <v>2.7589600000000098</v>
      </c>
      <c r="F105">
        <v>31.494</v>
      </c>
    </row>
    <row r="106" spans="1:6">
      <c r="A106" t="s">
        <v>779</v>
      </c>
      <c r="B106">
        <v>6.5839999999999996</v>
      </c>
      <c r="C106">
        <v>31.756399999999999</v>
      </c>
      <c r="D106">
        <v>30.438880000000001</v>
      </c>
      <c r="E106">
        <v>2.5738400000000001</v>
      </c>
      <c r="F106">
        <v>32.752249999999997</v>
      </c>
    </row>
    <row r="107" spans="1:6">
      <c r="A107" t="s">
        <v>780</v>
      </c>
      <c r="B107">
        <v>15.22776</v>
      </c>
      <c r="C107">
        <v>32.979999999999997</v>
      </c>
      <c r="D107">
        <v>30.98424</v>
      </c>
      <c r="E107">
        <v>3.69224</v>
      </c>
      <c r="F107">
        <v>43.597250000000003</v>
      </c>
    </row>
    <row r="108" spans="1:6">
      <c r="A108" t="s">
        <v>781</v>
      </c>
      <c r="B108">
        <v>6.1464000000000096</v>
      </c>
      <c r="C108">
        <v>28.746960000000001</v>
      </c>
      <c r="D108">
        <v>36.934480000000001</v>
      </c>
      <c r="E108">
        <v>3.6429600000000102</v>
      </c>
      <c r="F108">
        <v>8.5037500000000001</v>
      </c>
    </row>
    <row r="109" spans="1:6">
      <c r="A109" t="s">
        <v>782</v>
      </c>
      <c r="B109">
        <v>10.51376</v>
      </c>
      <c r="C109">
        <v>32.137120000000003</v>
      </c>
      <c r="D109">
        <v>36.845440000000004</v>
      </c>
      <c r="E109">
        <v>2.7698399999999999</v>
      </c>
    </row>
    <row r="110" spans="1:6">
      <c r="A110" t="s">
        <v>140</v>
      </c>
      <c r="B110">
        <v>10.533440000000001</v>
      </c>
      <c r="C110">
        <v>52.757040000000003</v>
      </c>
      <c r="D110">
        <v>23.440719999999999</v>
      </c>
      <c r="E110">
        <v>3.6919199999999899</v>
      </c>
    </row>
    <row r="111" spans="1:6">
      <c r="A111" t="s">
        <v>783</v>
      </c>
      <c r="B111">
        <v>10.942159999999999</v>
      </c>
      <c r="C111">
        <v>42.451439999999998</v>
      </c>
      <c r="D111">
        <v>28.23592</v>
      </c>
      <c r="E111">
        <v>2.8520799999999999</v>
      </c>
    </row>
    <row r="112" spans="1:6">
      <c r="A112" t="s">
        <v>784</v>
      </c>
      <c r="B112">
        <v>29.618960000000001</v>
      </c>
      <c r="C112">
        <v>60.619200000000298</v>
      </c>
      <c r="D112">
        <v>6.8282399999999903</v>
      </c>
      <c r="E112">
        <v>2.93359999999999</v>
      </c>
    </row>
    <row r="113" spans="1:5">
      <c r="A113" t="s">
        <v>145</v>
      </c>
      <c r="B113">
        <v>21.995360000000002</v>
      </c>
      <c r="C113">
        <v>36.061999999999898</v>
      </c>
      <c r="D113">
        <v>38.677680000000002</v>
      </c>
      <c r="E113">
        <v>3.2649599999999999</v>
      </c>
    </row>
    <row r="114" spans="1:5">
      <c r="A114" t="s">
        <v>785</v>
      </c>
      <c r="B114">
        <v>37.340800000000002</v>
      </c>
      <c r="C114">
        <v>50.985520000000001</v>
      </c>
      <c r="D114">
        <v>7.8778399999999698</v>
      </c>
      <c r="E114">
        <v>3.7958400000000001</v>
      </c>
    </row>
    <row r="115" spans="1:5">
      <c r="A115" t="s">
        <v>786</v>
      </c>
      <c r="B115">
        <v>48.031920000000099</v>
      </c>
      <c r="C115">
        <v>32.847360000000002</v>
      </c>
      <c r="D115">
        <v>13.69448</v>
      </c>
      <c r="E115">
        <v>5.4262399999999902</v>
      </c>
    </row>
    <row r="116" spans="1:5">
      <c r="A116" t="s">
        <v>787</v>
      </c>
      <c r="B116">
        <v>42.033600000000099</v>
      </c>
      <c r="C116">
        <v>37.973039999999997</v>
      </c>
      <c r="D116">
        <v>13.66296</v>
      </c>
      <c r="E116">
        <v>6.3304</v>
      </c>
    </row>
    <row r="117" spans="1:5">
      <c r="A117" t="s">
        <v>546</v>
      </c>
      <c r="B117">
        <v>43.087600000000101</v>
      </c>
      <c r="C117">
        <v>36.398800000000001</v>
      </c>
      <c r="D117">
        <v>16.499600000000001</v>
      </c>
      <c r="E117">
        <v>4.01400000000001</v>
      </c>
    </row>
    <row r="118" spans="1:5">
      <c r="A118" t="s">
        <v>153</v>
      </c>
      <c r="B118">
        <v>14.327920000000001</v>
      </c>
      <c r="C118">
        <v>52.125520000000101</v>
      </c>
      <c r="D118">
        <v>28.67248</v>
      </c>
      <c r="E118">
        <v>4.8740799999999904</v>
      </c>
    </row>
    <row r="119" spans="1:5">
      <c r="A119" t="s">
        <v>154</v>
      </c>
      <c r="B119">
        <v>31.909600000000101</v>
      </c>
      <c r="C119">
        <v>46.761200000000002</v>
      </c>
      <c r="D119">
        <v>16.681360000000002</v>
      </c>
      <c r="E119">
        <v>4.6478400000000004</v>
      </c>
    </row>
    <row r="120" spans="1:5">
      <c r="A120" t="s">
        <v>788</v>
      </c>
      <c r="B120">
        <v>17.471039999999999</v>
      </c>
      <c r="C120">
        <v>51.411360000000002</v>
      </c>
      <c r="D120">
        <v>29.146879999999999</v>
      </c>
      <c r="E120">
        <v>1.97072</v>
      </c>
    </row>
    <row r="121" spans="1:5">
      <c r="A121" t="s">
        <v>789</v>
      </c>
      <c r="B121">
        <v>34.278880000000001</v>
      </c>
      <c r="C121">
        <v>49.441839999999999</v>
      </c>
      <c r="D121">
        <v>12.318239999999999</v>
      </c>
      <c r="E121">
        <v>3.9610400000000001</v>
      </c>
    </row>
    <row r="122" spans="1:5">
      <c r="A122" t="s">
        <v>162</v>
      </c>
      <c r="B122">
        <v>30.84544</v>
      </c>
      <c r="C122">
        <v>56.644720000000099</v>
      </c>
      <c r="D122">
        <v>9.9412000000000198</v>
      </c>
      <c r="E122">
        <v>2.5686399999999998</v>
      </c>
    </row>
    <row r="123" spans="1:5">
      <c r="A123" t="s">
        <v>157</v>
      </c>
      <c r="B123">
        <v>27.56448</v>
      </c>
      <c r="C123">
        <v>57.442400000000099</v>
      </c>
      <c r="D123">
        <v>13.09792</v>
      </c>
      <c r="E123">
        <v>1.89519999999999</v>
      </c>
    </row>
    <row r="124" spans="1:5">
      <c r="A124" t="s">
        <v>790</v>
      </c>
      <c r="B124">
        <v>37.636400000000101</v>
      </c>
      <c r="C124">
        <v>36.066080000000099</v>
      </c>
      <c r="D124">
        <v>22.892399999999999</v>
      </c>
      <c r="E124">
        <v>3.4051200000000099</v>
      </c>
    </row>
    <row r="125" spans="1:5">
      <c r="A125" t="s">
        <v>791</v>
      </c>
      <c r="B125">
        <v>42.74624</v>
      </c>
      <c r="C125">
        <v>36.274479999999997</v>
      </c>
      <c r="D125">
        <v>10.93512</v>
      </c>
      <c r="E125">
        <v>10.04416</v>
      </c>
    </row>
    <row r="126" spans="1:5">
      <c r="A126" t="s">
        <v>161</v>
      </c>
      <c r="B126">
        <v>41.505519999999997</v>
      </c>
      <c r="C126">
        <v>40.670560000000002</v>
      </c>
      <c r="D126">
        <v>14.082560000000001</v>
      </c>
      <c r="E126">
        <v>3.7413599999999998</v>
      </c>
    </row>
    <row r="127" spans="1:5">
      <c r="A127" t="s">
        <v>163</v>
      </c>
      <c r="B127">
        <v>40.2569599999999</v>
      </c>
      <c r="C127">
        <v>32.859919999999903</v>
      </c>
      <c r="D127">
        <v>22.99408</v>
      </c>
      <c r="E127">
        <v>3.8890400000000001</v>
      </c>
    </row>
    <row r="128" spans="1:5">
      <c r="A128" t="s">
        <v>164</v>
      </c>
      <c r="B128">
        <v>43.4620800000001</v>
      </c>
      <c r="C128">
        <v>33.607199999999899</v>
      </c>
      <c r="D128">
        <v>19.28744</v>
      </c>
      <c r="E128">
        <v>3.6432800000000101</v>
      </c>
    </row>
    <row r="129" spans="1:5">
      <c r="A129" t="s">
        <v>165</v>
      </c>
      <c r="B129">
        <v>5.8895200000000001</v>
      </c>
      <c r="C129">
        <v>47.481360000000002</v>
      </c>
      <c r="D129">
        <v>42.9035200000001</v>
      </c>
      <c r="E129">
        <v>3.7255999999999898</v>
      </c>
    </row>
    <row r="130" spans="1:5">
      <c r="A130" t="s">
        <v>792</v>
      </c>
      <c r="B130">
        <v>28.113280000000099</v>
      </c>
      <c r="C130">
        <v>58.402479999999997</v>
      </c>
      <c r="D130">
        <v>10.40432</v>
      </c>
      <c r="E130">
        <v>3.0799199999999902</v>
      </c>
    </row>
    <row r="131" spans="1:5">
      <c r="A131" t="s">
        <v>168</v>
      </c>
      <c r="B131">
        <v>29.834</v>
      </c>
      <c r="C131">
        <v>59.29712</v>
      </c>
      <c r="D131">
        <v>9.2902400000000007</v>
      </c>
      <c r="E131">
        <v>1.5786399999999901</v>
      </c>
    </row>
    <row r="132" spans="1:5">
      <c r="A132" t="s">
        <v>793</v>
      </c>
      <c r="B132">
        <v>32.839120000000001</v>
      </c>
      <c r="C132">
        <v>62.474400000000102</v>
      </c>
      <c r="D132">
        <v>0.79536000000000096</v>
      </c>
      <c r="E132">
        <v>3.8911199999999999</v>
      </c>
    </row>
    <row r="133" spans="1:5">
      <c r="A133" t="s">
        <v>170</v>
      </c>
      <c r="B133">
        <v>45.481920000000102</v>
      </c>
      <c r="C133">
        <v>33.26</v>
      </c>
      <c r="D133">
        <v>6.5515999999999996</v>
      </c>
      <c r="E133">
        <v>14.706480000000001</v>
      </c>
    </row>
    <row r="134" spans="1:5">
      <c r="A134" t="s">
        <v>152</v>
      </c>
      <c r="B134">
        <v>46.593600000000002</v>
      </c>
      <c r="C134">
        <v>31.315199999999901</v>
      </c>
      <c r="D134">
        <v>17.255600000000001</v>
      </c>
      <c r="E134">
        <v>4.8355999999999897</v>
      </c>
    </row>
    <row r="135" spans="1:5">
      <c r="A135" t="s">
        <v>171</v>
      </c>
      <c r="B135">
        <v>35.853440000000099</v>
      </c>
      <c r="C135">
        <v>58.129440000000002</v>
      </c>
      <c r="D135">
        <v>2.4787999999999899</v>
      </c>
      <c r="E135">
        <v>3.5383200000000001</v>
      </c>
    </row>
    <row r="136" spans="1:5">
      <c r="A136" t="s">
        <v>172</v>
      </c>
      <c r="B136">
        <v>49.224800000000101</v>
      </c>
      <c r="C136">
        <v>31.120239999999999</v>
      </c>
      <c r="D136">
        <v>16.28256</v>
      </c>
      <c r="E136">
        <v>3.3723999999999998</v>
      </c>
    </row>
    <row r="137" spans="1:5">
      <c r="A137" t="s">
        <v>173</v>
      </c>
      <c r="B137">
        <v>38.375680000000003</v>
      </c>
      <c r="C137">
        <v>31.614879999999999</v>
      </c>
      <c r="D137">
        <v>27.2956</v>
      </c>
      <c r="E137">
        <v>2.7138399999999998</v>
      </c>
    </row>
    <row r="138" spans="1:5">
      <c r="A138" t="s">
        <v>794</v>
      </c>
      <c r="B138">
        <v>31.213520000000099</v>
      </c>
      <c r="C138">
        <v>60.447280000000198</v>
      </c>
      <c r="D138">
        <v>5.2965600000000199</v>
      </c>
      <c r="E138">
        <v>3.04264</v>
      </c>
    </row>
    <row r="139" spans="1:5">
      <c r="A139" t="s">
        <v>795</v>
      </c>
      <c r="B139">
        <v>29.438960000000002</v>
      </c>
      <c r="C139">
        <v>55.181440000000102</v>
      </c>
      <c r="D139">
        <v>11.038399999999999</v>
      </c>
      <c r="E139">
        <v>4.3411999999999997</v>
      </c>
    </row>
    <row r="140" spans="1:5">
      <c r="A140" t="s">
        <v>796</v>
      </c>
      <c r="B140">
        <v>23.79664</v>
      </c>
      <c r="C140">
        <v>61.2347999999999</v>
      </c>
      <c r="D140">
        <v>14.366720000000001</v>
      </c>
      <c r="E140">
        <v>0.60184000000001003</v>
      </c>
    </row>
    <row r="141" spans="1:5">
      <c r="A141" t="s">
        <v>176</v>
      </c>
      <c r="B141">
        <v>44.743279999999899</v>
      </c>
      <c r="C141">
        <v>34.118879999999997</v>
      </c>
      <c r="D141">
        <v>16.71416</v>
      </c>
      <c r="E141">
        <v>4.4236800000000001</v>
      </c>
    </row>
    <row r="142" spans="1:5">
      <c r="A142" t="s">
        <v>180</v>
      </c>
      <c r="B142">
        <v>40.008960000000002</v>
      </c>
      <c r="C142">
        <v>45.938960000000101</v>
      </c>
      <c r="D142">
        <v>10.253439999999999</v>
      </c>
      <c r="E142">
        <v>3.79863999999999</v>
      </c>
    </row>
    <row r="143" spans="1:5">
      <c r="A143" t="s">
        <v>182</v>
      </c>
      <c r="B143">
        <v>22.94144</v>
      </c>
      <c r="C143">
        <v>58.942479999999897</v>
      </c>
      <c r="D143">
        <v>11.818960000000001</v>
      </c>
      <c r="E143">
        <v>6.2971199999999898</v>
      </c>
    </row>
    <row r="144" spans="1:5">
      <c r="A144" t="s">
        <v>797</v>
      </c>
      <c r="B144">
        <v>41.421039999999998</v>
      </c>
      <c r="C144">
        <v>42.9819999999999</v>
      </c>
      <c r="D144">
        <v>11.874879999999999</v>
      </c>
      <c r="E144">
        <v>3.7220800000000001</v>
      </c>
    </row>
    <row r="145" spans="1:5">
      <c r="A145" t="s">
        <v>798</v>
      </c>
      <c r="B145">
        <v>50.852240000000002</v>
      </c>
      <c r="C145">
        <v>28.42736</v>
      </c>
      <c r="D145">
        <v>15.557040000000001</v>
      </c>
      <c r="E145">
        <v>5.1633599999999999</v>
      </c>
    </row>
    <row r="146" spans="1:5">
      <c r="A146" t="s">
        <v>187</v>
      </c>
      <c r="B146">
        <v>15.18088</v>
      </c>
      <c r="C146">
        <v>30.510960000000001</v>
      </c>
      <c r="D146">
        <v>53.532159999999998</v>
      </c>
      <c r="E146">
        <v>0.77600000000000802</v>
      </c>
    </row>
    <row r="147" spans="1:5">
      <c r="A147" t="s">
        <v>799</v>
      </c>
      <c r="B147">
        <v>28.774560000000001</v>
      </c>
      <c r="C147">
        <v>30.941839999999999</v>
      </c>
      <c r="D147">
        <v>37.242080000000001</v>
      </c>
      <c r="E147">
        <v>3.04152000000001</v>
      </c>
    </row>
    <row r="148" spans="1:5">
      <c r="A148" t="s">
        <v>800</v>
      </c>
      <c r="B148">
        <v>23.724319999999899</v>
      </c>
      <c r="C148">
        <v>32.523600000000101</v>
      </c>
      <c r="D148">
        <v>40.789680000000097</v>
      </c>
      <c r="E148">
        <v>2.9624000000000099</v>
      </c>
    </row>
    <row r="149" spans="1:5">
      <c r="A149" t="s">
        <v>801</v>
      </c>
      <c r="B149">
        <v>31.611840000000001</v>
      </c>
      <c r="C149">
        <v>42.309199999999898</v>
      </c>
      <c r="D149">
        <v>22.128160000000001</v>
      </c>
      <c r="E149">
        <v>3.9508000000000001</v>
      </c>
    </row>
    <row r="150" spans="1:5">
      <c r="A150" t="s">
        <v>193</v>
      </c>
      <c r="B150">
        <v>46.106640000000098</v>
      </c>
      <c r="C150">
        <v>32.77064</v>
      </c>
      <c r="D150">
        <v>17.483040000000099</v>
      </c>
      <c r="E150">
        <v>3.63968000000001</v>
      </c>
    </row>
    <row r="151" spans="1:5">
      <c r="A151" t="s">
        <v>802</v>
      </c>
      <c r="B151">
        <v>41.632080000000101</v>
      </c>
      <c r="C151">
        <v>36.817519999999902</v>
      </c>
      <c r="D151">
        <v>18.740080000000098</v>
      </c>
      <c r="E151">
        <v>2.8103199999999999</v>
      </c>
    </row>
    <row r="152" spans="1:5">
      <c r="A152" t="s">
        <v>803</v>
      </c>
      <c r="B152">
        <v>46.240160000000103</v>
      </c>
      <c r="C152">
        <v>39.879040000000103</v>
      </c>
      <c r="D152">
        <v>9.0859999999999896</v>
      </c>
      <c r="E152">
        <v>4.7948000000000004</v>
      </c>
    </row>
    <row r="153" spans="1:5">
      <c r="A153" t="s">
        <v>196</v>
      </c>
      <c r="B153">
        <v>34.564720000000101</v>
      </c>
      <c r="C153">
        <v>44.298639999999899</v>
      </c>
      <c r="D153">
        <v>18.351600000000001</v>
      </c>
      <c r="E153">
        <v>2.7850400000000102</v>
      </c>
    </row>
    <row r="154" spans="1:5">
      <c r="A154" t="s">
        <v>188</v>
      </c>
      <c r="B154">
        <v>42.434959999999997</v>
      </c>
      <c r="C154">
        <v>48.704480000000103</v>
      </c>
      <c r="D154">
        <v>5.8824800000000304</v>
      </c>
      <c r="E154">
        <v>2.9780799999999998</v>
      </c>
    </row>
    <row r="155" spans="1:5">
      <c r="A155" t="s">
        <v>804</v>
      </c>
      <c r="B155">
        <v>27.531680000000001</v>
      </c>
      <c r="C155">
        <v>53.12</v>
      </c>
      <c r="D155">
        <v>14.9216</v>
      </c>
      <c r="E155">
        <v>4.42672000000002</v>
      </c>
    </row>
    <row r="156" spans="1:5">
      <c r="A156" t="s">
        <v>805</v>
      </c>
      <c r="B156">
        <v>28.213120000000099</v>
      </c>
      <c r="C156">
        <v>49.841759999999901</v>
      </c>
      <c r="D156">
        <v>17.10464</v>
      </c>
      <c r="E156">
        <v>4.8404799999999897</v>
      </c>
    </row>
    <row r="157" spans="1:5">
      <c r="A157" t="s">
        <v>806</v>
      </c>
      <c r="B157">
        <v>41.842639999999903</v>
      </c>
      <c r="C157">
        <v>40.978879999999997</v>
      </c>
      <c r="D157">
        <v>13.33872</v>
      </c>
      <c r="E157">
        <v>3.8397599999999898</v>
      </c>
    </row>
    <row r="158" spans="1:5">
      <c r="A158" t="s">
        <v>807</v>
      </c>
      <c r="B158">
        <v>38.627839999999999</v>
      </c>
      <c r="C158">
        <v>36.291520000000098</v>
      </c>
      <c r="D158">
        <v>20.827279999999998</v>
      </c>
      <c r="E158">
        <v>4.2533599999999998</v>
      </c>
    </row>
    <row r="159" spans="1:5">
      <c r="A159" t="s">
        <v>203</v>
      </c>
      <c r="B159">
        <v>48.443200000000203</v>
      </c>
      <c r="C159">
        <v>31.794719999999899</v>
      </c>
      <c r="D159">
        <v>16.061039999999998</v>
      </c>
      <c r="E159">
        <v>3.7010399999999999</v>
      </c>
    </row>
    <row r="160" spans="1:5">
      <c r="A160" t="s">
        <v>808</v>
      </c>
      <c r="B160">
        <v>51.1936800000001</v>
      </c>
      <c r="C160">
        <v>31.980720000000002</v>
      </c>
      <c r="D160">
        <v>11.686640000000001</v>
      </c>
      <c r="E160">
        <v>5.13896</v>
      </c>
    </row>
    <row r="161" spans="1:5">
      <c r="A161" t="s">
        <v>205</v>
      </c>
      <c r="B161">
        <v>51.625040000000098</v>
      </c>
      <c r="C161">
        <v>31.346400000000099</v>
      </c>
      <c r="D161">
        <v>11.83216</v>
      </c>
      <c r="E161">
        <v>5.1963999999999997</v>
      </c>
    </row>
    <row r="162" spans="1:5">
      <c r="A162" t="s">
        <v>207</v>
      </c>
      <c r="B162">
        <v>26.083599999999901</v>
      </c>
      <c r="C162">
        <v>29.247679999999999</v>
      </c>
      <c r="D162">
        <v>41.309040000000103</v>
      </c>
      <c r="E162">
        <v>3.3596800000000102</v>
      </c>
    </row>
    <row r="163" spans="1:5">
      <c r="A163" t="s">
        <v>809</v>
      </c>
      <c r="B163">
        <v>26.791279999999901</v>
      </c>
      <c r="C163">
        <v>52.503839999999798</v>
      </c>
      <c r="D163">
        <v>16.27544</v>
      </c>
      <c r="E163">
        <v>4.4294400000000103</v>
      </c>
    </row>
    <row r="164" spans="1:5">
      <c r="A164" t="s">
        <v>209</v>
      </c>
      <c r="B164">
        <v>35.100479999999997</v>
      </c>
      <c r="C164">
        <v>44.479519999999901</v>
      </c>
      <c r="D164">
        <v>17.379919999999998</v>
      </c>
      <c r="E164">
        <v>3.0400800000000099</v>
      </c>
    </row>
    <row r="165" spans="1:5">
      <c r="A165" t="s">
        <v>210</v>
      </c>
      <c r="B165">
        <v>36.2379999999999</v>
      </c>
      <c r="C165">
        <v>51.877600000000001</v>
      </c>
      <c r="D165">
        <v>8.9140000000000104</v>
      </c>
      <c r="E165">
        <v>2.9704000000000002</v>
      </c>
    </row>
    <row r="166" spans="1:5">
      <c r="A166" t="s">
        <v>810</v>
      </c>
      <c r="B166">
        <v>24.0676799999999</v>
      </c>
      <c r="C166">
        <v>57.947679999999998</v>
      </c>
      <c r="D166">
        <v>15.153359999999999</v>
      </c>
      <c r="E166">
        <v>2.83128</v>
      </c>
    </row>
    <row r="167" spans="1:5">
      <c r="A167" t="s">
        <v>811</v>
      </c>
      <c r="B167">
        <v>31.485199999999899</v>
      </c>
      <c r="C167">
        <v>56.8575200000001</v>
      </c>
      <c r="D167">
        <v>8.3607200000000006</v>
      </c>
      <c r="E167">
        <v>3.2965599999999999</v>
      </c>
    </row>
    <row r="168" spans="1:5">
      <c r="A168" t="s">
        <v>212</v>
      </c>
      <c r="B168">
        <v>42.615519999999997</v>
      </c>
      <c r="C168">
        <v>41.6058400000001</v>
      </c>
      <c r="D168">
        <v>11.62528</v>
      </c>
      <c r="E168">
        <v>4.1533599999999904</v>
      </c>
    </row>
    <row r="169" spans="1:5">
      <c r="A169" t="s">
        <v>215</v>
      </c>
      <c r="B169">
        <v>27.114320000000099</v>
      </c>
      <c r="C169">
        <v>57.869840000000103</v>
      </c>
      <c r="D169">
        <v>12.422800000000001</v>
      </c>
      <c r="E169">
        <v>2.5930399999999998</v>
      </c>
    </row>
    <row r="170" spans="1:5">
      <c r="A170" t="s">
        <v>812</v>
      </c>
      <c r="B170">
        <v>28.968320000000102</v>
      </c>
      <c r="C170">
        <v>57.370799999999797</v>
      </c>
      <c r="D170">
        <v>11.189679999999999</v>
      </c>
      <c r="E170">
        <v>2.4712000000000001</v>
      </c>
    </row>
    <row r="171" spans="1:5">
      <c r="A171" t="s">
        <v>813</v>
      </c>
      <c r="B171">
        <v>31.9268</v>
      </c>
      <c r="C171">
        <v>55.503120000000003</v>
      </c>
      <c r="D171">
        <v>9.5986399999999996</v>
      </c>
      <c r="E171">
        <v>2.9714400000000101</v>
      </c>
    </row>
    <row r="172" spans="1:5">
      <c r="A172" t="s">
        <v>814</v>
      </c>
      <c r="B172">
        <v>32.310560000000102</v>
      </c>
      <c r="C172">
        <v>57.925839999999901</v>
      </c>
      <c r="D172">
        <v>6.3810400000000103</v>
      </c>
      <c r="E172">
        <v>3.38255999999999</v>
      </c>
    </row>
    <row r="173" spans="1:5">
      <c r="A173" t="s">
        <v>219</v>
      </c>
      <c r="B173">
        <v>22.941120000000002</v>
      </c>
      <c r="C173">
        <v>57.910880000000098</v>
      </c>
      <c r="D173">
        <v>16.851199999999999</v>
      </c>
      <c r="E173">
        <v>2.2968000000000099</v>
      </c>
    </row>
    <row r="174" spans="1:5">
      <c r="A174" t="s">
        <v>815</v>
      </c>
      <c r="B174">
        <v>31.456240000000001</v>
      </c>
      <c r="C174">
        <v>55.902720000000002</v>
      </c>
      <c r="D174">
        <v>8.6982400000000109</v>
      </c>
      <c r="E174">
        <v>3.9428000000000099</v>
      </c>
    </row>
    <row r="175" spans="1:5">
      <c r="A175" t="s">
        <v>220</v>
      </c>
      <c r="B175">
        <v>43.509039999999999</v>
      </c>
      <c r="C175">
        <v>40.492240000000102</v>
      </c>
      <c r="D175">
        <v>11.66896</v>
      </c>
      <c r="E175">
        <v>4.32976000000001</v>
      </c>
    </row>
    <row r="176" spans="1:5">
      <c r="A176" t="s">
        <v>221</v>
      </c>
      <c r="B176">
        <v>40.314880000000002</v>
      </c>
      <c r="C176">
        <v>47.12424</v>
      </c>
      <c r="D176">
        <v>7.7929599999999999</v>
      </c>
      <c r="E176">
        <v>4.7679199999999904</v>
      </c>
    </row>
    <row r="177" spans="1:5">
      <c r="A177" t="s">
        <v>222</v>
      </c>
      <c r="B177">
        <v>30.568719999999999</v>
      </c>
      <c r="C177">
        <v>31.254159999999999</v>
      </c>
      <c r="D177">
        <v>35.491119999999903</v>
      </c>
      <c r="E177">
        <v>2.6859999999999999</v>
      </c>
    </row>
    <row r="178" spans="1:5">
      <c r="A178" t="s">
        <v>223</v>
      </c>
      <c r="B178">
        <v>42.47392</v>
      </c>
      <c r="C178">
        <v>36.0872799999999</v>
      </c>
      <c r="D178">
        <v>17.2880000000001</v>
      </c>
      <c r="E178">
        <v>4.15080000000001</v>
      </c>
    </row>
    <row r="179" spans="1:5">
      <c r="A179" t="s">
        <v>595</v>
      </c>
      <c r="B179">
        <v>49.858400000000003</v>
      </c>
      <c r="C179">
        <v>32.038160000000097</v>
      </c>
      <c r="D179">
        <v>13.29912</v>
      </c>
      <c r="E179">
        <v>4.8043199999999899</v>
      </c>
    </row>
    <row r="180" spans="1:5">
      <c r="A180" t="s">
        <v>816</v>
      </c>
      <c r="B180">
        <v>17.474559999999901</v>
      </c>
      <c r="C180">
        <v>35.6707999999999</v>
      </c>
      <c r="D180">
        <v>43.914159999999903</v>
      </c>
      <c r="E180">
        <v>2.94048000000002</v>
      </c>
    </row>
    <row r="181" spans="1:5">
      <c r="A181" t="s">
        <v>817</v>
      </c>
      <c r="B181">
        <v>25.8534399999999</v>
      </c>
      <c r="C181">
        <v>56.857040000000197</v>
      </c>
      <c r="D181">
        <v>11.10904</v>
      </c>
      <c r="E181">
        <v>6.1804800000000197</v>
      </c>
    </row>
    <row r="182" spans="1:5">
      <c r="A182" t="s">
        <v>226</v>
      </c>
      <c r="B182">
        <v>44.5020799999999</v>
      </c>
      <c r="C182">
        <v>36.577919999999899</v>
      </c>
      <c r="D182">
        <v>14.05672</v>
      </c>
      <c r="E182">
        <v>4.8632799999999801</v>
      </c>
    </row>
    <row r="183" spans="1:5">
      <c r="A183" t="s">
        <v>227</v>
      </c>
      <c r="B183">
        <v>39.072640000000099</v>
      </c>
      <c r="C183">
        <v>47.865679999999898</v>
      </c>
      <c r="D183">
        <v>9.07880000000001</v>
      </c>
      <c r="E183">
        <v>3.98288000000001</v>
      </c>
    </row>
    <row r="184" spans="1:5">
      <c r="A184" t="s">
        <v>239</v>
      </c>
      <c r="B184">
        <v>41.616079999999997</v>
      </c>
      <c r="C184">
        <v>44.361199999999997</v>
      </c>
      <c r="D184">
        <v>10.67456</v>
      </c>
      <c r="E184">
        <v>3.34816</v>
      </c>
    </row>
    <row r="185" spans="1:5">
      <c r="A185" t="s">
        <v>609</v>
      </c>
      <c r="B185">
        <v>36.782400000000003</v>
      </c>
      <c r="C185">
        <v>30.071280000000002</v>
      </c>
      <c r="D185">
        <v>29.3485599999999</v>
      </c>
      <c r="E185">
        <v>3.7977599999999798</v>
      </c>
    </row>
    <row r="186" spans="1:5">
      <c r="A186" t="s">
        <v>228</v>
      </c>
      <c r="B186">
        <v>16.66536</v>
      </c>
      <c r="C186">
        <v>33.4510399999999</v>
      </c>
      <c r="D186">
        <v>44.569279999999999</v>
      </c>
      <c r="E186">
        <v>5.3143200000000101</v>
      </c>
    </row>
    <row r="187" spans="1:5">
      <c r="A187" t="s">
        <v>229</v>
      </c>
      <c r="B187">
        <v>37.658559999999902</v>
      </c>
      <c r="C187">
        <v>51.319600000000001</v>
      </c>
      <c r="D187">
        <v>7.8156800000000297</v>
      </c>
      <c r="E187">
        <v>3.2061600000000001</v>
      </c>
    </row>
    <row r="188" spans="1:5">
      <c r="A188" t="s">
        <v>233</v>
      </c>
      <c r="B188">
        <v>28.492160000000101</v>
      </c>
      <c r="C188">
        <v>56.206800000000101</v>
      </c>
      <c r="D188">
        <v>12.00656</v>
      </c>
      <c r="E188">
        <v>3.2944800000000001</v>
      </c>
    </row>
    <row r="189" spans="1:5">
      <c r="A189" t="s">
        <v>818</v>
      </c>
      <c r="B189">
        <v>22.753200000000099</v>
      </c>
      <c r="C189">
        <v>49.620800000000003</v>
      </c>
      <c r="D189">
        <v>22.278960000000001</v>
      </c>
      <c r="E189">
        <v>5.3470400000000096</v>
      </c>
    </row>
    <row r="190" spans="1:5">
      <c r="A190" t="s">
        <v>234</v>
      </c>
      <c r="B190">
        <v>37.176559999999903</v>
      </c>
      <c r="C190">
        <v>44.875680000000102</v>
      </c>
      <c r="D190">
        <v>13.634080000000001</v>
      </c>
      <c r="E190">
        <v>4.3136800000000104</v>
      </c>
    </row>
    <row r="191" spans="1:5">
      <c r="A191" t="s">
        <v>819</v>
      </c>
      <c r="B191">
        <v>50.320239999999998</v>
      </c>
      <c r="C191">
        <v>27.2797599999999</v>
      </c>
      <c r="D191">
        <v>17.635919999999999</v>
      </c>
      <c r="E191">
        <v>4.7640799999999901</v>
      </c>
    </row>
    <row r="192" spans="1:5">
      <c r="A192" t="s">
        <v>820</v>
      </c>
      <c r="B192">
        <v>7.2549599999999996</v>
      </c>
      <c r="C192">
        <v>52.675359999999898</v>
      </c>
      <c r="D192">
        <v>36.4219200000001</v>
      </c>
      <c r="E192">
        <v>3.6477599999999901</v>
      </c>
    </row>
    <row r="193" spans="1:5">
      <c r="A193" t="s">
        <v>237</v>
      </c>
      <c r="B193">
        <v>43.501359999999899</v>
      </c>
      <c r="C193">
        <v>33.588160000000101</v>
      </c>
      <c r="D193">
        <v>14.49248</v>
      </c>
      <c r="E193">
        <v>8.4180000000000295</v>
      </c>
    </row>
    <row r="194" spans="1:5">
      <c r="A194" t="s">
        <v>821</v>
      </c>
      <c r="B194">
        <v>41.611120000000099</v>
      </c>
      <c r="C194">
        <v>38.720639999999896</v>
      </c>
      <c r="D194">
        <v>14.845280000000001</v>
      </c>
      <c r="E194">
        <v>4.8229600000000001</v>
      </c>
    </row>
    <row r="195" spans="1:5">
      <c r="A195" t="s">
        <v>240</v>
      </c>
      <c r="B195">
        <v>40.874799999999901</v>
      </c>
      <c r="C195">
        <v>36.785200000000103</v>
      </c>
      <c r="D195">
        <v>18.443200000000001</v>
      </c>
      <c r="E195">
        <v>3.8967999999999998</v>
      </c>
    </row>
    <row r="196" spans="1:5">
      <c r="A196" t="s">
        <v>241</v>
      </c>
      <c r="B196">
        <v>31.522879999999901</v>
      </c>
      <c r="C196">
        <v>56.16704</v>
      </c>
      <c r="D196">
        <v>7.5127200000000096</v>
      </c>
      <c r="E196">
        <v>4.7973599999999896</v>
      </c>
    </row>
    <row r="197" spans="1:5">
      <c r="A197" t="s">
        <v>242</v>
      </c>
      <c r="B197">
        <v>54.357999999999898</v>
      </c>
      <c r="C197">
        <v>34.671120000000002</v>
      </c>
      <c r="D197">
        <v>8.6028000000000002</v>
      </c>
      <c r="E197">
        <v>2.36808</v>
      </c>
    </row>
    <row r="198" spans="1:5">
      <c r="A198" t="s">
        <v>243</v>
      </c>
      <c r="B198">
        <v>28.89264</v>
      </c>
      <c r="C198">
        <v>58.190079999999902</v>
      </c>
      <c r="D198">
        <v>8.8498399999999702</v>
      </c>
      <c r="E198">
        <v>4.0674400000000004</v>
      </c>
    </row>
    <row r="199" spans="1:5">
      <c r="A199" t="s">
        <v>822</v>
      </c>
      <c r="B199">
        <v>54.306479999999901</v>
      </c>
      <c r="C199">
        <v>34.180160000000001</v>
      </c>
      <c r="D199">
        <v>7.0949600000000101</v>
      </c>
      <c r="E199">
        <v>4.4184000000000001</v>
      </c>
    </row>
    <row r="200" spans="1:5">
      <c r="A200" t="s">
        <v>823</v>
      </c>
      <c r="B200">
        <v>40.051520000000103</v>
      </c>
      <c r="C200">
        <v>38.084000000000003</v>
      </c>
      <c r="D200">
        <v>17.839040000000001</v>
      </c>
      <c r="E200">
        <v>4.0254399999999997</v>
      </c>
    </row>
    <row r="201" spans="1:5">
      <c r="A201" t="s">
        <v>824</v>
      </c>
      <c r="B201">
        <v>23.912560000000099</v>
      </c>
      <c r="C201">
        <v>58.013679999999901</v>
      </c>
      <c r="D201">
        <v>13.24912</v>
      </c>
      <c r="E201">
        <v>4.8246400000000103</v>
      </c>
    </row>
    <row r="202" spans="1:5">
      <c r="A202" t="s">
        <v>247</v>
      </c>
      <c r="B202">
        <v>43.295119999999997</v>
      </c>
      <c r="C202">
        <v>31.602319999999999</v>
      </c>
      <c r="D202">
        <v>22.264959999999999</v>
      </c>
      <c r="E202">
        <v>2.8376000000000001</v>
      </c>
    </row>
    <row r="203" spans="1:5">
      <c r="A203" t="s">
        <v>825</v>
      </c>
      <c r="B203">
        <v>27.754640000000101</v>
      </c>
      <c r="C203">
        <v>41.952159999999999</v>
      </c>
      <c r="D203">
        <v>28.011600000000001</v>
      </c>
      <c r="E203">
        <v>2.2816000000000098</v>
      </c>
    </row>
    <row r="204" spans="1:5">
      <c r="A204" t="s">
        <v>826</v>
      </c>
      <c r="B204">
        <v>25.63</v>
      </c>
      <c r="C204">
        <v>65.354319999999902</v>
      </c>
      <c r="D204">
        <v>6.4411200000000202</v>
      </c>
      <c r="E204">
        <v>2.5745600000000102</v>
      </c>
    </row>
    <row r="205" spans="1:5">
      <c r="A205" t="s">
        <v>827</v>
      </c>
      <c r="B205">
        <v>24.168880000000001</v>
      </c>
      <c r="C205">
        <v>53.581359999999997</v>
      </c>
      <c r="D205">
        <v>19.383119999999899</v>
      </c>
      <c r="E205">
        <v>2.8666399999999901</v>
      </c>
    </row>
    <row r="206" spans="1:5">
      <c r="A206" t="s">
        <v>252</v>
      </c>
      <c r="B206">
        <v>26.382719999999999</v>
      </c>
      <c r="C206">
        <v>55.916000000000103</v>
      </c>
      <c r="D206">
        <v>15.255039999999999</v>
      </c>
      <c r="E206">
        <v>2.4462400000000102</v>
      </c>
    </row>
    <row r="207" spans="1:5">
      <c r="A207" t="s">
        <v>828</v>
      </c>
      <c r="B207">
        <v>25.25104</v>
      </c>
      <c r="C207">
        <v>50.397599999999997</v>
      </c>
      <c r="D207">
        <v>22.474799999999998</v>
      </c>
      <c r="E207">
        <v>1.87655999999999</v>
      </c>
    </row>
    <row r="208" spans="1:5">
      <c r="A208" t="s">
        <v>254</v>
      </c>
      <c r="B208">
        <v>23.184240000000099</v>
      </c>
      <c r="C208">
        <v>54.585520000000002</v>
      </c>
      <c r="D208">
        <v>19.5461600000001</v>
      </c>
      <c r="E208">
        <v>2.68408000000001</v>
      </c>
    </row>
    <row r="209" spans="1:5">
      <c r="A209" t="s">
        <v>256</v>
      </c>
      <c r="B209">
        <v>23.227599999999999</v>
      </c>
      <c r="C209">
        <v>50.476560000000099</v>
      </c>
      <c r="D209">
        <v>21.943840000000002</v>
      </c>
      <c r="E209">
        <v>4.3520000000000003</v>
      </c>
    </row>
    <row r="210" spans="1:5">
      <c r="A210" t="s">
        <v>829</v>
      </c>
      <c r="B210">
        <v>41.495840000000101</v>
      </c>
      <c r="C210">
        <v>39.117600000000103</v>
      </c>
      <c r="D210">
        <v>12.746639999999999</v>
      </c>
      <c r="E210">
        <v>6.63992</v>
      </c>
    </row>
    <row r="211" spans="1:5">
      <c r="A211" t="s">
        <v>830</v>
      </c>
      <c r="B211">
        <v>40.591279999999898</v>
      </c>
      <c r="C211">
        <v>39.524720000000201</v>
      </c>
      <c r="D211">
        <v>13.809760000000001</v>
      </c>
      <c r="E211">
        <v>6.0742399999999996</v>
      </c>
    </row>
    <row r="212" spans="1:5">
      <c r="A212" t="s">
        <v>259</v>
      </c>
      <c r="B212">
        <v>12.54528</v>
      </c>
      <c r="C212">
        <v>44.043280000000003</v>
      </c>
      <c r="D212">
        <v>38.857840000000003</v>
      </c>
      <c r="E212">
        <v>4.5536000000000003</v>
      </c>
    </row>
    <row r="213" spans="1:5">
      <c r="A213" t="s">
        <v>831</v>
      </c>
      <c r="B213">
        <v>53.073920000000001</v>
      </c>
      <c r="C213">
        <v>33.459759999999903</v>
      </c>
      <c r="D213">
        <v>11.042719999999999</v>
      </c>
      <c r="E213">
        <v>2.4235999999999902</v>
      </c>
    </row>
    <row r="214" spans="1:5">
      <c r="A214" t="s">
        <v>832</v>
      </c>
      <c r="B214">
        <v>17.824400000000001</v>
      </c>
      <c r="C214">
        <v>40.050319999999999</v>
      </c>
      <c r="D214">
        <v>38.949679999999901</v>
      </c>
      <c r="E214">
        <v>3.17560000000001</v>
      </c>
    </row>
    <row r="215" spans="1:5">
      <c r="A215" t="s">
        <v>261</v>
      </c>
      <c r="B215">
        <v>48.2879199999999</v>
      </c>
      <c r="C215">
        <v>43.891199999999898</v>
      </c>
      <c r="D215">
        <v>5.0624799999999999</v>
      </c>
      <c r="E215">
        <v>2.7584</v>
      </c>
    </row>
    <row r="216" spans="1:5">
      <c r="A216" t="s">
        <v>833</v>
      </c>
      <c r="B216">
        <v>16.6140000000001</v>
      </c>
      <c r="C216">
        <v>43.438479999999998</v>
      </c>
      <c r="D216">
        <v>37.420319999999897</v>
      </c>
      <c r="E216">
        <v>2.5272000000000001</v>
      </c>
    </row>
    <row r="217" spans="1:5">
      <c r="A217" t="s">
        <v>834</v>
      </c>
      <c r="B217">
        <v>19.209119999999999</v>
      </c>
      <c r="C217">
        <v>38.389599999999902</v>
      </c>
      <c r="D217">
        <v>39.235999999999997</v>
      </c>
      <c r="E217">
        <v>3.1652800000000099</v>
      </c>
    </row>
    <row r="218" spans="1:5">
      <c r="A218" t="s">
        <v>835</v>
      </c>
      <c r="B218">
        <v>21.337039999999998</v>
      </c>
      <c r="C218">
        <v>37.694159999999997</v>
      </c>
      <c r="D218">
        <v>38.669440000000002</v>
      </c>
      <c r="E218">
        <v>2.2993600000000001</v>
      </c>
    </row>
    <row r="219" spans="1:5">
      <c r="A219" t="s">
        <v>265</v>
      </c>
      <c r="B219">
        <v>8.9169600000000102</v>
      </c>
      <c r="C219">
        <v>60.265840000000203</v>
      </c>
      <c r="D219">
        <v>25.259519999999998</v>
      </c>
      <c r="E219">
        <v>5.5576800000000004</v>
      </c>
    </row>
    <row r="220" spans="1:5">
      <c r="A220" t="s">
        <v>266</v>
      </c>
      <c r="B220">
        <v>5.8544799999999997</v>
      </c>
      <c r="C220">
        <v>38.952480000000001</v>
      </c>
      <c r="D220">
        <v>48.35136</v>
      </c>
      <c r="E220">
        <v>6.84168000000001</v>
      </c>
    </row>
    <row r="221" spans="1:5">
      <c r="A221" t="s">
        <v>267</v>
      </c>
      <c r="B221">
        <v>11.76792</v>
      </c>
      <c r="C221">
        <v>50.2094400000001</v>
      </c>
      <c r="D221">
        <v>32.978320000000103</v>
      </c>
      <c r="E221">
        <v>5.0443200000000097</v>
      </c>
    </row>
    <row r="222" spans="1:5">
      <c r="A222" t="s">
        <v>268</v>
      </c>
      <c r="B222">
        <v>41.714000000000098</v>
      </c>
      <c r="C222">
        <v>51.7370400000001</v>
      </c>
      <c r="D222">
        <v>4.2643999999999798</v>
      </c>
      <c r="E222">
        <v>2.2845599999999999</v>
      </c>
    </row>
    <row r="223" spans="1:5">
      <c r="A223" t="s">
        <v>836</v>
      </c>
      <c r="B223">
        <v>29.108160000000002</v>
      </c>
      <c r="C223">
        <v>55.770879999999998</v>
      </c>
      <c r="D223">
        <v>10.111599999999999</v>
      </c>
      <c r="E223">
        <v>5.00936</v>
      </c>
    </row>
    <row r="224" spans="1:5">
      <c r="A224" t="s">
        <v>837</v>
      </c>
      <c r="B224">
        <v>51.266240000000003</v>
      </c>
      <c r="C224">
        <v>33.883920000000003</v>
      </c>
      <c r="D224">
        <v>8.2061600000000006</v>
      </c>
      <c r="E224">
        <v>6.64367999999999</v>
      </c>
    </row>
    <row r="225" spans="1:5">
      <c r="A225" t="s">
        <v>838</v>
      </c>
      <c r="B225">
        <v>44.452479999999902</v>
      </c>
      <c r="C225">
        <v>36.975439999999899</v>
      </c>
      <c r="D225">
        <v>13.268560000000001</v>
      </c>
      <c r="E225">
        <v>5.3035200000000202</v>
      </c>
    </row>
    <row r="226" spans="1:5">
      <c r="A226" t="s">
        <v>839</v>
      </c>
      <c r="B226">
        <v>30.8328799999999</v>
      </c>
      <c r="C226">
        <v>61.020960000000102</v>
      </c>
      <c r="D226">
        <v>7.4043200000000198</v>
      </c>
      <c r="E226">
        <v>0.74184000000001005</v>
      </c>
    </row>
    <row r="227" spans="1:5">
      <c r="A227" t="s">
        <v>840</v>
      </c>
      <c r="B227">
        <v>25.622800000000002</v>
      </c>
      <c r="C227">
        <v>29.951680000000099</v>
      </c>
      <c r="D227">
        <v>41.075200000000201</v>
      </c>
      <c r="E227">
        <v>3.3503199999999902</v>
      </c>
    </row>
    <row r="228" spans="1:5">
      <c r="A228" t="s">
        <v>841</v>
      </c>
      <c r="B228">
        <v>23.52168</v>
      </c>
      <c r="C228">
        <v>27.86768</v>
      </c>
      <c r="D228">
        <v>45.488799999999998</v>
      </c>
      <c r="E228">
        <v>3.1218400000000002</v>
      </c>
    </row>
    <row r="229" spans="1:5">
      <c r="A229" t="s">
        <v>276</v>
      </c>
      <c r="B229">
        <v>37.785919999999898</v>
      </c>
      <c r="C229">
        <v>52.949840000000002</v>
      </c>
      <c r="D229">
        <v>6.6073600000000097</v>
      </c>
      <c r="E229">
        <v>2.6568800000000099</v>
      </c>
    </row>
    <row r="230" spans="1:5">
      <c r="A230" t="s">
        <v>842</v>
      </c>
      <c r="B230">
        <v>50.624960000000002</v>
      </c>
      <c r="C230">
        <v>31.724640000000001</v>
      </c>
      <c r="D230">
        <v>12.060639999999999</v>
      </c>
      <c r="E230">
        <v>5.5897599999999903</v>
      </c>
    </row>
    <row r="231" spans="1:5">
      <c r="A231" t="s">
        <v>843</v>
      </c>
      <c r="B231">
        <v>15.85248</v>
      </c>
      <c r="C231">
        <v>52.029519999999998</v>
      </c>
      <c r="D231">
        <v>29.00704</v>
      </c>
      <c r="E231">
        <v>3.1109599999999902</v>
      </c>
    </row>
    <row r="232" spans="1:5">
      <c r="A232" t="s">
        <v>277</v>
      </c>
      <c r="B232">
        <v>13.808</v>
      </c>
      <c r="C232">
        <v>65.6313600000002</v>
      </c>
      <c r="D232">
        <v>18.624320000000001</v>
      </c>
      <c r="E232">
        <v>1.93632</v>
      </c>
    </row>
    <row r="233" spans="1:5">
      <c r="A233" t="s">
        <v>844</v>
      </c>
      <c r="B233">
        <v>56.428880000000099</v>
      </c>
      <c r="C233">
        <v>21.178239999999999</v>
      </c>
      <c r="D233">
        <v>15.958399999999999</v>
      </c>
      <c r="E233">
        <v>6.4344800000000104</v>
      </c>
    </row>
    <row r="234" spans="1:5">
      <c r="A234" t="s">
        <v>281</v>
      </c>
      <c r="B234">
        <v>45.822000000000102</v>
      </c>
      <c r="C234">
        <v>46.364800000000002</v>
      </c>
      <c r="D234">
        <v>3.2331199999999898</v>
      </c>
      <c r="E234">
        <v>4.5800799999999997</v>
      </c>
    </row>
    <row r="235" spans="1:5">
      <c r="A235" t="s">
        <v>845</v>
      </c>
      <c r="B235">
        <v>18.045680000000001</v>
      </c>
      <c r="C235">
        <v>35.536560000000001</v>
      </c>
      <c r="D235">
        <v>43.438400000000101</v>
      </c>
      <c r="E235">
        <v>2.97935999999999</v>
      </c>
    </row>
    <row r="236" spans="1:5">
      <c r="A236" t="s">
        <v>283</v>
      </c>
      <c r="B236">
        <v>57.106640000000198</v>
      </c>
      <c r="C236">
        <v>21.712959999999999</v>
      </c>
      <c r="D236">
        <v>16.173760000000001</v>
      </c>
      <c r="E236">
        <v>5.00664</v>
      </c>
    </row>
    <row r="237" spans="1:5">
      <c r="A237" t="s">
        <v>846</v>
      </c>
      <c r="B237">
        <v>35.519919999999999</v>
      </c>
      <c r="C237">
        <v>33.717840000000002</v>
      </c>
      <c r="D237">
        <v>26.973119999999899</v>
      </c>
      <c r="E237">
        <v>3.78912</v>
      </c>
    </row>
    <row r="238" spans="1:5">
      <c r="A238" t="s">
        <v>847</v>
      </c>
      <c r="B238">
        <v>51.459360000000203</v>
      </c>
      <c r="C238">
        <v>23.550879999999999</v>
      </c>
      <c r="D238">
        <v>21.665679999999998</v>
      </c>
      <c r="E238">
        <v>3.3240799999999999</v>
      </c>
    </row>
    <row r="239" spans="1:5">
      <c r="A239" t="s">
        <v>848</v>
      </c>
      <c r="B239">
        <v>69.985680000000002</v>
      </c>
      <c r="C239">
        <v>21.853760000000001</v>
      </c>
      <c r="D239">
        <v>1.6821600000000001</v>
      </c>
      <c r="E239">
        <v>6.4783999999999997</v>
      </c>
    </row>
    <row r="240" spans="1:5">
      <c r="A240" t="s">
        <v>288</v>
      </c>
      <c r="B240">
        <v>64.073759999999893</v>
      </c>
      <c r="C240">
        <v>22.543280000000099</v>
      </c>
      <c r="D240">
        <v>9.6486399999999897</v>
      </c>
      <c r="E240">
        <v>3.7343200000000101</v>
      </c>
    </row>
    <row r="241" spans="1:5">
      <c r="A241" t="s">
        <v>849</v>
      </c>
      <c r="B241">
        <v>37.750720000000001</v>
      </c>
      <c r="C241">
        <v>57.855199999999897</v>
      </c>
      <c r="D241">
        <v>0.88527999999999996</v>
      </c>
      <c r="E241">
        <v>3.5087999999999999</v>
      </c>
    </row>
    <row r="242" spans="1:5">
      <c r="A242" t="s">
        <v>289</v>
      </c>
      <c r="B242">
        <v>59.069999999999901</v>
      </c>
      <c r="C242">
        <v>20.282879999999999</v>
      </c>
      <c r="D242">
        <v>16.452000000000002</v>
      </c>
      <c r="E242">
        <v>4.1951199999999904</v>
      </c>
    </row>
    <row r="243" spans="1:5">
      <c r="A243" t="s">
        <v>850</v>
      </c>
      <c r="B243">
        <v>16.67848</v>
      </c>
      <c r="C243">
        <v>39.664400000000199</v>
      </c>
      <c r="D243">
        <v>35.892239999999902</v>
      </c>
      <c r="E243">
        <v>7.7648799999999802</v>
      </c>
    </row>
    <row r="244" spans="1:5">
      <c r="A244" t="s">
        <v>851</v>
      </c>
      <c r="B244">
        <v>16.36392</v>
      </c>
      <c r="C244">
        <v>63.3106399999998</v>
      </c>
      <c r="D244">
        <v>17.786639999999998</v>
      </c>
      <c r="E244">
        <v>2.5388000000000002</v>
      </c>
    </row>
    <row r="245" spans="1:5">
      <c r="A245" t="s">
        <v>852</v>
      </c>
      <c r="B245">
        <v>38.881680000000003</v>
      </c>
      <c r="C245">
        <v>57.928800000000003</v>
      </c>
      <c r="D245">
        <v>0.44503999999999999</v>
      </c>
      <c r="E245">
        <v>2.7444799999999998</v>
      </c>
    </row>
    <row r="246" spans="1:5">
      <c r="A246" t="s">
        <v>853</v>
      </c>
      <c r="B246">
        <v>29.793680000000101</v>
      </c>
      <c r="C246">
        <v>64.257360000000205</v>
      </c>
      <c r="D246">
        <v>2.0601600000000002</v>
      </c>
      <c r="E246">
        <v>3.88880000000001</v>
      </c>
    </row>
    <row r="247" spans="1:5">
      <c r="A247" t="s">
        <v>854</v>
      </c>
      <c r="B247">
        <v>54.491840000000103</v>
      </c>
      <c r="C247">
        <v>21.810079999999999</v>
      </c>
      <c r="D247">
        <v>20.261680000000101</v>
      </c>
      <c r="E247">
        <v>3.4363999999999901</v>
      </c>
    </row>
    <row r="248" spans="1:5">
      <c r="A248" t="s">
        <v>855</v>
      </c>
      <c r="B248">
        <v>59.3460800000001</v>
      </c>
      <c r="C248">
        <v>24.362719999999999</v>
      </c>
      <c r="D248">
        <v>12.611359999999999</v>
      </c>
      <c r="E248">
        <v>3.67984</v>
      </c>
    </row>
    <row r="249" spans="1:5">
      <c r="A249" t="s">
        <v>856</v>
      </c>
      <c r="B249">
        <v>34.502000000000002</v>
      </c>
      <c r="C249">
        <v>23.7579999999999</v>
      </c>
      <c r="D249">
        <v>38.395760000000003</v>
      </c>
      <c r="E249">
        <v>3.3442400000000099</v>
      </c>
    </row>
    <row r="250" spans="1:5">
      <c r="A250" t="s">
        <v>857</v>
      </c>
      <c r="B250">
        <v>57.454879999999903</v>
      </c>
      <c r="C250">
        <v>22.523599999999998</v>
      </c>
      <c r="D250">
        <v>16.541920000000001</v>
      </c>
      <c r="E250">
        <v>3.4796</v>
      </c>
    </row>
    <row r="251" spans="1:5">
      <c r="A251" t="s">
        <v>858</v>
      </c>
      <c r="B251">
        <v>49.352559999999897</v>
      </c>
      <c r="C251">
        <v>22.18928</v>
      </c>
      <c r="D251">
        <v>24.905919999999998</v>
      </c>
      <c r="E251">
        <v>3.5522399999999998</v>
      </c>
    </row>
    <row r="252" spans="1:5">
      <c r="A252" t="s">
        <v>859</v>
      </c>
      <c r="B252">
        <v>51.100160000000102</v>
      </c>
      <c r="C252">
        <v>21.864319999999999</v>
      </c>
      <c r="D252">
        <v>23.97664</v>
      </c>
      <c r="E252">
        <v>3.0588799999999998</v>
      </c>
    </row>
    <row r="253" spans="1:5">
      <c r="A253" t="s">
        <v>860</v>
      </c>
      <c r="B253">
        <v>33.435679999999898</v>
      </c>
      <c r="C253">
        <v>35.100879999999997</v>
      </c>
      <c r="D253">
        <v>27.9439999999999</v>
      </c>
      <c r="E253">
        <v>3.5194399999999999</v>
      </c>
    </row>
    <row r="254" spans="1:5">
      <c r="A254" t="s">
        <v>861</v>
      </c>
      <c r="B254">
        <v>42.964239999999897</v>
      </c>
      <c r="C254">
        <v>31.912320000000001</v>
      </c>
      <c r="D254">
        <v>21.41048</v>
      </c>
      <c r="E254">
        <v>3.71296000000001</v>
      </c>
    </row>
    <row r="255" spans="1:5">
      <c r="A255" t="s">
        <v>862</v>
      </c>
      <c r="B255">
        <v>24.929279999999999</v>
      </c>
      <c r="C255">
        <v>68.651519999999906</v>
      </c>
      <c r="D255">
        <v>3.2380800000000001</v>
      </c>
      <c r="E255">
        <v>3.1811199999999902</v>
      </c>
    </row>
    <row r="256" spans="1:5">
      <c r="A256" t="s">
        <v>863</v>
      </c>
      <c r="B256">
        <v>39.901120000000098</v>
      </c>
      <c r="C256">
        <v>34.336880000000001</v>
      </c>
      <c r="D256">
        <v>22.567520000000101</v>
      </c>
      <c r="E256">
        <v>3.19448</v>
      </c>
    </row>
    <row r="257" spans="1:5">
      <c r="A257" t="s">
        <v>864</v>
      </c>
      <c r="B257">
        <v>38.4489599999999</v>
      </c>
      <c r="C257">
        <v>37.000719999999902</v>
      </c>
      <c r="D257">
        <v>20.905439999999999</v>
      </c>
      <c r="E257">
        <v>3.6448800000000001</v>
      </c>
    </row>
    <row r="258" spans="1:5">
      <c r="A258" t="s">
        <v>865</v>
      </c>
      <c r="B258">
        <v>31.998000000000001</v>
      </c>
      <c r="C258">
        <v>30.758880000000101</v>
      </c>
      <c r="D258">
        <v>33.924160000000001</v>
      </c>
      <c r="E258">
        <v>3.3189600000000001</v>
      </c>
    </row>
    <row r="259" spans="1:5">
      <c r="A259" t="s">
        <v>866</v>
      </c>
      <c r="B259">
        <v>61.690640000000002</v>
      </c>
      <c r="C259">
        <v>24.057680000000001</v>
      </c>
      <c r="D259">
        <v>10.2636</v>
      </c>
      <c r="E259">
        <v>3.9880800000000001</v>
      </c>
    </row>
    <row r="260" spans="1:5">
      <c r="A260" t="s">
        <v>867</v>
      </c>
      <c r="B260">
        <v>57.48912</v>
      </c>
      <c r="C260">
        <v>25.301359999999899</v>
      </c>
      <c r="D260">
        <v>13.963200000000001</v>
      </c>
      <c r="E260">
        <v>3.2463199999999999</v>
      </c>
    </row>
    <row r="261" spans="1:5">
      <c r="A261" t="s">
        <v>316</v>
      </c>
      <c r="B261">
        <v>60.399119999999797</v>
      </c>
      <c r="C261">
        <v>22.57968</v>
      </c>
      <c r="D261">
        <v>9.6516799999999705</v>
      </c>
      <c r="E261">
        <v>7.3695200000000103</v>
      </c>
    </row>
    <row r="262" spans="1:5">
      <c r="A262" t="s">
        <v>868</v>
      </c>
      <c r="B262">
        <v>73.208240000000004</v>
      </c>
      <c r="C262">
        <v>16.80968</v>
      </c>
      <c r="D262">
        <v>6.3948</v>
      </c>
      <c r="E262">
        <v>3.58727999999999</v>
      </c>
    </row>
    <row r="263" spans="1:5">
      <c r="A263" t="s">
        <v>674</v>
      </c>
      <c r="B263">
        <v>73.775920000000198</v>
      </c>
      <c r="C263">
        <v>18.263359999999999</v>
      </c>
      <c r="D263">
        <v>4.8430400000000002</v>
      </c>
      <c r="E263">
        <v>3.1176799999999898</v>
      </c>
    </row>
    <row r="264" spans="1:5">
      <c r="A264" t="s">
        <v>869</v>
      </c>
      <c r="B264">
        <v>44.392319999999899</v>
      </c>
      <c r="C264">
        <v>35.861599999999903</v>
      </c>
      <c r="D264">
        <v>10.0136</v>
      </c>
      <c r="E264">
        <v>9.7324800000000007</v>
      </c>
    </row>
    <row r="265" spans="1:5">
      <c r="A265" t="s">
        <v>870</v>
      </c>
      <c r="B265">
        <v>41.674480000000003</v>
      </c>
      <c r="C265">
        <v>34.537280000000102</v>
      </c>
      <c r="D265">
        <v>10.654</v>
      </c>
      <c r="E265">
        <v>13.13424</v>
      </c>
    </row>
    <row r="266" spans="1:5">
      <c r="A266" t="s">
        <v>871</v>
      </c>
      <c r="B266">
        <v>52.419040000000102</v>
      </c>
      <c r="C266">
        <v>34.490160000000103</v>
      </c>
      <c r="D266">
        <v>8.2142400000000002</v>
      </c>
      <c r="E266">
        <v>4.87655999999998</v>
      </c>
    </row>
    <row r="267" spans="1:5">
      <c r="A267" t="s">
        <v>872</v>
      </c>
      <c r="B267">
        <v>63.270480000000099</v>
      </c>
      <c r="C267">
        <v>24.57</v>
      </c>
      <c r="D267">
        <v>7.1042400000000097</v>
      </c>
      <c r="E267">
        <v>5.0552799999999998</v>
      </c>
    </row>
    <row r="268" spans="1:5">
      <c r="A268" t="s">
        <v>873</v>
      </c>
      <c r="B268">
        <v>64.728560000000002</v>
      </c>
      <c r="C268">
        <v>23.7262400000001</v>
      </c>
      <c r="D268">
        <v>5.5601599999999998</v>
      </c>
      <c r="E268">
        <v>5.9850400000000104</v>
      </c>
    </row>
    <row r="269" spans="1:5">
      <c r="A269" t="s">
        <v>874</v>
      </c>
      <c r="B269">
        <v>58.050800000000002</v>
      </c>
      <c r="C269">
        <v>27.983519999999999</v>
      </c>
      <c r="D269">
        <v>7.7308800000000097</v>
      </c>
      <c r="E269">
        <v>6.2347999999999999</v>
      </c>
    </row>
    <row r="270" spans="1:5">
      <c r="A270" t="s">
        <v>324</v>
      </c>
      <c r="B270">
        <v>57.227279999999901</v>
      </c>
      <c r="C270">
        <v>29.617760000000001</v>
      </c>
      <c r="D270">
        <v>6.45535999999999</v>
      </c>
      <c r="E270">
        <v>6.6995999999999896</v>
      </c>
    </row>
    <row r="271" spans="1:5">
      <c r="A271" t="s">
        <v>325</v>
      </c>
      <c r="B271">
        <v>64.360240000000005</v>
      </c>
      <c r="C271">
        <v>24.382239999999999</v>
      </c>
      <c r="D271">
        <v>6.0876799999999998</v>
      </c>
      <c r="E271">
        <v>5.16983999999999</v>
      </c>
    </row>
    <row r="272" spans="1:5">
      <c r="A272" t="s">
        <v>875</v>
      </c>
      <c r="B272">
        <v>53.790480000000102</v>
      </c>
      <c r="C272">
        <v>32.342320000000001</v>
      </c>
      <c r="D272">
        <v>5.6246400000000198</v>
      </c>
      <c r="E272">
        <v>8.2425600000000099</v>
      </c>
    </row>
    <row r="273" spans="1:5">
      <c r="A273" t="s">
        <v>876</v>
      </c>
      <c r="B273">
        <v>45.497840000000203</v>
      </c>
      <c r="C273">
        <v>45.290320000000001</v>
      </c>
      <c r="D273">
        <v>5.0417600000000196</v>
      </c>
      <c r="E273">
        <v>4.1700799999999898</v>
      </c>
    </row>
    <row r="274" spans="1:5">
      <c r="A274" t="s">
        <v>328</v>
      </c>
      <c r="B274">
        <v>33.949119999999901</v>
      </c>
      <c r="C274">
        <v>48.945039999999999</v>
      </c>
      <c r="D274">
        <v>14.00112</v>
      </c>
      <c r="E274">
        <v>3.1047200000000101</v>
      </c>
    </row>
    <row r="275" spans="1:5">
      <c r="A275" t="s">
        <v>877</v>
      </c>
      <c r="B275">
        <v>39.474400000000003</v>
      </c>
      <c r="C275">
        <v>32.835759999999901</v>
      </c>
      <c r="D275">
        <v>24.7608</v>
      </c>
      <c r="E275">
        <v>2.9290400000000001</v>
      </c>
    </row>
    <row r="276" spans="1:5">
      <c r="A276" t="s">
        <v>878</v>
      </c>
      <c r="B276">
        <v>44.7051200000001</v>
      </c>
      <c r="C276">
        <v>37.122880000000002</v>
      </c>
      <c r="D276">
        <v>15.597759999999999</v>
      </c>
      <c r="E276">
        <v>2.5742400000000001</v>
      </c>
    </row>
    <row r="277" spans="1:5">
      <c r="A277" t="s">
        <v>879</v>
      </c>
      <c r="B277">
        <v>45.896880000000102</v>
      </c>
      <c r="C277">
        <v>37.851600000000097</v>
      </c>
      <c r="D277">
        <v>13.685600000000001</v>
      </c>
      <c r="E277">
        <v>2.5659200000000002</v>
      </c>
    </row>
    <row r="278" spans="1:5">
      <c r="A278" t="s">
        <v>880</v>
      </c>
      <c r="B278">
        <v>45.882480000000101</v>
      </c>
      <c r="C278">
        <v>40.089120000000001</v>
      </c>
      <c r="D278">
        <v>9.67599999999997</v>
      </c>
      <c r="E278">
        <v>4.3524000000000003</v>
      </c>
    </row>
    <row r="279" spans="1:5">
      <c r="A279" t="s">
        <v>337</v>
      </c>
      <c r="B279">
        <v>29.426559999999998</v>
      </c>
      <c r="C279">
        <v>30.5243199999999</v>
      </c>
      <c r="D279">
        <v>38.096719999999998</v>
      </c>
      <c r="E279">
        <v>1.9523999999999999</v>
      </c>
    </row>
    <row r="280" spans="1:5">
      <c r="A280" t="s">
        <v>338</v>
      </c>
      <c r="B280">
        <v>50.355120000000298</v>
      </c>
      <c r="C280">
        <v>38.34928</v>
      </c>
      <c r="D280">
        <v>8.1167200000000097</v>
      </c>
      <c r="E280">
        <v>3.1788799999999999</v>
      </c>
    </row>
    <row r="281" spans="1:5">
      <c r="A281" t="s">
        <v>339</v>
      </c>
      <c r="B281">
        <v>65.273760000000095</v>
      </c>
      <c r="C281">
        <v>20.131120000000099</v>
      </c>
      <c r="D281">
        <v>10.841279999999999</v>
      </c>
      <c r="E281">
        <v>3.7538399999999998</v>
      </c>
    </row>
    <row r="282" spans="1:5">
      <c r="A282" t="s">
        <v>340</v>
      </c>
      <c r="B282">
        <v>69.814079999999805</v>
      </c>
      <c r="C282">
        <v>18.670159999999999</v>
      </c>
      <c r="D282">
        <v>6.87432000000004</v>
      </c>
      <c r="E282">
        <v>4.64144000000001</v>
      </c>
    </row>
    <row r="283" spans="1:5">
      <c r="A283" t="s">
        <v>881</v>
      </c>
      <c r="B283">
        <v>61.999519999999997</v>
      </c>
      <c r="C283">
        <v>25.12848</v>
      </c>
      <c r="D283">
        <v>9.5904000000000202</v>
      </c>
      <c r="E283">
        <v>3.2815999999999899</v>
      </c>
    </row>
    <row r="284" spans="1:5">
      <c r="A284" t="s">
        <v>882</v>
      </c>
      <c r="B284">
        <v>66.556719999999899</v>
      </c>
      <c r="C284">
        <v>17.8812</v>
      </c>
      <c r="D284">
        <v>12.028639999999999</v>
      </c>
      <c r="E284">
        <v>3.5334400000000001</v>
      </c>
    </row>
    <row r="285" spans="1:5">
      <c r="A285" t="s">
        <v>883</v>
      </c>
      <c r="B285">
        <v>68.789680000000004</v>
      </c>
      <c r="C285">
        <v>19.576239999999999</v>
      </c>
      <c r="D285">
        <v>7.7456800000000001</v>
      </c>
      <c r="E285">
        <v>3.8883999999999999</v>
      </c>
    </row>
    <row r="286" spans="1:5">
      <c r="A286" t="s">
        <v>884</v>
      </c>
      <c r="B286">
        <v>43.774239999999999</v>
      </c>
      <c r="C286">
        <v>24.46368</v>
      </c>
      <c r="D286">
        <v>27.41056</v>
      </c>
      <c r="E286">
        <v>4.3515200000000096</v>
      </c>
    </row>
    <row r="287" spans="1:5">
      <c r="A287" t="s">
        <v>885</v>
      </c>
      <c r="B287">
        <v>58.763919999999899</v>
      </c>
      <c r="C287">
        <v>25.697600000000001</v>
      </c>
      <c r="D287">
        <v>11.444559999999999</v>
      </c>
      <c r="E287">
        <v>4.0939199999999998</v>
      </c>
    </row>
    <row r="288" spans="1:5">
      <c r="A288" t="s">
        <v>886</v>
      </c>
      <c r="B288">
        <v>68.417840000000098</v>
      </c>
      <c r="C288">
        <v>18.303360000000101</v>
      </c>
      <c r="D288">
        <v>9.6508000000000305</v>
      </c>
      <c r="E288">
        <v>3.6280000000000001</v>
      </c>
    </row>
    <row r="289" spans="1:5">
      <c r="A289" t="s">
        <v>347</v>
      </c>
      <c r="B289">
        <v>68.94</v>
      </c>
      <c r="C289">
        <v>17.9967199999999</v>
      </c>
      <c r="D289">
        <v>8.4306400000000004</v>
      </c>
      <c r="E289">
        <v>4.6326400000000003</v>
      </c>
    </row>
    <row r="290" spans="1:5">
      <c r="A290" t="s">
        <v>887</v>
      </c>
      <c r="B290">
        <v>66.829520000000201</v>
      </c>
      <c r="C290">
        <v>18.065519999999999</v>
      </c>
      <c r="D290">
        <v>10.772399999999999</v>
      </c>
      <c r="E290">
        <v>4.3325600000000097</v>
      </c>
    </row>
    <row r="291" spans="1:5">
      <c r="A291" t="s">
        <v>888</v>
      </c>
      <c r="B291">
        <v>50.6368000000001</v>
      </c>
      <c r="C291">
        <v>36.65408</v>
      </c>
      <c r="D291">
        <v>8.7136799999999894</v>
      </c>
      <c r="E291">
        <v>3.9954400000000101</v>
      </c>
    </row>
    <row r="292" spans="1:5">
      <c r="A292" t="s">
        <v>889</v>
      </c>
      <c r="B292">
        <v>54.749200000000101</v>
      </c>
      <c r="C292">
        <v>29.217839999999999</v>
      </c>
      <c r="D292">
        <v>10.80768</v>
      </c>
      <c r="E292">
        <v>5.2252799999999997</v>
      </c>
    </row>
    <row r="293" spans="1:5">
      <c r="A293" t="s">
        <v>890</v>
      </c>
      <c r="B293">
        <v>66.909119999999902</v>
      </c>
      <c r="C293">
        <v>19.968319999999999</v>
      </c>
      <c r="D293">
        <v>9.4500800000000105</v>
      </c>
      <c r="E293">
        <v>3.67247999999999</v>
      </c>
    </row>
    <row r="294" spans="1:5">
      <c r="A294" t="s">
        <v>352</v>
      </c>
      <c r="B294">
        <v>68.052000000000106</v>
      </c>
      <c r="C294">
        <v>17.491040000000002</v>
      </c>
      <c r="D294">
        <v>9.4797600000000095</v>
      </c>
      <c r="E294">
        <v>4.9771999999999998</v>
      </c>
    </row>
    <row r="295" spans="1:5">
      <c r="A295" t="s">
        <v>353</v>
      </c>
      <c r="B295">
        <v>51.380240000000001</v>
      </c>
      <c r="C295">
        <v>25.590800000000002</v>
      </c>
      <c r="D295">
        <v>15.30744</v>
      </c>
      <c r="E295">
        <v>7.7215200000000097</v>
      </c>
    </row>
    <row r="296" spans="1:5">
      <c r="A296" t="s">
        <v>891</v>
      </c>
      <c r="B296">
        <v>23.85688</v>
      </c>
      <c r="C296">
        <v>37.122720000000101</v>
      </c>
      <c r="D296">
        <v>31.639360000000099</v>
      </c>
      <c r="E296">
        <v>7.3810399999999996</v>
      </c>
    </row>
    <row r="297" spans="1:5">
      <c r="A297" t="s">
        <v>892</v>
      </c>
      <c r="B297">
        <v>22.606480000000101</v>
      </c>
      <c r="C297">
        <v>31.739840000000001</v>
      </c>
      <c r="D297">
        <v>38.867840000000101</v>
      </c>
      <c r="E297">
        <v>6.7858400000000199</v>
      </c>
    </row>
    <row r="298" spans="1:5">
      <c r="A298" t="s">
        <v>893</v>
      </c>
      <c r="B298">
        <v>41.897759999999899</v>
      </c>
      <c r="C298">
        <v>22.45392</v>
      </c>
      <c r="D298">
        <v>26.27488</v>
      </c>
      <c r="E298">
        <v>9.37344000000002</v>
      </c>
    </row>
    <row r="299" spans="1:5">
      <c r="A299" t="s">
        <v>894</v>
      </c>
      <c r="B299">
        <v>39.813119999999998</v>
      </c>
      <c r="C299">
        <v>27.172720000000002</v>
      </c>
      <c r="D299">
        <v>22.132239999999999</v>
      </c>
      <c r="E299">
        <v>10.881919999999999</v>
      </c>
    </row>
    <row r="300" spans="1:5">
      <c r="A300" t="s">
        <v>895</v>
      </c>
      <c r="B300">
        <v>44.451120000000103</v>
      </c>
      <c r="C300">
        <v>27.938960000000002</v>
      </c>
      <c r="D300">
        <v>19.55264</v>
      </c>
      <c r="E300">
        <v>8.0572799999999702</v>
      </c>
    </row>
    <row r="301" spans="1:5">
      <c r="A301" t="s">
        <v>896</v>
      </c>
      <c r="B301">
        <v>37.539439999999999</v>
      </c>
      <c r="C301">
        <v>33.373280000000001</v>
      </c>
      <c r="D301">
        <v>21.009599999999999</v>
      </c>
      <c r="E301">
        <v>8.0776800000000204</v>
      </c>
    </row>
    <row r="302" spans="1:5">
      <c r="A302" t="s">
        <v>362</v>
      </c>
      <c r="B302">
        <v>35.37088</v>
      </c>
      <c r="C302">
        <v>29.523439999999901</v>
      </c>
      <c r="D302">
        <v>27.352</v>
      </c>
      <c r="E302">
        <v>7.7536800000000099</v>
      </c>
    </row>
    <row r="303" spans="1:5">
      <c r="A303" t="s">
        <v>363</v>
      </c>
      <c r="B303">
        <v>32.980079999999901</v>
      </c>
      <c r="C303">
        <v>21.315519999999999</v>
      </c>
      <c r="D303">
        <v>35.519359999999999</v>
      </c>
      <c r="E303">
        <v>10.185040000000001</v>
      </c>
    </row>
    <row r="304" spans="1:5">
      <c r="A304" t="s">
        <v>897</v>
      </c>
      <c r="B304">
        <v>33.7924000000001</v>
      </c>
      <c r="C304">
        <v>19.457920000000101</v>
      </c>
      <c r="D304">
        <v>36.640960000000099</v>
      </c>
      <c r="E304">
        <v>10.10872</v>
      </c>
    </row>
    <row r="305" spans="1:5">
      <c r="A305" t="s">
        <v>365</v>
      </c>
      <c r="B305">
        <v>27.688639999999999</v>
      </c>
      <c r="C305">
        <v>39.9209600000001</v>
      </c>
      <c r="D305">
        <v>24.22064</v>
      </c>
      <c r="E305">
        <v>8.1697600000000001</v>
      </c>
    </row>
    <row r="306" spans="1:5">
      <c r="A306" t="s">
        <v>366</v>
      </c>
      <c r="B306">
        <v>27.43384</v>
      </c>
      <c r="C306">
        <v>37.092080000000102</v>
      </c>
      <c r="D306">
        <v>29.463439999999999</v>
      </c>
      <c r="E306">
        <v>6.0106400000000102</v>
      </c>
    </row>
    <row r="307" spans="1:5">
      <c r="B307">
        <v>37.213760000000001</v>
      </c>
      <c r="C307">
        <v>22.222560000000001</v>
      </c>
      <c r="D307">
        <v>32.417119999999997</v>
      </c>
      <c r="E307">
        <v>8.1465599999999903</v>
      </c>
    </row>
    <row r="308" spans="1:5">
      <c r="B308">
        <v>42.955280000000002</v>
      </c>
      <c r="C308">
        <v>28.04336</v>
      </c>
      <c r="D308">
        <v>17.335599999999999</v>
      </c>
      <c r="E308">
        <v>11.665760000000001</v>
      </c>
    </row>
    <row r="309" spans="1:5">
      <c r="B309">
        <v>35.425920000000097</v>
      </c>
      <c r="C309">
        <v>20.562799999999999</v>
      </c>
      <c r="D309">
        <v>34.532720000000097</v>
      </c>
      <c r="E309">
        <v>9.4785599999999892</v>
      </c>
    </row>
    <row r="310" spans="1:5">
      <c r="B310">
        <v>45.750959999999999</v>
      </c>
      <c r="C310">
        <v>30.187839999999898</v>
      </c>
      <c r="D310">
        <v>15.3052799999999</v>
      </c>
      <c r="E310">
        <v>8.7559199999999908</v>
      </c>
    </row>
    <row r="311" spans="1:5">
      <c r="B311">
        <v>39.402160000000002</v>
      </c>
      <c r="C311">
        <v>25.193920000000102</v>
      </c>
      <c r="D311">
        <v>27.688400000000001</v>
      </c>
      <c r="E311">
        <v>7.7155200000000104</v>
      </c>
    </row>
    <row r="312" spans="1:5">
      <c r="B312">
        <v>31.226320000000001</v>
      </c>
      <c r="C312">
        <v>20.360000000000099</v>
      </c>
      <c r="D312">
        <v>38.32</v>
      </c>
      <c r="E312">
        <v>10.093680000000001</v>
      </c>
    </row>
    <row r="313" spans="1:5">
      <c r="B313">
        <v>17.78256</v>
      </c>
      <c r="C313">
        <v>28.552720000000001</v>
      </c>
      <c r="D313">
        <v>46.269599999999997</v>
      </c>
      <c r="E313">
        <v>7.3951199999999799</v>
      </c>
    </row>
    <row r="314" spans="1:5">
      <c r="B314">
        <v>40.088959999999901</v>
      </c>
      <c r="C314">
        <v>24.158560000000001</v>
      </c>
      <c r="D314">
        <v>22.231919999999999</v>
      </c>
      <c r="E314">
        <v>13.52056</v>
      </c>
    </row>
    <row r="315" spans="1:5">
      <c r="B315">
        <v>27.263439999999999</v>
      </c>
      <c r="C315">
        <v>51.247760000000099</v>
      </c>
      <c r="D315">
        <v>12.886880000000099</v>
      </c>
      <c r="E315">
        <v>8.6019199999999802</v>
      </c>
    </row>
    <row r="316" spans="1:5">
      <c r="B316">
        <v>34.44632</v>
      </c>
      <c r="C316">
        <v>26.3607200000002</v>
      </c>
      <c r="D316">
        <v>30.935279999999999</v>
      </c>
      <c r="E316">
        <v>8.2576799999999899</v>
      </c>
    </row>
    <row r="317" spans="1:5">
      <c r="B317">
        <v>26.046559999999999</v>
      </c>
      <c r="C317">
        <v>29.568719999999999</v>
      </c>
      <c r="D317">
        <v>36.696159999999999</v>
      </c>
      <c r="E317">
        <v>7.6885600000000203</v>
      </c>
    </row>
    <row r="318" spans="1:5">
      <c r="B318">
        <v>46.805280000000003</v>
      </c>
      <c r="C318">
        <v>22.179839999999999</v>
      </c>
      <c r="D318">
        <v>21.824159999999999</v>
      </c>
      <c r="E318">
        <v>9.1907200000000202</v>
      </c>
    </row>
    <row r="319" spans="1:5">
      <c r="B319">
        <v>37.649520000000003</v>
      </c>
      <c r="C319">
        <v>39.847360000000002</v>
      </c>
      <c r="D319">
        <v>14.13904</v>
      </c>
      <c r="E319">
        <v>8.3640799999999906</v>
      </c>
    </row>
    <row r="320" spans="1:5">
      <c r="B320">
        <v>28.5015999999999</v>
      </c>
      <c r="C320">
        <v>23.267759999999999</v>
      </c>
      <c r="D320">
        <v>32.619280000000003</v>
      </c>
      <c r="E320">
        <v>15.611359999999999</v>
      </c>
    </row>
    <row r="321" spans="2:5">
      <c r="B321">
        <v>27.32152</v>
      </c>
      <c r="C321">
        <v>19.718800000000002</v>
      </c>
      <c r="D321">
        <v>5.2953599999999996</v>
      </c>
      <c r="E321">
        <v>47.664320000000103</v>
      </c>
    </row>
    <row r="322" spans="2:5">
      <c r="B322">
        <v>23.950399999999998</v>
      </c>
      <c r="C322">
        <v>20.350560000000002</v>
      </c>
      <c r="D322">
        <v>49.472639999999998</v>
      </c>
      <c r="E322">
        <v>6.2264000000000097</v>
      </c>
    </row>
    <row r="323" spans="2:5">
      <c r="B323">
        <v>30.020959999999999</v>
      </c>
      <c r="C323">
        <v>23.9676000000001</v>
      </c>
      <c r="D323">
        <v>34.941360000000003</v>
      </c>
      <c r="E323">
        <v>11.070080000000001</v>
      </c>
    </row>
    <row r="324" spans="2:5">
      <c r="B324">
        <v>33.489840000000001</v>
      </c>
      <c r="C324">
        <v>41.340400000000102</v>
      </c>
      <c r="D324">
        <v>15.545680000000001</v>
      </c>
      <c r="E324">
        <v>9.6240799999999993</v>
      </c>
    </row>
    <row r="325" spans="2:5">
      <c r="B325">
        <v>33.628160000000001</v>
      </c>
      <c r="C325">
        <v>39.95008</v>
      </c>
      <c r="D325">
        <v>18.839680000000001</v>
      </c>
      <c r="E325">
        <v>7.5820800000000297</v>
      </c>
    </row>
    <row r="326" spans="2:5">
      <c r="B326">
        <v>19.08024</v>
      </c>
      <c r="C326">
        <v>38.419200000000103</v>
      </c>
      <c r="D326">
        <v>35.620799999999903</v>
      </c>
      <c r="E326">
        <v>6.8797600000000001</v>
      </c>
    </row>
    <row r="327" spans="2:5">
      <c r="B327">
        <v>10.64</v>
      </c>
      <c r="C327">
        <v>53.361040000000003</v>
      </c>
      <c r="D327">
        <v>30.260720000000099</v>
      </c>
      <c r="E327">
        <v>5.7382400000000002</v>
      </c>
    </row>
    <row r="328" spans="2:5">
      <c r="B328">
        <v>12.066079999999999</v>
      </c>
      <c r="C328">
        <v>46.671999999999898</v>
      </c>
      <c r="D328">
        <v>22.809840000000001</v>
      </c>
      <c r="E328">
        <v>18.452079999999999</v>
      </c>
    </row>
    <row r="329" spans="2:5">
      <c r="B329">
        <v>4.7897600000000198</v>
      </c>
      <c r="C329">
        <v>25.365680000000001</v>
      </c>
      <c r="D329">
        <v>58.972479999999997</v>
      </c>
      <c r="E329">
        <v>10.87208</v>
      </c>
    </row>
    <row r="330" spans="2:5">
      <c r="B330">
        <v>17.79888</v>
      </c>
      <c r="C330">
        <v>47.56888</v>
      </c>
      <c r="D330">
        <v>21.59872</v>
      </c>
      <c r="E330">
        <v>13.033519999999999</v>
      </c>
    </row>
    <row r="331" spans="2:5">
      <c r="B331">
        <v>34.016159999999999</v>
      </c>
      <c r="C331">
        <v>20.9674399999999</v>
      </c>
      <c r="D331">
        <v>36.424239999999898</v>
      </c>
      <c r="E331">
        <v>8.5921600000000105</v>
      </c>
    </row>
    <row r="332" spans="2:5">
      <c r="B332">
        <v>13.7281600000001</v>
      </c>
      <c r="C332">
        <v>31.814319999999899</v>
      </c>
      <c r="D332">
        <v>47.660719999999998</v>
      </c>
      <c r="E332">
        <v>6.7968000000000099</v>
      </c>
    </row>
    <row r="333" spans="2:5">
      <c r="B333">
        <v>22.0792</v>
      </c>
      <c r="C333">
        <v>58.416159999999898</v>
      </c>
      <c r="D333">
        <v>10.693440000000001</v>
      </c>
      <c r="E333">
        <v>8.8112000000000101</v>
      </c>
    </row>
    <row r="334" spans="2:5">
      <c r="B334">
        <v>24.9572</v>
      </c>
      <c r="C334">
        <v>51.180079999999997</v>
      </c>
      <c r="D334">
        <v>18.163440000000001</v>
      </c>
      <c r="E334">
        <v>5.6992799999999999</v>
      </c>
    </row>
    <row r="335" spans="2:5">
      <c r="B335">
        <v>14.996</v>
      </c>
      <c r="C335">
        <v>27.31776</v>
      </c>
      <c r="D335">
        <v>43.384079999999997</v>
      </c>
      <c r="E335">
        <v>14.302160000000001</v>
      </c>
    </row>
    <row r="336" spans="2:5">
      <c r="B336">
        <v>25.618079999999999</v>
      </c>
      <c r="C336">
        <v>45.562240000000003</v>
      </c>
      <c r="D336">
        <v>17.696560000000002</v>
      </c>
      <c r="E336">
        <v>11.12312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</dc:creator>
  <cp:keywords/>
  <dc:description/>
  <cp:lastModifiedBy>Bryan Breguet</cp:lastModifiedBy>
  <cp:revision/>
  <dcterms:created xsi:type="dcterms:W3CDTF">2012-10-15T09:03:26Z</dcterms:created>
  <dcterms:modified xsi:type="dcterms:W3CDTF">2016-01-31T17:48:33Z</dcterms:modified>
  <cp:category/>
  <cp:contentStatus/>
</cp:coreProperties>
</file>