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me\Desktop\Лабораторная работа 3.05\"/>
    </mc:Choice>
  </mc:AlternateContent>
  <xr:revisionPtr revIDLastSave="0" documentId="13_ncr:1_{05F76364-6B97-426B-8345-2CF362FA05B1}" xr6:coauthVersionLast="46" xr6:coauthVersionMax="46" xr10:uidLastSave="{00000000-0000-0000-0000-000000000000}"/>
  <bookViews>
    <workbookView xWindow="905" yWindow="2208" windowWidth="25138" windowHeight="1260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6" i="1"/>
  <c r="J17" i="1"/>
  <c r="I17" i="1"/>
  <c r="J16" i="1" a="1"/>
  <c r="J16" i="1" s="1"/>
  <c r="H42" i="1" a="1"/>
  <c r="H42" i="1" s="1"/>
  <c r="I16" i="1"/>
  <c r="K9" i="1"/>
  <c r="K10" i="1"/>
  <c r="K11" i="1"/>
  <c r="K12" i="1"/>
  <c r="K13" i="1"/>
  <c r="K8" i="1"/>
  <c r="F16" i="1"/>
  <c r="E16" i="1"/>
  <c r="J13" i="1"/>
  <c r="J9" i="1"/>
  <c r="J10" i="1"/>
  <c r="J11" i="1"/>
  <c r="J12" i="1"/>
  <c r="J8" i="1"/>
  <c r="D16" i="1"/>
  <c r="I35" i="1"/>
  <c r="I36" i="1"/>
  <c r="I37" i="1"/>
  <c r="I38" i="1"/>
  <c r="I34" i="1"/>
  <c r="K34" i="1"/>
  <c r="E35" i="1"/>
  <c r="E36" i="1"/>
  <c r="E37" i="1"/>
  <c r="E38" i="1"/>
  <c r="E39" i="1"/>
  <c r="E40" i="1"/>
  <c r="E41" i="1"/>
  <c r="E42" i="1"/>
  <c r="E43" i="1"/>
  <c r="E34" i="1"/>
  <c r="N3" i="1"/>
  <c r="M3" i="1" a="1"/>
  <c r="M3" i="1" s="1"/>
  <c r="L3" i="1" a="1"/>
  <c r="L3" i="1" s="1"/>
  <c r="J4" i="1"/>
  <c r="I4" i="1"/>
  <c r="F35" i="1"/>
  <c r="F36" i="1"/>
  <c r="F37" i="1"/>
  <c r="F38" i="1"/>
  <c r="F39" i="1"/>
  <c r="F40" i="1"/>
  <c r="F41" i="1"/>
  <c r="F42" i="1"/>
  <c r="F43" i="1"/>
  <c r="F34" i="1"/>
  <c r="G3" i="1"/>
  <c r="G4" i="1"/>
  <c r="G5" i="1"/>
  <c r="G6" i="1"/>
  <c r="G7" i="1"/>
  <c r="G8" i="1"/>
  <c r="G9" i="1"/>
  <c r="G10" i="1"/>
  <c r="G11" i="1"/>
  <c r="G12" i="1"/>
  <c r="G13" i="1"/>
  <c r="F4" i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<sst xmlns="http://schemas.openxmlformats.org/spreadsheetml/2006/main" count="43" uniqueCount="30">
  <si>
    <t>Полупроводниковый образец</t>
  </si>
  <si>
    <t>№</t>
  </si>
  <si>
    <t>T, K</t>
  </si>
  <si>
    <t>U, B</t>
  </si>
  <si>
    <t>I, мкА</t>
  </si>
  <si>
    <t>R, Ом</t>
  </si>
  <si>
    <t>lnR</t>
  </si>
  <si>
    <t>10^3/T, 1/K</t>
  </si>
  <si>
    <t>t, цельсий</t>
  </si>
  <si>
    <t>Металлы</t>
  </si>
  <si>
    <t>альфа</t>
  </si>
  <si>
    <t>1-6</t>
  </si>
  <si>
    <t>2-7</t>
  </si>
  <si>
    <t>3-8</t>
  </si>
  <si>
    <t>4-9</t>
  </si>
  <si>
    <t>5-10</t>
  </si>
  <si>
    <t>МНК</t>
  </si>
  <si>
    <t>x = 10^3/T</t>
  </si>
  <si>
    <t>y = lnR</t>
  </si>
  <si>
    <t>x средн</t>
  </si>
  <si>
    <t>y средн</t>
  </si>
  <si>
    <t>D</t>
  </si>
  <si>
    <t xml:space="preserve">b </t>
  </si>
  <si>
    <t>a</t>
  </si>
  <si>
    <t>Ширина запрещенной зоны полупроводника:</t>
  </si>
  <si>
    <t>6-11</t>
  </si>
  <si>
    <t>Egij</t>
  </si>
  <si>
    <t>Постоянная Больцмана</t>
  </si>
  <si>
    <t>E ср</t>
  </si>
  <si>
    <t>Дельта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</si>
</sst>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Лист1!$G$2</c:f>
              <c:strCache>
                <c:ptCount val="1"/>
                <c:pt idx="0">
                  <c:v>10^3/T, 1/K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Лист1!$G$3:$G$13</c:f>
              <c:numCache>
                <c:formatCode>0.000</c:formatCode>
                <c:ptCount val="11"/>
                <c:pt idx="0">
                  <c:v>3.4482758620689653</c:v>
                </c:pt>
                <c:pt idx="1">
                  <c:v>3.3898305084745761</c:v>
                </c:pt>
                <c:pt idx="2">
                  <c:v>3.3333333333333335</c:v>
                </c:pt>
                <c:pt idx="3">
                  <c:v>3.2467532467532467</c:v>
                </c:pt>
                <c:pt idx="4">
                  <c:v>3.1746031746031744</c:v>
                </c:pt>
                <c:pt idx="5">
                  <c:v>3.0959752321981426</c:v>
                </c:pt>
                <c:pt idx="6">
                  <c:v>3.0303030303030303</c:v>
                </c:pt>
                <c:pt idx="7">
                  <c:v>2.9585798816568047</c:v>
                </c:pt>
                <c:pt idx="8">
                  <c:v>2.8985507246376812</c:v>
                </c:pt>
                <c:pt idx="9">
                  <c:v>2.8328611898016995</c:v>
                </c:pt>
                <c:pt idx="10">
                  <c:v>2.7777777777777777</c:v>
                </c:pt>
              </c:numCache>
            </c:numRef>
          </c:xVal>
          <c:yVal>
            <c:numRef>
              <c:f>Лист1!$F$3:$F$13</c:f>
              <c:numCache>
                <c:formatCode>0.000</c:formatCode>
                <c:ptCount val="11"/>
                <c:pt idx="0">
                  <c:v>5.6105948745821932</c:v>
                </c:pt>
                <c:pt idx="1">
                  <c:v>5.4040571729367519</c:v>
                </c:pt>
                <c:pt idx="2">
                  <c:v>5.170977944171435</c:v>
                </c:pt>
                <c:pt idx="3">
                  <c:v>4.8708733517210971</c:v>
                </c:pt>
                <c:pt idx="4">
                  <c:v>4.5984811978372946</c:v>
                </c:pt>
                <c:pt idx="5">
                  <c:v>4.3018219967919116</c:v>
                </c:pt>
                <c:pt idx="6">
                  <c:v>4.0572393565216389</c:v>
                </c:pt>
                <c:pt idx="7">
                  <c:v>3.7784916128036237</c:v>
                </c:pt>
                <c:pt idx="8">
                  <c:v>3.5441608720988493</c:v>
                </c:pt>
                <c:pt idx="9">
                  <c:v>3.2937708199299331</c:v>
                </c:pt>
                <c:pt idx="10">
                  <c:v>3.0576076772720784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4-456F-BAB8-6A234F2C1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575376"/>
        <c:axId val="834582448"/>
      </c:scatterChart>
      <c:valAx>
        <c:axId val="8345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10^3/T, 1/K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6550736895509739"/>
              <c:y val="0.90480608255292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4582448"/>
        <c:crosses val="autoZero"/>
        <c:crossBetween val="midCat"/>
      </c:valAx>
      <c:valAx>
        <c:axId val="8345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lnR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4186924228503984E-2"/>
              <c:y val="5.713077944162067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45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Лист1!$E$33</c:f>
              <c:strCache>
                <c:ptCount val="1"/>
                <c:pt idx="0">
                  <c:v>R, Ом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496953681274316E-2"/>
                  <c:y val="-2.11976037017172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Лист1!$F$34:$F$43</c:f>
              <c:numCache>
                <c:formatCode>General</c:formatCode>
                <c:ptCount val="10"/>
                <c:pt idx="0">
                  <c:v>20</c:v>
                </c:pt>
                <c:pt idx="1">
                  <c:v>27</c:v>
                </c:pt>
                <c:pt idx="2">
                  <c:v>35</c:v>
                </c:pt>
                <c:pt idx="3">
                  <c:v>42</c:v>
                </c:pt>
                <c:pt idx="4">
                  <c:v>50</c:v>
                </c:pt>
                <c:pt idx="5">
                  <c:v>57</c:v>
                </c:pt>
                <c:pt idx="6">
                  <c:v>64</c:v>
                </c:pt>
                <c:pt idx="7">
                  <c:v>72</c:v>
                </c:pt>
                <c:pt idx="8">
                  <c:v>80</c:v>
                </c:pt>
                <c:pt idx="9">
                  <c:v>86</c:v>
                </c:pt>
              </c:numCache>
            </c:numRef>
          </c:xVal>
          <c:yVal>
            <c:numRef>
              <c:f>Лист1!$E$34:$E$43</c:f>
              <c:numCache>
                <c:formatCode>0</c:formatCode>
                <c:ptCount val="10"/>
                <c:pt idx="0">
                  <c:v>1286.2566438876233</c:v>
                </c:pt>
                <c:pt idx="1">
                  <c:v>1319.2307692307693</c:v>
                </c:pt>
                <c:pt idx="2">
                  <c:v>1355.7466770914775</c:v>
                </c:pt>
                <c:pt idx="3">
                  <c:v>1386.5079365079366</c:v>
                </c:pt>
                <c:pt idx="4">
                  <c:v>1420.2898550724638</c:v>
                </c:pt>
                <c:pt idx="5">
                  <c:v>1463.0541871921182</c:v>
                </c:pt>
                <c:pt idx="6">
                  <c:v>1496.6666666666667</c:v>
                </c:pt>
                <c:pt idx="7">
                  <c:v>1531.3028764805415</c:v>
                </c:pt>
                <c:pt idx="8">
                  <c:v>1564.8068669527897</c:v>
                </c:pt>
                <c:pt idx="9">
                  <c:v>1588.8985255854293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9-465F-B811-7B5B38BA4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623552"/>
        <c:axId val="1038621888"/>
      </c:scatterChart>
      <c:valAx>
        <c:axId val="103862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>
                    <a:effectLst/>
                  </a:rPr>
                  <a:t>t, </a:t>
                </a:r>
                <a:r>
                  <a:rPr lang="ru-RU" sz="1000" i="0">
                    <a:effectLst/>
                  </a:rPr>
                  <a:t>°С</a:t>
                </a:r>
                <a:endParaRPr lang="ru-RU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1450760799674891"/>
              <c:y val="0.90819040691981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621888"/>
        <c:crosses val="autoZero"/>
        <c:crossBetween val="midCat"/>
      </c:valAx>
      <c:valAx>
        <c:axId val="10386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R, </a:t>
                </a:r>
                <a:r>
                  <a:rPr lang="ru-RU" sz="1000" b="0" i="0" u="none" strike="noStrike" baseline="0">
                    <a:effectLst/>
                  </a:rPr>
                  <a:t>кОм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8874557601369666E-2"/>
              <c:y val="6.532974061855875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862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66594</xdr:colOff>
      <xdr:row>0</xdr:row>
      <xdr:rowOff>142732</xdr:rowOff>
    </xdr:from>
    <xdr:to>
      <xdr:col>22</xdr:col>
      <xdr:colOff>435418</xdr:colOff>
      <xdr:row>13</xdr:row>
      <xdr:rowOff>9014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D9B628-8771-4B24-B2C3-00D70A822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449957</xdr:colOff>
      <xdr:row>39</xdr:row>
      <xdr:rowOff>48462</xdr:rowOff>
    </xdr:from>
    <xdr:to>
      <xdr:col>18</xdr:col>
      <xdr:colOff>7134</xdr:colOff>
      <xdr:row>62</xdr:row>
      <xdr:rowOff>4747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9AE3453-485C-494C-B949-F8DE6C0FB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K17" sqref="K17"/>
    </sheetView>
  </sheetViews>
  <sheetFormatPr defaultRowHeight="14.4" x14ac:dyDescent="0.25"/>
  <cols>
    <col min="1" max="1" width="2.875" bestFit="1" customWidth="1"/>
    <col min="2" max="2" width="5.75" customWidth="1"/>
    <col min="3" max="4" width="7.875" customWidth="1"/>
    <col min="5" max="6" width="12.375" bestFit="1" customWidth="1"/>
    <col min="7" max="7" width="10.5" bestFit="1" customWidth="1"/>
    <col min="8" max="8" width="10.875" bestFit="1" customWidth="1"/>
    <col min="9" max="9" width="12.375" bestFit="1" customWidth="1"/>
    <col min="10" max="10" width="12.875" bestFit="1" customWidth="1"/>
    <col min="11" max="11" width="12.375" bestFit="1" customWidth="1"/>
  </cols>
  <sheetData>
    <row r="1" spans="1:14" x14ac:dyDescent="0.25">
      <c r="A1" s="12" t="s">
        <v>0</v>
      </c>
      <c r="B1" s="12"/>
      <c r="C1" s="12"/>
      <c r="D1" s="12"/>
      <c r="E1" s="12"/>
      <c r="F1" s="12"/>
      <c r="G1" s="12"/>
      <c r="J1" t="s">
        <v>16</v>
      </c>
    </row>
    <row r="2" spans="1:14" x14ac:dyDescent="0.25">
      <c r="A2" s="2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I2" s="8" t="s">
        <v>17</v>
      </c>
      <c r="J2" s="8" t="s">
        <v>18</v>
      </c>
      <c r="L2" s="3" t="s">
        <v>21</v>
      </c>
      <c r="M2" s="3" t="s">
        <v>22</v>
      </c>
      <c r="N2" s="3" t="s">
        <v>23</v>
      </c>
    </row>
    <row r="3" spans="1:14" x14ac:dyDescent="0.25">
      <c r="A3" s="2">
        <v>1</v>
      </c>
      <c r="B3" s="2">
        <v>290</v>
      </c>
      <c r="C3" s="2">
        <v>1255</v>
      </c>
      <c r="D3" s="2">
        <v>0.34300000000000003</v>
      </c>
      <c r="E3" s="6">
        <f>D3/C3*10^6</f>
        <v>273.30677290836655</v>
      </c>
      <c r="F3" s="5">
        <f>LN(E3)</f>
        <v>5.6105948745821932</v>
      </c>
      <c r="G3" s="5">
        <f>10^3/B3</f>
        <v>3.4482758620689653</v>
      </c>
      <c r="I3" t="s">
        <v>19</v>
      </c>
      <c r="J3" t="s">
        <v>20</v>
      </c>
      <c r="L3" s="10" cm="1">
        <f t="array" ref="L3">SUM((G3:G13-I$4)^2)</f>
        <v>0.52680439956654934</v>
      </c>
      <c r="M3" s="10" cm="1">
        <f t="array" ref="M3">SUM((G3:G13-I$4)*(F3:F13-J$4))/L3</f>
        <v>3.78642278661964</v>
      </c>
      <c r="N3" s="10">
        <f>J4-M3*I4</f>
        <v>-7.4325243729252177</v>
      </c>
    </row>
    <row r="4" spans="1:14" x14ac:dyDescent="0.25">
      <c r="A4" s="2">
        <v>2</v>
      </c>
      <c r="B4" s="2">
        <v>295</v>
      </c>
      <c r="C4" s="2">
        <v>1318</v>
      </c>
      <c r="D4" s="2">
        <v>0.29299999999999998</v>
      </c>
      <c r="E4" s="6">
        <f t="shared" ref="E4:E13" si="0">D4/C4*10^6</f>
        <v>222.30652503793624</v>
      </c>
      <c r="F4" s="5">
        <f t="shared" ref="F4:F13" si="1">LN(E4)</f>
        <v>5.4040571729367519</v>
      </c>
      <c r="G4" s="5">
        <f t="shared" ref="G4:G13" si="2">10^3/B4</f>
        <v>3.3898305084745761</v>
      </c>
      <c r="I4" s="10">
        <f>AVERAGE(G3:G13)</f>
        <v>3.1078949056007663</v>
      </c>
      <c r="J4" s="10">
        <f>AVERAGE(F3:F13)</f>
        <v>4.3352797160606196</v>
      </c>
      <c r="M4" s="10"/>
    </row>
    <row r="5" spans="1:14" x14ac:dyDescent="0.25">
      <c r="A5" s="2">
        <v>3</v>
      </c>
      <c r="B5" s="2">
        <v>300</v>
      </c>
      <c r="C5" s="2">
        <v>1380</v>
      </c>
      <c r="D5" s="2">
        <v>0.24299999999999999</v>
      </c>
      <c r="E5" s="6">
        <f t="shared" si="0"/>
        <v>176.08695652173913</v>
      </c>
      <c r="F5" s="5">
        <f t="shared" si="1"/>
        <v>5.170977944171435</v>
      </c>
      <c r="G5" s="5">
        <f t="shared" si="2"/>
        <v>3.3333333333333335</v>
      </c>
      <c r="M5" s="10"/>
    </row>
    <row r="6" spans="1:14" x14ac:dyDescent="0.25">
      <c r="A6" s="2">
        <v>4</v>
      </c>
      <c r="B6" s="2">
        <v>308</v>
      </c>
      <c r="C6" s="2">
        <v>1449</v>
      </c>
      <c r="D6" s="2">
        <v>0.189</v>
      </c>
      <c r="E6" s="6">
        <f t="shared" si="0"/>
        <v>130.43478260869563</v>
      </c>
      <c r="F6" s="5">
        <f t="shared" si="1"/>
        <v>4.8708733517210971</v>
      </c>
      <c r="G6" s="5">
        <f t="shared" si="2"/>
        <v>3.2467532467532467</v>
      </c>
      <c r="I6" t="s">
        <v>24</v>
      </c>
      <c r="M6" s="10"/>
    </row>
    <row r="7" spans="1:14" x14ac:dyDescent="0.25">
      <c r="A7" s="2">
        <v>5</v>
      </c>
      <c r="B7" s="2">
        <v>315</v>
      </c>
      <c r="C7" s="2">
        <v>1500</v>
      </c>
      <c r="D7" s="2">
        <v>0.14899999999999999</v>
      </c>
      <c r="E7" s="6">
        <f t="shared" si="0"/>
        <v>99.333333333333329</v>
      </c>
      <c r="F7" s="5">
        <f t="shared" si="1"/>
        <v>4.5984811978372946</v>
      </c>
      <c r="G7" s="5">
        <f t="shared" si="2"/>
        <v>3.1746031746031744</v>
      </c>
      <c r="I7" t="s">
        <v>1</v>
      </c>
      <c r="J7" t="s">
        <v>26</v>
      </c>
      <c r="K7" t="s">
        <v>26</v>
      </c>
      <c r="M7" s="10"/>
    </row>
    <row r="8" spans="1:14" x14ac:dyDescent="0.25">
      <c r="A8" s="2">
        <v>6</v>
      </c>
      <c r="B8" s="2">
        <v>323</v>
      </c>
      <c r="C8" s="2">
        <v>1544</v>
      </c>
      <c r="D8" s="2">
        <v>0.114</v>
      </c>
      <c r="E8" s="6">
        <f t="shared" si="0"/>
        <v>73.834196891191723</v>
      </c>
      <c r="F8" s="5">
        <f t="shared" si="1"/>
        <v>4.3018219967919116</v>
      </c>
      <c r="G8" s="5">
        <f t="shared" si="2"/>
        <v>3.0959752321981426</v>
      </c>
      <c r="I8" s="4" t="s">
        <v>11</v>
      </c>
      <c r="J8">
        <f>2*D$16*(B8*B3)/(B8-B3)*LN(E3/E8)</f>
        <v>1.0258034256769993E-19</v>
      </c>
      <c r="K8" s="10">
        <f>J8/F$16</f>
        <v>0.64025589662464366</v>
      </c>
      <c r="M8" s="10"/>
    </row>
    <row r="9" spans="1:14" x14ac:dyDescent="0.25">
      <c r="A9" s="2">
        <v>7</v>
      </c>
      <c r="B9" s="2">
        <v>330</v>
      </c>
      <c r="C9" s="2">
        <v>1574</v>
      </c>
      <c r="D9" s="2">
        <v>9.0999999999999998E-2</v>
      </c>
      <c r="E9" s="6">
        <f t="shared" si="0"/>
        <v>57.814485387547649</v>
      </c>
      <c r="F9" s="5">
        <f t="shared" si="1"/>
        <v>4.0572393565216389</v>
      </c>
      <c r="G9" s="5">
        <f t="shared" si="2"/>
        <v>3.0303030303030303</v>
      </c>
      <c r="I9" s="4" t="s">
        <v>12</v>
      </c>
      <c r="J9">
        <f t="shared" ref="J9:J13" si="3">2*D$16*(B9*B4)/(B9-B4)*LN(E4/E9)</f>
        <v>1.0344036460703962E-19</v>
      </c>
      <c r="K9" s="10">
        <f t="shared" ref="K9:K13" si="4">J9/F$16</f>
        <v>0.64562372995539108</v>
      </c>
      <c r="M9" s="10"/>
    </row>
    <row r="10" spans="1:14" x14ac:dyDescent="0.25">
      <c r="A10" s="2">
        <v>8</v>
      </c>
      <c r="B10" s="2">
        <v>338</v>
      </c>
      <c r="C10" s="2">
        <v>1600</v>
      </c>
      <c r="D10" s="2">
        <v>7.0000000000000007E-2</v>
      </c>
      <c r="E10" s="6">
        <f t="shared" si="0"/>
        <v>43.750000000000007</v>
      </c>
      <c r="F10" s="5">
        <f t="shared" si="1"/>
        <v>3.7784916128036237</v>
      </c>
      <c r="G10" s="5">
        <f t="shared" si="2"/>
        <v>2.9585798816568047</v>
      </c>
      <c r="I10" s="4" t="s">
        <v>13</v>
      </c>
      <c r="J10">
        <f t="shared" si="3"/>
        <v>1.0260264994576161E-19</v>
      </c>
      <c r="K10" s="10">
        <f t="shared" si="4"/>
        <v>0.64039512827453604</v>
      </c>
      <c r="M10" s="10"/>
    </row>
    <row r="11" spans="1:14" x14ac:dyDescent="0.25">
      <c r="A11" s="2">
        <v>9</v>
      </c>
      <c r="B11" s="2">
        <v>345</v>
      </c>
      <c r="C11" s="2">
        <v>1618</v>
      </c>
      <c r="D11" s="2">
        <v>5.6000000000000001E-2</v>
      </c>
      <c r="E11" s="6">
        <f t="shared" si="0"/>
        <v>34.610630407911003</v>
      </c>
      <c r="F11" s="5">
        <f t="shared" si="1"/>
        <v>3.5441608720988493</v>
      </c>
      <c r="G11" s="5">
        <f t="shared" si="2"/>
        <v>2.8985507246376812</v>
      </c>
      <c r="I11" s="4" t="s">
        <v>14</v>
      </c>
      <c r="J11">
        <f t="shared" si="3"/>
        <v>1.0521028091060421E-19</v>
      </c>
      <c r="K11" s="10">
        <f t="shared" si="4"/>
        <v>0.65667067444323435</v>
      </c>
      <c r="M11" s="10"/>
    </row>
    <row r="12" spans="1:14" x14ac:dyDescent="0.25">
      <c r="A12" s="2">
        <v>10</v>
      </c>
      <c r="B12" s="2">
        <v>353</v>
      </c>
      <c r="C12" s="2">
        <v>1633</v>
      </c>
      <c r="D12" s="2">
        <v>4.3999999999999997E-2</v>
      </c>
      <c r="E12" s="6">
        <f t="shared" si="0"/>
        <v>26.944274341702386</v>
      </c>
      <c r="F12" s="5">
        <f t="shared" si="1"/>
        <v>3.2937708199299331</v>
      </c>
      <c r="G12" s="5">
        <f t="shared" si="2"/>
        <v>2.8328611898016995</v>
      </c>
      <c r="I12" s="4" t="s">
        <v>15</v>
      </c>
      <c r="J12">
        <f t="shared" si="3"/>
        <v>1.0542146757846341E-19</v>
      </c>
      <c r="K12" s="10">
        <f t="shared" si="4"/>
        <v>0.65798879744809879</v>
      </c>
      <c r="M12" s="10"/>
    </row>
    <row r="13" spans="1:14" x14ac:dyDescent="0.25">
      <c r="A13" s="2">
        <v>11</v>
      </c>
      <c r="B13" s="2">
        <v>360</v>
      </c>
      <c r="C13" s="2">
        <v>1645</v>
      </c>
      <c r="D13" s="2">
        <v>3.5000000000000003E-2</v>
      </c>
      <c r="E13" s="6">
        <f t="shared" si="0"/>
        <v>21.276595744680851</v>
      </c>
      <c r="F13" s="5">
        <f t="shared" si="1"/>
        <v>3.0576076772720784</v>
      </c>
      <c r="G13" s="5">
        <f t="shared" si="2"/>
        <v>2.7777777777777777</v>
      </c>
      <c r="I13" s="4" t="s">
        <v>25</v>
      </c>
      <c r="J13">
        <f>2*D$16*(B13*B8)/(B13-B8)*LN(E8/E13)</f>
        <v>1.0797215578986712E-19</v>
      </c>
      <c r="K13" s="10">
        <f t="shared" si="4"/>
        <v>0.6739089350390256</v>
      </c>
      <c r="M13" s="10"/>
    </row>
    <row r="15" spans="1:14" x14ac:dyDescent="0.25">
      <c r="D15" t="s">
        <v>27</v>
      </c>
      <c r="I15" s="4" t="s">
        <v>28</v>
      </c>
      <c r="J15" t="s">
        <v>29</v>
      </c>
    </row>
    <row r="16" spans="1:14" x14ac:dyDescent="0.25">
      <c r="D16" s="13">
        <f>1.380649*10^-23</f>
        <v>1.3806490000000001E-23</v>
      </c>
      <c r="E16">
        <f>8.61733*10^-5</f>
        <v>8.6173300000000011E-5</v>
      </c>
      <c r="F16">
        <f>D16/E16</f>
        <v>1.6021772405141731E-19</v>
      </c>
      <c r="I16">
        <f>SUM(J8:J13)/6</f>
        <v>1.0453787689990597E-19</v>
      </c>
      <c r="J16" cm="1">
        <f t="array" ref="J16">SQRT(SUM((J8:J13-I16)^2)/30)*2.57</f>
        <v>2.1912274951830094E-21</v>
      </c>
      <c r="K16">
        <f>J16/2.57</f>
        <v>8.5261770240584034E-22</v>
      </c>
    </row>
    <row r="17" spans="2:11" x14ac:dyDescent="0.25">
      <c r="I17">
        <f>I16/F16</f>
        <v>0.65247386029748822</v>
      </c>
      <c r="J17">
        <f>J16/F16</f>
        <v>1.3676561118043329E-2</v>
      </c>
      <c r="K17">
        <f>K16/F16</f>
        <v>5.3216191120791165E-3</v>
      </c>
    </row>
    <row r="31" spans="2:11" x14ac:dyDescent="0.25">
      <c r="B31" t="s">
        <v>9</v>
      </c>
    </row>
    <row r="33" spans="1:11" x14ac:dyDescent="0.25">
      <c r="A33" s="2" t="s">
        <v>1</v>
      </c>
      <c r="B33" s="2" t="s">
        <v>2</v>
      </c>
      <c r="C33" s="2" t="s">
        <v>4</v>
      </c>
      <c r="D33" s="2" t="s">
        <v>3</v>
      </c>
      <c r="E33" s="2" t="s">
        <v>5</v>
      </c>
      <c r="F33" s="2" t="s">
        <v>8</v>
      </c>
      <c r="G33" s="1"/>
      <c r="H33" s="4" t="s">
        <v>1</v>
      </c>
      <c r="I33" s="3" t="s">
        <v>10</v>
      </c>
    </row>
    <row r="34" spans="1:11" x14ac:dyDescent="0.25">
      <c r="A34" s="2">
        <v>1</v>
      </c>
      <c r="B34" s="2">
        <v>293</v>
      </c>
      <c r="C34" s="2">
        <v>1317</v>
      </c>
      <c r="D34" s="2">
        <v>1.694</v>
      </c>
      <c r="E34" s="7">
        <f>D34/C34*10^6</f>
        <v>1286.2566438876233</v>
      </c>
      <c r="F34" s="2">
        <f>B34-273</f>
        <v>20</v>
      </c>
      <c r="G34" s="1"/>
      <c r="H34" s="4" t="s">
        <v>11</v>
      </c>
      <c r="I34" s="9">
        <f>(E34-E39)/(E39*F34-E34*F39)</f>
        <v>4.0130599558815573E-3</v>
      </c>
      <c r="K34" s="9">
        <f>AVERAGE(I34:I38)</f>
        <v>3.9851031222595777E-3</v>
      </c>
    </row>
    <row r="35" spans="1:11" x14ac:dyDescent="0.25">
      <c r="A35" s="2">
        <v>2</v>
      </c>
      <c r="B35" s="2">
        <v>300</v>
      </c>
      <c r="C35" s="2">
        <v>1300</v>
      </c>
      <c r="D35" s="2">
        <v>1.7150000000000001</v>
      </c>
      <c r="E35" s="7">
        <f t="shared" ref="E35:E43" si="5">D35/C35*10^6</f>
        <v>1319.2307692307693</v>
      </c>
      <c r="F35" s="2">
        <f t="shared" ref="F35:F43" si="6">B35-273</f>
        <v>27</v>
      </c>
      <c r="G35" s="1"/>
      <c r="H35" s="4" t="s">
        <v>12</v>
      </c>
      <c r="I35" s="9">
        <f t="shared" ref="I35:I38" si="7">(E35-E40)/(E40*F35-E35*F40)</f>
        <v>4.0307314146585818E-3</v>
      </c>
    </row>
    <row r="36" spans="1:11" x14ac:dyDescent="0.25">
      <c r="A36" s="2">
        <v>3</v>
      </c>
      <c r="B36" s="2">
        <v>308</v>
      </c>
      <c r="C36" s="2">
        <v>1279</v>
      </c>
      <c r="D36" s="2">
        <v>1.734</v>
      </c>
      <c r="E36" s="7">
        <f t="shared" si="5"/>
        <v>1355.7466770914775</v>
      </c>
      <c r="F36" s="2">
        <f t="shared" si="6"/>
        <v>35</v>
      </c>
      <c r="G36" s="1"/>
      <c r="H36" s="4" t="s">
        <v>13</v>
      </c>
      <c r="I36" s="9">
        <f t="shared" si="7"/>
        <v>3.9882675490038591E-3</v>
      </c>
    </row>
    <row r="37" spans="1:11" x14ac:dyDescent="0.25">
      <c r="A37" s="2">
        <v>4</v>
      </c>
      <c r="B37" s="2">
        <v>315</v>
      </c>
      <c r="C37" s="2">
        <v>1260</v>
      </c>
      <c r="D37" s="2">
        <v>1.7470000000000001</v>
      </c>
      <c r="E37" s="7">
        <f t="shared" si="5"/>
        <v>1386.5079365079366</v>
      </c>
      <c r="F37" s="2">
        <f t="shared" si="6"/>
        <v>42</v>
      </c>
      <c r="G37" s="1"/>
      <c r="H37" s="4" t="s">
        <v>14</v>
      </c>
      <c r="I37" s="9">
        <f t="shared" si="7"/>
        <v>3.9447759997250807E-3</v>
      </c>
    </row>
    <row r="38" spans="1:11" x14ac:dyDescent="0.25">
      <c r="A38" s="2">
        <v>5</v>
      </c>
      <c r="B38" s="2">
        <v>323</v>
      </c>
      <c r="C38" s="2">
        <v>1242</v>
      </c>
      <c r="D38" s="2">
        <v>1.764</v>
      </c>
      <c r="E38" s="7">
        <f t="shared" si="5"/>
        <v>1420.2898550724638</v>
      </c>
      <c r="F38" s="2">
        <f t="shared" si="6"/>
        <v>50</v>
      </c>
      <c r="G38" s="1"/>
      <c r="H38" s="4" t="s">
        <v>15</v>
      </c>
      <c r="I38" s="9">
        <f t="shared" si="7"/>
        <v>3.9486806920288097E-3</v>
      </c>
    </row>
    <row r="39" spans="1:11" x14ac:dyDescent="0.25">
      <c r="A39" s="2">
        <v>6</v>
      </c>
      <c r="B39" s="2">
        <v>330</v>
      </c>
      <c r="C39" s="2">
        <v>1218</v>
      </c>
      <c r="D39" s="2">
        <v>1.782</v>
      </c>
      <c r="E39" s="7">
        <f t="shared" si="5"/>
        <v>1463.0541871921182</v>
      </c>
      <c r="F39" s="2">
        <f t="shared" si="6"/>
        <v>57</v>
      </c>
      <c r="G39" s="1"/>
      <c r="H39" s="4"/>
    </row>
    <row r="40" spans="1:11" x14ac:dyDescent="0.25">
      <c r="A40" s="2">
        <v>7</v>
      </c>
      <c r="B40" s="2">
        <v>337</v>
      </c>
      <c r="C40" s="2">
        <v>1200</v>
      </c>
      <c r="D40" s="2">
        <v>1.796</v>
      </c>
      <c r="E40" s="7">
        <f t="shared" si="5"/>
        <v>1496.6666666666667</v>
      </c>
      <c r="F40" s="2">
        <f t="shared" si="6"/>
        <v>64</v>
      </c>
      <c r="G40" s="1"/>
      <c r="H40" s="4"/>
    </row>
    <row r="41" spans="1:11" x14ac:dyDescent="0.25">
      <c r="A41" s="2">
        <v>8</v>
      </c>
      <c r="B41" s="2">
        <v>345</v>
      </c>
      <c r="C41" s="2">
        <v>1182</v>
      </c>
      <c r="D41" s="2">
        <v>1.81</v>
      </c>
      <c r="E41" s="7">
        <f t="shared" si="5"/>
        <v>1531.3028764805415</v>
      </c>
      <c r="F41" s="2">
        <f t="shared" si="6"/>
        <v>72</v>
      </c>
      <c r="G41" s="1"/>
      <c r="H41" s="4"/>
    </row>
    <row r="42" spans="1:11" x14ac:dyDescent="0.25">
      <c r="A42" s="2">
        <v>9</v>
      </c>
      <c r="B42" s="2">
        <v>353</v>
      </c>
      <c r="C42" s="2">
        <v>1165</v>
      </c>
      <c r="D42" s="2">
        <v>1.823</v>
      </c>
      <c r="E42" s="7">
        <f t="shared" si="5"/>
        <v>1564.8068669527897</v>
      </c>
      <c r="F42" s="2">
        <f t="shared" si="6"/>
        <v>80</v>
      </c>
      <c r="G42" s="1"/>
      <c r="H42" s="11" cm="1">
        <f t="array" ref="H42">SQRT(SUM((I34:I38-K$34)^2)/20)*10^5*2.78</f>
        <v>4.7449353399920753</v>
      </c>
    </row>
    <row r="43" spans="1:11" x14ac:dyDescent="0.25">
      <c r="A43" s="2">
        <v>10</v>
      </c>
      <c r="B43" s="2">
        <v>359</v>
      </c>
      <c r="C43" s="2">
        <v>1153</v>
      </c>
      <c r="D43" s="2">
        <v>1.8320000000000001</v>
      </c>
      <c r="E43" s="7">
        <f t="shared" si="5"/>
        <v>1588.8985255854293</v>
      </c>
      <c r="F43" s="2">
        <f t="shared" si="6"/>
        <v>86</v>
      </c>
      <c r="G43" s="1"/>
      <c r="H43" s="4"/>
    </row>
    <row r="44" spans="1:11" x14ac:dyDescent="0.25">
      <c r="A44" s="1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Кулаков</dc:creator>
  <cp:lastModifiedBy>Никита Кулаков</cp:lastModifiedBy>
  <dcterms:created xsi:type="dcterms:W3CDTF">2015-06-05T18:19:34Z</dcterms:created>
  <dcterms:modified xsi:type="dcterms:W3CDTF">2021-03-13T06:17:20Z</dcterms:modified>
</cp:coreProperties>
</file>