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ome\Desktop\Лабораторная работа 3.10 не завершено\"/>
    </mc:Choice>
  </mc:AlternateContent>
  <xr:revisionPtr revIDLastSave="0" documentId="13_ncr:1_{E6966865-8530-4F95-ACAF-B49EB8CC807F}" xr6:coauthVersionLast="46" xr6:coauthVersionMax="46" xr10:uidLastSave="{00000000-0000-0000-0000-000000000000}"/>
  <bookViews>
    <workbookView xWindow="-110" yWindow="357" windowWidth="26551" windowHeight="145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2" i="1"/>
  <c r="J3" i="1"/>
  <c r="I2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R2" i="1"/>
  <c r="J14" i="1" s="1"/>
  <c r="H3" i="1"/>
  <c r="H4" i="1"/>
  <c r="J4" i="1" s="1"/>
  <c r="H5" i="1"/>
  <c r="H6" i="1"/>
  <c r="H7" i="1"/>
  <c r="H8" i="1"/>
  <c r="H9" i="1"/>
  <c r="H10" i="1"/>
  <c r="H11" i="1"/>
  <c r="J11" i="1" s="1"/>
  <c r="H12" i="1"/>
  <c r="J12" i="1" s="1"/>
  <c r="H13" i="1"/>
  <c r="H14" i="1"/>
  <c r="H15" i="1"/>
  <c r="H2" i="1"/>
  <c r="M2" i="1"/>
  <c r="M3" i="1"/>
  <c r="M7" i="1"/>
  <c r="K3" i="1"/>
  <c r="M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J10" i="1" l="1"/>
  <c r="L3" i="1"/>
  <c r="N4" i="1" s="1"/>
  <c r="J9" i="1"/>
  <c r="M12" i="1"/>
  <c r="M10" i="1"/>
  <c r="J6" i="1"/>
  <c r="M9" i="1"/>
  <c r="J13" i="1"/>
  <c r="J5" i="1"/>
  <c r="J2" i="1"/>
  <c r="J8" i="1"/>
  <c r="M11" i="1"/>
  <c r="J15" i="1"/>
  <c r="J7" i="1"/>
  <c r="M8" i="1"/>
  <c r="N10" i="1"/>
  <c r="N11" i="1"/>
  <c r="N12" i="1"/>
  <c r="N3" i="1"/>
  <c r="N8" i="1"/>
  <c r="M6" i="1"/>
  <c r="M5" i="1"/>
  <c r="M14" i="1" s="1"/>
  <c r="N5" i="1"/>
  <c r="N6" i="1"/>
  <c r="N7" i="1" l="1"/>
  <c r="N2" i="1"/>
  <c r="N9" i="1"/>
  <c r="J17" i="1"/>
  <c r="O2" i="1"/>
  <c r="P2" i="1" s="1"/>
  <c r="Q8" i="1" l="1"/>
  <c r="Q2" i="1"/>
  <c r="Q6" i="1"/>
  <c r="Q7" i="1"/>
  <c r="Q3" i="1"/>
  <c r="Q5" i="1"/>
  <c r="Q4" i="1"/>
  <c r="Q10" i="1"/>
  <c r="Q12" i="1"/>
  <c r="Q11" i="1"/>
  <c r="Q9" i="1"/>
  <c r="Q14" i="1" l="1"/>
  <c r="P21" i="1" l="1"/>
  <c r="P22" i="1" s="1"/>
  <c r="P18" i="1"/>
  <c r="P19" i="1" s="1"/>
</calcChain>
</file>

<file path=xl/sharedStrings.xml><?xml version="1.0" encoding="utf-8"?>
<sst xmlns="http://schemas.openxmlformats.org/spreadsheetml/2006/main" count="19" uniqueCount="18">
  <si>
    <t>R</t>
  </si>
  <si>
    <t>T</t>
  </si>
  <si>
    <t>2Ui</t>
  </si>
  <si>
    <t>2Ui+n</t>
  </si>
  <si>
    <t>n</t>
  </si>
  <si>
    <t>el</t>
  </si>
  <si>
    <t>x среднее</t>
  </si>
  <si>
    <t>y ср</t>
  </si>
  <si>
    <t>x-xi * y-yi</t>
  </si>
  <si>
    <t>total b</t>
  </si>
  <si>
    <t>(x-xi)^2</t>
  </si>
  <si>
    <t>total a</t>
  </si>
  <si>
    <t>L</t>
  </si>
  <si>
    <t>C</t>
  </si>
  <si>
    <t>sa^2</t>
  </si>
  <si>
    <t>di</t>
  </si>
  <si>
    <t>sb^2</t>
  </si>
  <si>
    <t>Добротность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</si>
</sst>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72" formatCode="0.0E+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Лист1!$B$2:$B$15</c:f>
              <c:numCache>
                <c:formatCode>0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</c:numCache>
            </c:numRef>
          </c:xVal>
          <c:yVal>
            <c:numRef>
              <c:f>Лист1!$G$2:$G$15</c:f>
              <c:numCache>
                <c:formatCode>0.000</c:formatCode>
                <c:ptCount val="14"/>
                <c:pt idx="0">
                  <c:v>0.33588017015412769</c:v>
                </c:pt>
                <c:pt idx="1">
                  <c:v>0.3888116283356236</c:v>
                </c:pt>
                <c:pt idx="2">
                  <c:v>0.42928476276887939</c:v>
                </c:pt>
                <c:pt idx="3">
                  <c:v>0.47176063266438095</c:v>
                </c:pt>
                <c:pt idx="4">
                  <c:v>0.51922894912721829</c:v>
                </c:pt>
                <c:pt idx="5">
                  <c:v>0.56920493090683377</c:v>
                </c:pt>
                <c:pt idx="6">
                  <c:v>0.61086048791610337</c:v>
                </c:pt>
                <c:pt idx="7">
                  <c:v>0.6613771206251704</c:v>
                </c:pt>
                <c:pt idx="8">
                  <c:v>0.70912700132298501</c:v>
                </c:pt>
                <c:pt idx="9">
                  <c:v>0.75334182619174994</c:v>
                </c:pt>
                <c:pt idx="10">
                  <c:v>0.80381316596870933</c:v>
                </c:pt>
                <c:pt idx="11">
                  <c:v>1.2551122288861452</c:v>
                </c:pt>
                <c:pt idx="12">
                  <c:v>1.7491998548092591</c:v>
                </c:pt>
                <c:pt idx="13">
                  <c:v>2.3025850929940459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6-47B0-B719-18592ABE0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172368"/>
        <c:axId val="1804171536"/>
      </c:scatterChart>
      <c:valAx>
        <c:axId val="180417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R, </a:t>
                </a:r>
                <a:r>
                  <a:rPr lang="ru-RU"/>
                  <a:t>Ом</a:t>
                </a:r>
              </a:p>
            </c:rich>
          </c:tx>
          <c:layout>
            <c:manualLayout>
              <c:xMode val="edge"/>
              <c:yMode val="edge"/>
              <c:x val="0.90523154730226674"/>
              <c:y val="0.89466287778318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171536"/>
        <c:crosses val="autoZero"/>
        <c:crossBetween val="midCat"/>
      </c:valAx>
      <c:valAx>
        <c:axId val="18041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Логарифмический</a:t>
                </a:r>
                <a:r>
                  <a:rPr lang="ru-RU" baseline="0"/>
                  <a:t> декр.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6191609577127612E-2"/>
              <c:y val="3.63579621310000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17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Лист1!$H$2:$H$15</c:f>
              <c:numCache>
                <c:formatCode>0</c:formatCode>
                <c:ptCount val="14"/>
                <c:pt idx="0">
                  <c:v>72.39</c:v>
                </c:pt>
                <c:pt idx="1">
                  <c:v>82.39</c:v>
                </c:pt>
                <c:pt idx="2">
                  <c:v>92.39</c:v>
                </c:pt>
                <c:pt idx="3">
                  <c:v>102.39</c:v>
                </c:pt>
                <c:pt idx="4">
                  <c:v>112.39</c:v>
                </c:pt>
                <c:pt idx="5">
                  <c:v>122.39</c:v>
                </c:pt>
                <c:pt idx="6">
                  <c:v>132.38999999999999</c:v>
                </c:pt>
                <c:pt idx="7">
                  <c:v>142.38999999999999</c:v>
                </c:pt>
                <c:pt idx="8">
                  <c:v>152.38999999999999</c:v>
                </c:pt>
                <c:pt idx="9">
                  <c:v>162.38999999999999</c:v>
                </c:pt>
                <c:pt idx="10">
                  <c:v>172.39</c:v>
                </c:pt>
                <c:pt idx="11">
                  <c:v>272.39</c:v>
                </c:pt>
                <c:pt idx="12">
                  <c:v>372.39</c:v>
                </c:pt>
                <c:pt idx="13">
                  <c:v>472.39</c:v>
                </c:pt>
              </c:numCache>
            </c:numRef>
          </c:xVal>
          <c:yVal>
            <c:numRef>
              <c:f>Лист1!$I$2:$I$15</c:f>
              <c:numCache>
                <c:formatCode>0</c:formatCode>
                <c:ptCount val="14"/>
                <c:pt idx="0">
                  <c:v>12.844022124988705</c:v>
                </c:pt>
                <c:pt idx="1">
                  <c:v>11.62469629333461</c:v>
                </c:pt>
                <c:pt idx="2">
                  <c:v>10.903912904915394</c:v>
                </c:pt>
                <c:pt idx="3">
                  <c:v>10.287735037508927</c:v>
                </c:pt>
                <c:pt idx="4">
                  <c:v>9.7262955373941793</c:v>
                </c:pt>
                <c:pt idx="5">
                  <c:v>9.2444372406760564</c:v>
                </c:pt>
                <c:pt idx="6">
                  <c:v>8.9088131755044593</c:v>
                </c:pt>
                <c:pt idx="7">
                  <c:v>8.5648719964347233</c:v>
                </c:pt>
                <c:pt idx="8">
                  <c:v>8.2906547470021952</c:v>
                </c:pt>
                <c:pt idx="9">
                  <c:v>8.0723778841344913</c:v>
                </c:pt>
                <c:pt idx="10">
                  <c:v>7.8575435024463065</c:v>
                </c:pt>
                <c:pt idx="11">
                  <c:v>6.8388411506716587</c:v>
                </c:pt>
                <c:pt idx="12">
                  <c:v>6.4791521003859671</c:v>
                </c:pt>
                <c:pt idx="13">
                  <c:v>6.3466518254339253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A-4364-ABA8-F3756AB2A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325951"/>
        <c:axId val="1187321791"/>
      </c:scatterChart>
      <c:valAx>
        <c:axId val="118732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Сопротивление</a:t>
                </a:r>
                <a:r>
                  <a:rPr lang="ru-RU" baseline="0"/>
                  <a:t> контура </a:t>
                </a:r>
                <a:r>
                  <a:rPr lang="en-US" baseline="0"/>
                  <a:t>R, </a:t>
                </a:r>
                <a:r>
                  <a:rPr lang="ru-RU" baseline="0"/>
                  <a:t>Ом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686688708333"/>
              <c:y val="0.92342829529291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321791"/>
        <c:crosses val="autoZero"/>
        <c:crossBetween val="midCat"/>
      </c:valAx>
      <c:valAx>
        <c:axId val="11873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Добротность</a:t>
                </a:r>
                <a:r>
                  <a:rPr lang="ru-RU" baseline="0"/>
                  <a:t> </a:t>
                </a:r>
                <a:r>
                  <a:rPr lang="en-US" baseline="0"/>
                  <a:t>Q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4509829715968044E-2"/>
              <c:y val="3.61601060133164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32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Лист1!$B$17:$B$20</c:f>
              <c:numCache>
                <c:formatCode>General</c:formatCode>
                <c:ptCount val="4"/>
                <c:pt idx="0">
                  <c:v>2.1999999999999999E-2</c:v>
                </c:pt>
                <c:pt idx="1">
                  <c:v>3.3000000000000002E-2</c:v>
                </c:pt>
                <c:pt idx="2">
                  <c:v>4.7E-2</c:v>
                </c:pt>
                <c:pt idx="3">
                  <c:v>0.47</c:v>
                </c:pt>
              </c:numCache>
            </c:numRef>
          </c:xVal>
          <c:yVal>
            <c:numRef>
              <c:f>Лист1!$C$17:$C$21</c:f>
              <c:numCache>
                <c:formatCode>General</c:formatCode>
                <c:ptCount val="5"/>
                <c:pt idx="0">
                  <c:v>93</c:v>
                </c:pt>
                <c:pt idx="1">
                  <c:v>115</c:v>
                </c:pt>
                <c:pt idx="2">
                  <c:v>136</c:v>
                </c:pt>
                <c:pt idx="3">
                  <c:v>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6A8-BC1C-4B163CE0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578831"/>
        <c:axId val="1308564271"/>
      </c:scatterChart>
      <c:valAx>
        <c:axId val="130857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Емкость </a:t>
                </a:r>
                <a:r>
                  <a:rPr lang="en-US"/>
                  <a:t>C, </a:t>
                </a:r>
                <a:r>
                  <a:rPr lang="ru-RU"/>
                  <a:t>мкФ</a:t>
                </a:r>
              </a:p>
            </c:rich>
          </c:tx>
          <c:layout>
            <c:manualLayout>
              <c:xMode val="edge"/>
              <c:yMode val="edge"/>
              <c:x val="0.75423706710157135"/>
              <c:y val="0.87984698066432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8564271"/>
        <c:crosses val="autoZero"/>
        <c:crossBetween val="midCat"/>
      </c:valAx>
      <c:valAx>
        <c:axId val="130856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эксп,</a:t>
                </a:r>
                <a:r>
                  <a:rPr lang="ru-RU" baseline="0"/>
                  <a:t> мкс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6701256385984006E-2"/>
              <c:y val="5.28580806464473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857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Лист1!$B$17:$B$20</c:f>
              <c:numCache>
                <c:formatCode>General</c:formatCode>
                <c:ptCount val="4"/>
                <c:pt idx="0">
                  <c:v>2.1999999999999999E-2</c:v>
                </c:pt>
                <c:pt idx="1">
                  <c:v>3.3000000000000002E-2</c:v>
                </c:pt>
                <c:pt idx="2">
                  <c:v>4.7E-2</c:v>
                </c:pt>
                <c:pt idx="3">
                  <c:v>0.47</c:v>
                </c:pt>
              </c:numCache>
            </c:numRef>
          </c:xVal>
          <c:yVal>
            <c:numRef>
              <c:f>Лист1!$D$17:$D$20</c:f>
              <c:numCache>
                <c:formatCode>General</c:formatCode>
                <c:ptCount val="4"/>
                <c:pt idx="0">
                  <c:v>93.3</c:v>
                </c:pt>
                <c:pt idx="1">
                  <c:v>114.3</c:v>
                </c:pt>
                <c:pt idx="2">
                  <c:v>136.6</c:v>
                </c:pt>
                <c:pt idx="3">
                  <c:v>444.5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E-434D-B3CC-4CE82806B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148831"/>
        <c:axId val="1173142175"/>
      </c:scatterChart>
      <c:valAx>
        <c:axId val="117314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Емкость</a:t>
                </a:r>
                <a:r>
                  <a:rPr lang="ru-RU" baseline="0"/>
                  <a:t> </a:t>
                </a:r>
                <a:r>
                  <a:rPr lang="en-US" baseline="0"/>
                  <a:t>C, </a:t>
                </a:r>
                <a:r>
                  <a:rPr lang="ru-RU" baseline="0"/>
                  <a:t>мкФ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4316228538298057"/>
              <c:y val="0.88856759751748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142175"/>
        <c:crosses val="autoZero"/>
        <c:crossBetween val="midCat"/>
      </c:valAx>
      <c:valAx>
        <c:axId val="11731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теор</a:t>
                </a:r>
                <a:r>
                  <a:rPr lang="en-US"/>
                  <a:t>, </a:t>
                </a:r>
                <a:r>
                  <a:rPr lang="ru-RU"/>
                  <a:t>мкс</a:t>
                </a:r>
              </a:p>
            </c:rich>
          </c:tx>
          <c:layout>
            <c:manualLayout>
              <c:xMode val="edge"/>
              <c:yMode val="edge"/>
              <c:x val="2.7827876476657781E-2"/>
              <c:y val="4.873889813855208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14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По формуле Томпсона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Лист1!$H$2:$H$15</c:f>
              <c:numCache>
                <c:formatCode>0</c:formatCode>
                <c:ptCount val="14"/>
                <c:pt idx="0">
                  <c:v>72.39</c:v>
                </c:pt>
                <c:pt idx="1">
                  <c:v>82.39</c:v>
                </c:pt>
                <c:pt idx="2">
                  <c:v>92.39</c:v>
                </c:pt>
                <c:pt idx="3">
                  <c:v>102.39</c:v>
                </c:pt>
                <c:pt idx="4">
                  <c:v>112.39</c:v>
                </c:pt>
                <c:pt idx="5">
                  <c:v>122.39</c:v>
                </c:pt>
                <c:pt idx="6">
                  <c:v>132.38999999999999</c:v>
                </c:pt>
                <c:pt idx="7">
                  <c:v>142.38999999999999</c:v>
                </c:pt>
                <c:pt idx="8">
                  <c:v>152.38999999999999</c:v>
                </c:pt>
                <c:pt idx="9">
                  <c:v>162.38999999999999</c:v>
                </c:pt>
                <c:pt idx="10">
                  <c:v>172.39</c:v>
                </c:pt>
                <c:pt idx="11">
                  <c:v>272.39</c:v>
                </c:pt>
                <c:pt idx="12">
                  <c:v>372.39</c:v>
                </c:pt>
                <c:pt idx="13">
                  <c:v>472.39</c:v>
                </c:pt>
              </c:numCache>
            </c:numRef>
          </c:xVal>
          <c:yVal>
            <c:numRef>
              <c:f>Лист1!$T$2:$T$15</c:f>
              <c:numCache>
                <c:formatCode>0.00</c:formatCode>
                <c:ptCount val="14"/>
                <c:pt idx="0">
                  <c:v>93.162074883761377</c:v>
                </c:pt>
                <c:pt idx="1">
                  <c:v>93.162074883761377</c:v>
                </c:pt>
                <c:pt idx="2">
                  <c:v>93.162074883761377</c:v>
                </c:pt>
                <c:pt idx="3">
                  <c:v>93.162074883761377</c:v>
                </c:pt>
                <c:pt idx="4">
                  <c:v>93.162074883761377</c:v>
                </c:pt>
                <c:pt idx="5">
                  <c:v>93.162074883761377</c:v>
                </c:pt>
                <c:pt idx="6">
                  <c:v>93.162074883761377</c:v>
                </c:pt>
                <c:pt idx="7">
                  <c:v>93.162074883761377</c:v>
                </c:pt>
                <c:pt idx="8">
                  <c:v>93.162074883761377</c:v>
                </c:pt>
                <c:pt idx="9">
                  <c:v>93.162074883761377</c:v>
                </c:pt>
                <c:pt idx="10">
                  <c:v>93.162074883761377</c:v>
                </c:pt>
                <c:pt idx="11">
                  <c:v>93.162074883761377</c:v>
                </c:pt>
                <c:pt idx="12">
                  <c:v>93.162074883761377</c:v>
                </c:pt>
                <c:pt idx="13">
                  <c:v>93.162074883761377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A-470D-B316-00FA61AE7521}"/>
            </c:ext>
          </c:extLst>
        </c:ser>
        <c:ser>
          <c:idx val="1"/>
          <c:order val="1"/>
          <c:tx>
            <c:v>По формуле (6)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1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Лист1!$H$2:$H$15</c:f>
              <c:numCache>
                <c:formatCode>0</c:formatCode>
                <c:ptCount val="14"/>
                <c:pt idx="0">
                  <c:v>72.39</c:v>
                </c:pt>
                <c:pt idx="1">
                  <c:v>82.39</c:v>
                </c:pt>
                <c:pt idx="2">
                  <c:v>92.39</c:v>
                </c:pt>
                <c:pt idx="3">
                  <c:v>102.39</c:v>
                </c:pt>
                <c:pt idx="4">
                  <c:v>112.39</c:v>
                </c:pt>
                <c:pt idx="5">
                  <c:v>122.39</c:v>
                </c:pt>
                <c:pt idx="6">
                  <c:v>132.38999999999999</c:v>
                </c:pt>
                <c:pt idx="7">
                  <c:v>142.38999999999999</c:v>
                </c:pt>
                <c:pt idx="8">
                  <c:v>152.38999999999999</c:v>
                </c:pt>
                <c:pt idx="9">
                  <c:v>162.38999999999999</c:v>
                </c:pt>
                <c:pt idx="10">
                  <c:v>172.39</c:v>
                </c:pt>
                <c:pt idx="11">
                  <c:v>272.39</c:v>
                </c:pt>
                <c:pt idx="12">
                  <c:v>372.39</c:v>
                </c:pt>
                <c:pt idx="13">
                  <c:v>472.39</c:v>
                </c:pt>
              </c:numCache>
            </c:numRef>
          </c:xVal>
          <c:yVal>
            <c:numRef>
              <c:f>Лист1!$V$2:$V$15</c:f>
              <c:numCache>
                <c:formatCode>0.00</c:formatCode>
                <c:ptCount val="14"/>
                <c:pt idx="0">
                  <c:v>93.296714789012086</c:v>
                </c:pt>
                <c:pt idx="1">
                  <c:v>93.336594388390637</c:v>
                </c:pt>
                <c:pt idx="2">
                  <c:v>93.381688593302243</c:v>
                </c:pt>
                <c:pt idx="3">
                  <c:v>93.432019996588494</c:v>
                </c:pt>
                <c:pt idx="4">
                  <c:v>93.48761388368942</c:v>
                </c:pt>
                <c:pt idx="5">
                  <c:v>93.548498268181902</c:v>
                </c:pt>
                <c:pt idx="6">
                  <c:v>93.614703931329828</c:v>
                </c:pt>
                <c:pt idx="7">
                  <c:v>93.686264465755897</c:v>
                </c:pt>
                <c:pt idx="8">
                  <c:v>93.76321632335808</c:v>
                </c:pt>
                <c:pt idx="9">
                  <c:v>93.845598867606142</c:v>
                </c:pt>
                <c:pt idx="10">
                  <c:v>93.933454430367306</c:v>
                </c:pt>
                <c:pt idx="11">
                  <c:v>95.124599996024969</c:v>
                </c:pt>
                <c:pt idx="12">
                  <c:v>96.934727322239084</c:v>
                </c:pt>
                <c:pt idx="13">
                  <c:v>99.470598019579455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3A-470D-B316-00FA61AE7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340079"/>
        <c:axId val="1893345903"/>
      </c:scatterChart>
      <c:valAx>
        <c:axId val="189334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R,</a:t>
                </a:r>
                <a:r>
                  <a:rPr lang="en-US" baseline="0"/>
                  <a:t> </a:t>
                </a:r>
                <a:r>
                  <a:rPr lang="ru-RU" baseline="0"/>
                  <a:t>Ом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8520205989479284"/>
              <c:y val="0.90442407246957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45903"/>
        <c:crosses val="autoZero"/>
        <c:crossBetween val="midCat"/>
      </c:valAx>
      <c:valAx>
        <c:axId val="189334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мкс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0968791173955111E-2"/>
              <c:y val="0.13223642463559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40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824954347474335"/>
          <c:y val="0.13146548823901461"/>
          <c:w val="0.6092995321654382"/>
          <c:h val="5.5220054160042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601440</xdr:colOff>
      <xdr:row>20</xdr:row>
      <xdr:rowOff>99553</xdr:rowOff>
    </xdr:from>
    <xdr:to>
      <xdr:col>24</xdr:col>
      <xdr:colOff>359859</xdr:colOff>
      <xdr:row>37</xdr:row>
      <xdr:rowOff>123886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1B27D4-0C85-4AC6-9073-8485BE858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126524</xdr:colOff>
      <xdr:row>2</xdr:row>
      <xdr:rowOff>169416</xdr:rowOff>
    </xdr:from>
    <xdr:to>
      <xdr:col>21</xdr:col>
      <xdr:colOff>622042</xdr:colOff>
      <xdr:row>23</xdr:row>
      <xdr:rowOff>166801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8D685E8-9386-4EBF-B391-5F660DBD0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343989</xdr:colOff>
      <xdr:row>31</xdr:row>
      <xdr:rowOff>172720</xdr:rowOff>
    </xdr:from>
    <xdr:to>
      <xdr:col>11</xdr:col>
      <xdr:colOff>526869</xdr:colOff>
      <xdr:row>46</xdr:row>
      <xdr:rowOff>129177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15F28B0-A333-421D-AE85-505224A76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531468</xdr:colOff>
      <xdr:row>31</xdr:row>
      <xdr:rowOff>173960</xdr:rowOff>
    </xdr:from>
    <xdr:to>
      <xdr:col>17</xdr:col>
      <xdr:colOff>673047</xdr:colOff>
      <xdr:row>46</xdr:row>
      <xdr:rowOff>142495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580ECDB-713B-48F1-A6EC-F8729687E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480796</xdr:colOff>
      <xdr:row>12</xdr:row>
      <xdr:rowOff>43051</xdr:rowOff>
    </xdr:from>
    <xdr:to>
      <xdr:col>13</xdr:col>
      <xdr:colOff>165730</xdr:colOff>
      <xdr:row>33</xdr:row>
      <xdr:rowOff>8417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9DC195-C097-47E3-9C05-0964C79F7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2"/>
  <sheetViews>
    <sheetView tabSelected="1" topLeftCell="M1" zoomScale="139" workbookViewId="0">
      <selection activeCell="W14" sqref="W14"/>
    </sheetView>
  </sheetViews>
  <sheetFormatPr defaultRowHeight="14.4" x14ac:dyDescent="0.25"/>
  <cols>
    <col min="13" max="13" width="10.875" bestFit="1" customWidth="1"/>
    <col min="16" max="16" width="12.5" bestFit="1" customWidth="1"/>
    <col min="17" max="17" width="13.125" bestFit="1" customWidth="1"/>
    <col min="18" max="18" width="12.5" bestFit="1" customWidth="1"/>
    <col min="20" max="20" width="12.75" bestFit="1" customWidth="1"/>
    <col min="21" max="21" width="10.125" bestFit="1" customWidth="1"/>
    <col min="22" max="22" width="12.75" bestFit="1" customWidth="1"/>
  </cols>
  <sheetData>
    <row r="1" spans="2:22" ht="15.1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17</v>
      </c>
      <c r="J1" t="s">
        <v>12</v>
      </c>
      <c r="M1" t="s">
        <v>10</v>
      </c>
      <c r="N1" t="s">
        <v>8</v>
      </c>
      <c r="O1" t="s">
        <v>9</v>
      </c>
      <c r="P1" t="s">
        <v>11</v>
      </c>
      <c r="Q1" t="s">
        <v>15</v>
      </c>
      <c r="R1" t="s">
        <v>13</v>
      </c>
    </row>
    <row r="2" spans="2:22" ht="15.1" thickBot="1" x14ac:dyDescent="0.3">
      <c r="B2" s="4">
        <v>0</v>
      </c>
      <c r="C2" s="11">
        <v>93</v>
      </c>
      <c r="D2" s="1">
        <v>31.5</v>
      </c>
      <c r="E2" s="1">
        <v>11.5</v>
      </c>
      <c r="F2" s="1">
        <v>3</v>
      </c>
      <c r="G2" s="3">
        <f>1/F2*LN(D2/E2)</f>
        <v>0.33588017015412769</v>
      </c>
      <c r="H2" s="6">
        <f>B2+72.39</f>
        <v>72.39</v>
      </c>
      <c r="I2" s="6">
        <f>2*PI()/(1-EXP(-2*G2))</f>
        <v>12.844022124988705</v>
      </c>
      <c r="J2" s="5">
        <f>PI()^2*H2^2*R$2*1000/G2^2</f>
        <v>10.085811577106831</v>
      </c>
      <c r="K2" t="s">
        <v>6</v>
      </c>
      <c r="L2" t="s">
        <v>7</v>
      </c>
      <c r="M2" s="2">
        <f t="shared" ref="M2:M12" si="0">(K$3-B2)^2</f>
        <v>2500</v>
      </c>
      <c r="N2">
        <f t="shared" ref="N2:N12" si="1">(K$3-B2)*(L$3-G2)</f>
        <v>11.62731274675626</v>
      </c>
      <c r="O2">
        <f>SUM(N2:N12)/SUM(M2:M12)</f>
        <v>4.643797273518358E-3</v>
      </c>
      <c r="P2">
        <f>L3-O2*K3</f>
        <v>0.33623656141333502</v>
      </c>
      <c r="Q2">
        <f>(G2-(P$2+O$2*B2))^2</f>
        <v>1.2701472963938893E-7</v>
      </c>
      <c r="R2">
        <f>0.022*10^(-6)</f>
        <v>2.1999999999999998E-8</v>
      </c>
      <c r="T2" s="5">
        <f>2*PI()*SQRT(9.993*R$2*10^-3)*10^6</f>
        <v>93.162074883761377</v>
      </c>
      <c r="U2" s="13">
        <f>C2*10^-6</f>
        <v>9.2999999999999997E-5</v>
      </c>
      <c r="V2" s="5">
        <f>2*PI()/(SQRT(1/(9.993*10^-3*R$2)-H2^2/(2*9.993*10^-3)^2))*10^6</f>
        <v>93.296714789012086</v>
      </c>
    </row>
    <row r="3" spans="2:22" ht="15.1" thickBot="1" x14ac:dyDescent="0.3">
      <c r="B3" s="4">
        <v>10</v>
      </c>
      <c r="C3" s="12">
        <v>93</v>
      </c>
      <c r="D3" s="1">
        <v>30.5</v>
      </c>
      <c r="E3" s="1">
        <v>9.5</v>
      </c>
      <c r="F3" s="1">
        <v>3</v>
      </c>
      <c r="G3" s="3">
        <f t="shared" ref="G3:G15" si="2">1/F3*LN(D3/E3)</f>
        <v>0.3888116283356236</v>
      </c>
      <c r="H3" s="6">
        <f t="shared" ref="H3:H15" si="3">B3+72.39</f>
        <v>82.39</v>
      </c>
      <c r="I3" s="6">
        <f t="shared" ref="I3:I15" si="4">2*PI()/(1-EXP(-2*G3))</f>
        <v>11.62469629333461</v>
      </c>
      <c r="J3" s="3">
        <f>PI()^2*H3^2*R$2*1000/G3^2</f>
        <v>9.7497379223816321</v>
      </c>
      <c r="K3" s="2">
        <f>AVERAGE(B2:B12)</f>
        <v>50</v>
      </c>
      <c r="L3" s="2">
        <f>AVERAGE(G2:G12)</f>
        <v>0.5684264250892529</v>
      </c>
      <c r="M3" s="2">
        <f t="shared" si="0"/>
        <v>1600</v>
      </c>
      <c r="N3">
        <f t="shared" si="1"/>
        <v>7.1845918701451712</v>
      </c>
      <c r="Q3">
        <f t="shared" ref="Q3:Q12" si="5">(G3-(P$2+O$2*B3))^2</f>
        <v>3.7663925061398076E-5</v>
      </c>
      <c r="T3" s="5">
        <f t="shared" ref="T3:T15" si="6">2*PI()*SQRT(9.993*R$2*10^-3)*10^6</f>
        <v>93.162074883761377</v>
      </c>
      <c r="U3" s="13">
        <f t="shared" ref="U3:U15" si="7">C3*10^-6</f>
        <v>9.2999999999999997E-5</v>
      </c>
      <c r="V3" s="5">
        <f t="shared" ref="V3:V15" si="8">2*PI()/(SQRT(1/(9.993*10^-3*R$2)-H3^2/(2*9.993*10^-3)^2))*10^6</f>
        <v>93.336594388390637</v>
      </c>
    </row>
    <row r="4" spans="2:22" ht="15.1" thickBot="1" x14ac:dyDescent="0.3">
      <c r="B4" s="4">
        <v>20</v>
      </c>
      <c r="C4" s="12">
        <v>93</v>
      </c>
      <c r="D4" s="1">
        <v>29</v>
      </c>
      <c r="E4" s="1">
        <v>8</v>
      </c>
      <c r="F4" s="1">
        <v>3</v>
      </c>
      <c r="G4" s="3">
        <f t="shared" si="2"/>
        <v>0.42928476276887939</v>
      </c>
      <c r="H4" s="6">
        <f t="shared" si="3"/>
        <v>92.39</v>
      </c>
      <c r="I4" s="6">
        <f t="shared" si="4"/>
        <v>10.903912904915394</v>
      </c>
      <c r="J4" s="5">
        <f t="shared" ref="J4:J15" si="9">PI()^2*H4^2*R$2*1000/G4^2</f>
        <v>10.057300187430425</v>
      </c>
      <c r="M4" s="2">
        <f t="shared" si="0"/>
        <v>900</v>
      </c>
      <c r="N4">
        <f t="shared" si="1"/>
        <v>4.1742498696112049</v>
      </c>
      <c r="Q4">
        <f t="shared" si="5"/>
        <v>2.9672089978187378E-8</v>
      </c>
      <c r="T4" s="5">
        <f t="shared" si="6"/>
        <v>93.162074883761377</v>
      </c>
      <c r="U4" s="13">
        <f t="shared" si="7"/>
        <v>9.2999999999999997E-5</v>
      </c>
      <c r="V4" s="5">
        <f t="shared" si="8"/>
        <v>93.381688593302243</v>
      </c>
    </row>
    <row r="5" spans="2:22" ht="15.1" thickBot="1" x14ac:dyDescent="0.3">
      <c r="B5" s="4">
        <v>30</v>
      </c>
      <c r="C5" s="12">
        <v>93</v>
      </c>
      <c r="D5" s="1">
        <v>28</v>
      </c>
      <c r="E5" s="1">
        <v>6.8</v>
      </c>
      <c r="F5" s="1">
        <v>3</v>
      </c>
      <c r="G5" s="3">
        <f t="shared" si="2"/>
        <v>0.47176063266438095</v>
      </c>
      <c r="H5" s="6">
        <f t="shared" si="3"/>
        <v>102.39</v>
      </c>
      <c r="I5" s="6">
        <f t="shared" si="4"/>
        <v>10.287735037508927</v>
      </c>
      <c r="J5" s="5">
        <f t="shared" si="9"/>
        <v>10.228080037214093</v>
      </c>
      <c r="M5" s="2">
        <f t="shared" si="0"/>
        <v>400</v>
      </c>
      <c r="N5">
        <f t="shared" si="1"/>
        <v>1.9333158484974389</v>
      </c>
      <c r="Q5">
        <f t="shared" si="5"/>
        <v>1.4362939938569263E-5</v>
      </c>
      <c r="T5" s="5">
        <f t="shared" si="6"/>
        <v>93.162074883761377</v>
      </c>
      <c r="U5" s="13">
        <f t="shared" si="7"/>
        <v>9.2999999999999997E-5</v>
      </c>
      <c r="V5" s="5">
        <f t="shared" si="8"/>
        <v>93.432019996588494</v>
      </c>
    </row>
    <row r="6" spans="2:22" ht="15.1" thickBot="1" x14ac:dyDescent="0.3">
      <c r="B6" s="4">
        <v>40</v>
      </c>
      <c r="C6" s="12">
        <v>93</v>
      </c>
      <c r="D6" s="1">
        <v>27.3</v>
      </c>
      <c r="E6" s="1">
        <v>5.75</v>
      </c>
      <c r="F6" s="1">
        <v>3</v>
      </c>
      <c r="G6" s="3">
        <f t="shared" si="2"/>
        <v>0.51922894912721829</v>
      </c>
      <c r="H6" s="6">
        <f t="shared" si="3"/>
        <v>112.39</v>
      </c>
      <c r="I6" s="6">
        <f t="shared" si="4"/>
        <v>9.7262955373941793</v>
      </c>
      <c r="J6" s="5">
        <f t="shared" si="9"/>
        <v>10.173255979067465</v>
      </c>
      <c r="M6" s="2">
        <f t="shared" si="0"/>
        <v>100</v>
      </c>
      <c r="N6">
        <f t="shared" si="1"/>
        <v>0.49197475962034609</v>
      </c>
      <c r="Q6">
        <f t="shared" si="5"/>
        <v>7.6148580590012715E-6</v>
      </c>
      <c r="T6" s="5">
        <f t="shared" si="6"/>
        <v>93.162074883761377</v>
      </c>
      <c r="U6" s="13">
        <f t="shared" si="7"/>
        <v>9.2999999999999997E-5</v>
      </c>
      <c r="V6" s="5">
        <f t="shared" si="8"/>
        <v>93.48761388368942</v>
      </c>
    </row>
    <row r="7" spans="2:22" ht="15.1" thickBot="1" x14ac:dyDescent="0.3">
      <c r="B7" s="4">
        <v>50</v>
      </c>
      <c r="C7" s="12">
        <v>93</v>
      </c>
      <c r="D7" s="1">
        <v>26.2</v>
      </c>
      <c r="E7" s="1">
        <v>4.75</v>
      </c>
      <c r="F7" s="1">
        <v>3</v>
      </c>
      <c r="G7" s="3">
        <f t="shared" si="2"/>
        <v>0.56920493090683377</v>
      </c>
      <c r="H7" s="6">
        <f t="shared" si="3"/>
        <v>122.39</v>
      </c>
      <c r="I7" s="6">
        <f t="shared" si="4"/>
        <v>9.2444372406760564</v>
      </c>
      <c r="J7" s="5">
        <f t="shared" si="9"/>
        <v>10.038688735948433</v>
      </c>
      <c r="M7" s="2">
        <f t="shared" si="0"/>
        <v>0</v>
      </c>
      <c r="N7">
        <f t="shared" si="1"/>
        <v>0</v>
      </c>
      <c r="Q7">
        <f t="shared" si="5"/>
        <v>6.0607130800726935E-7</v>
      </c>
      <c r="T7" s="5">
        <f t="shared" si="6"/>
        <v>93.162074883761377</v>
      </c>
      <c r="U7" s="13">
        <f t="shared" si="7"/>
        <v>9.2999999999999997E-5</v>
      </c>
      <c r="V7" s="5">
        <f t="shared" si="8"/>
        <v>93.548498268181902</v>
      </c>
    </row>
    <row r="8" spans="2:22" ht="15.1" thickBot="1" x14ac:dyDescent="0.3">
      <c r="B8" s="4">
        <v>60</v>
      </c>
      <c r="C8" s="12">
        <v>93</v>
      </c>
      <c r="D8" s="1">
        <v>25</v>
      </c>
      <c r="E8" s="1">
        <v>4</v>
      </c>
      <c r="F8" s="1">
        <v>3</v>
      </c>
      <c r="G8" s="3">
        <f t="shared" si="2"/>
        <v>0.61086048791610337</v>
      </c>
      <c r="H8" s="6">
        <f t="shared" si="3"/>
        <v>132.38999999999999</v>
      </c>
      <c r="I8" s="6">
        <f t="shared" si="4"/>
        <v>8.9088131755044593</v>
      </c>
      <c r="J8" s="5">
        <f t="shared" si="9"/>
        <v>10.198791682671567</v>
      </c>
      <c r="M8" s="2">
        <f t="shared" si="0"/>
        <v>100</v>
      </c>
      <c r="N8">
        <f t="shared" si="1"/>
        <v>0.42434062826850472</v>
      </c>
      <c r="Q8">
        <f t="shared" si="5"/>
        <v>1.6031294554048886E-5</v>
      </c>
      <c r="T8" s="5">
        <f t="shared" si="6"/>
        <v>93.162074883761377</v>
      </c>
      <c r="U8" s="13">
        <f t="shared" si="7"/>
        <v>9.2999999999999997E-5</v>
      </c>
      <c r="V8" s="5">
        <f t="shared" si="8"/>
        <v>93.614703931329828</v>
      </c>
    </row>
    <row r="9" spans="2:22" ht="15.1" thickBot="1" x14ac:dyDescent="0.3">
      <c r="B9" s="4">
        <v>70</v>
      </c>
      <c r="C9" s="12">
        <v>93</v>
      </c>
      <c r="D9" s="1">
        <v>24</v>
      </c>
      <c r="E9" s="1">
        <v>3.3</v>
      </c>
      <c r="F9" s="1">
        <v>3</v>
      </c>
      <c r="G9" s="3">
        <f t="shared" si="2"/>
        <v>0.6613771206251704</v>
      </c>
      <c r="H9" s="6">
        <f t="shared" si="3"/>
        <v>142.38999999999999</v>
      </c>
      <c r="I9" s="6">
        <f t="shared" si="4"/>
        <v>8.5648719964347233</v>
      </c>
      <c r="J9" s="5">
        <f t="shared" si="9"/>
        <v>10.064288372649465</v>
      </c>
      <c r="M9" s="2">
        <f t="shared" si="0"/>
        <v>400</v>
      </c>
      <c r="N9">
        <f t="shared" si="1"/>
        <v>1.8590139107183501</v>
      </c>
      <c r="Q9">
        <f t="shared" si="5"/>
        <v>5.5875722997658073E-9</v>
      </c>
      <c r="T9" s="5">
        <f t="shared" si="6"/>
        <v>93.162074883761377</v>
      </c>
      <c r="U9" s="13">
        <f t="shared" si="7"/>
        <v>9.2999999999999997E-5</v>
      </c>
      <c r="V9" s="5">
        <f t="shared" si="8"/>
        <v>93.686264465755897</v>
      </c>
    </row>
    <row r="10" spans="2:22" ht="15.1" thickBot="1" x14ac:dyDescent="0.3">
      <c r="B10" s="4">
        <v>80</v>
      </c>
      <c r="C10" s="12">
        <v>93.5</v>
      </c>
      <c r="D10" s="1">
        <v>23.5</v>
      </c>
      <c r="E10" s="1">
        <v>2.8</v>
      </c>
      <c r="F10" s="1">
        <v>3</v>
      </c>
      <c r="G10" s="3">
        <f t="shared" si="2"/>
        <v>0.70912700132298501</v>
      </c>
      <c r="H10" s="6">
        <f t="shared" si="3"/>
        <v>152.38999999999999</v>
      </c>
      <c r="I10" s="6">
        <f t="shared" si="4"/>
        <v>8.2906547470021952</v>
      </c>
      <c r="J10" s="5">
        <f t="shared" si="9"/>
        <v>10.027376454213028</v>
      </c>
      <c r="M10" s="2">
        <f t="shared" si="0"/>
        <v>900</v>
      </c>
      <c r="N10">
        <f t="shared" si="1"/>
        <v>4.2210172870119633</v>
      </c>
      <c r="Q10">
        <f t="shared" si="5"/>
        <v>1.9228204871195836E-6</v>
      </c>
      <c r="T10" s="5">
        <f t="shared" si="6"/>
        <v>93.162074883761377</v>
      </c>
      <c r="U10" s="13">
        <f t="shared" si="7"/>
        <v>9.3499999999999996E-5</v>
      </c>
      <c r="V10" s="5">
        <f t="shared" si="8"/>
        <v>93.76321632335808</v>
      </c>
    </row>
    <row r="11" spans="2:22" ht="15.1" thickBot="1" x14ac:dyDescent="0.3">
      <c r="B11" s="4">
        <v>90</v>
      </c>
      <c r="C11" s="12">
        <v>93.5</v>
      </c>
      <c r="D11" s="1">
        <v>23</v>
      </c>
      <c r="E11" s="1">
        <v>2.4</v>
      </c>
      <c r="F11" s="1">
        <v>3</v>
      </c>
      <c r="G11" s="3">
        <f t="shared" si="2"/>
        <v>0.75334182619174994</v>
      </c>
      <c r="H11" s="6">
        <f t="shared" si="3"/>
        <v>162.38999999999999</v>
      </c>
      <c r="I11" s="6">
        <f t="shared" si="4"/>
        <v>8.0723778841344913</v>
      </c>
      <c r="J11" s="5">
        <f t="shared" si="9"/>
        <v>10.089202267346693</v>
      </c>
      <c r="M11" s="2">
        <f t="shared" si="0"/>
        <v>1600</v>
      </c>
      <c r="N11">
        <f t="shared" si="1"/>
        <v>7.3966160440998818</v>
      </c>
      <c r="Q11">
        <f t="shared" si="5"/>
        <v>6.9971524947437179E-7</v>
      </c>
      <c r="T11" s="5">
        <f t="shared" si="6"/>
        <v>93.162074883761377</v>
      </c>
      <c r="U11" s="13">
        <f t="shared" si="7"/>
        <v>9.3499999999999996E-5</v>
      </c>
      <c r="V11" s="5">
        <f t="shared" si="8"/>
        <v>93.845598867606142</v>
      </c>
    </row>
    <row r="12" spans="2:22" ht="15.1" thickBot="1" x14ac:dyDescent="0.3">
      <c r="B12" s="4">
        <v>100</v>
      </c>
      <c r="C12" s="12">
        <v>94</v>
      </c>
      <c r="D12" s="1">
        <v>22.3</v>
      </c>
      <c r="E12" s="1">
        <v>2</v>
      </c>
      <c r="F12" s="1">
        <v>3</v>
      </c>
      <c r="G12" s="3">
        <f t="shared" si="2"/>
        <v>0.80381316596870933</v>
      </c>
      <c r="H12" s="6">
        <f t="shared" si="3"/>
        <v>172.39</v>
      </c>
      <c r="I12" s="6">
        <f t="shared" si="4"/>
        <v>7.8575435024463065</v>
      </c>
      <c r="J12" s="3">
        <f t="shared" si="9"/>
        <v>9.9870295469123249</v>
      </c>
      <c r="M12" s="2">
        <f t="shared" si="0"/>
        <v>2500</v>
      </c>
      <c r="N12">
        <f t="shared" si="1"/>
        <v>11.769337043972822</v>
      </c>
      <c r="Q12">
        <f t="shared" si="5"/>
        <v>1.0220023854503825E-5</v>
      </c>
      <c r="T12" s="5">
        <f t="shared" si="6"/>
        <v>93.162074883761377</v>
      </c>
      <c r="U12" s="13">
        <f t="shared" si="7"/>
        <v>9.3999999999999994E-5</v>
      </c>
      <c r="V12" s="5">
        <f t="shared" si="8"/>
        <v>93.933454430367306</v>
      </c>
    </row>
    <row r="13" spans="2:22" ht="15.1" thickBot="1" x14ac:dyDescent="0.3">
      <c r="B13" s="4">
        <v>200</v>
      </c>
      <c r="C13" s="12">
        <v>94.5</v>
      </c>
      <c r="D13" s="1">
        <v>16</v>
      </c>
      <c r="E13" s="1">
        <v>1.3</v>
      </c>
      <c r="F13" s="1">
        <v>2</v>
      </c>
      <c r="G13" s="3">
        <f t="shared" si="2"/>
        <v>1.2551122288861452</v>
      </c>
      <c r="H13" s="6">
        <f t="shared" si="3"/>
        <v>272.39</v>
      </c>
      <c r="I13" s="6">
        <f t="shared" si="4"/>
        <v>6.8388411506716587</v>
      </c>
      <c r="J13" s="5">
        <f t="shared" si="9"/>
        <v>10.226796720424717</v>
      </c>
      <c r="T13" s="5">
        <f t="shared" si="6"/>
        <v>93.162074883761377</v>
      </c>
      <c r="U13" s="13">
        <f t="shared" si="7"/>
        <v>9.4499999999999993E-5</v>
      </c>
      <c r="V13" s="5">
        <f t="shared" si="8"/>
        <v>95.124599996024969</v>
      </c>
    </row>
    <row r="14" spans="2:22" ht="15.1" thickBot="1" x14ac:dyDescent="0.3">
      <c r="B14" s="4">
        <v>300</v>
      </c>
      <c r="C14" s="12">
        <v>96</v>
      </c>
      <c r="D14" s="1">
        <v>11.5</v>
      </c>
      <c r="E14" s="1">
        <v>2</v>
      </c>
      <c r="F14" s="1">
        <v>1</v>
      </c>
      <c r="G14" s="3">
        <f t="shared" si="2"/>
        <v>1.7491998548092591</v>
      </c>
      <c r="H14" s="6">
        <f t="shared" si="3"/>
        <v>372.39</v>
      </c>
      <c r="I14" s="6">
        <f t="shared" si="4"/>
        <v>6.4791521003859671</v>
      </c>
      <c r="J14" s="3">
        <f t="shared" si="9"/>
        <v>9.8410079167219973</v>
      </c>
      <c r="M14" s="2">
        <f>SUM(M2:M12)</f>
        <v>11000</v>
      </c>
      <c r="Q14">
        <f>SUM(Q2:Q12)</f>
        <v>8.9283922904039899E-5</v>
      </c>
      <c r="T14" s="5">
        <f t="shared" si="6"/>
        <v>93.162074883761377</v>
      </c>
      <c r="U14" s="13">
        <f t="shared" si="7"/>
        <v>9.6000000000000002E-5</v>
      </c>
      <c r="V14" s="5">
        <f t="shared" si="8"/>
        <v>96.934727322239084</v>
      </c>
    </row>
    <row r="15" spans="2:22" ht="15.1" thickBot="1" x14ac:dyDescent="0.3">
      <c r="B15" s="4">
        <v>400</v>
      </c>
      <c r="C15" s="12">
        <v>99</v>
      </c>
      <c r="D15" s="1">
        <v>8</v>
      </c>
      <c r="E15" s="1">
        <v>0.8</v>
      </c>
      <c r="F15" s="1">
        <v>1</v>
      </c>
      <c r="G15" s="3">
        <f t="shared" si="2"/>
        <v>2.3025850929940459</v>
      </c>
      <c r="H15" s="6">
        <f t="shared" si="3"/>
        <v>472.39</v>
      </c>
      <c r="I15" s="6">
        <f t="shared" si="4"/>
        <v>6.3466518254339253</v>
      </c>
      <c r="J15" s="3">
        <f t="shared" si="9"/>
        <v>9.1388687420791133</v>
      </c>
      <c r="T15" s="5">
        <f t="shared" si="6"/>
        <v>93.162074883761377</v>
      </c>
      <c r="U15" s="13">
        <f t="shared" si="7"/>
        <v>9.8999999999999994E-5</v>
      </c>
      <c r="V15" s="5">
        <f t="shared" si="8"/>
        <v>99.470598019579455</v>
      </c>
    </row>
    <row r="16" spans="2:22" ht="15.1" thickBot="1" x14ac:dyDescent="0.3">
      <c r="T16" s="13"/>
      <c r="U16" s="13"/>
      <c r="V16" s="13"/>
    </row>
    <row r="17" spans="2:22" ht="15.1" thickBot="1" x14ac:dyDescent="0.3">
      <c r="B17" s="7">
        <v>2.1999999999999999E-2</v>
      </c>
      <c r="C17" s="8">
        <v>93</v>
      </c>
      <c r="D17" s="8">
        <v>93.3</v>
      </c>
      <c r="E17" s="8">
        <v>-3.2000000000000002E-3</v>
      </c>
      <c r="J17" s="3">
        <f>AVERAGE(J2:J15)</f>
        <v>9.9933025815834124</v>
      </c>
      <c r="P17" t="s">
        <v>14</v>
      </c>
      <c r="T17" s="13"/>
      <c r="U17" s="13"/>
      <c r="V17" s="13"/>
    </row>
    <row r="18" spans="2:22" ht="15.1" thickBot="1" x14ac:dyDescent="0.3">
      <c r="B18" s="9">
        <v>3.3000000000000002E-2</v>
      </c>
      <c r="C18" s="10">
        <v>115</v>
      </c>
      <c r="D18" s="10">
        <v>114.3</v>
      </c>
      <c r="E18" s="10">
        <v>-6.1000000000000004E-3</v>
      </c>
      <c r="P18">
        <f>(1/11+K3^2/M14)*Q14/9</f>
        <v>3.1565023248902995E-6</v>
      </c>
    </row>
    <row r="19" spans="2:22" ht="15.1" thickBot="1" x14ac:dyDescent="0.3">
      <c r="B19" s="9">
        <v>4.7E-2</v>
      </c>
      <c r="C19" s="10">
        <v>136</v>
      </c>
      <c r="D19" s="10">
        <v>136.6</v>
      </c>
      <c r="E19" s="10">
        <v>-4.4000000000000003E-3</v>
      </c>
      <c r="P19">
        <f>SQRT(P18)*2</f>
        <v>3.5533096261881258E-3</v>
      </c>
    </row>
    <row r="20" spans="2:22" ht="15.1" thickBot="1" x14ac:dyDescent="0.3">
      <c r="B20" s="9">
        <v>0.47</v>
      </c>
      <c r="C20" s="10">
        <v>452</v>
      </c>
      <c r="D20" s="10">
        <v>444.5</v>
      </c>
      <c r="E20" s="10">
        <v>1.6899999999999998E-2</v>
      </c>
      <c r="P20" t="s">
        <v>16</v>
      </c>
    </row>
    <row r="21" spans="2:22" x14ac:dyDescent="0.25">
      <c r="P21">
        <f>1/M14*Q14/9</f>
        <v>9.0185780711151414E-10</v>
      </c>
    </row>
    <row r="22" spans="2:22" x14ac:dyDescent="0.25">
      <c r="P22">
        <f>2*SQRT(P21)</f>
        <v>6.0061894978813783E-5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Кулаков</dc:creator>
  <cp:lastModifiedBy>Никита Кулаков</cp:lastModifiedBy>
  <dcterms:created xsi:type="dcterms:W3CDTF">2015-06-05T18:19:34Z</dcterms:created>
  <dcterms:modified xsi:type="dcterms:W3CDTF">2021-04-11T20:19:29Z</dcterms:modified>
</cp:coreProperties>
</file>