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3\#материалы в производство\006 ГРАДИЕНТ\# INFLUENCE\INFLUENCE\Справочная информация\"/>
    </mc:Choice>
  </mc:AlternateContent>
  <bookViews>
    <workbookView xWindow="20805" yWindow="315" windowWidth="17895" windowHeight="11070"/>
  </bookViews>
  <sheets>
    <sheet name="Лист3" sheetId="1" r:id="rId1"/>
  </sheets>
  <definedNames>
    <definedName name="_xlnm._FilterDatabase" localSheetId="0" hidden="1">Лист3!$B$1:$B$171</definedName>
  </definedNames>
  <calcPr calcId="162913" refMode="R1C1"/>
</workbook>
</file>

<file path=xl/calcChain.xml><?xml version="1.0" encoding="utf-8"?>
<calcChain xmlns="http://schemas.openxmlformats.org/spreadsheetml/2006/main">
  <c r="FH53" i="1" l="1"/>
  <c r="FH52" i="1"/>
  <c r="FH51" i="1"/>
  <c r="FG53" i="1"/>
  <c r="FG52" i="1"/>
  <c r="FG51" i="1"/>
  <c r="FG23" i="1"/>
  <c r="C23" i="1" s="1"/>
  <c r="FG3" i="1"/>
  <c r="FG49" i="1"/>
  <c r="FG48" i="1"/>
  <c r="FG47" i="1"/>
  <c r="FG4" i="1"/>
  <c r="FH15" i="1"/>
  <c r="FH16" i="1"/>
  <c r="FH23" i="1"/>
  <c r="FH47" i="1"/>
  <c r="FH49" i="1"/>
  <c r="FH48" i="1"/>
  <c r="C48" i="1"/>
  <c r="FE55" i="1" l="1"/>
  <c r="FF55" i="1"/>
  <c r="FF11" i="1"/>
  <c r="FE11" i="1"/>
  <c r="FF12" i="1"/>
  <c r="FE12" i="1"/>
  <c r="FF25" i="1"/>
  <c r="FF28" i="1"/>
  <c r="FF27" i="1"/>
  <c r="FF37" i="1"/>
  <c r="FF43" i="1"/>
  <c r="FF44" i="1" s="1"/>
  <c r="FE43" i="1"/>
  <c r="FE44" i="1" s="1"/>
  <c r="FE27" i="1"/>
  <c r="FE28" i="1"/>
  <c r="FF3" i="1"/>
  <c r="FF49" i="1"/>
  <c r="FF47" i="1"/>
  <c r="FF4" i="1"/>
  <c r="FE3" i="1"/>
  <c r="FE4" i="1"/>
  <c r="FF136" i="1"/>
  <c r="C136" i="1"/>
  <c r="FF53" i="1"/>
  <c r="FF51" i="1"/>
  <c r="FF52" i="1"/>
  <c r="FE135" i="1"/>
  <c r="C135" i="1"/>
  <c r="FE51" i="1"/>
  <c r="FE52" i="1"/>
  <c r="FE53" i="1"/>
  <c r="FE37" i="1"/>
  <c r="FE25" i="1"/>
  <c r="FE47" i="1"/>
  <c r="FE49" i="1"/>
  <c r="FD27" i="1" l="1"/>
  <c r="FD25" i="1"/>
  <c r="FD11" i="1"/>
  <c r="FD28" i="1" s="1"/>
  <c r="FD3" i="1"/>
  <c r="FD37" i="1"/>
  <c r="C37" i="1" s="1"/>
  <c r="FD4" i="1"/>
  <c r="FD12" i="1"/>
  <c r="FD53" i="1"/>
  <c r="FD59" i="1"/>
  <c r="C59" i="1"/>
  <c r="FD55" i="1"/>
  <c r="FD51" i="1"/>
  <c r="FD52" i="1"/>
  <c r="FD44" i="1"/>
  <c r="FD43" i="1"/>
  <c r="FD49" i="1"/>
  <c r="FD47" i="1"/>
  <c r="FC11" i="1"/>
  <c r="FC3" i="1"/>
  <c r="FC4" i="1"/>
  <c r="FC12" i="1"/>
  <c r="FC58" i="1"/>
  <c r="C58" i="1"/>
  <c r="FC55" i="1"/>
  <c r="FC51" i="1"/>
  <c r="FC52" i="1"/>
  <c r="FC53" i="1"/>
  <c r="FC28" i="1"/>
  <c r="FC27" i="1"/>
  <c r="FC25" i="1"/>
  <c r="FC44" i="1"/>
  <c r="FC43" i="1"/>
  <c r="FC49" i="1"/>
  <c r="FC47" i="1"/>
  <c r="FB57" i="1"/>
  <c r="C57" i="1"/>
  <c r="FA55" i="1"/>
  <c r="FB55" i="1"/>
  <c r="FB25" i="1"/>
  <c r="FB11" i="1"/>
  <c r="FB3" i="1"/>
  <c r="FB12" i="1"/>
  <c r="FB4" i="1"/>
  <c r="FB28" i="1"/>
  <c r="FB27" i="1"/>
  <c r="FB44" i="1"/>
  <c r="FB43" i="1"/>
  <c r="FB52" i="1"/>
  <c r="FB51" i="1"/>
  <c r="FB49" i="1"/>
  <c r="FB47" i="1"/>
  <c r="CP51" i="1" l="1"/>
  <c r="CP52" i="1"/>
  <c r="CP53" i="1"/>
  <c r="EX49" i="1"/>
  <c r="EX47" i="1"/>
  <c r="EX53" i="1"/>
  <c r="EX52" i="1"/>
  <c r="EX51" i="1"/>
  <c r="EX44" i="1"/>
  <c r="EX43" i="1"/>
  <c r="EX33" i="1"/>
  <c r="EX30" i="1"/>
  <c r="EX29" i="1"/>
  <c r="EZ3" i="1"/>
  <c r="CP9" i="1"/>
  <c r="CP33" i="1"/>
  <c r="CP44" i="1"/>
  <c r="CP43" i="1"/>
  <c r="CP49" i="1"/>
  <c r="CP47" i="1"/>
  <c r="CP10" i="1"/>
  <c r="C171" i="1"/>
  <c r="C170" i="1"/>
  <c r="C167" i="1"/>
  <c r="C166" i="1"/>
  <c r="C163" i="1"/>
  <c r="C162" i="1"/>
  <c r="C161" i="1"/>
  <c r="C158" i="1"/>
  <c r="C157" i="1"/>
  <c r="C156" i="1"/>
  <c r="C153" i="1"/>
  <c r="C152" i="1"/>
  <c r="C151" i="1"/>
  <c r="C148" i="1"/>
  <c r="C147" i="1"/>
  <c r="C144" i="1"/>
  <c r="C143" i="1"/>
  <c r="C142" i="1"/>
  <c r="CY137" i="1"/>
  <c r="C137" i="1" s="1"/>
  <c r="EE134" i="1"/>
  <c r="C134" i="1" s="1"/>
  <c r="EC133" i="1"/>
  <c r="C133" i="1" s="1"/>
  <c r="CZ132" i="1"/>
  <c r="C132" i="1" s="1"/>
  <c r="EG131" i="1"/>
  <c r="C131" i="1" s="1"/>
  <c r="ED130" i="1"/>
  <c r="C130" i="1" s="1"/>
  <c r="EB129" i="1"/>
  <c r="C129" i="1" s="1"/>
  <c r="CM128" i="1"/>
  <c r="C128" i="1" s="1"/>
  <c r="EA127" i="1"/>
  <c r="C127" i="1" s="1"/>
  <c r="DZ126" i="1"/>
  <c r="DR126" i="1"/>
  <c r="ER125" i="1"/>
  <c r="EQ125" i="1"/>
  <c r="EP125" i="1"/>
  <c r="EO125" i="1"/>
  <c r="EN125" i="1"/>
  <c r="EM125" i="1"/>
  <c r="DY125" i="1"/>
  <c r="DX125" i="1"/>
  <c r="DQ125" i="1"/>
  <c r="DE125" i="1"/>
  <c r="DW124" i="1"/>
  <c r="DD124" i="1"/>
  <c r="DV123" i="1"/>
  <c r="C123" i="1" s="1"/>
  <c r="DU122" i="1"/>
  <c r="DT122" i="1"/>
  <c r="DS121" i="1"/>
  <c r="C121" i="1" s="1"/>
  <c r="CU120" i="1"/>
  <c r="C120" i="1" s="1"/>
  <c r="CT119" i="1"/>
  <c r="C119" i="1" s="1"/>
  <c r="CS118" i="1"/>
  <c r="C118" i="1" s="1"/>
  <c r="CO117" i="1"/>
  <c r="C117" i="1" s="1"/>
  <c r="CR116" i="1"/>
  <c r="C116" i="1" s="1"/>
  <c r="CQ115" i="1"/>
  <c r="C115" i="1" s="1"/>
  <c r="AU114" i="1"/>
  <c r="C114" i="1" s="1"/>
  <c r="DA113" i="1"/>
  <c r="C113" i="1" s="1"/>
  <c r="DB112" i="1"/>
  <c r="C112" i="1" s="1"/>
  <c r="DC111" i="1"/>
  <c r="C111" i="1" s="1"/>
  <c r="CD110" i="1"/>
  <c r="C110" i="1" s="1"/>
  <c r="AB109" i="1"/>
  <c r="AA109" i="1"/>
  <c r="Z109" i="1"/>
  <c r="C108" i="1"/>
  <c r="AS107" i="1"/>
  <c r="C107" i="1" s="1"/>
  <c r="EJ106" i="1"/>
  <c r="EI106" i="1"/>
  <c r="EH106" i="1"/>
  <c r="EF106" i="1"/>
  <c r="AN106" i="1"/>
  <c r="AR105" i="1"/>
  <c r="C105" i="1" s="1"/>
  <c r="AO104" i="1"/>
  <c r="C104" i="1"/>
  <c r="BC103" i="1"/>
  <c r="C103" i="1" s="1"/>
  <c r="BB102" i="1"/>
  <c r="AM102" i="1"/>
  <c r="CB101" i="1"/>
  <c r="C101" i="1" s="1"/>
  <c r="AF100" i="1"/>
  <c r="C100" i="1" s="1"/>
  <c r="BL99" i="1"/>
  <c r="C99" i="1" s="1"/>
  <c r="BZ98" i="1"/>
  <c r="C98" i="1" s="1"/>
  <c r="X97" i="1"/>
  <c r="C97" i="1" s="1"/>
  <c r="Y96" i="1"/>
  <c r="C96" i="1" s="1"/>
  <c r="BK95" i="1"/>
  <c r="C95" i="1" s="1"/>
  <c r="Q94" i="1"/>
  <c r="C94" i="1" s="1"/>
  <c r="K93" i="1"/>
  <c r="C93" i="1" s="1"/>
  <c r="EL92" i="1"/>
  <c r="EK92" i="1"/>
  <c r="CA92" i="1"/>
  <c r="BU91" i="1"/>
  <c r="C91" i="1" s="1"/>
  <c r="R90" i="1"/>
  <c r="C90" i="1" s="1"/>
  <c r="G89" i="1"/>
  <c r="C89" i="1" s="1"/>
  <c r="S88" i="1"/>
  <c r="C88" i="1" s="1"/>
  <c r="AP87" i="1"/>
  <c r="J87" i="1"/>
  <c r="BH86" i="1"/>
  <c r="C86" i="1" s="1"/>
  <c r="BO85" i="1"/>
  <c r="C85" i="1" s="1"/>
  <c r="BG84" i="1"/>
  <c r="C84" i="1" s="1"/>
  <c r="EU83" i="1"/>
  <c r="L83" i="1"/>
  <c r="I82" i="1"/>
  <c r="F82" i="1"/>
  <c r="BS81" i="1"/>
  <c r="C81" i="1" s="1"/>
  <c r="ET80" i="1"/>
  <c r="AG80" i="1"/>
  <c r="BI79" i="1"/>
  <c r="C79" i="1" s="1"/>
  <c r="BF78" i="1"/>
  <c r="C78" i="1" s="1"/>
  <c r="ES77" i="1"/>
  <c r="BQ77" i="1"/>
  <c r="BP77" i="1"/>
  <c r="BA77" i="1"/>
  <c r="N77" i="1"/>
  <c r="BN76" i="1"/>
  <c r="AQ76" i="1"/>
  <c r="AZ75" i="1"/>
  <c r="C75" i="1" s="1"/>
  <c r="AY74" i="1"/>
  <c r="C74" i="1" s="1"/>
  <c r="AX73" i="1"/>
  <c r="C73" i="1" s="1"/>
  <c r="AW72" i="1"/>
  <c r="C72" i="1" s="1"/>
  <c r="AV71" i="1"/>
  <c r="C71" i="1" s="1"/>
  <c r="AT70" i="1"/>
  <c r="C70" i="1" s="1"/>
  <c r="AE69" i="1"/>
  <c r="AD69" i="1"/>
  <c r="AC69" i="1"/>
  <c r="BR68" i="1"/>
  <c r="C68" i="1" s="1"/>
  <c r="H67" i="1"/>
  <c r="C67" i="1" s="1"/>
  <c r="BT66" i="1"/>
  <c r="C66" i="1" s="1"/>
  <c r="CH65" i="1"/>
  <c r="C65" i="1" s="1"/>
  <c r="EY64" i="1"/>
  <c r="EV64" i="1"/>
  <c r="AJ64" i="1"/>
  <c r="AI64" i="1"/>
  <c r="AH64" i="1"/>
  <c r="BJ63" i="1"/>
  <c r="C63" i="1" s="1"/>
  <c r="P62" i="1"/>
  <c r="C62" i="1" s="1"/>
  <c r="M61" i="1"/>
  <c r="C61" i="1" s="1"/>
  <c r="BY60" i="1"/>
  <c r="BX60" i="1"/>
  <c r="BW60" i="1"/>
  <c r="BV60" i="1"/>
  <c r="EZ56" i="1"/>
  <c r="EW56" i="1"/>
  <c r="BM56" i="1"/>
  <c r="V56" i="1"/>
  <c r="O56" i="1"/>
  <c r="EZ55" i="1"/>
  <c r="EY55" i="1"/>
  <c r="EW55" i="1"/>
  <c r="EV55" i="1"/>
  <c r="EU55" i="1"/>
  <c r="ET55" i="1"/>
  <c r="ES55" i="1"/>
  <c r="DE55" i="1"/>
  <c r="DD55" i="1"/>
  <c r="DC55" i="1"/>
  <c r="DB55" i="1"/>
  <c r="DA55" i="1"/>
  <c r="CU55" i="1"/>
  <c r="CT55" i="1"/>
  <c r="CS55" i="1"/>
  <c r="CR55" i="1"/>
  <c r="CQ55" i="1"/>
  <c r="CO55" i="1"/>
  <c r="CN55" i="1"/>
  <c r="CM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FB53" i="1"/>
  <c r="FA53" i="1"/>
  <c r="EZ53" i="1"/>
  <c r="EY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A53" i="1"/>
  <c r="CZ53" i="1"/>
  <c r="CY53" i="1"/>
  <c r="CX53" i="1"/>
  <c r="CW53" i="1"/>
  <c r="CV53" i="1"/>
  <c r="CU53" i="1"/>
  <c r="CT53" i="1"/>
  <c r="CS53" i="1"/>
  <c r="CR53" i="1"/>
  <c r="CQ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ED53" i="1" s="1"/>
  <c r="BT53" i="1"/>
  <c r="BS53" i="1"/>
  <c r="BR53" i="1"/>
  <c r="DB53" i="1" s="1"/>
  <c r="BQ53" i="1"/>
  <c r="BP53" i="1"/>
  <c r="BO53" i="1"/>
  <c r="BN53" i="1"/>
  <c r="BM53" i="1"/>
  <c r="DC53" i="1" s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FA52" i="1"/>
  <c r="EZ52" i="1"/>
  <c r="EY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FA51" i="1"/>
  <c r="EZ51" i="1"/>
  <c r="EY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EP49" i="1"/>
  <c r="EM49" i="1"/>
  <c r="EH49" i="1"/>
  <c r="EE49" i="1"/>
  <c r="ED49" i="1"/>
  <c r="EB49" i="1"/>
  <c r="EA49" i="1"/>
  <c r="DR49" i="1"/>
  <c r="DE49" i="1"/>
  <c r="DC49" i="1"/>
  <c r="DB49" i="1"/>
  <c r="CN49" i="1"/>
  <c r="CD49" i="1"/>
  <c r="BW49" i="1"/>
  <c r="BV49" i="1"/>
  <c r="BR49" i="1"/>
  <c r="BA49" i="1"/>
  <c r="AL49" i="1"/>
  <c r="AH49" i="1"/>
  <c r="AG49" i="1"/>
  <c r="Y49" i="1"/>
  <c r="V49" i="1"/>
  <c r="R49" i="1"/>
  <c r="P49" i="1"/>
  <c r="O49" i="1"/>
  <c r="M49" i="1"/>
  <c r="J49" i="1"/>
  <c r="I49" i="1"/>
  <c r="H49" i="1"/>
  <c r="EP47" i="1"/>
  <c r="EM47" i="1"/>
  <c r="EH47" i="1"/>
  <c r="EE47" i="1"/>
  <c r="ED47" i="1"/>
  <c r="EB47" i="1"/>
  <c r="EA47" i="1"/>
  <c r="DR47" i="1"/>
  <c r="DE47" i="1"/>
  <c r="DC47" i="1"/>
  <c r="DB47" i="1"/>
  <c r="CN47" i="1"/>
  <c r="CD47" i="1"/>
  <c r="BW47" i="1"/>
  <c r="BV47" i="1"/>
  <c r="BR47" i="1"/>
  <c r="BM47" i="1"/>
  <c r="BA47" i="1"/>
  <c r="AL47" i="1"/>
  <c r="AH47" i="1"/>
  <c r="AG47" i="1"/>
  <c r="Y47" i="1"/>
  <c r="V47" i="1"/>
  <c r="R47" i="1"/>
  <c r="P47" i="1"/>
  <c r="O47" i="1"/>
  <c r="M47" i="1"/>
  <c r="J47" i="1"/>
  <c r="I47" i="1"/>
  <c r="H47" i="1"/>
  <c r="C45" i="1"/>
  <c r="EP44" i="1"/>
  <c r="EM44" i="1"/>
  <c r="EE44" i="1"/>
  <c r="EB44" i="1"/>
  <c r="DR44" i="1"/>
  <c r="DE44" i="1"/>
  <c r="BW44" i="1"/>
  <c r="BV44" i="1"/>
  <c r="BR44" i="1"/>
  <c r="BM44" i="1"/>
  <c r="BA44" i="1"/>
  <c r="AL44" i="1"/>
  <c r="AH44" i="1"/>
  <c r="AG44" i="1"/>
  <c r="Y44" i="1"/>
  <c r="V44" i="1"/>
  <c r="R44" i="1"/>
  <c r="P44" i="1"/>
  <c r="O44" i="1"/>
  <c r="M44" i="1"/>
  <c r="J44" i="1"/>
  <c r="I44" i="1"/>
  <c r="H44" i="1"/>
  <c r="FA43" i="1"/>
  <c r="EP43" i="1"/>
  <c r="EM43" i="1"/>
  <c r="EH43" i="1"/>
  <c r="EE43" i="1"/>
  <c r="EB43" i="1"/>
  <c r="DR43" i="1"/>
  <c r="DE43" i="1"/>
  <c r="CD43" i="1"/>
  <c r="BW43" i="1"/>
  <c r="BV43" i="1"/>
  <c r="BR43" i="1"/>
  <c r="BM43" i="1"/>
  <c r="BA43" i="1"/>
  <c r="AL43" i="1"/>
  <c r="AH43" i="1"/>
  <c r="AG43" i="1"/>
  <c r="Y43" i="1"/>
  <c r="V43" i="1"/>
  <c r="R43" i="1"/>
  <c r="P43" i="1"/>
  <c r="O43" i="1"/>
  <c r="M43" i="1"/>
  <c r="J43" i="1"/>
  <c r="I43" i="1"/>
  <c r="H43" i="1"/>
  <c r="CX41" i="1"/>
  <c r="C41" i="1" s="1"/>
  <c r="CX40" i="1"/>
  <c r="C40" i="1" s="1"/>
  <c r="DN38" i="1"/>
  <c r="CB38" i="1"/>
  <c r="DA36" i="1"/>
  <c r="C36" i="1" s="1"/>
  <c r="DN35" i="1"/>
  <c r="CB35" i="1"/>
  <c r="FA33" i="1"/>
  <c r="DP33" i="1"/>
  <c r="DA33" i="1"/>
  <c r="CX33" i="1"/>
  <c r="CV33" i="1"/>
  <c r="CN33" i="1"/>
  <c r="CL33" i="1"/>
  <c r="CC33" i="1"/>
  <c r="AL33" i="1"/>
  <c r="FA32" i="1"/>
  <c r="J32" i="1"/>
  <c r="J31" i="1"/>
  <c r="C31" i="1" s="1"/>
  <c r="FA30" i="1"/>
  <c r="C30" i="1" s="1"/>
  <c r="FA29" i="1"/>
  <c r="EZ28" i="1"/>
  <c r="EY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B28" i="1"/>
  <c r="DR28" i="1"/>
  <c r="DG28" i="1"/>
  <c r="DE28" i="1"/>
  <c r="DE27" i="1" s="1"/>
  <c r="CX28" i="1"/>
  <c r="CM28" i="1"/>
  <c r="CK28" i="1"/>
  <c r="CJ28" i="1"/>
  <c r="CI28" i="1"/>
  <c r="CH28" i="1"/>
  <c r="CG28" i="1"/>
  <c r="CF28" i="1"/>
  <c r="CD28" i="1"/>
  <c r="CB28" i="1"/>
  <c r="CA28" i="1"/>
  <c r="BZ28" i="1"/>
  <c r="BY28" i="1"/>
  <c r="BW28" i="1"/>
  <c r="BV28" i="1"/>
  <c r="BU28" i="1"/>
  <c r="BT28" i="1"/>
  <c r="BS28" i="1"/>
  <c r="BR28" i="1"/>
  <c r="BQ28" i="1"/>
  <c r="BP28" i="1"/>
  <c r="BO28" i="1"/>
  <c r="BN28" i="1"/>
  <c r="BL28" i="1"/>
  <c r="BK28" i="1"/>
  <c r="BJ28" i="1"/>
  <c r="BI28" i="1"/>
  <c r="BH28" i="1"/>
  <c r="BG28" i="1"/>
  <c r="BF28" i="1"/>
  <c r="BE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V28" i="1"/>
  <c r="S28" i="1"/>
  <c r="R28" i="1"/>
  <c r="Q28" i="1"/>
  <c r="P28" i="1"/>
  <c r="O28" i="1"/>
  <c r="N28" i="1"/>
  <c r="M28" i="1"/>
  <c r="L28" i="1"/>
  <c r="K28" i="1"/>
  <c r="I28" i="1"/>
  <c r="H28" i="1"/>
  <c r="G28" i="1"/>
  <c r="F28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B27" i="1"/>
  <c r="DR27" i="1"/>
  <c r="CM27" i="1"/>
  <c r="BY27" i="1"/>
  <c r="BW27" i="1"/>
  <c r="BT27" i="1"/>
  <c r="BS27" i="1"/>
  <c r="BR27" i="1"/>
  <c r="BQ27" i="1"/>
  <c r="BP27" i="1"/>
  <c r="BN27" i="1"/>
  <c r="BJ27" i="1"/>
  <c r="BI27" i="1"/>
  <c r="BF27" i="1"/>
  <c r="BD27" i="1"/>
  <c r="BA27" i="1"/>
  <c r="AJ27" i="1"/>
  <c r="AG27" i="1"/>
  <c r="R27" i="1"/>
  <c r="P27" i="1"/>
  <c r="N27" i="1"/>
  <c r="M27" i="1"/>
  <c r="K27" i="1"/>
  <c r="H27" i="1"/>
  <c r="F27" i="1"/>
  <c r="EZ25" i="1"/>
  <c r="EY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B25" i="1"/>
  <c r="DZ25" i="1"/>
  <c r="DY25" i="1"/>
  <c r="DX25" i="1"/>
  <c r="DW25" i="1"/>
  <c r="DV25" i="1"/>
  <c r="DU25" i="1"/>
  <c r="DT25" i="1"/>
  <c r="DS25" i="1"/>
  <c r="DR25" i="1"/>
  <c r="DQ25" i="1"/>
  <c r="DM25" i="1"/>
  <c r="DL25" i="1"/>
  <c r="DK25" i="1"/>
  <c r="DJ25" i="1"/>
  <c r="DI25" i="1"/>
  <c r="DH25" i="1"/>
  <c r="DF25" i="1"/>
  <c r="DE25" i="1"/>
  <c r="DD25" i="1"/>
  <c r="CM25" i="1"/>
  <c r="CK25" i="1"/>
  <c r="CJ25" i="1"/>
  <c r="CI25" i="1"/>
  <c r="CH25" i="1"/>
  <c r="CD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O25" i="1"/>
  <c r="AN25" i="1"/>
  <c r="AM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V25" i="1"/>
  <c r="S25" i="1"/>
  <c r="R25" i="1"/>
  <c r="Q25" i="1"/>
  <c r="P25" i="1"/>
  <c r="O25" i="1"/>
  <c r="N25" i="1"/>
  <c r="M25" i="1"/>
  <c r="L25" i="1"/>
  <c r="I25" i="1"/>
  <c r="H25" i="1"/>
  <c r="G25" i="1"/>
  <c r="F25" i="1"/>
  <c r="EB24" i="1"/>
  <c r="DG24" i="1"/>
  <c r="CW24" i="1"/>
  <c r="CU24" i="1"/>
  <c r="CT24" i="1"/>
  <c r="CS24" i="1"/>
  <c r="CR24" i="1"/>
  <c r="CQ24" i="1"/>
  <c r="CO24" i="1"/>
  <c r="CK24" i="1"/>
  <c r="CC24" i="1"/>
  <c r="BS24" i="1"/>
  <c r="BO24" i="1"/>
  <c r="BL24" i="1"/>
  <c r="BK24" i="1"/>
  <c r="BI24" i="1"/>
  <c r="BH24" i="1"/>
  <c r="AY24" i="1"/>
  <c r="AX24" i="1"/>
  <c r="AV24" i="1"/>
  <c r="AU24" i="1"/>
  <c r="AT24" i="1"/>
  <c r="AL24" i="1"/>
  <c r="Y24" i="1"/>
  <c r="S24" i="1"/>
  <c r="R24" i="1"/>
  <c r="Q24" i="1"/>
  <c r="P24" i="1"/>
  <c r="M24" i="1"/>
  <c r="EA22" i="1"/>
  <c r="DC22" i="1"/>
  <c r="DB22" i="1"/>
  <c r="AL20" i="1"/>
  <c r="C20" i="1" s="1"/>
  <c r="CC19" i="1"/>
  <c r="AL19" i="1"/>
  <c r="C18" i="1"/>
  <c r="DN17" i="1"/>
  <c r="DA17" i="1"/>
  <c r="CB17" i="1"/>
  <c r="J16" i="1"/>
  <c r="C16" i="1" s="1"/>
  <c r="DO15" i="1"/>
  <c r="BE15" i="1"/>
  <c r="AP15" i="1"/>
  <c r="K15" i="1"/>
  <c r="J15" i="1"/>
  <c r="C14" i="1"/>
  <c r="CX13" i="1"/>
  <c r="C13" i="1" s="1"/>
  <c r="EP12" i="1"/>
  <c r="EM12" i="1"/>
  <c r="EH12" i="1"/>
  <c r="EE12" i="1"/>
  <c r="EB12" i="1"/>
  <c r="DR12" i="1"/>
  <c r="DE12" i="1"/>
  <c r="CD12" i="1"/>
  <c r="BW12" i="1"/>
  <c r="BV12" i="1"/>
  <c r="BM12" i="1"/>
  <c r="BA12" i="1"/>
  <c r="AH12" i="1"/>
  <c r="AG12" i="1"/>
  <c r="Y12" i="1"/>
  <c r="V12" i="1"/>
  <c r="R12" i="1"/>
  <c r="P12" i="1"/>
  <c r="O12" i="1"/>
  <c r="M12" i="1"/>
  <c r="I12" i="1"/>
  <c r="H12" i="1"/>
  <c r="EZ11" i="1"/>
  <c r="EZ27" i="1" s="1"/>
  <c r="EY11" i="1"/>
  <c r="EY27" i="1" s="1"/>
  <c r="EW11" i="1"/>
  <c r="EW27" i="1" s="1"/>
  <c r="EV11" i="1"/>
  <c r="EV27" i="1" s="1"/>
  <c r="EU11" i="1"/>
  <c r="EU27" i="1" s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B11" i="1"/>
  <c r="DZ11" i="1"/>
  <c r="DZ33" i="1" s="1"/>
  <c r="DY11" i="1"/>
  <c r="DY33" i="1" s="1"/>
  <c r="DX11" i="1"/>
  <c r="DX33" i="1" s="1"/>
  <c r="DW11" i="1"/>
  <c r="DW33" i="1" s="1"/>
  <c r="DV11" i="1"/>
  <c r="DV33" i="1" s="1"/>
  <c r="DU11" i="1"/>
  <c r="DU33" i="1" s="1"/>
  <c r="DT11" i="1"/>
  <c r="DT33" i="1" s="1"/>
  <c r="DS11" i="1"/>
  <c r="DS33" i="1" s="1"/>
  <c r="DR11" i="1"/>
  <c r="DQ11" i="1"/>
  <c r="DQ27" i="1" s="1"/>
  <c r="DN11" i="1"/>
  <c r="DN28" i="1" s="1"/>
  <c r="DM11" i="1"/>
  <c r="DM28" i="1" s="1"/>
  <c r="DL11" i="1"/>
  <c r="DL28" i="1" s="1"/>
  <c r="DK11" i="1"/>
  <c r="DK28" i="1" s="1"/>
  <c r="DJ11" i="1"/>
  <c r="DJ28" i="1" s="1"/>
  <c r="DI11" i="1"/>
  <c r="DI28" i="1" s="1"/>
  <c r="DH11" i="1"/>
  <c r="DH28" i="1" s="1"/>
  <c r="DG11" i="1"/>
  <c r="DF11" i="1"/>
  <c r="DF28" i="1" s="1"/>
  <c r="DE11" i="1"/>
  <c r="DD11" i="1"/>
  <c r="DD28" i="1" s="1"/>
  <c r="CW11" i="1"/>
  <c r="CW33" i="1" s="1"/>
  <c r="CU11" i="1"/>
  <c r="CU33" i="1" s="1"/>
  <c r="CT11" i="1"/>
  <c r="CT33" i="1" s="1"/>
  <c r="CS11" i="1"/>
  <c r="CS33" i="1" s="1"/>
  <c r="CR11" i="1"/>
  <c r="CR33" i="1" s="1"/>
  <c r="CQ11" i="1"/>
  <c r="CQ33" i="1" s="1"/>
  <c r="CO11" i="1"/>
  <c r="CO33" i="1" s="1"/>
  <c r="CM11" i="1"/>
  <c r="CK11" i="1"/>
  <c r="CK27" i="1" s="1"/>
  <c r="CJ11" i="1"/>
  <c r="CJ27" i="1" s="1"/>
  <c r="CI11" i="1"/>
  <c r="CI27" i="1" s="1"/>
  <c r="CH11" i="1"/>
  <c r="CH27" i="1" s="1"/>
  <c r="CD11" i="1"/>
  <c r="CD27" i="1" s="1"/>
  <c r="CB11" i="1"/>
  <c r="CB27" i="1" s="1"/>
  <c r="CA11" i="1"/>
  <c r="CA27" i="1" s="1"/>
  <c r="BZ11" i="1"/>
  <c r="BZ27" i="1" s="1"/>
  <c r="BY11" i="1"/>
  <c r="BX11" i="1"/>
  <c r="BX27" i="1" s="1"/>
  <c r="BW11" i="1"/>
  <c r="BV11" i="1"/>
  <c r="BV27" i="1" s="1"/>
  <c r="BU11" i="1"/>
  <c r="BU27" i="1" s="1"/>
  <c r="BT11" i="1"/>
  <c r="BS11" i="1"/>
  <c r="BR11" i="1"/>
  <c r="BQ11" i="1"/>
  <c r="BP11" i="1"/>
  <c r="BO11" i="1"/>
  <c r="BO27" i="1" s="1"/>
  <c r="BN11" i="1"/>
  <c r="BM11" i="1"/>
  <c r="BM27" i="1" s="1"/>
  <c r="BL11" i="1"/>
  <c r="BL27" i="1" s="1"/>
  <c r="BK11" i="1"/>
  <c r="BK27" i="1" s="1"/>
  <c r="BJ11" i="1"/>
  <c r="BI11" i="1"/>
  <c r="BH11" i="1"/>
  <c r="BH27" i="1" s="1"/>
  <c r="BG11" i="1"/>
  <c r="BG27" i="1" s="1"/>
  <c r="BF11" i="1"/>
  <c r="BC11" i="1"/>
  <c r="BC27" i="1" s="1"/>
  <c r="BB11" i="1"/>
  <c r="BB27" i="1" s="1"/>
  <c r="BA11" i="1"/>
  <c r="AZ11" i="1"/>
  <c r="AZ27" i="1" s="1"/>
  <c r="AY11" i="1"/>
  <c r="AY27" i="1" s="1"/>
  <c r="AX11" i="1"/>
  <c r="AX27" i="1" s="1"/>
  <c r="AW11" i="1"/>
  <c r="AW27" i="1" s="1"/>
  <c r="AV11" i="1"/>
  <c r="AV27" i="1" s="1"/>
  <c r="AU11" i="1"/>
  <c r="AU27" i="1" s="1"/>
  <c r="AT11" i="1"/>
  <c r="AT27" i="1" s="1"/>
  <c r="AS11" i="1"/>
  <c r="AS27" i="1" s="1"/>
  <c r="AR11" i="1"/>
  <c r="AR27" i="1" s="1"/>
  <c r="AQ11" i="1"/>
  <c r="AQ27" i="1" s="1"/>
  <c r="AO11" i="1"/>
  <c r="AO27" i="1" s="1"/>
  <c r="AN11" i="1"/>
  <c r="AN27" i="1" s="1"/>
  <c r="AM11" i="1"/>
  <c r="AM27" i="1" s="1"/>
  <c r="AJ11" i="1"/>
  <c r="AI11" i="1"/>
  <c r="AI27" i="1" s="1"/>
  <c r="AH11" i="1"/>
  <c r="AH27" i="1" s="1"/>
  <c r="AG11" i="1"/>
  <c r="AF11" i="1"/>
  <c r="AF27" i="1" s="1"/>
  <c r="AE11" i="1"/>
  <c r="AE27" i="1" s="1"/>
  <c r="AD11" i="1"/>
  <c r="AD27" i="1" s="1"/>
  <c r="AC11" i="1"/>
  <c r="AC27" i="1" s="1"/>
  <c r="AB11" i="1"/>
  <c r="AB27" i="1" s="1"/>
  <c r="AA11" i="1"/>
  <c r="AA27" i="1" s="1"/>
  <c r="Z11" i="1"/>
  <c r="Z27" i="1" s="1"/>
  <c r="Y11" i="1"/>
  <c r="Y27" i="1" s="1"/>
  <c r="X11" i="1"/>
  <c r="X27" i="1" s="1"/>
  <c r="V11" i="1"/>
  <c r="V27" i="1" s="1"/>
  <c r="S11" i="1"/>
  <c r="S27" i="1" s="1"/>
  <c r="R11" i="1"/>
  <c r="Q11" i="1"/>
  <c r="Q27" i="1" s="1"/>
  <c r="P11" i="1"/>
  <c r="O11" i="1"/>
  <c r="O27" i="1" s="1"/>
  <c r="N11" i="1"/>
  <c r="M11" i="1"/>
  <c r="L11" i="1"/>
  <c r="L27" i="1" s="1"/>
  <c r="I11" i="1"/>
  <c r="I27" i="1" s="1"/>
  <c r="H11" i="1"/>
  <c r="G11" i="1"/>
  <c r="G27" i="1" s="1"/>
  <c r="F11" i="1"/>
  <c r="CN10" i="1"/>
  <c r="AL10" i="1"/>
  <c r="DP9" i="1"/>
  <c r="CZ9" i="1"/>
  <c r="CY9" i="1"/>
  <c r="CW9" i="1"/>
  <c r="CV9" i="1"/>
  <c r="CU9" i="1"/>
  <c r="CT9" i="1"/>
  <c r="CS9" i="1"/>
  <c r="CR9" i="1"/>
  <c r="CQ9" i="1"/>
  <c r="CO9" i="1"/>
  <c r="CN9" i="1"/>
  <c r="CL9" i="1"/>
  <c r="CG9" i="1"/>
  <c r="CF9" i="1"/>
  <c r="CE9" i="1"/>
  <c r="CC9" i="1"/>
  <c r="BD9" i="1"/>
  <c r="AL9" i="1"/>
  <c r="AK9" i="1"/>
  <c r="W9" i="1"/>
  <c r="U9" i="1"/>
  <c r="T9" i="1"/>
  <c r="E9" i="1"/>
  <c r="EB8" i="1"/>
  <c r="Y8" i="1"/>
  <c r="R8" i="1"/>
  <c r="P8" i="1"/>
  <c r="M8" i="1"/>
  <c r="EL7" i="1"/>
  <c r="EK7" i="1"/>
  <c r="EB7" i="1"/>
  <c r="DG7" i="1"/>
  <c r="BS7" i="1"/>
  <c r="BO7" i="1"/>
  <c r="BL7" i="1"/>
  <c r="BK7" i="1"/>
  <c r="BI7" i="1"/>
  <c r="BH7" i="1"/>
  <c r="AY7" i="1"/>
  <c r="AX7" i="1"/>
  <c r="AV7" i="1"/>
  <c r="AU7" i="1"/>
  <c r="AT7" i="1"/>
  <c r="Y7" i="1"/>
  <c r="S7" i="1"/>
  <c r="R7" i="1"/>
  <c r="Q7" i="1"/>
  <c r="P7" i="1"/>
  <c r="M7" i="1"/>
  <c r="EB6" i="1"/>
  <c r="Y6" i="1"/>
  <c r="R6" i="1"/>
  <c r="P6" i="1"/>
  <c r="M6" i="1"/>
  <c r="EL5" i="1"/>
  <c r="EK5" i="1"/>
  <c r="EB5" i="1"/>
  <c r="DG5" i="1"/>
  <c r="BS5" i="1"/>
  <c r="BO5" i="1"/>
  <c r="BL5" i="1"/>
  <c r="BK5" i="1"/>
  <c r="BI5" i="1"/>
  <c r="BH5" i="1"/>
  <c r="AY5" i="1"/>
  <c r="AX5" i="1"/>
  <c r="AV5" i="1"/>
  <c r="AU5" i="1"/>
  <c r="AT5" i="1"/>
  <c r="Y5" i="1"/>
  <c r="S5" i="1"/>
  <c r="R5" i="1"/>
  <c r="Q5" i="1"/>
  <c r="P5" i="1"/>
  <c r="M5" i="1"/>
  <c r="EP4" i="1"/>
  <c r="EM4" i="1"/>
  <c r="EH4" i="1"/>
  <c r="EE4" i="1"/>
  <c r="ED4" i="1"/>
  <c r="EB4" i="1"/>
  <c r="EA4" i="1"/>
  <c r="DR4" i="1"/>
  <c r="DE4" i="1"/>
  <c r="DC4" i="1"/>
  <c r="DB4" i="1"/>
  <c r="CD4" i="1"/>
  <c r="BW4" i="1"/>
  <c r="BV4" i="1"/>
  <c r="BR4" i="1"/>
  <c r="BM4" i="1"/>
  <c r="BA4" i="1"/>
  <c r="AH4" i="1"/>
  <c r="AG4" i="1"/>
  <c r="Y4" i="1"/>
  <c r="V4" i="1"/>
  <c r="R4" i="1"/>
  <c r="P4" i="1"/>
  <c r="O4" i="1"/>
  <c r="M4" i="1"/>
  <c r="I4" i="1"/>
  <c r="H4" i="1"/>
  <c r="EY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M3" i="1"/>
  <c r="CK3" i="1"/>
  <c r="CJ3" i="1"/>
  <c r="CI3" i="1"/>
  <c r="CH3" i="1"/>
  <c r="CD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O3" i="1"/>
  <c r="AN3" i="1"/>
  <c r="AM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V3" i="1"/>
  <c r="S3" i="1"/>
  <c r="R3" i="1"/>
  <c r="Q3" i="1"/>
  <c r="P3" i="1"/>
  <c r="O3" i="1"/>
  <c r="N3" i="1"/>
  <c r="M3" i="1"/>
  <c r="L3" i="1"/>
  <c r="I3" i="1"/>
  <c r="H3" i="1"/>
  <c r="G3" i="1"/>
  <c r="F3" i="1"/>
  <c r="D3" i="1"/>
  <c r="C19" i="1" l="1"/>
  <c r="C29" i="1"/>
  <c r="C35" i="1"/>
  <c r="C124" i="1"/>
  <c r="DQ28" i="1"/>
  <c r="C80" i="1"/>
  <c r="C126" i="1"/>
  <c r="C122" i="1"/>
  <c r="C82" i="1"/>
  <c r="C6" i="1"/>
  <c r="C32" i="1"/>
  <c r="C38" i="1"/>
  <c r="C64" i="1"/>
  <c r="C83" i="1"/>
  <c r="C125" i="1"/>
  <c r="C43" i="1"/>
  <c r="C10" i="1"/>
  <c r="C44" i="1"/>
  <c r="C3" i="1"/>
  <c r="C5" i="1"/>
  <c r="C8" i="1"/>
  <c r="C9" i="1"/>
  <c r="C22" i="1"/>
  <c r="C15" i="1"/>
  <c r="C25" i="1"/>
  <c r="BX28" i="1"/>
  <c r="C87" i="1"/>
  <c r="C106" i="1"/>
  <c r="C4" i="1"/>
  <c r="C56" i="1"/>
  <c r="C49" i="1"/>
  <c r="C47" i="1"/>
  <c r="C24" i="1"/>
  <c r="C109" i="1"/>
  <c r="C17" i="1"/>
  <c r="C52" i="1"/>
  <c r="C60" i="1"/>
  <c r="C76" i="1"/>
  <c r="C92" i="1"/>
  <c r="C102" i="1"/>
  <c r="C7" i="1"/>
  <c r="C51" i="1"/>
  <c r="C55" i="1"/>
  <c r="C77" i="1"/>
  <c r="C12" i="1"/>
  <c r="C69" i="1"/>
  <c r="C33" i="1"/>
  <c r="C53" i="1"/>
  <c r="BM28" i="1"/>
  <c r="DD27" i="1"/>
  <c r="C27" i="1" s="1"/>
  <c r="C11" i="1"/>
  <c r="C28" i="1" l="1"/>
</calcChain>
</file>

<file path=xl/sharedStrings.xml><?xml version="1.0" encoding="utf-8"?>
<sst xmlns="http://schemas.openxmlformats.org/spreadsheetml/2006/main" count="461" uniqueCount="311">
  <si>
    <t xml:space="preserve"> INF97010185 (Расчет на 1 шт)</t>
  </si>
  <si>
    <t>INF97010012 (Расчет на комплект 5 шт)</t>
  </si>
  <si>
    <t>INF97010014</t>
  </si>
  <si>
    <t>INF97010016</t>
  </si>
  <si>
    <t>INF97010018 INF97010159 INF97010403</t>
  </si>
  <si>
    <t>INF97010019</t>
  </si>
  <si>
    <t>INF97010020</t>
  </si>
  <si>
    <t>INF97010021</t>
  </si>
  <si>
    <t>INF97010028</t>
  </si>
  <si>
    <t>INF97010029 INF97010342 INF97010412</t>
  </si>
  <si>
    <t>INF97010030</t>
  </si>
  <si>
    <t>INF97010031 INF97010338 INF97010409</t>
  </si>
  <si>
    <t>INF97010032 INF97010343 INF97010413</t>
  </si>
  <si>
    <t>INF97010033</t>
  </si>
  <si>
    <t>INF97010034 INF97010341 INF97010411</t>
  </si>
  <si>
    <t>INF97010035</t>
  </si>
  <si>
    <t>INF97010038 (Расчет на комплект 3 шт)</t>
  </si>
  <si>
    <t>INF97010039 (Расчет на комплект 5 шт)</t>
  </si>
  <si>
    <t>INF97010040 INF97010344 INF97010416</t>
  </si>
  <si>
    <t>INF97010042  (Расчет на комплект 3 шт)</t>
  </si>
  <si>
    <t>INF97010043</t>
  </si>
  <si>
    <t>INF97010088</t>
  </si>
  <si>
    <t>INF97010090</t>
  </si>
  <si>
    <t>INF97010091</t>
  </si>
  <si>
    <t>INF97010092</t>
  </si>
  <si>
    <t>INF97010098</t>
  </si>
  <si>
    <t>INF97010099</t>
  </si>
  <si>
    <t>INF97010100</t>
  </si>
  <si>
    <t xml:space="preserve">INF97010105 </t>
  </si>
  <si>
    <t xml:space="preserve">INF97010106 </t>
  </si>
  <si>
    <t>INF97010107 INF97010337 INF97010408</t>
  </si>
  <si>
    <t>INF97010108</t>
  </si>
  <si>
    <t>INF97010109 INF97010340 INF97010410</t>
  </si>
  <si>
    <t>INF97010111 (Расчет на комплект 1 шт)</t>
  </si>
  <si>
    <t>INF97010112 (Расчет на 1 шт )</t>
  </si>
  <si>
    <t>INF97010113</t>
  </si>
  <si>
    <t>INF97010114</t>
  </si>
  <si>
    <t>INF97010117</t>
  </si>
  <si>
    <t>INF97010118</t>
  </si>
  <si>
    <t>INF97010119</t>
  </si>
  <si>
    <t>INF97010120</t>
  </si>
  <si>
    <t>INF97010121</t>
  </si>
  <si>
    <t>INF97010122</t>
  </si>
  <si>
    <t>INF97010123</t>
  </si>
  <si>
    <t>INF97010124</t>
  </si>
  <si>
    <t>INF97010125</t>
  </si>
  <si>
    <t>INF97010126</t>
  </si>
  <si>
    <t>INF97010127</t>
  </si>
  <si>
    <t>INF97010128</t>
  </si>
  <si>
    <t>INF97010129 INF97010334 INF97010405</t>
  </si>
  <si>
    <t>INF97010130</t>
  </si>
  <si>
    <t>INF97010131</t>
  </si>
  <si>
    <t>INF97010136  (Расчет на комплект 5 шт)</t>
  </si>
  <si>
    <t>INF97010137</t>
  </si>
  <si>
    <t>INF97010144, INF97010001</t>
  </si>
  <si>
    <t>INF97010145, INF97010002</t>
  </si>
  <si>
    <t>INF97010146, INF97010003</t>
  </si>
  <si>
    <t>INF97010147, INF97010004</t>
  </si>
  <si>
    <t xml:space="preserve">INF97010148, INF97010094 </t>
  </si>
  <si>
    <t>INF97010149, INF97010005</t>
  </si>
  <si>
    <t>INF97010150 INF97010097</t>
  </si>
  <si>
    <t>INF97010151 INF97010006 INF97010407</t>
  </si>
  <si>
    <t>INF97010152, INF97010095</t>
  </si>
  <si>
    <t>INF97010153, INF97010007</t>
  </si>
  <si>
    <t>INF97010154, INF97010008</t>
  </si>
  <si>
    <t>INF97010155, INF97010022</t>
  </si>
  <si>
    <t>INF97010156 INF97010009 INF97010406</t>
  </si>
  <si>
    <t>INF97010157 INF97010017</t>
  </si>
  <si>
    <t>INF97010158 INF97010010 INF97010404</t>
  </si>
  <si>
    <t>INF97010159 INF97010093</t>
  </si>
  <si>
    <t>INF97010160 INF97010023 INF97010414</t>
  </si>
  <si>
    <t>INF97010161, INF97010024 INF97010415</t>
  </si>
  <si>
    <t>INF97010162, INF97010025</t>
  </si>
  <si>
    <t>INF97010163, INF97010011</t>
  </si>
  <si>
    <t>INF97010164, INF97010096</t>
  </si>
  <si>
    <t>INF97010165, INF97010086</t>
  </si>
  <si>
    <t>INF97010166 INF97010087</t>
  </si>
  <si>
    <t>INF97010171 (Расчет на комплект 5 шт)</t>
  </si>
  <si>
    <t>INF97010172</t>
  </si>
  <si>
    <t>INF97010184</t>
  </si>
  <si>
    <t>INF97010186</t>
  </si>
  <si>
    <t>INF97010187</t>
  </si>
  <si>
    <t xml:space="preserve">INF97010188 </t>
  </si>
  <si>
    <t>INF97010189</t>
  </si>
  <si>
    <t>INF97010190</t>
  </si>
  <si>
    <t>INF97010191</t>
  </si>
  <si>
    <t>INF97010198</t>
  </si>
  <si>
    <t>INF97010200</t>
  </si>
  <si>
    <t>INF97010203</t>
  </si>
  <si>
    <t>INF97010204</t>
  </si>
  <si>
    <t>INF97010206 (Расчет на комплект 2 шт)</t>
  </si>
  <si>
    <t>INF97010207 (Расчет на комплект 5 шт)</t>
  </si>
  <si>
    <t>INF97010208 (Расчет на комплект 5 шт)</t>
  </si>
  <si>
    <t>INF97010209 (Расчет на комплект 3 шт)</t>
  </si>
  <si>
    <t>INF97010210 (Расчет на комплект 3 шт)</t>
  </si>
  <si>
    <t>INF97010212</t>
  </si>
  <si>
    <t>INF97010213 (Расчет на комплект 6 шт)</t>
  </si>
  <si>
    <t>INF97010216</t>
  </si>
  <si>
    <t xml:space="preserve">INF97010223 </t>
  </si>
  <si>
    <t>INF97010224</t>
  </si>
  <si>
    <t>INF97010225
Устанавливается на дисплей 158 010 404</t>
  </si>
  <si>
    <t>INF97010227
Устанавливается на дисплей 156 009 406</t>
  </si>
  <si>
    <t>INF97010229
Устанавливается на дисплей 151 006 407</t>
  </si>
  <si>
    <t>INF97010231 INF97010295</t>
  </si>
  <si>
    <t>INF97010232 INF97010296 INF97010417</t>
  </si>
  <si>
    <t>INF97010235</t>
  </si>
  <si>
    <t>INF97010236</t>
  </si>
  <si>
    <t>INF97010237</t>
  </si>
  <si>
    <t>INF97010238</t>
  </si>
  <si>
    <t>INF97010239</t>
  </si>
  <si>
    <t>INF97010240</t>
  </si>
  <si>
    <t>INF97010241</t>
  </si>
  <si>
    <t>INF97010242</t>
  </si>
  <si>
    <t>INF97010243</t>
  </si>
  <si>
    <t>INF97010244</t>
  </si>
  <si>
    <t>INF97010249</t>
  </si>
  <si>
    <t>INF97010252 INF97010297</t>
  </si>
  <si>
    <t>INF97010261 INF97010298 INF97010418</t>
  </si>
  <si>
    <t>INF97010278</t>
  </si>
  <si>
    <t>INF97010279</t>
  </si>
  <si>
    <t xml:space="preserve">INF97010280 </t>
  </si>
  <si>
    <t>INF97010281</t>
  </si>
  <si>
    <t>INF97010295</t>
  </si>
  <si>
    <t>INF97010296</t>
  </si>
  <si>
    <t xml:space="preserve">INF97010297 </t>
  </si>
  <si>
    <t>INF97010298</t>
  </si>
  <si>
    <t>INF97010305 INF97010419 INF97010315</t>
  </si>
  <si>
    <t>INF97010306</t>
  </si>
  <si>
    <t>INF97010307
Устанавливается на дисплей 159 093</t>
  </si>
  <si>
    <t>INF97010308 INF97010420 INF97010309</t>
  </si>
  <si>
    <t>INF97010309</t>
  </si>
  <si>
    <t>INF97010310</t>
  </si>
  <si>
    <t>INF97010311 INF97010312</t>
  </si>
  <si>
    <t>INF97010312</t>
  </si>
  <si>
    <t>INF97010313</t>
  </si>
  <si>
    <t>INF97010314</t>
  </si>
  <si>
    <t>INF97010315</t>
  </si>
  <si>
    <t>INF97010324 INF97010326 INF97010422</t>
  </si>
  <si>
    <t>INF97010325</t>
  </si>
  <si>
    <t>INF97010326 INF97010422</t>
  </si>
  <si>
    <t>INF97010327 INF97010421 INF97010329</t>
  </si>
  <si>
    <t>INF97010328</t>
  </si>
  <si>
    <t>INF97010329</t>
  </si>
  <si>
    <t>INF97010334</t>
  </si>
  <si>
    <t>INF97010335</t>
  </si>
  <si>
    <t>INF97010336</t>
  </si>
  <si>
    <t>INF97010337</t>
  </si>
  <si>
    <t>INF97010338</t>
  </si>
  <si>
    <t>INF97010339</t>
  </si>
  <si>
    <t>INF97010344</t>
  </si>
  <si>
    <t>INF97010196</t>
  </si>
  <si>
    <t>Материал</t>
  </si>
  <si>
    <t>Ед. изм.</t>
  </si>
  <si>
    <t>ИТОГО +5%</t>
  </si>
  <si>
    <t>Монолитный поликарбонат 2 мм (ЭКОВИС)</t>
  </si>
  <si>
    <t>м2</t>
  </si>
  <si>
    <t>Обработка</t>
  </si>
  <si>
    <t>Фрезер</t>
  </si>
  <si>
    <t>Полистирол белый 5 мм</t>
  </si>
  <si>
    <t>Полистирол белый 6 мм</t>
  </si>
  <si>
    <t>ПЭТ 2 мм</t>
  </si>
  <si>
    <t>Лазер</t>
  </si>
  <si>
    <t>ПЭТ 0,7 мм</t>
  </si>
  <si>
    <t>Оргстекло 3 мм</t>
  </si>
  <si>
    <t>Оргстекло 2 мм</t>
  </si>
  <si>
    <t>ПЭТ 1 мм</t>
  </si>
  <si>
    <t>ПЭТ 0,5 мм</t>
  </si>
  <si>
    <t>Двусторонний скотч 3M-VHB 4918F, прозрачный вспененный акрил 2 мм (ширина 6 мм)</t>
  </si>
  <si>
    <t>мп</t>
  </si>
  <si>
    <t>Скотч 9 мм 3М</t>
  </si>
  <si>
    <t>Скотч DIZA 62932/04 с желтым лайнером черный в рулоне</t>
  </si>
  <si>
    <t>Глянцевая ламинирующая пленка</t>
  </si>
  <si>
    <t xml:space="preserve">Пленка LG царапанная металлизорованая серебро </t>
  </si>
  <si>
    <t>ЭСКО</t>
  </si>
  <si>
    <t>Глянцевая белая бумага</t>
  </si>
  <si>
    <t>Пленка голографическая HEAVY METAL серебро</t>
  </si>
  <si>
    <t>Заклепка вытяжная 3х8</t>
  </si>
  <si>
    <t>шт</t>
  </si>
  <si>
    <t>Винт пластиковый белый 12 мм</t>
  </si>
  <si>
    <t>Крючок металический длинной 150 мм  без ц/з. межосевое расстояние зацепа 50 мм (Хром) одинарный</t>
  </si>
  <si>
    <t>ВПП</t>
  </si>
  <si>
    <t>Коробка  920х230х400 (5ти слойный гофрокартон)</t>
  </si>
  <si>
    <t>Печать</t>
  </si>
  <si>
    <t>CMYK</t>
  </si>
  <si>
    <t>WHITE</t>
  </si>
  <si>
    <t>Гибов</t>
  </si>
  <si>
    <t>гибы</t>
  </si>
  <si>
    <t>Количество деталей на чистку</t>
  </si>
  <si>
    <t>деталей</t>
  </si>
  <si>
    <t>Ширина (макс)</t>
  </si>
  <si>
    <t>мм</t>
  </si>
  <si>
    <t>Глубина (макс)</t>
  </si>
  <si>
    <t>Высота (макс)</t>
  </si>
  <si>
    <t>Упаковка поштучно</t>
  </si>
  <si>
    <t>Коробка ДШВ 235х125х75</t>
  </si>
  <si>
    <t>Коробка ДШВ 235х175х100</t>
  </si>
  <si>
    <t>Коробка ДШВ 260х125х100</t>
  </si>
  <si>
    <t>Коробка ДШВ 260х125х75</t>
  </si>
  <si>
    <t>Коробка ДШВ 235х215х75</t>
  </si>
  <si>
    <t>Коробка ДШВ 235х105х75</t>
  </si>
  <si>
    <t>Коробка ДШВ 320х210х110</t>
  </si>
  <si>
    <t>Коробка ДШВ 325х235х170</t>
  </si>
  <si>
    <t>Коробка ДШВ 325х235х120</t>
  </si>
  <si>
    <t>Коробка ДШВ 275х235х75</t>
  </si>
  <si>
    <t>Коробка ДШВ 220х170х90</t>
  </si>
  <si>
    <t>Коробка ДШВ 420х210х70</t>
  </si>
  <si>
    <t>Коробка ДШВ 230х120х70</t>
  </si>
  <si>
    <t>Коробка ДШВ 220х210х70</t>
  </si>
  <si>
    <t>Коробка ДШВ 270х210х70</t>
  </si>
  <si>
    <t>Коробка ДШВ 370х210х70</t>
  </si>
  <si>
    <t>Коробка ДШВ 210х170х90</t>
  </si>
  <si>
    <t>Коробка ДШВ 215х165х75</t>
  </si>
  <si>
    <t>Коробка ДШВ 325х235х130</t>
  </si>
  <si>
    <t>Коробка ДШВ 325х235х95</t>
  </si>
  <si>
    <t>Коробка ДШВ 425х260х95</t>
  </si>
  <si>
    <t>Коробка ДШВ  215х105х75</t>
  </si>
  <si>
    <t>Коробка ДШВ 270х170х95</t>
  </si>
  <si>
    <t>Коробка ДШВ 235х225х75</t>
  </si>
  <si>
    <t>Коробка ДШВ 235х225х95</t>
  </si>
  <si>
    <t>Коробка ДШВ 325х260х185</t>
  </si>
  <si>
    <t>Коробка ДШВ 325х260х95</t>
  </si>
  <si>
    <t>Коробка ДШВ 425х235х95</t>
  </si>
  <si>
    <t>Коробка ДШВ 275х215х215</t>
  </si>
  <si>
    <t>Коробка ДШВ 260х225х95</t>
  </si>
  <si>
    <t>Коробка ДШВ 235х175х75</t>
  </si>
  <si>
    <t>Коробка ДШВ 315х235х120</t>
  </si>
  <si>
    <t>Коробка ДШВ 455х280х135</t>
  </si>
  <si>
    <t>Коробка ДШВ 625х215х215</t>
  </si>
  <si>
    <t>Коробка ДШВ 275х260х95</t>
  </si>
  <si>
    <t>Коробка ДШВ 375х260х75</t>
  </si>
  <si>
    <t>Коробка ДШВ 365х260х75</t>
  </si>
  <si>
    <t>Коробка ДШВ 235х105х120</t>
  </si>
  <si>
    <t>Коробка ДШВ 235х200х225</t>
  </si>
  <si>
    <t>Коробка ДШВ 325х215х120</t>
  </si>
  <si>
    <t>Коробка ДШВ 325х215х150</t>
  </si>
  <si>
    <t>Коробка ДШВ 275х215х95</t>
  </si>
  <si>
    <t>Коробка ДШВ 215х105х75</t>
  </si>
  <si>
    <t>Коробка ДШВ 225х215х95</t>
  </si>
  <si>
    <t>Коробка ДШВ 200х190х75</t>
  </si>
  <si>
    <t>Коробка ДШВ 400х215х95</t>
  </si>
  <si>
    <t>Коробка ДШВ 230х220х105</t>
  </si>
  <si>
    <t>Коробка ДШВ 245х175х95</t>
  </si>
  <si>
    <t>Коробка ДШВ 125х125х50</t>
  </si>
  <si>
    <t>Коробка ДШВ 115х115х115</t>
  </si>
  <si>
    <t>Коробка ДШВ 180х125х150</t>
  </si>
  <si>
    <t>Коробка ДШВ 625х260х50</t>
  </si>
  <si>
    <t>Коробка ДШВ 1015х260х95</t>
  </si>
  <si>
    <t>Коробка ДШВ 1015х260х50</t>
  </si>
  <si>
    <t>Коробка ДШВ 1225х260х95</t>
  </si>
  <si>
    <t>Коробка ДШВ 825х260х70</t>
  </si>
  <si>
    <t>Коробка ДШВ 1025х260х70</t>
  </si>
  <si>
    <t>Коробка ДШВ 215х175х95</t>
  </si>
  <si>
    <t>Коробка ДШВ 215х100х95</t>
  </si>
  <si>
    <t>Коробка ДШВ 235х175х95</t>
  </si>
  <si>
    <t>Коробка ДШВ 235х100х95</t>
  </si>
  <si>
    <t>Коробка ДШВ 110х110х50</t>
  </si>
  <si>
    <t>Коробка ДШВ 230х170х105</t>
  </si>
  <si>
    <t>Коробка ДШВ 430х260х105</t>
  </si>
  <si>
    <t>Коробка ДШВ 175х125х50</t>
  </si>
  <si>
    <t>Коробка ДШВ 215х185х95</t>
  </si>
  <si>
    <t>Коробка ДШВ 785х245х50</t>
  </si>
  <si>
    <t>Коробка ДШВ 175х80х50</t>
  </si>
  <si>
    <t>Коробка ДШВ 235 x 185 x 95</t>
  </si>
  <si>
    <t>Коробка ДШВ 785х225х50</t>
  </si>
  <si>
    <t>Упаковка покомплектно</t>
  </si>
  <si>
    <t>INF97010134</t>
  </si>
  <si>
    <t>Коробка ДШВ 1020х260х135</t>
  </si>
  <si>
    <t>Коробка ДШВ 1020х260х240</t>
  </si>
  <si>
    <t>Коробка ДШВ 1020х260х100</t>
  </si>
  <si>
    <t>INF97010143</t>
  </si>
  <si>
    <t>Коробка ДШВ 625х260х150</t>
  </si>
  <si>
    <t>Коробка ДШВ 625х260х100</t>
  </si>
  <si>
    <t>INF97010013</t>
  </si>
  <si>
    <t xml:space="preserve">Коробка ДШВ 1260х280х1020 </t>
  </si>
  <si>
    <t xml:space="preserve">Коробка ДШВ 1220х240х210 </t>
  </si>
  <si>
    <t>Коробка ДШВ 1220х240х135</t>
  </si>
  <si>
    <t>INF97010168</t>
  </si>
  <si>
    <t>Коробка ДШВ 1025х260х135</t>
  </si>
  <si>
    <t>Коробка ДШВ 1025х240х210</t>
  </si>
  <si>
    <t>Коробка ДШВ 1025х260х95</t>
  </si>
  <si>
    <t>INF97010169</t>
  </si>
  <si>
    <t>Коробка ДШВ 825х240х135</t>
  </si>
  <si>
    <t>Коробка ДШВ 825х260х210</t>
  </si>
  <si>
    <t>Коробка ДШВ 825х260х95</t>
  </si>
  <si>
    <t>INF97010171</t>
  </si>
  <si>
    <t>Коробка ДШВ 710х260х210</t>
  </si>
  <si>
    <t>Коробка ДШВ 710х260х135</t>
  </si>
  <si>
    <t>INF97010173</t>
  </si>
  <si>
    <t>Коробка ДШВ 625х260х95</t>
  </si>
  <si>
    <t>Коробка ДШВ 625х260х135</t>
  </si>
  <si>
    <t>INF97010205</t>
  </si>
  <si>
    <t>INF97010026</t>
  </si>
  <si>
    <t>Винил магнитный белый 0,4 мм без клея</t>
  </si>
  <si>
    <t>INF97010379</t>
  </si>
  <si>
    <t>Коробка ДШВ 230х125х95</t>
  </si>
  <si>
    <t>INF97010511</t>
  </si>
  <si>
    <t>Коробка ДШВ 230х70х95</t>
  </si>
  <si>
    <t>INF97010425</t>
  </si>
  <si>
    <t>Коробка ДШВ 230х170х130</t>
  </si>
  <si>
    <t>Термоклей</t>
  </si>
  <si>
    <t>стержень</t>
  </si>
  <si>
    <t>INF97010426</t>
  </si>
  <si>
    <t>INF97010427</t>
  </si>
  <si>
    <t>INF97010304
Устанавливается на дисплей 407</t>
  </si>
  <si>
    <t>Коробка ДШВ 235 x 185 х 130</t>
  </si>
  <si>
    <t>Коробка ДШВ 320 x 235 х 130</t>
  </si>
  <si>
    <t xml:space="preserve">INF97010538
</t>
  </si>
  <si>
    <t xml:space="preserve">INF97010542 
</t>
  </si>
  <si>
    <t>Количество отрывов пленки</t>
  </si>
  <si>
    <t>отрывов</t>
  </si>
  <si>
    <t>Скотч мармеладка 6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</si>
</sst>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theme="3" tint="0.3999755851924192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8" borderId="16" xfId="0" applyFill="1" applyBorder="1" applyAlignment="1">
      <alignment vertical="center" wrapText="1"/>
    </xf>
    <xf numFmtId="0" fontId="0" fillId="7" borderId="3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6" fillId="0" borderId="1" xfId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&#1042;&#1085;&#1077;&#1096;&#1085;&#1080;&#1081;%20&#1074;&#1080;&#1076;\INF97010427.pdf" TargetMode="External"/><Relationship Id="rId1" Type="http://schemas.openxmlformats.org/officeDocument/2006/relationships/hyperlink" Target="&#1042;&#1085;&#1077;&#1096;&#1085;&#1080;&#1081;%20&#1074;&#1080;&#1076;\INF9701042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171"/>
  <sheetViews>
    <sheetView tabSelected="1" zoomScale="115" zoomScaleNormal="115" workbookViewId="0">
      <pane xSplit="3" ySplit="2" topLeftCell="FA39" activePane="bottomRight" state="frozen"/>
      <selection pane="topRight" activeCell="D1" sqref="D1"/>
      <selection pane="bottomLeft" activeCell="A3" sqref="A3"/>
      <selection pane="bottomRight" activeCell="FH54" sqref="FH54"/>
    </sheetView>
  </sheetViews>
  <sheetFormatPr defaultColWidth="9.140625" defaultRowHeight="15" x14ac:dyDescent="0.25"/>
  <cols>
    <col min="1" max="1" width="35.140625" style="24" customWidth="1"/>
    <col min="2" max="3" width="13.140625" style="24" customWidth="1"/>
    <col min="4" max="7" width="18.42578125" style="20" customWidth="1"/>
    <col min="8" max="8" width="17.7109375" style="20" customWidth="1"/>
    <col min="9" max="9" width="16.42578125" style="20" customWidth="1"/>
    <col min="10" max="10" width="16.140625" style="20" customWidth="1"/>
    <col min="11" max="11" width="13.7109375" style="20" customWidth="1"/>
    <col min="12" max="12" width="13.85546875" style="20" customWidth="1"/>
    <col min="13" max="13" width="12.7109375" style="20" customWidth="1"/>
    <col min="14" max="14" width="13.5703125" style="20" customWidth="1"/>
    <col min="15" max="15" width="12.85546875" style="20" customWidth="1"/>
    <col min="16" max="16" width="13.85546875" style="20" customWidth="1"/>
    <col min="17" max="17" width="12.85546875" style="20" customWidth="1"/>
    <col min="18" max="18" width="13.7109375" style="20" customWidth="1"/>
    <col min="19" max="19" width="13.140625" style="20" customWidth="1"/>
    <col min="20" max="21" width="12.7109375" style="20" customWidth="1"/>
    <col min="22" max="22" width="13.5703125" style="20" customWidth="1"/>
    <col min="23" max="23" width="14.5703125" style="20" customWidth="1"/>
    <col min="24" max="26" width="12.85546875" style="20" customWidth="1"/>
    <col min="27" max="27" width="13.28515625" style="20" customWidth="1"/>
    <col min="28" max="28" width="13.85546875" style="20" customWidth="1"/>
    <col min="29" max="29" width="14.140625" style="20" customWidth="1"/>
    <col min="30" max="30" width="14.28515625" style="20" customWidth="1"/>
    <col min="31" max="31" width="13.28515625" style="20" customWidth="1"/>
    <col min="32" max="32" width="13.7109375" style="20" customWidth="1"/>
    <col min="33" max="34" width="15.140625" style="20" customWidth="1"/>
    <col min="35" max="35" width="12.7109375" style="20" customWidth="1"/>
    <col min="36" max="36" width="13.28515625" style="20" customWidth="1"/>
    <col min="37" max="37" width="14.28515625" style="20" customWidth="1"/>
    <col min="38" max="38" width="16.28515625" style="20" customWidth="1"/>
    <col min="39" max="39" width="14.28515625" style="20" customWidth="1"/>
    <col min="40" max="40" width="15" style="20" customWidth="1"/>
    <col min="41" max="41" width="13.5703125" style="20" customWidth="1"/>
    <col min="42" max="42" width="16" style="20" customWidth="1"/>
    <col min="43" max="43" width="13.28515625" style="20" customWidth="1"/>
    <col min="44" max="44" width="14.85546875" style="20" customWidth="1"/>
    <col min="45" max="45" width="15.42578125" style="20" customWidth="1"/>
    <col min="46" max="46" width="15.7109375" style="20" customWidth="1"/>
    <col min="47" max="47" width="14.140625" style="20" customWidth="1"/>
    <col min="48" max="48" width="12.5703125" style="20" customWidth="1"/>
    <col min="49" max="49" width="13" style="20" customWidth="1"/>
    <col min="50" max="50" width="14.7109375" style="20" customWidth="1"/>
    <col min="51" max="51" width="14" style="20" customWidth="1"/>
    <col min="52" max="52" width="13.42578125" style="20" customWidth="1"/>
    <col min="53" max="53" width="12.85546875" style="20" customWidth="1"/>
    <col min="54" max="54" width="15.28515625" style="20" customWidth="1"/>
    <col min="55" max="55" width="13.85546875" style="20" customWidth="1"/>
    <col min="56" max="56" width="14.85546875" style="20" customWidth="1"/>
    <col min="57" max="57" width="12.5703125" style="20" customWidth="1"/>
    <col min="58" max="58" width="13.85546875" style="20" customWidth="1"/>
    <col min="59" max="78" width="12.7109375" style="20" customWidth="1"/>
    <col min="79" max="79" width="13.7109375" style="20" customWidth="1"/>
    <col min="80" max="95" width="16.28515625" style="20" customWidth="1"/>
    <col min="96" max="96" width="18" style="20" customWidth="1"/>
    <col min="97" max="109" width="16.28515625" style="20" customWidth="1"/>
    <col min="110" max="120" width="14" style="20" customWidth="1"/>
    <col min="121" max="130" width="13.140625" style="20" customWidth="1"/>
    <col min="131" max="131" width="15" style="20" customWidth="1"/>
    <col min="132" max="133" width="13.140625" style="20" customWidth="1"/>
    <col min="134" max="134" width="17" style="20" customWidth="1"/>
    <col min="135" max="137" width="13.140625" style="20" customWidth="1"/>
    <col min="138" max="138" width="13.5703125" style="20" customWidth="1"/>
    <col min="139" max="139" width="15" style="20" customWidth="1"/>
    <col min="140" max="140" width="17.5703125" style="20" customWidth="1"/>
    <col min="141" max="142" width="13.85546875" style="20" customWidth="1"/>
    <col min="143" max="143" width="18.7109375" style="20" customWidth="1"/>
    <col min="144" max="144" width="17.42578125" style="20" customWidth="1"/>
    <col min="145" max="145" width="16.140625" style="20" customWidth="1"/>
    <col min="146" max="146" width="13.85546875" style="20" customWidth="1"/>
    <col min="147" max="147" width="19.28515625" style="20" customWidth="1"/>
    <col min="148" max="149" width="16.5703125" style="20" customWidth="1"/>
    <col min="150" max="150" width="18" style="20" customWidth="1"/>
    <col min="151" max="151" width="15" style="20" customWidth="1"/>
    <col min="152" max="152" width="12.5703125" style="20" customWidth="1"/>
    <col min="153" max="154" width="15" style="20" customWidth="1"/>
    <col min="155" max="155" width="13.85546875" style="20" customWidth="1"/>
    <col min="156" max="156" width="14.28515625" style="20" customWidth="1"/>
    <col min="157" max="157" width="14.42578125" style="20" customWidth="1"/>
    <col min="158" max="158" width="12.85546875" style="20" customWidth="1"/>
    <col min="159" max="160" width="13" style="20" bestFit="1" customWidth="1"/>
    <col min="161" max="161" width="14.85546875" style="20" customWidth="1"/>
    <col min="162" max="162" width="13.140625" style="20" customWidth="1"/>
    <col min="163" max="163" width="12.85546875" style="20" customWidth="1"/>
    <col min="164" max="164" width="14.28515625" style="20" customWidth="1"/>
    <col min="165" max="266" width="9.140625" style="20" customWidth="1"/>
    <col min="267" max="269" width="9.140625" style="24" customWidth="1"/>
    <col min="270" max="16384" width="9.140625" style="24"/>
  </cols>
  <sheetData>
    <row r="1" spans="1:266" ht="100.5" customHeight="1" thickBot="1" x14ac:dyDescent="0.3">
      <c r="A1" s="2"/>
      <c r="B1" s="3"/>
      <c r="D1" s="20" t="s">
        <v>0</v>
      </c>
      <c r="E1" s="20" t="s">
        <v>1</v>
      </c>
      <c r="F1" s="43" t="s">
        <v>2</v>
      </c>
      <c r="G1" s="20" t="s">
        <v>3</v>
      </c>
      <c r="H1" s="43" t="s">
        <v>4</v>
      </c>
      <c r="I1" s="49" t="s">
        <v>5</v>
      </c>
      <c r="J1" s="43" t="s">
        <v>6</v>
      </c>
      <c r="K1" s="20" t="s">
        <v>7</v>
      </c>
      <c r="L1" s="20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20" t="s">
        <v>13</v>
      </c>
      <c r="R1" s="43" t="s">
        <v>14</v>
      </c>
      <c r="S1" s="20" t="s">
        <v>15</v>
      </c>
      <c r="T1" s="20" t="s">
        <v>16</v>
      </c>
      <c r="U1" s="20" t="s">
        <v>17</v>
      </c>
      <c r="V1" s="43" t="s">
        <v>18</v>
      </c>
      <c r="W1" s="20" t="s">
        <v>19</v>
      </c>
      <c r="X1" s="20" t="s">
        <v>20</v>
      </c>
      <c r="Y1" s="52" t="s">
        <v>21</v>
      </c>
      <c r="Z1" s="20" t="s">
        <v>22</v>
      </c>
      <c r="AA1" s="20" t="s">
        <v>23</v>
      </c>
      <c r="AB1" s="20" t="s">
        <v>24</v>
      </c>
      <c r="AC1" s="20" t="s">
        <v>25</v>
      </c>
      <c r="AD1" s="20" t="s">
        <v>26</v>
      </c>
      <c r="AE1" s="20" t="s">
        <v>27</v>
      </c>
      <c r="AF1" s="20" t="s">
        <v>28</v>
      </c>
      <c r="AG1" s="43" t="s">
        <v>29</v>
      </c>
      <c r="AH1" s="43" t="s">
        <v>30</v>
      </c>
      <c r="AI1" s="20" t="s">
        <v>31</v>
      </c>
      <c r="AJ1" s="43" t="s">
        <v>32</v>
      </c>
      <c r="AK1" s="20" t="s">
        <v>33</v>
      </c>
      <c r="AL1" s="43" t="s">
        <v>34</v>
      </c>
      <c r="AM1" s="20" t="s">
        <v>35</v>
      </c>
      <c r="AN1" s="20" t="s">
        <v>36</v>
      </c>
      <c r="AO1" s="20" t="s">
        <v>37</v>
      </c>
      <c r="AP1" s="20" t="s">
        <v>38</v>
      </c>
      <c r="AQ1" s="20" t="s">
        <v>39</v>
      </c>
      <c r="AR1" s="20" t="s">
        <v>40</v>
      </c>
      <c r="AS1" s="20" t="s">
        <v>41</v>
      </c>
      <c r="AT1" s="20" t="s">
        <v>42</v>
      </c>
      <c r="AU1" s="20" t="s">
        <v>43</v>
      </c>
      <c r="AV1" s="20" t="s">
        <v>44</v>
      </c>
      <c r="AW1" s="20" t="s">
        <v>45</v>
      </c>
      <c r="AX1" s="20" t="s">
        <v>46</v>
      </c>
      <c r="AY1" s="20" t="s">
        <v>47</v>
      </c>
      <c r="AZ1" s="20" t="s">
        <v>48</v>
      </c>
      <c r="BA1" s="48" t="s">
        <v>49</v>
      </c>
      <c r="BB1" s="20" t="s">
        <v>50</v>
      </c>
      <c r="BC1" s="20" t="s">
        <v>51</v>
      </c>
      <c r="BD1" s="20" t="s">
        <v>52</v>
      </c>
      <c r="BE1" s="20" t="s">
        <v>53</v>
      </c>
      <c r="BF1" s="20" t="s">
        <v>54</v>
      </c>
      <c r="BG1" s="20" t="s">
        <v>55</v>
      </c>
      <c r="BH1" s="20" t="s">
        <v>56</v>
      </c>
      <c r="BI1" s="20" t="s">
        <v>57</v>
      </c>
      <c r="BJ1" s="43" t="s">
        <v>58</v>
      </c>
      <c r="BK1" s="20" t="s">
        <v>59</v>
      </c>
      <c r="BL1" s="20" t="s">
        <v>60</v>
      </c>
      <c r="BM1" s="43" t="s">
        <v>61</v>
      </c>
      <c r="BN1" s="43" t="s">
        <v>62</v>
      </c>
      <c r="BO1" s="20" t="s">
        <v>63</v>
      </c>
      <c r="BP1" s="20" t="s">
        <v>64</v>
      </c>
      <c r="BQ1" s="20" t="s">
        <v>65</v>
      </c>
      <c r="BR1" s="48" t="s">
        <v>66</v>
      </c>
      <c r="BS1" s="20" t="s">
        <v>67</v>
      </c>
      <c r="BT1" s="43" t="s">
        <v>68</v>
      </c>
      <c r="BU1" s="20" t="s">
        <v>69</v>
      </c>
      <c r="BV1" s="43" t="s">
        <v>70</v>
      </c>
      <c r="BW1" s="43" t="s">
        <v>71</v>
      </c>
      <c r="BX1" s="43" t="s">
        <v>72</v>
      </c>
      <c r="BY1" s="20" t="s">
        <v>73</v>
      </c>
      <c r="BZ1" s="20" t="s">
        <v>74</v>
      </c>
      <c r="CA1" s="20" t="s">
        <v>75</v>
      </c>
      <c r="CB1" s="20" t="s">
        <v>76</v>
      </c>
      <c r="CC1" s="44" t="s">
        <v>77</v>
      </c>
      <c r="CD1" s="20" t="s">
        <v>78</v>
      </c>
      <c r="CE1" s="45" t="s">
        <v>79</v>
      </c>
      <c r="CF1" s="20" t="s">
        <v>80</v>
      </c>
      <c r="CG1" s="20" t="s">
        <v>81</v>
      </c>
      <c r="CH1" s="20" t="s">
        <v>82</v>
      </c>
      <c r="CI1" s="20" t="s">
        <v>83</v>
      </c>
      <c r="CJ1" s="20" t="s">
        <v>84</v>
      </c>
      <c r="CK1" s="20" t="s">
        <v>85</v>
      </c>
      <c r="CL1" s="20" t="s">
        <v>86</v>
      </c>
      <c r="CM1" s="20" t="s">
        <v>87</v>
      </c>
      <c r="CN1" s="52" t="s">
        <v>88</v>
      </c>
      <c r="CO1" s="43" t="s">
        <v>89</v>
      </c>
      <c r="CP1" s="43" t="s">
        <v>290</v>
      </c>
      <c r="CQ1" s="20" t="s">
        <v>90</v>
      </c>
      <c r="CR1" s="20" t="s">
        <v>91</v>
      </c>
      <c r="CS1" s="20" t="s">
        <v>92</v>
      </c>
      <c r="CT1" s="20" t="s">
        <v>93</v>
      </c>
      <c r="CU1" s="20" t="s">
        <v>94</v>
      </c>
      <c r="CV1" s="20" t="s">
        <v>95</v>
      </c>
      <c r="CW1" s="20" t="s">
        <v>96</v>
      </c>
      <c r="CX1" s="20" t="s">
        <v>97</v>
      </c>
      <c r="CY1" s="20" t="s">
        <v>98</v>
      </c>
      <c r="CZ1" s="20" t="s">
        <v>99</v>
      </c>
      <c r="DA1" s="43" t="s">
        <v>100</v>
      </c>
      <c r="DB1" s="43" t="s">
        <v>101</v>
      </c>
      <c r="DC1" s="43" t="s">
        <v>102</v>
      </c>
      <c r="DD1" s="43" t="s">
        <v>103</v>
      </c>
      <c r="DE1" s="43" t="s">
        <v>104</v>
      </c>
      <c r="DF1" s="20" t="s">
        <v>105</v>
      </c>
      <c r="DG1" s="20" t="s">
        <v>106</v>
      </c>
      <c r="DH1" s="20" t="s">
        <v>107</v>
      </c>
      <c r="DI1" s="20" t="s">
        <v>108</v>
      </c>
      <c r="DJ1" s="20" t="s">
        <v>109</v>
      </c>
      <c r="DK1" s="20" t="s">
        <v>110</v>
      </c>
      <c r="DL1" s="20" t="s">
        <v>111</v>
      </c>
      <c r="DM1" s="20" t="s">
        <v>112</v>
      </c>
      <c r="DN1" s="20" t="s">
        <v>113</v>
      </c>
      <c r="DO1" s="20" t="s">
        <v>114</v>
      </c>
      <c r="DP1" s="20" t="s">
        <v>115</v>
      </c>
      <c r="DQ1" s="43" t="s">
        <v>116</v>
      </c>
      <c r="DR1" s="43" t="s">
        <v>117</v>
      </c>
      <c r="DS1" s="20" t="s">
        <v>118</v>
      </c>
      <c r="DT1" s="20" t="s">
        <v>119</v>
      </c>
      <c r="DU1" s="20" t="s">
        <v>120</v>
      </c>
      <c r="DV1" s="20" t="s">
        <v>121</v>
      </c>
      <c r="DW1" s="20" t="s">
        <v>122</v>
      </c>
      <c r="DX1" s="20" t="s">
        <v>123</v>
      </c>
      <c r="DY1" s="20" t="s">
        <v>124</v>
      </c>
      <c r="DZ1" s="20" t="s">
        <v>125</v>
      </c>
      <c r="EA1" s="43" t="s">
        <v>303</v>
      </c>
      <c r="EB1" s="48" t="s">
        <v>126</v>
      </c>
      <c r="EC1" s="43" t="s">
        <v>127</v>
      </c>
      <c r="ED1" s="43" t="s">
        <v>128</v>
      </c>
      <c r="EE1" s="51" t="s">
        <v>129</v>
      </c>
      <c r="EF1" s="20" t="s">
        <v>130</v>
      </c>
      <c r="EG1" s="20" t="s">
        <v>131</v>
      </c>
      <c r="EH1" s="52" t="s">
        <v>132</v>
      </c>
      <c r="EI1" s="20" t="s">
        <v>133</v>
      </c>
      <c r="EJ1" s="20" t="s">
        <v>134</v>
      </c>
      <c r="EK1" s="20" t="s">
        <v>135</v>
      </c>
      <c r="EL1" s="20" t="s">
        <v>136</v>
      </c>
      <c r="EM1" s="51" t="s">
        <v>137</v>
      </c>
      <c r="EN1" s="43" t="s">
        <v>138</v>
      </c>
      <c r="EO1" s="20" t="s">
        <v>139</v>
      </c>
      <c r="EP1" s="51" t="s">
        <v>140</v>
      </c>
      <c r="EQ1" s="43" t="s">
        <v>141</v>
      </c>
      <c r="ER1" s="20" t="s">
        <v>142</v>
      </c>
      <c r="ES1" s="20" t="s">
        <v>143</v>
      </c>
      <c r="ET1" s="20" t="s">
        <v>144</v>
      </c>
      <c r="EU1" s="20" t="s">
        <v>145</v>
      </c>
      <c r="EV1" s="20" t="s">
        <v>146</v>
      </c>
      <c r="EW1" s="20" t="s">
        <v>147</v>
      </c>
      <c r="EX1" s="20" t="s">
        <v>291</v>
      </c>
      <c r="EY1" s="20" t="s">
        <v>148</v>
      </c>
      <c r="EZ1" s="20" t="s">
        <v>149</v>
      </c>
      <c r="FA1" s="20" t="s">
        <v>150</v>
      </c>
      <c r="FB1" s="20" t="s">
        <v>293</v>
      </c>
      <c r="FC1" s="20" t="s">
        <v>295</v>
      </c>
      <c r="FD1" s="20" t="s">
        <v>297</v>
      </c>
      <c r="FE1" s="56" t="s">
        <v>301</v>
      </c>
      <c r="FF1" s="56" t="s">
        <v>302</v>
      </c>
      <c r="FG1" s="20" t="s">
        <v>306</v>
      </c>
      <c r="FH1" s="20" t="s">
        <v>307</v>
      </c>
    </row>
    <row r="2" spans="1:266" ht="15.75" customHeight="1" thickBot="1" x14ac:dyDescent="0.3">
      <c r="A2" s="6" t="s">
        <v>151</v>
      </c>
      <c r="B2" s="7" t="s">
        <v>152</v>
      </c>
      <c r="C2" s="35" t="s">
        <v>153</v>
      </c>
      <c r="D2" s="46">
        <v>0</v>
      </c>
      <c r="E2" s="46">
        <v>0</v>
      </c>
      <c r="F2" s="46">
        <v>0</v>
      </c>
      <c r="G2" s="46">
        <v>0</v>
      </c>
      <c r="H2" s="46">
        <v>0</v>
      </c>
      <c r="I2" s="46">
        <v>0</v>
      </c>
      <c r="J2" s="46">
        <v>0</v>
      </c>
      <c r="K2" s="46">
        <v>0</v>
      </c>
      <c r="L2" s="46">
        <v>0</v>
      </c>
      <c r="M2" s="46">
        <v>0</v>
      </c>
      <c r="N2" s="46">
        <v>0</v>
      </c>
      <c r="O2" s="46">
        <v>0</v>
      </c>
      <c r="P2" s="46">
        <v>0</v>
      </c>
      <c r="Q2" s="46">
        <v>0</v>
      </c>
      <c r="R2" s="46">
        <v>0</v>
      </c>
      <c r="S2" s="46">
        <v>0</v>
      </c>
      <c r="T2" s="46">
        <v>0</v>
      </c>
      <c r="U2" s="46">
        <v>0</v>
      </c>
      <c r="V2" s="46">
        <v>0</v>
      </c>
      <c r="W2" s="46">
        <v>0</v>
      </c>
      <c r="X2" s="46">
        <v>0</v>
      </c>
      <c r="Y2" s="46">
        <v>0</v>
      </c>
      <c r="Z2" s="46">
        <v>0</v>
      </c>
      <c r="AA2" s="46">
        <v>0</v>
      </c>
      <c r="AB2" s="46">
        <v>0</v>
      </c>
      <c r="AC2" s="46">
        <v>0</v>
      </c>
      <c r="AD2" s="46">
        <v>0</v>
      </c>
      <c r="AE2" s="46">
        <v>0</v>
      </c>
      <c r="AF2" s="46">
        <v>0</v>
      </c>
      <c r="AG2" s="46">
        <v>0</v>
      </c>
      <c r="AH2" s="46">
        <v>0</v>
      </c>
      <c r="AI2" s="46">
        <v>0</v>
      </c>
      <c r="AJ2" s="46">
        <v>0</v>
      </c>
      <c r="AK2" s="46">
        <v>0</v>
      </c>
      <c r="AL2" s="46">
        <v>0</v>
      </c>
      <c r="AM2" s="46">
        <v>0</v>
      </c>
      <c r="AN2" s="46">
        <v>0</v>
      </c>
      <c r="AO2" s="46">
        <v>0</v>
      </c>
      <c r="AP2" s="46">
        <v>0</v>
      </c>
      <c r="AQ2" s="46">
        <v>0</v>
      </c>
      <c r="AR2" s="46">
        <v>0</v>
      </c>
      <c r="AS2" s="46">
        <v>0</v>
      </c>
      <c r="AT2" s="46">
        <v>0</v>
      </c>
      <c r="AU2" s="46">
        <v>0</v>
      </c>
      <c r="AV2" s="46">
        <v>0</v>
      </c>
      <c r="AW2" s="46">
        <v>0</v>
      </c>
      <c r="AX2" s="46">
        <v>0</v>
      </c>
      <c r="AY2" s="46">
        <v>0</v>
      </c>
      <c r="AZ2" s="46">
        <v>0</v>
      </c>
      <c r="BA2" s="46">
        <v>0</v>
      </c>
      <c r="BB2" s="46">
        <v>0</v>
      </c>
      <c r="BC2" s="46">
        <v>0</v>
      </c>
      <c r="BD2" s="46">
        <v>0</v>
      </c>
      <c r="BE2" s="46">
        <v>0</v>
      </c>
      <c r="BF2" s="46">
        <v>0</v>
      </c>
      <c r="BG2" s="46">
        <v>0</v>
      </c>
      <c r="BH2" s="46">
        <v>0</v>
      </c>
      <c r="BI2" s="46">
        <v>0</v>
      </c>
      <c r="BJ2" s="46">
        <v>0</v>
      </c>
      <c r="BK2" s="46">
        <v>0</v>
      </c>
      <c r="BL2" s="46">
        <v>0</v>
      </c>
      <c r="BM2" s="46">
        <v>0</v>
      </c>
      <c r="BN2" s="46">
        <v>0</v>
      </c>
      <c r="BO2" s="46">
        <v>0</v>
      </c>
      <c r="BP2" s="46">
        <v>0</v>
      </c>
      <c r="BQ2" s="46">
        <v>0</v>
      </c>
      <c r="BR2" s="46">
        <v>0</v>
      </c>
      <c r="BS2" s="46">
        <v>0</v>
      </c>
      <c r="BT2" s="46">
        <v>0</v>
      </c>
      <c r="BU2" s="46">
        <v>0</v>
      </c>
      <c r="BV2" s="46">
        <v>0</v>
      </c>
      <c r="BW2" s="46">
        <v>0</v>
      </c>
      <c r="BX2" s="46">
        <v>0</v>
      </c>
      <c r="BY2" s="46">
        <v>0</v>
      </c>
      <c r="BZ2" s="46">
        <v>0</v>
      </c>
      <c r="CA2" s="46">
        <v>0</v>
      </c>
      <c r="CB2" s="46">
        <v>0</v>
      </c>
      <c r="CC2" s="46">
        <v>0</v>
      </c>
      <c r="CD2" s="46">
        <v>0</v>
      </c>
      <c r="CE2" s="46">
        <v>0</v>
      </c>
      <c r="CF2" s="46">
        <v>0</v>
      </c>
      <c r="CG2" s="46">
        <v>0</v>
      </c>
      <c r="CH2" s="46">
        <v>0</v>
      </c>
      <c r="CI2" s="46">
        <v>0</v>
      </c>
      <c r="CJ2" s="46">
        <v>0</v>
      </c>
      <c r="CK2" s="46">
        <v>0</v>
      </c>
      <c r="CL2" s="46">
        <v>0</v>
      </c>
      <c r="CM2" s="46">
        <v>0</v>
      </c>
      <c r="CN2" s="46">
        <v>0</v>
      </c>
      <c r="CO2" s="46">
        <v>0</v>
      </c>
      <c r="CP2" s="46">
        <v>0</v>
      </c>
      <c r="CQ2" s="46">
        <v>0</v>
      </c>
      <c r="CR2" s="46">
        <v>0</v>
      </c>
      <c r="CS2" s="46">
        <v>0</v>
      </c>
      <c r="CT2" s="46">
        <v>0</v>
      </c>
      <c r="CU2" s="46">
        <v>0</v>
      </c>
      <c r="CV2" s="46">
        <v>0</v>
      </c>
      <c r="CW2" s="46">
        <v>0</v>
      </c>
      <c r="CX2" s="46">
        <v>0</v>
      </c>
      <c r="CY2" s="46">
        <v>0</v>
      </c>
      <c r="CZ2" s="46">
        <v>0</v>
      </c>
      <c r="DA2" s="46">
        <v>0</v>
      </c>
      <c r="DB2" s="46">
        <v>0</v>
      </c>
      <c r="DC2" s="46">
        <v>0</v>
      </c>
      <c r="DD2" s="46">
        <v>0</v>
      </c>
      <c r="DE2" s="46">
        <v>0</v>
      </c>
      <c r="DF2" s="46">
        <v>0</v>
      </c>
      <c r="DG2" s="46">
        <v>0</v>
      </c>
      <c r="DH2" s="46">
        <v>0</v>
      </c>
      <c r="DI2" s="46">
        <v>0</v>
      </c>
      <c r="DJ2" s="46">
        <v>0</v>
      </c>
      <c r="DK2" s="46">
        <v>0</v>
      </c>
      <c r="DL2" s="46">
        <v>0</v>
      </c>
      <c r="DM2" s="46">
        <v>0</v>
      </c>
      <c r="DN2" s="46">
        <v>0</v>
      </c>
      <c r="DO2" s="46">
        <v>0</v>
      </c>
      <c r="DP2" s="46">
        <v>0</v>
      </c>
      <c r="DQ2" s="46">
        <v>0</v>
      </c>
      <c r="DR2" s="46">
        <v>0</v>
      </c>
      <c r="DS2" s="46">
        <v>0</v>
      </c>
      <c r="DT2" s="46">
        <v>0</v>
      </c>
      <c r="DU2" s="46">
        <v>0</v>
      </c>
      <c r="DV2" s="46">
        <v>0</v>
      </c>
      <c r="DW2" s="46">
        <v>0</v>
      </c>
      <c r="DX2" s="46">
        <v>0</v>
      </c>
      <c r="DY2" s="46">
        <v>0</v>
      </c>
      <c r="DZ2" s="46">
        <v>0</v>
      </c>
      <c r="EA2" s="46">
        <v>0</v>
      </c>
      <c r="EB2" s="46">
        <v>0</v>
      </c>
      <c r="EC2" s="46">
        <v>0</v>
      </c>
      <c r="ED2" s="46">
        <v>0</v>
      </c>
      <c r="EE2" s="46">
        <v>0</v>
      </c>
      <c r="EF2" s="46">
        <v>0</v>
      </c>
      <c r="EG2" s="46">
        <v>0</v>
      </c>
      <c r="EH2" s="46">
        <v>0</v>
      </c>
      <c r="EI2" s="46">
        <v>0</v>
      </c>
      <c r="EJ2" s="46">
        <v>0</v>
      </c>
      <c r="EK2" s="46">
        <v>0</v>
      </c>
      <c r="EL2" s="46">
        <v>0</v>
      </c>
      <c r="EM2" s="46">
        <v>0</v>
      </c>
      <c r="EN2" s="46">
        <v>0</v>
      </c>
      <c r="EO2" s="46">
        <v>0</v>
      </c>
      <c r="EP2" s="46">
        <v>0</v>
      </c>
      <c r="EQ2" s="46">
        <v>0</v>
      </c>
      <c r="ER2" s="46">
        <v>0</v>
      </c>
      <c r="ES2" s="46">
        <v>0</v>
      </c>
      <c r="ET2" s="46">
        <v>0</v>
      </c>
      <c r="EU2" s="46">
        <v>0</v>
      </c>
      <c r="EV2" s="46">
        <v>0</v>
      </c>
      <c r="EW2" s="46">
        <v>0</v>
      </c>
      <c r="EX2" s="46">
        <v>0</v>
      </c>
      <c r="EY2" s="46">
        <v>0</v>
      </c>
      <c r="EZ2" s="46">
        <v>0</v>
      </c>
      <c r="FA2" s="46">
        <v>0</v>
      </c>
      <c r="FB2" s="46">
        <v>0</v>
      </c>
      <c r="FC2" s="46">
        <v>0</v>
      </c>
      <c r="FD2" s="46">
        <v>0</v>
      </c>
      <c r="FE2" s="46">
        <v>0</v>
      </c>
      <c r="FF2" s="46">
        <v>0</v>
      </c>
      <c r="FG2" s="46">
        <v>0</v>
      </c>
      <c r="FH2" s="46">
        <v>0</v>
      </c>
    </row>
    <row r="3" spans="1:266" ht="30.75" customHeight="1" thickBot="1" x14ac:dyDescent="0.3">
      <c r="A3" s="8" t="s">
        <v>154</v>
      </c>
      <c r="B3" s="4" t="s">
        <v>155</v>
      </c>
      <c r="C3" s="36">
        <f>SUM(D3:HQ3)*1.05</f>
        <v>0</v>
      </c>
      <c r="D3" s="20">
        <f>0.222*D2</f>
        <v>0</v>
      </c>
      <c r="F3" s="20">
        <f>0.206*F2</f>
        <v>0</v>
      </c>
      <c r="G3" s="20">
        <f>0.158*G2</f>
        <v>0</v>
      </c>
      <c r="H3" s="20">
        <f>0.643*H2</f>
        <v>0</v>
      </c>
      <c r="I3" s="20">
        <f>0.196*I2</f>
        <v>0</v>
      </c>
      <c r="L3" s="20">
        <f>0.316*L2</f>
        <v>0</v>
      </c>
      <c r="M3" s="20">
        <f>0.149*M2</f>
        <v>0</v>
      </c>
      <c r="N3" s="20">
        <f>0.583*N2</f>
        <v>0</v>
      </c>
      <c r="O3" s="20">
        <f>0.12*O2</f>
        <v>0</v>
      </c>
      <c r="P3" s="20">
        <f>0.114*P2</f>
        <v>0</v>
      </c>
      <c r="Q3" s="20">
        <f>0.336*Q2</f>
        <v>0</v>
      </c>
      <c r="R3" s="20">
        <f>0.35*R2</f>
        <v>0</v>
      </c>
      <c r="S3" s="20">
        <f>0.239*S2</f>
        <v>0</v>
      </c>
      <c r="V3" s="20">
        <f>0.113*V2</f>
        <v>0</v>
      </c>
      <c r="X3" s="20">
        <f>0.62*X2</f>
        <v>0</v>
      </c>
      <c r="Y3" s="20">
        <f>0.4*Y2</f>
        <v>0</v>
      </c>
      <c r="Z3" s="20">
        <f>0.2*Z2</f>
        <v>0</v>
      </c>
      <c r="AA3" s="20">
        <f>0.21*AA2</f>
        <v>0</v>
      </c>
      <c r="AB3" s="20">
        <f>0.23*AB2</f>
        <v>0</v>
      </c>
      <c r="AC3" s="20">
        <f>0.185*AC2</f>
        <v>0</v>
      </c>
      <c r="AD3" s="20">
        <f>0.185*AD2</f>
        <v>0</v>
      </c>
      <c r="AE3" s="20">
        <f>0.185*AE2</f>
        <v>0</v>
      </c>
      <c r="AF3" s="20">
        <f>0.193*AF2</f>
        <v>0</v>
      </c>
      <c r="AG3" s="20">
        <f>0.1*AG2</f>
        <v>0</v>
      </c>
      <c r="AH3" s="20">
        <f>0.163*AH2</f>
        <v>0</v>
      </c>
      <c r="AI3" s="20">
        <f>0.124*AI2</f>
        <v>0</v>
      </c>
      <c r="AJ3" s="20">
        <f>0.113*AJ2</f>
        <v>0</v>
      </c>
      <c r="AM3" s="20">
        <f>0.586*AM2</f>
        <v>0</v>
      </c>
      <c r="AN3" s="20">
        <f>0.293*AN2</f>
        <v>0</v>
      </c>
      <c r="AO3" s="20">
        <f>0.27*AO2</f>
        <v>0</v>
      </c>
      <c r="AQ3" s="20">
        <f>0.15*AQ2</f>
        <v>0</v>
      </c>
      <c r="AR3" s="20">
        <f>0.103*AR2</f>
        <v>0</v>
      </c>
      <c r="AS3" s="20">
        <f>0.175*AS2</f>
        <v>0</v>
      </c>
      <c r="AT3" s="20">
        <f>0.324*AT2</f>
        <v>0</v>
      </c>
      <c r="AU3" s="20">
        <f>0.316*AU2</f>
        <v>0</v>
      </c>
      <c r="AV3" s="20">
        <f>0.337*AV2</f>
        <v>0</v>
      </c>
      <c r="AW3" s="20">
        <f>0.164*AW2</f>
        <v>0</v>
      </c>
      <c r="AX3" s="20">
        <f>0.222*AX2</f>
        <v>0</v>
      </c>
      <c r="AY3" s="20">
        <f>0.319*AY2</f>
        <v>0</v>
      </c>
      <c r="AZ3" s="20">
        <f>0.185*AZ2</f>
        <v>0</v>
      </c>
      <c r="BA3" s="20">
        <f>0.607*BA2</f>
        <v>0</v>
      </c>
      <c r="BB3" s="20">
        <f>0.6*BB2</f>
        <v>0</v>
      </c>
      <c r="BC3" s="20">
        <f>0.88*BC2</f>
        <v>0</v>
      </c>
      <c r="BF3" s="20">
        <f>0.452*BF2</f>
        <v>0</v>
      </c>
      <c r="BG3" s="20">
        <f>0.451*BG2</f>
        <v>0</v>
      </c>
      <c r="BH3" s="20">
        <f>0.39*BH2</f>
        <v>0</v>
      </c>
      <c r="BI3" s="20">
        <f>0.394*BI2</f>
        <v>0</v>
      </c>
      <c r="BJ3" s="20">
        <f>0.193*BJ2</f>
        <v>0</v>
      </c>
      <c r="BK3" s="20">
        <f>0.288*BK2</f>
        <v>0</v>
      </c>
      <c r="BL3" s="20">
        <f>0.39*BL2</f>
        <v>0</v>
      </c>
      <c r="BM3" s="20">
        <f>0.116*BM2</f>
        <v>0</v>
      </c>
      <c r="BN3" s="20">
        <f>0.146*BN2</f>
        <v>0</v>
      </c>
      <c r="BO3" s="20">
        <f>0.357*BO2</f>
        <v>0</v>
      </c>
      <c r="BP3" s="20">
        <f>0.592*BP2</f>
        <v>0</v>
      </c>
      <c r="BQ3" s="20">
        <f>0.592*BQ2</f>
        <v>0</v>
      </c>
      <c r="BR3" s="20">
        <f>0.304*BR2</f>
        <v>0</v>
      </c>
      <c r="BS3" s="20">
        <f>0.24*BS2</f>
        <v>0</v>
      </c>
      <c r="BT3" s="20">
        <f>0.57*BT2</f>
        <v>0</v>
      </c>
      <c r="BU3" s="20">
        <f>0.577*BU2</f>
        <v>0</v>
      </c>
      <c r="BV3" s="20">
        <f>0.21*BV2</f>
        <v>0</v>
      </c>
      <c r="BW3" s="20">
        <f>0.21*BW2</f>
        <v>0</v>
      </c>
      <c r="BX3" s="20">
        <f>0.2*BX2</f>
        <v>0</v>
      </c>
      <c r="BY3" s="20">
        <f>0.23*BY2</f>
        <v>0</v>
      </c>
      <c r="BZ3" s="20">
        <f>0.198*BZ2</f>
        <v>0</v>
      </c>
      <c r="CA3" s="20">
        <f>0.461*CA2</f>
        <v>0</v>
      </c>
      <c r="CB3" s="20">
        <f>0.099*CB2</f>
        <v>0</v>
      </c>
      <c r="CD3" s="20">
        <f>0.242*CD2</f>
        <v>0</v>
      </c>
      <c r="CH3" s="20">
        <f>0.533*CH2</f>
        <v>0</v>
      </c>
      <c r="CI3" s="20">
        <f>0.16*CI2</f>
        <v>0</v>
      </c>
      <c r="CJ3" s="20">
        <f>0.132*CJ2</f>
        <v>0</v>
      </c>
      <c r="CK3" s="20">
        <f>0.2*CK2</f>
        <v>0</v>
      </c>
      <c r="CM3" s="20">
        <f>0.18*CM2</f>
        <v>0</v>
      </c>
      <c r="DA3" s="20">
        <f>0.069*DA2</f>
        <v>0</v>
      </c>
      <c r="DB3" s="20">
        <f>0.052*DB2</f>
        <v>0</v>
      </c>
      <c r="DC3" s="20">
        <f>0.045*DC2</f>
        <v>0</v>
      </c>
      <c r="DD3" s="20">
        <f>0.243*DD2</f>
        <v>0</v>
      </c>
      <c r="DE3" s="20">
        <f>0.145*DE2</f>
        <v>0</v>
      </c>
      <c r="DF3" s="20">
        <f>0.22*DF2</f>
        <v>0</v>
      </c>
      <c r="DG3" s="20">
        <f>0.165*DG2</f>
        <v>0</v>
      </c>
      <c r="DH3" s="20">
        <f>0.105*DH2</f>
        <v>0</v>
      </c>
      <c r="DI3" s="20">
        <f>0.211*DI2</f>
        <v>0</v>
      </c>
      <c r="DJ3" s="20">
        <f>0.41*DJ2</f>
        <v>0</v>
      </c>
      <c r="DK3" s="20">
        <f>0.528*DK2</f>
        <v>0</v>
      </c>
      <c r="DL3" s="20">
        <f>0.528*DL2</f>
        <v>0</v>
      </c>
      <c r="DM3" s="20">
        <f>0.448*DM2</f>
        <v>0</v>
      </c>
      <c r="DN3" s="20">
        <f>0.092*DN2</f>
        <v>0</v>
      </c>
      <c r="DQ3" s="20">
        <f>0.147*DQ2</f>
        <v>0</v>
      </c>
      <c r="DR3" s="20">
        <f>0.203*DR2</f>
        <v>0</v>
      </c>
      <c r="DS3" s="20">
        <f>0.21*DS2</f>
        <v>0</v>
      </c>
      <c r="DT3" s="20">
        <f>0.156*DT2</f>
        <v>0</v>
      </c>
      <c r="DU3" s="20">
        <f>0.136*DU2</f>
        <v>0</v>
      </c>
      <c r="DV3" s="20">
        <f>0.21*DV2</f>
        <v>0</v>
      </c>
      <c r="DW3" s="20">
        <f>0.2*DW2</f>
        <v>0</v>
      </c>
      <c r="DX3" s="20">
        <f>0.15*DX2</f>
        <v>0</v>
      </c>
      <c r="DY3" s="20">
        <f>0.13*DY2</f>
        <v>0</v>
      </c>
      <c r="DZ3" s="20">
        <f>0.2*DZ2</f>
        <v>0</v>
      </c>
      <c r="EA3" s="20">
        <f>0.035*EA2</f>
        <v>0</v>
      </c>
      <c r="EB3" s="20">
        <f>EB2*0.47</f>
        <v>0</v>
      </c>
      <c r="EC3" s="20">
        <f>EC2*0.047</f>
        <v>0</v>
      </c>
      <c r="ED3" s="20">
        <f>ED2*0.025</f>
        <v>0</v>
      </c>
      <c r="EE3" s="20">
        <f>EE2*0.145</f>
        <v>0</v>
      </c>
      <c r="EF3" s="20">
        <f>EF2*0.138</f>
        <v>0</v>
      </c>
      <c r="EG3" s="20">
        <f>EG2*0.134</f>
        <v>0</v>
      </c>
      <c r="EH3" s="20">
        <f>EH2*0.138</f>
        <v>0</v>
      </c>
      <c r="EI3" s="20">
        <f>EI2*0.138</f>
        <v>0</v>
      </c>
      <c r="EJ3" s="20">
        <f>EJ2*0.138</f>
        <v>0</v>
      </c>
      <c r="EK3" s="20">
        <f>0.416*EK2</f>
        <v>0</v>
      </c>
      <c r="EL3" s="20">
        <f>0.416*EL2</f>
        <v>0</v>
      </c>
      <c r="EM3" s="20">
        <f>EM2*0.085</f>
        <v>0</v>
      </c>
      <c r="EN3" s="20">
        <f>EN2*0.1</f>
        <v>0</v>
      </c>
      <c r="EO3" s="20">
        <f>EO2*0.1</f>
        <v>0</v>
      </c>
      <c r="EP3" s="20">
        <f>0.11*EP2</f>
        <v>0</v>
      </c>
      <c r="EQ3" s="20">
        <f>0.11*EQ2</f>
        <v>0</v>
      </c>
      <c r="ER3" s="20">
        <f>0.11*ER2</f>
        <v>0</v>
      </c>
      <c r="ES3" s="20">
        <f>0.573*ES2</f>
        <v>0</v>
      </c>
      <c r="ET3" s="20">
        <f>0.097*ET2</f>
        <v>0</v>
      </c>
      <c r="EU3" s="20">
        <f>0.316*EU2</f>
        <v>0</v>
      </c>
      <c r="EV3" s="20">
        <f>0.163*EV2</f>
        <v>0</v>
      </c>
      <c r="EW3" s="20">
        <f>0.145*EW2</f>
        <v>0</v>
      </c>
      <c r="EY3" s="20">
        <f>0.124*EY2</f>
        <v>0</v>
      </c>
      <c r="EZ3" s="20">
        <f>0.145*EZ2</f>
        <v>0</v>
      </c>
      <c r="FB3" s="20">
        <f>0.173*FB2</f>
        <v>0</v>
      </c>
      <c r="FC3" s="20">
        <f>0.066*FC2</f>
        <v>0</v>
      </c>
      <c r="FD3" s="20">
        <f>0.266*FD2</f>
        <v>0</v>
      </c>
      <c r="FE3" s="20">
        <f>0.256*FE2</f>
        <v>0</v>
      </c>
      <c r="FF3" s="20">
        <f>0.501*FF2</f>
        <v>0</v>
      </c>
      <c r="FG3" s="20">
        <f>0.141*FG2</f>
        <v>0</v>
      </c>
    </row>
    <row r="4" spans="1:266" s="32" customFormat="1" ht="30.75" customHeight="1" thickBot="1" x14ac:dyDescent="0.3">
      <c r="A4" s="31" t="s">
        <v>156</v>
      </c>
      <c r="B4" s="31" t="s">
        <v>157</v>
      </c>
      <c r="C4" s="37">
        <f>SUM(D4:HQ4)</f>
        <v>0</v>
      </c>
      <c r="D4" s="33"/>
      <c r="E4" s="33"/>
      <c r="F4" s="33"/>
      <c r="G4" s="33"/>
      <c r="H4" s="33">
        <f>29.3*H2</f>
        <v>0</v>
      </c>
      <c r="I4" s="33">
        <f>10.03*I2</f>
        <v>0</v>
      </c>
      <c r="J4" s="33"/>
      <c r="K4" s="33"/>
      <c r="L4" s="33"/>
      <c r="M4" s="33">
        <f>9.2*M2</f>
        <v>0</v>
      </c>
      <c r="N4" s="33"/>
      <c r="O4" s="33">
        <f>6.2*O2</f>
        <v>0</v>
      </c>
      <c r="P4" s="33">
        <f>6.9*P2</f>
        <v>0</v>
      </c>
      <c r="Q4" s="33"/>
      <c r="R4" s="33">
        <f>17.3*R2</f>
        <v>0</v>
      </c>
      <c r="S4" s="33"/>
      <c r="T4" s="33"/>
      <c r="U4" s="33"/>
      <c r="V4" s="33">
        <f>6*V2</f>
        <v>0</v>
      </c>
      <c r="W4" s="33"/>
      <c r="X4" s="33"/>
      <c r="Y4" s="33">
        <f>18.1*Y2</f>
        <v>0</v>
      </c>
      <c r="Z4" s="33"/>
      <c r="AA4" s="33"/>
      <c r="AB4" s="33"/>
      <c r="AC4" s="33"/>
      <c r="AD4" s="33"/>
      <c r="AE4" s="33"/>
      <c r="AF4" s="33"/>
      <c r="AG4" s="33">
        <f>6*AG2</f>
        <v>0</v>
      </c>
      <c r="AH4" s="33">
        <f>11.25*AH2</f>
        <v>0</v>
      </c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>
        <f>33.7*BA2</f>
        <v>0</v>
      </c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>
        <f>6.48*BM2</f>
        <v>0</v>
      </c>
      <c r="BN4" s="33"/>
      <c r="BO4" s="33"/>
      <c r="BP4" s="33"/>
      <c r="BQ4" s="33"/>
      <c r="BR4" s="33">
        <f>15.5*BR2</f>
        <v>0</v>
      </c>
      <c r="BS4" s="33"/>
      <c r="BT4" s="33"/>
      <c r="BU4" s="33"/>
      <c r="BV4" s="33">
        <f>11.9*BV2</f>
        <v>0</v>
      </c>
      <c r="BW4" s="33">
        <f>11.9*BW2</f>
        <v>0</v>
      </c>
      <c r="BX4" s="33"/>
      <c r="BY4" s="33"/>
      <c r="BZ4" s="33"/>
      <c r="CA4" s="33"/>
      <c r="CB4" s="33"/>
      <c r="CC4" s="33"/>
      <c r="CD4" s="33">
        <f>12.6*CD2</f>
        <v>0</v>
      </c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>
        <f>2.2*DB2</f>
        <v>0</v>
      </c>
      <c r="DC4" s="33">
        <f>3.4*DC2</f>
        <v>0</v>
      </c>
      <c r="DD4" s="33"/>
      <c r="DE4" s="33">
        <f>11*DE2</f>
        <v>0</v>
      </c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>
        <f>12*DR2</f>
        <v>0</v>
      </c>
      <c r="DS4" s="33"/>
      <c r="DT4" s="33"/>
      <c r="DU4" s="33"/>
      <c r="DV4" s="33"/>
      <c r="DW4" s="33"/>
      <c r="DX4" s="33"/>
      <c r="DY4" s="33"/>
      <c r="DZ4" s="33"/>
      <c r="EA4" s="33">
        <f>3.54*EA2</f>
        <v>0</v>
      </c>
      <c r="EB4" s="33">
        <f>24*EB2</f>
        <v>0</v>
      </c>
      <c r="EC4" s="33"/>
      <c r="ED4" s="33">
        <f>1.86*ED2</f>
        <v>0</v>
      </c>
      <c r="EE4" s="33">
        <f>9.8*EE2</f>
        <v>0</v>
      </c>
      <c r="EF4" s="33"/>
      <c r="EG4" s="33"/>
      <c r="EH4" s="33">
        <f>8.1*EH2</f>
        <v>0</v>
      </c>
      <c r="EI4" s="33"/>
      <c r="EJ4" s="33"/>
      <c r="EK4" s="33"/>
      <c r="EL4" s="33"/>
      <c r="EM4" s="33">
        <f>6.76*EM2</f>
        <v>0</v>
      </c>
      <c r="EN4" s="33"/>
      <c r="EO4" s="33"/>
      <c r="EP4" s="33">
        <f>8.03*EP2</f>
        <v>0</v>
      </c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>
        <f>12.9*FB2</f>
        <v>0</v>
      </c>
      <c r="FC4" s="33">
        <f>4.1*FC2</f>
        <v>0</v>
      </c>
      <c r="FD4" s="33">
        <f>15.9*FD2</f>
        <v>0</v>
      </c>
      <c r="FE4" s="33">
        <f>15.7*FE2</f>
        <v>0</v>
      </c>
      <c r="FF4" s="33">
        <f>28.4*FF2</f>
        <v>0</v>
      </c>
      <c r="FG4" s="33">
        <f>8.3*FG2</f>
        <v>0</v>
      </c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  <c r="IW4" s="33"/>
      <c r="IX4" s="33"/>
      <c r="IY4" s="33"/>
      <c r="IZ4" s="33"/>
      <c r="JA4" s="33"/>
      <c r="JB4" s="33"/>
      <c r="JC4" s="33"/>
      <c r="JD4" s="33"/>
      <c r="JE4" s="33"/>
      <c r="JF4" s="33"/>
    </row>
    <row r="5" spans="1:266" ht="15.75" customHeight="1" thickBot="1" x14ac:dyDescent="0.3">
      <c r="A5" s="11" t="s">
        <v>158</v>
      </c>
      <c r="B5" s="12" t="s">
        <v>155</v>
      </c>
      <c r="C5" s="36">
        <f>SUM(D5:HQ5)*1.05</f>
        <v>0</v>
      </c>
      <c r="M5" s="20">
        <f>0.0056*M2</f>
        <v>0</v>
      </c>
      <c r="P5" s="20">
        <f>0.0092*P2</f>
        <v>0</v>
      </c>
      <c r="Q5" s="20">
        <f>0.018*Q2</f>
        <v>0</v>
      </c>
      <c r="R5" s="20">
        <f>0.024*R2</f>
        <v>0</v>
      </c>
      <c r="S5" s="20">
        <f>0.014*S2</f>
        <v>0</v>
      </c>
      <c r="Y5" s="20">
        <f>0.007*Y2</f>
        <v>0</v>
      </c>
      <c r="AT5" s="20">
        <f>0.022*AT2</f>
        <v>0</v>
      </c>
      <c r="AU5" s="20">
        <f>0.006*AU2</f>
        <v>0</v>
      </c>
      <c r="AV5" s="20">
        <f>0.026*AV2</f>
        <v>0</v>
      </c>
      <c r="AX5" s="20">
        <f>0.018*AX2</f>
        <v>0</v>
      </c>
      <c r="AY5" s="20">
        <f>0.007*AY2</f>
        <v>0</v>
      </c>
      <c r="BH5" s="20">
        <f>0.026*BH2</f>
        <v>0</v>
      </c>
      <c r="BI5" s="20">
        <f>0.022*BI2</f>
        <v>0</v>
      </c>
      <c r="BK5" s="20">
        <f>0.018*BK2</f>
        <v>0</v>
      </c>
      <c r="BL5" s="20">
        <f>0.007*BL2</f>
        <v>0</v>
      </c>
      <c r="BO5" s="20">
        <f>0.014*BO2</f>
        <v>0</v>
      </c>
      <c r="BS5" s="20">
        <f>0.004*BS2</f>
        <v>0</v>
      </c>
      <c r="DG5" s="20">
        <f>0.009*DG2</f>
        <v>0</v>
      </c>
      <c r="EB5" s="20">
        <f>EB2*0.025</f>
        <v>0</v>
      </c>
      <c r="EK5" s="20">
        <f>0.021*EK2</f>
        <v>0</v>
      </c>
      <c r="EL5" s="20">
        <f>0.021*EL2</f>
        <v>0</v>
      </c>
    </row>
    <row r="6" spans="1:266" s="32" customFormat="1" ht="15.75" customHeight="1" thickBot="1" x14ac:dyDescent="0.3">
      <c r="A6" s="31" t="s">
        <v>156</v>
      </c>
      <c r="B6" s="31" t="s">
        <v>157</v>
      </c>
      <c r="C6" s="37">
        <f>SUM(D6:HQ6)</f>
        <v>0</v>
      </c>
      <c r="D6" s="33"/>
      <c r="E6" s="33"/>
      <c r="F6" s="33"/>
      <c r="G6" s="33"/>
      <c r="H6" s="33"/>
      <c r="I6" s="33"/>
      <c r="J6" s="33"/>
      <c r="K6" s="33"/>
      <c r="L6" s="33"/>
      <c r="M6" s="33">
        <f>0.5*M2</f>
        <v>0</v>
      </c>
      <c r="N6" s="33"/>
      <c r="O6" s="33"/>
      <c r="P6" s="33">
        <f>0.63*P2</f>
        <v>0</v>
      </c>
      <c r="Q6" s="33"/>
      <c r="R6" s="33">
        <f>1.34*R2</f>
        <v>0</v>
      </c>
      <c r="S6" s="33"/>
      <c r="T6" s="33"/>
      <c r="U6" s="33"/>
      <c r="V6" s="33"/>
      <c r="W6" s="33"/>
      <c r="X6" s="33"/>
      <c r="Y6" s="33">
        <f>0.623*Y2</f>
        <v>0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>
        <f>1.85*EB2</f>
        <v>0</v>
      </c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  <c r="IV6" s="33"/>
      <c r="IW6" s="33"/>
      <c r="IX6" s="33"/>
      <c r="IY6" s="33"/>
      <c r="IZ6" s="33"/>
      <c r="JA6" s="33"/>
      <c r="JB6" s="33"/>
      <c r="JC6" s="33"/>
      <c r="JD6" s="33"/>
      <c r="JE6" s="33"/>
      <c r="JF6" s="33"/>
    </row>
    <row r="7" spans="1:266" ht="15.75" customHeight="1" thickBot="1" x14ac:dyDescent="0.3">
      <c r="A7" s="10" t="s">
        <v>159</v>
      </c>
      <c r="B7" s="5" t="s">
        <v>155</v>
      </c>
      <c r="C7" s="36">
        <f>SUM(D7:HQ7)*1.05</f>
        <v>0</v>
      </c>
      <c r="M7" s="20">
        <f>0.0164*M2</f>
        <v>0</v>
      </c>
      <c r="P7" s="20">
        <f>0.026*P2</f>
        <v>0</v>
      </c>
      <c r="Q7" s="20">
        <f>0.04*Q2</f>
        <v>0</v>
      </c>
      <c r="R7" s="20">
        <f>0.049*R2</f>
        <v>0</v>
      </c>
      <c r="S7" s="20">
        <f>0.031*S2</f>
        <v>0</v>
      </c>
      <c r="Y7" s="20">
        <f>0.025*Y2</f>
        <v>0</v>
      </c>
      <c r="AT7" s="20">
        <f>0.037*AT2</f>
        <v>0</v>
      </c>
      <c r="AU7" s="20">
        <f>0.029*AU2</f>
        <v>0</v>
      </c>
      <c r="AV7" s="20">
        <f>0.063*AV2</f>
        <v>0</v>
      </c>
      <c r="AX7" s="20">
        <f>0.038*AX2</f>
        <v>0</v>
      </c>
      <c r="AY7" s="20">
        <f>0.025*AY2</f>
        <v>0</v>
      </c>
      <c r="BH7" s="20">
        <f>0.063*BH2</f>
        <v>0</v>
      </c>
      <c r="BI7" s="20">
        <f>0.044*BI2</f>
        <v>0</v>
      </c>
      <c r="BK7" s="20">
        <f>0.038*BK2</f>
        <v>0</v>
      </c>
      <c r="BL7" s="20">
        <f>0.025*BL2</f>
        <v>0</v>
      </c>
      <c r="BO7" s="20">
        <f>0.024*BO2</f>
        <v>0</v>
      </c>
      <c r="BS7" s="20">
        <f>0.024*BS2</f>
        <v>0</v>
      </c>
      <c r="DG7" s="20">
        <f>0.025*DG2</f>
        <v>0</v>
      </c>
      <c r="EB7" s="20">
        <f>EB2*0.049</f>
        <v>0</v>
      </c>
      <c r="EK7" s="20">
        <f>0.043*EK2</f>
        <v>0</v>
      </c>
      <c r="EL7" s="20">
        <f>0.043*EL2</f>
        <v>0</v>
      </c>
    </row>
    <row r="8" spans="1:266" s="32" customFormat="1" ht="15.75" customHeight="1" thickBot="1" x14ac:dyDescent="0.3">
      <c r="A8" s="31" t="s">
        <v>156</v>
      </c>
      <c r="B8" s="31" t="s">
        <v>157</v>
      </c>
      <c r="C8" s="37">
        <f>SUM(D8:HQ8)</f>
        <v>0</v>
      </c>
      <c r="D8" s="33"/>
      <c r="E8" s="33"/>
      <c r="F8" s="33"/>
      <c r="G8" s="33"/>
      <c r="H8" s="33"/>
      <c r="I8" s="33"/>
      <c r="J8" s="33"/>
      <c r="K8" s="33"/>
      <c r="L8" s="33"/>
      <c r="M8" s="33">
        <f>0.9*M2</f>
        <v>0</v>
      </c>
      <c r="N8" s="33"/>
      <c r="O8" s="33"/>
      <c r="P8" s="33">
        <f>1.1*P2</f>
        <v>0</v>
      </c>
      <c r="Q8" s="33"/>
      <c r="R8" s="33">
        <f>1.5*R2</f>
        <v>0</v>
      </c>
      <c r="S8" s="33"/>
      <c r="T8" s="33"/>
      <c r="U8" s="33"/>
      <c r="V8" s="33"/>
      <c r="W8" s="33"/>
      <c r="X8" s="33"/>
      <c r="Y8" s="33">
        <f>1.1*Y2</f>
        <v>0</v>
      </c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>
        <f>1.54*EB2</f>
        <v>0</v>
      </c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  <c r="JE8" s="33"/>
      <c r="JF8" s="33"/>
    </row>
    <row r="9" spans="1:266" ht="15.75" customHeight="1" thickBot="1" x14ac:dyDescent="0.3">
      <c r="A9" s="10" t="s">
        <v>160</v>
      </c>
      <c r="B9" s="5" t="s">
        <v>155</v>
      </c>
      <c r="C9" s="36">
        <f>SUM(D9:HQ9)*1.05</f>
        <v>0</v>
      </c>
      <c r="E9" s="20">
        <f>1.5*E2</f>
        <v>0</v>
      </c>
      <c r="T9" s="20">
        <f>0.75*T2</f>
        <v>0</v>
      </c>
      <c r="U9" s="20">
        <f>0.75*U2</f>
        <v>0</v>
      </c>
      <c r="W9" s="20">
        <f>0.6*W2</f>
        <v>0</v>
      </c>
      <c r="AK9" s="20">
        <f>0.216*AK2</f>
        <v>0</v>
      </c>
      <c r="AL9" s="20">
        <f>0.3*AL2</f>
        <v>0</v>
      </c>
      <c r="BD9" s="20">
        <f>1.22*BD2</f>
        <v>0</v>
      </c>
      <c r="CC9" s="20">
        <f>1.1*CC2</f>
        <v>0</v>
      </c>
      <c r="CE9" s="20">
        <f>0.222*CE2</f>
        <v>0</v>
      </c>
      <c r="CF9" s="20">
        <f>0.171*CF2</f>
        <v>0</v>
      </c>
      <c r="CG9" s="20">
        <f>0.158*CG2</f>
        <v>0</v>
      </c>
      <c r="CL9" s="20">
        <f>0.291*CL2</f>
        <v>0</v>
      </c>
      <c r="CN9" s="20">
        <f>0.25*CN2</f>
        <v>0</v>
      </c>
      <c r="CO9" s="20">
        <f>0.39*CO2</f>
        <v>0</v>
      </c>
      <c r="CP9" s="20">
        <f>0.5*CP2</f>
        <v>0</v>
      </c>
      <c r="CQ9" s="20">
        <f>0.178*CQ2*2</f>
        <v>0</v>
      </c>
      <c r="CR9" s="20">
        <f>0.289*5*CR2</f>
        <v>0</v>
      </c>
      <c r="CS9" s="20">
        <f>0.349*5*CS2</f>
        <v>0</v>
      </c>
      <c r="CT9" s="20">
        <f>0.235*3*CT2</f>
        <v>0</v>
      </c>
      <c r="CU9" s="20">
        <f>0.292*3*CU2</f>
        <v>0</v>
      </c>
      <c r="CV9" s="20">
        <f>0.29*CV2</f>
        <v>0</v>
      </c>
      <c r="CW9" s="20">
        <f>1.73*CW2</f>
        <v>0</v>
      </c>
      <c r="CY9" s="20">
        <f>0.175*CY2</f>
        <v>0</v>
      </c>
      <c r="CZ9" s="20">
        <f>0.189*CZ2</f>
        <v>0</v>
      </c>
      <c r="DP9" s="20">
        <f>0.263*DP2</f>
        <v>0</v>
      </c>
    </row>
    <row r="10" spans="1:266" s="32" customFormat="1" ht="15.75" customHeight="1" thickBot="1" x14ac:dyDescent="0.3">
      <c r="A10" s="31" t="s">
        <v>156</v>
      </c>
      <c r="B10" s="34" t="s">
        <v>161</v>
      </c>
      <c r="C10" s="37">
        <f>SUM(D10:HQ10)</f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>
        <f>4.8*AL2</f>
        <v>0</v>
      </c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>
        <f>3.5*CN2</f>
        <v>0</v>
      </c>
      <c r="CO10" s="33"/>
      <c r="CP10" s="33">
        <f>5.9*CP2</f>
        <v>0</v>
      </c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  <c r="JB10" s="33"/>
      <c r="JC10" s="33"/>
      <c r="JD10" s="33"/>
      <c r="JE10" s="33"/>
      <c r="JF10" s="33"/>
    </row>
    <row r="11" spans="1:266" ht="15.75" customHeight="1" thickBot="1" x14ac:dyDescent="0.3">
      <c r="A11" s="10" t="s">
        <v>162</v>
      </c>
      <c r="B11" s="4" t="s">
        <v>155</v>
      </c>
      <c r="C11" s="36">
        <f>SUM(D11:HQ11)*1.05</f>
        <v>0</v>
      </c>
      <c r="F11" s="20">
        <f>0.0153*F2</f>
        <v>0</v>
      </c>
      <c r="G11" s="20">
        <f>0.012*G2</f>
        <v>0</v>
      </c>
      <c r="H11" s="20">
        <f>0.04*H2</f>
        <v>0</v>
      </c>
      <c r="I11" s="20">
        <f>0.0153*I2</f>
        <v>0</v>
      </c>
      <c r="L11" s="20">
        <f>0.0153*L2</f>
        <v>0</v>
      </c>
      <c r="M11" s="20">
        <f>0.019*M2</f>
        <v>0</v>
      </c>
      <c r="N11" s="20">
        <f>0.039*N2</f>
        <v>0</v>
      </c>
      <c r="O11" s="20">
        <f>0.008*O2</f>
        <v>0</v>
      </c>
      <c r="P11" s="20">
        <f>0.025*P2</f>
        <v>0</v>
      </c>
      <c r="Q11" s="20">
        <f>0.071*Q2</f>
        <v>0</v>
      </c>
      <c r="R11" s="20">
        <f>0.092*R2</f>
        <v>0</v>
      </c>
      <c r="S11" s="20">
        <f>0.053*S2</f>
        <v>0</v>
      </c>
      <c r="V11" s="20">
        <f>0.0073*V2</f>
        <v>0</v>
      </c>
      <c r="X11" s="20">
        <f>0.055*X2</f>
        <v>0</v>
      </c>
      <c r="Y11" s="20">
        <f>0.044*Y2</f>
        <v>0</v>
      </c>
      <c r="Z11" s="20">
        <f>0.008*Z2</f>
        <v>0</v>
      </c>
      <c r="AA11" s="20">
        <f>0.008*AA2</f>
        <v>0</v>
      </c>
      <c r="AB11" s="20">
        <f>0.008*AB2</f>
        <v>0</v>
      </c>
      <c r="AC11" s="20">
        <f>0.03*AC2</f>
        <v>0</v>
      </c>
      <c r="AD11" s="20">
        <f>0.03*AD2</f>
        <v>0</v>
      </c>
      <c r="AE11" s="20">
        <f>0.03*AE2</f>
        <v>0</v>
      </c>
      <c r="AF11" s="20">
        <f>0.008*AF2</f>
        <v>0</v>
      </c>
      <c r="AG11" s="20">
        <f>0.0063*AG2</f>
        <v>0</v>
      </c>
      <c r="AH11" s="20">
        <f>0.063*AH2</f>
        <v>0</v>
      </c>
      <c r="AI11" s="20">
        <f>0.005*AI2</f>
        <v>0</v>
      </c>
      <c r="AJ11" s="20">
        <f>0.0063*AJ2</f>
        <v>0</v>
      </c>
      <c r="AM11" s="20">
        <f>0.04*AM2</f>
        <v>0</v>
      </c>
      <c r="AN11" s="20">
        <f>0.0153*AN2</f>
        <v>0</v>
      </c>
      <c r="AO11" s="20">
        <f>0.023*AO2</f>
        <v>0</v>
      </c>
      <c r="AQ11" s="20">
        <f>0.0115*AQ2</f>
        <v>0</v>
      </c>
      <c r="AR11" s="20">
        <f>0.005*AR2</f>
        <v>0</v>
      </c>
      <c r="AS11" s="20">
        <f>0.0153*AS2</f>
        <v>0</v>
      </c>
      <c r="AT11" s="20">
        <f>0.085*AT2</f>
        <v>0</v>
      </c>
      <c r="AU11" s="20">
        <f>0.075*AU2</f>
        <v>0</v>
      </c>
      <c r="AV11" s="20">
        <f>0.11*AV2</f>
        <v>0</v>
      </c>
      <c r="AW11" s="20">
        <f>0.0153*AW2</f>
        <v>0</v>
      </c>
      <c r="AX11" s="20">
        <f>0.07*AX2</f>
        <v>0</v>
      </c>
      <c r="AY11" s="20">
        <f>0.055*AY2</f>
        <v>0</v>
      </c>
      <c r="AZ11" s="20">
        <f>0.03*AZ2</f>
        <v>0</v>
      </c>
      <c r="BA11" s="20">
        <f>0.04*BA2</f>
        <v>0</v>
      </c>
      <c r="BB11" s="20">
        <f>0.04*BB2</f>
        <v>0</v>
      </c>
      <c r="BC11" s="20">
        <f>0.078*BC2</f>
        <v>0</v>
      </c>
      <c r="BF11" s="20">
        <f>0.0228*BF2</f>
        <v>0</v>
      </c>
      <c r="BG11" s="20">
        <f>0.0229*BG2</f>
        <v>0</v>
      </c>
      <c r="BH11" s="20">
        <f>0.11*BH2</f>
        <v>0</v>
      </c>
      <c r="BI11" s="20">
        <f>0.085*BI2</f>
        <v>0</v>
      </c>
      <c r="BJ11" s="20">
        <f>0.0163*BJ2</f>
        <v>0</v>
      </c>
      <c r="BK11" s="20">
        <f>0.07*BK2</f>
        <v>0</v>
      </c>
      <c r="BL11" s="20">
        <f>0.055*BL2</f>
        <v>0</v>
      </c>
      <c r="BM11" s="20">
        <f>0.0074*BM2</f>
        <v>0</v>
      </c>
      <c r="BN11" s="20">
        <f>0.012*BN2</f>
        <v>0</v>
      </c>
      <c r="BO11" s="20">
        <f>0.077*BO2</f>
        <v>0</v>
      </c>
      <c r="BP11" s="20">
        <f>0.04*BP2</f>
        <v>0</v>
      </c>
      <c r="BQ11" s="20">
        <f>0.04*BQ2</f>
        <v>0</v>
      </c>
      <c r="BR11" s="20">
        <f>0.023*BR2</f>
        <v>0</v>
      </c>
      <c r="BS11" s="20">
        <f>0.0375*BS2</f>
        <v>0</v>
      </c>
      <c r="BT11" s="20">
        <f>0.039*BT2</f>
        <v>0</v>
      </c>
      <c r="BU11" s="20">
        <f>0.04*BU2</f>
        <v>0</v>
      </c>
      <c r="BV11" s="20">
        <f>0.035*BV2</f>
        <v>0</v>
      </c>
      <c r="BW11" s="20">
        <f>0.034*BW2</f>
        <v>0</v>
      </c>
      <c r="BX11" s="20">
        <f>0.037*BX2</f>
        <v>0</v>
      </c>
      <c r="BY11" s="20">
        <f>0.037*BY2</f>
        <v>0</v>
      </c>
      <c r="BZ11" s="20">
        <f>0.0153*BZ2</f>
        <v>0</v>
      </c>
      <c r="CA11" s="20">
        <f>0.58*CA2</f>
        <v>0</v>
      </c>
      <c r="CB11" s="20">
        <f>0.01*CB2</f>
        <v>0</v>
      </c>
      <c r="CD11" s="20">
        <f>0.012*CD2</f>
        <v>0</v>
      </c>
      <c r="CH11" s="20">
        <f>0.04*CH2</f>
        <v>0</v>
      </c>
      <c r="CI11" s="20">
        <f>0.008*CI2</f>
        <v>0</v>
      </c>
      <c r="CJ11" s="20">
        <f>0.05*CJ2</f>
        <v>0</v>
      </c>
      <c r="CK11" s="20">
        <f>0.0375*CK2</f>
        <v>0</v>
      </c>
      <c r="CM11" s="20">
        <f>0.0047*CM2</f>
        <v>0</v>
      </c>
      <c r="CO11" s="20">
        <f>0.04*CO2</f>
        <v>0</v>
      </c>
      <c r="CQ11" s="20">
        <f>0.018*2*CQ2</f>
        <v>0</v>
      </c>
      <c r="CR11" s="20">
        <f>0.03*5*CR2</f>
        <v>0</v>
      </c>
      <c r="CS11" s="20">
        <f>0.037*5*CS2</f>
        <v>0</v>
      </c>
      <c r="CT11" s="20">
        <f>0.025*3*CT2</f>
        <v>0</v>
      </c>
      <c r="CU11" s="20">
        <f>0.033*3*CU2</f>
        <v>0</v>
      </c>
      <c r="CW11" s="20">
        <f>0.18*CW2</f>
        <v>0</v>
      </c>
      <c r="DD11" s="20">
        <f>0.011*DD2</f>
        <v>0</v>
      </c>
      <c r="DE11" s="20">
        <f>0.0055*DE2</f>
        <v>0</v>
      </c>
      <c r="DF11" s="20">
        <f>0.015*DF2</f>
        <v>0</v>
      </c>
      <c r="DG11" s="20">
        <f>0.0375*DG2</f>
        <v>0</v>
      </c>
      <c r="DH11" s="20">
        <f>0.005*DH2</f>
        <v>0</v>
      </c>
      <c r="DI11" s="20">
        <f>0.019*DI2</f>
        <v>0</v>
      </c>
      <c r="DJ11" s="20">
        <f>0.019*DJ2</f>
        <v>0</v>
      </c>
      <c r="DK11" s="20">
        <f>0.04*DK2</f>
        <v>0</v>
      </c>
      <c r="DL11" s="20">
        <f>0.04*DL2</f>
        <v>0</v>
      </c>
      <c r="DM11" s="20">
        <f>0.058*DM2</f>
        <v>0</v>
      </c>
      <c r="DN11" s="20">
        <f>0.01*DN2</f>
        <v>0</v>
      </c>
      <c r="DQ11" s="20">
        <f>0.006*DQ2</f>
        <v>0</v>
      </c>
      <c r="DR11" s="20">
        <f>0.034*DR2</f>
        <v>0</v>
      </c>
      <c r="DS11" s="20">
        <f>0.01*DS2</f>
        <v>0</v>
      </c>
      <c r="DT11" s="20">
        <f>0.007*DT2</f>
        <v>0</v>
      </c>
      <c r="DU11" s="20">
        <f>0.007*DU2</f>
        <v>0</v>
      </c>
      <c r="DV11" s="20">
        <f>0.03*DV2</f>
        <v>0</v>
      </c>
      <c r="DW11" s="20">
        <f>0.012*DW2</f>
        <v>0</v>
      </c>
      <c r="DX11" s="20">
        <f>0.007*DX2</f>
        <v>0</v>
      </c>
      <c r="DY11" s="20">
        <f>0.007*DY2</f>
        <v>0</v>
      </c>
      <c r="DZ11" s="20">
        <f>0.04*DZ2</f>
        <v>0</v>
      </c>
      <c r="EB11" s="20">
        <f>0.076*EB2</f>
        <v>0</v>
      </c>
      <c r="EE11" s="20">
        <f>0.0125*EE2</f>
        <v>0</v>
      </c>
      <c r="EF11" s="20">
        <f>0.01*EF2</f>
        <v>0</v>
      </c>
      <c r="EG11" s="20">
        <f>0.0125*EG2</f>
        <v>0</v>
      </c>
      <c r="EH11" s="20">
        <f>0.008*EH2</f>
        <v>0</v>
      </c>
      <c r="EI11" s="20">
        <f>0.008*EI2</f>
        <v>0</v>
      </c>
      <c r="EJ11" s="20">
        <f>0.008*EJ2</f>
        <v>0</v>
      </c>
      <c r="EK11" s="20">
        <f>0.084*EK2</f>
        <v>0</v>
      </c>
      <c r="EL11" s="20">
        <f>0.084*EL2</f>
        <v>0</v>
      </c>
      <c r="EM11" s="20">
        <f>0.0052*EM2</f>
        <v>0</v>
      </c>
      <c r="EN11" s="20">
        <f>0.0052*EN2</f>
        <v>0</v>
      </c>
      <c r="EO11" s="20">
        <f>0.005*EO2</f>
        <v>0</v>
      </c>
      <c r="EP11" s="20">
        <f>0.0052*EP2</f>
        <v>0</v>
      </c>
      <c r="EQ11" s="20">
        <f>0.0052*EQ2</f>
        <v>0</v>
      </c>
      <c r="ER11" s="20">
        <f>0.005*ER2</f>
        <v>0</v>
      </c>
      <c r="ES11" s="20">
        <f>0.031*ES2</f>
        <v>0</v>
      </c>
      <c r="ET11" s="20">
        <f>0.005*ET2</f>
        <v>0</v>
      </c>
      <c r="EU11" s="20">
        <f>0.012*EU2</f>
        <v>0</v>
      </c>
      <c r="EV11" s="20">
        <f>0.05*EV2</f>
        <v>0</v>
      </c>
      <c r="EW11" s="20">
        <f>0.006*EW2</f>
        <v>0</v>
      </c>
      <c r="EY11" s="20">
        <f>0.005*EY2</f>
        <v>0</v>
      </c>
      <c r="EZ11" s="20">
        <f>0.006*EZ2</f>
        <v>0</v>
      </c>
      <c r="FB11" s="33">
        <f>0.008*FB2</f>
        <v>0</v>
      </c>
      <c r="FC11" s="33">
        <f>0.0037*FC2</f>
        <v>0</v>
      </c>
      <c r="FD11" s="33">
        <f>0.019*FD2</f>
        <v>0</v>
      </c>
      <c r="FE11" s="20">
        <f>(0.024+0.021)*FE2</f>
        <v>0</v>
      </c>
      <c r="FF11" s="20">
        <f>(0.048+0.021)*FF2</f>
        <v>0</v>
      </c>
    </row>
    <row r="12" spans="1:266" s="32" customFormat="1" ht="15.75" customHeight="1" thickBot="1" x14ac:dyDescent="0.3">
      <c r="A12" s="31" t="s">
        <v>156</v>
      </c>
      <c r="B12" s="34" t="s">
        <v>161</v>
      </c>
      <c r="C12" s="37">
        <f>SUM(D12:HQ12)</f>
        <v>0</v>
      </c>
      <c r="D12" s="33"/>
      <c r="E12" s="33"/>
      <c r="F12" s="33"/>
      <c r="G12" s="33"/>
      <c r="H12" s="33">
        <f>1.88*H2</f>
        <v>0</v>
      </c>
      <c r="I12" s="33">
        <f>0.521*I2</f>
        <v>0</v>
      </c>
      <c r="J12" s="33"/>
      <c r="K12" s="33"/>
      <c r="L12" s="33"/>
      <c r="M12" s="33">
        <f>1.2*M2</f>
        <v>0</v>
      </c>
      <c r="N12" s="33"/>
      <c r="O12" s="33">
        <f>0.321*O2</f>
        <v>0</v>
      </c>
      <c r="P12" s="33">
        <f>1.37*P2</f>
        <v>0</v>
      </c>
      <c r="Q12" s="33"/>
      <c r="R12" s="33">
        <f>2.22*R2</f>
        <v>0</v>
      </c>
      <c r="S12" s="33"/>
      <c r="T12" s="33"/>
      <c r="U12" s="33"/>
      <c r="V12" s="33">
        <f>0.32*V2</f>
        <v>0</v>
      </c>
      <c r="W12" s="33"/>
      <c r="X12" s="33"/>
      <c r="Y12" s="33">
        <f>2.1*Y2</f>
        <v>0</v>
      </c>
      <c r="Z12" s="33"/>
      <c r="AA12" s="33"/>
      <c r="AB12" s="33"/>
      <c r="AC12" s="33"/>
      <c r="AD12" s="33"/>
      <c r="AE12" s="33"/>
      <c r="AF12" s="33"/>
      <c r="AG12" s="33">
        <f>0.285*AG2</f>
        <v>0</v>
      </c>
      <c r="AH12" s="33">
        <f>0.285*AH2</f>
        <v>0</v>
      </c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>
        <f>2.4*BA2</f>
        <v>0</v>
      </c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>
        <f>0.32*BM2</f>
        <v>0</v>
      </c>
      <c r="BN12" s="33"/>
      <c r="BO12" s="33"/>
      <c r="BP12" s="33"/>
      <c r="BQ12" s="33"/>
      <c r="BR12" s="33"/>
      <c r="BS12" s="33"/>
      <c r="BT12" s="33"/>
      <c r="BU12" s="33"/>
      <c r="BV12" s="33">
        <f>0.8*BV2</f>
        <v>0</v>
      </c>
      <c r="BW12" s="33">
        <f>0.8*BW2</f>
        <v>0</v>
      </c>
      <c r="BX12" s="33"/>
      <c r="BY12" s="33"/>
      <c r="BZ12" s="33"/>
      <c r="CA12" s="33"/>
      <c r="CB12" s="33"/>
      <c r="CC12" s="33"/>
      <c r="CD12" s="33">
        <f>0.42*CD2</f>
        <v>0</v>
      </c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>
        <f>0.28*DE2</f>
        <v>0</v>
      </c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>
        <f>0.81*DR2</f>
        <v>0</v>
      </c>
      <c r="DS12" s="33"/>
      <c r="DT12" s="33"/>
      <c r="DU12" s="33"/>
      <c r="DV12" s="33"/>
      <c r="DW12" s="33"/>
      <c r="DX12" s="33"/>
      <c r="DY12" s="33"/>
      <c r="DZ12" s="33"/>
      <c r="EA12" s="33"/>
      <c r="EB12" s="33">
        <f>2.56*EB2</f>
        <v>0</v>
      </c>
      <c r="EC12" s="33"/>
      <c r="ED12" s="33"/>
      <c r="EE12" s="33">
        <f>0.445*EE2</f>
        <v>0</v>
      </c>
      <c r="EF12" s="33"/>
      <c r="EG12" s="33"/>
      <c r="EH12" s="33">
        <f>0.385*EH2</f>
        <v>0</v>
      </c>
      <c r="EI12" s="33"/>
      <c r="EJ12" s="33"/>
      <c r="EK12" s="33"/>
      <c r="EL12" s="33"/>
      <c r="EM12" s="33">
        <f>0.26*EM2</f>
        <v>0</v>
      </c>
      <c r="EN12" s="33"/>
      <c r="EO12" s="33"/>
      <c r="EP12" s="33">
        <f>0.26*EP2</f>
        <v>0</v>
      </c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20">
        <f>0.325*FB2</f>
        <v>0</v>
      </c>
      <c r="FC12" s="20">
        <f>0.215*FC2</f>
        <v>0</v>
      </c>
      <c r="FD12" s="20">
        <f>0.972*FD2</f>
        <v>0</v>
      </c>
      <c r="FE12" s="33">
        <f>1.7*FE2</f>
        <v>0</v>
      </c>
      <c r="FF12" s="33">
        <f>2.4*FF2</f>
        <v>0</v>
      </c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  <c r="JB12" s="33"/>
      <c r="JC12" s="33"/>
      <c r="JD12" s="33"/>
      <c r="JE12" s="33"/>
      <c r="JF12" s="33"/>
    </row>
    <row r="13" spans="1:266" ht="15.75" customHeight="1" thickBot="1" x14ac:dyDescent="0.3">
      <c r="A13" s="10" t="s">
        <v>163</v>
      </c>
      <c r="B13" s="5" t="s">
        <v>155</v>
      </c>
      <c r="C13" s="36">
        <f>SUM(D13:HQ13)*1.05</f>
        <v>0</v>
      </c>
      <c r="CX13" s="20">
        <f>0.75*CX2</f>
        <v>0</v>
      </c>
    </row>
    <row r="14" spans="1:266" s="32" customFormat="1" ht="15.75" customHeight="1" thickBot="1" x14ac:dyDescent="0.3">
      <c r="A14" s="31" t="s">
        <v>156</v>
      </c>
      <c r="B14" s="34" t="s">
        <v>161</v>
      </c>
      <c r="C14" s="37">
        <f>SUM(D14:HQ14)</f>
        <v>0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  <c r="JA14" s="33"/>
      <c r="JB14" s="33"/>
      <c r="JC14" s="33"/>
      <c r="JD14" s="33"/>
      <c r="JE14" s="33"/>
      <c r="JF14" s="33"/>
    </row>
    <row r="15" spans="1:266" ht="15.75" customHeight="1" thickBot="1" x14ac:dyDescent="0.3">
      <c r="A15" s="10" t="s">
        <v>164</v>
      </c>
      <c r="B15" s="5" t="s">
        <v>155</v>
      </c>
      <c r="C15" s="36">
        <f>SUM(D15:HQ15)*1.05</f>
        <v>0</v>
      </c>
      <c r="J15" s="20">
        <f>0.182*J2</f>
        <v>0</v>
      </c>
      <c r="K15" s="20">
        <f>0.344*K2</f>
        <v>0</v>
      </c>
      <c r="AP15" s="20">
        <f>0.14*AP2</f>
        <v>0</v>
      </c>
      <c r="BE15" s="20">
        <f>0.108*BE2</f>
        <v>0</v>
      </c>
      <c r="DO15" s="20">
        <f>0.332*DO2</f>
        <v>0</v>
      </c>
      <c r="FH15" s="20">
        <f>0.032*FH2</f>
        <v>0</v>
      </c>
    </row>
    <row r="16" spans="1:266" s="32" customFormat="1" ht="15.75" customHeight="1" thickBot="1" x14ac:dyDescent="0.3">
      <c r="A16" s="31" t="s">
        <v>156</v>
      </c>
      <c r="B16" s="34" t="s">
        <v>161</v>
      </c>
      <c r="C16" s="37">
        <f>SUM(D16:HQ16)</f>
        <v>0</v>
      </c>
      <c r="D16" s="33"/>
      <c r="E16" s="33"/>
      <c r="F16" s="33"/>
      <c r="G16" s="33"/>
      <c r="H16" s="33"/>
      <c r="I16" s="33"/>
      <c r="J16" s="33">
        <f>1.72*J2</f>
        <v>0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>
        <f>1.6*FH2</f>
        <v>0</v>
      </c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  <c r="JA16" s="33"/>
      <c r="JB16" s="33"/>
      <c r="JC16" s="33"/>
      <c r="JD16" s="33"/>
      <c r="JE16" s="33"/>
      <c r="JF16" s="33"/>
    </row>
    <row r="17" spans="1:266" ht="15.75" customHeight="1" thickBot="1" x14ac:dyDescent="0.3">
      <c r="A17" s="10" t="s">
        <v>165</v>
      </c>
      <c r="B17" s="5" t="s">
        <v>155</v>
      </c>
      <c r="C17" s="36">
        <f>SUM(D17:HQ17)*1.05</f>
        <v>0</v>
      </c>
      <c r="CB17" s="20">
        <f>0.071*CB2</f>
        <v>0</v>
      </c>
      <c r="DA17" s="20">
        <f>0.017*DA2</f>
        <v>0</v>
      </c>
      <c r="DN17" s="20">
        <f>0.07*DN2</f>
        <v>0</v>
      </c>
    </row>
    <row r="18" spans="1:266" s="32" customFormat="1" ht="15.75" customHeight="1" thickBot="1" x14ac:dyDescent="0.3">
      <c r="A18" s="31" t="s">
        <v>156</v>
      </c>
      <c r="B18" s="34" t="s">
        <v>161</v>
      </c>
      <c r="C18" s="37">
        <f>SUM(D18:HQ18)</f>
        <v>0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  <c r="JA18" s="33"/>
      <c r="JB18" s="33"/>
      <c r="JC18" s="33"/>
      <c r="JD18" s="33"/>
      <c r="JE18" s="33"/>
      <c r="JF18" s="33"/>
    </row>
    <row r="19" spans="1:266" ht="15.75" customHeight="1" thickBot="1" x14ac:dyDescent="0.3">
      <c r="A19" s="10" t="s">
        <v>166</v>
      </c>
      <c r="B19" s="5" t="s">
        <v>155</v>
      </c>
      <c r="C19" s="36">
        <f>SUM(D19:HQ19)*1.05</f>
        <v>0</v>
      </c>
      <c r="AL19" s="20">
        <f>0.032*AL2</f>
        <v>0</v>
      </c>
      <c r="CC19" s="20">
        <f>0.13*CC2</f>
        <v>0</v>
      </c>
    </row>
    <row r="20" spans="1:266" s="32" customFormat="1" x14ac:dyDescent="0.25">
      <c r="A20" s="31" t="s">
        <v>156</v>
      </c>
      <c r="B20" s="34" t="s">
        <v>161</v>
      </c>
      <c r="C20" s="37">
        <f>SUM(D20:HQ20)</f>
        <v>0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>
        <f>2*AL2</f>
        <v>0</v>
      </c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  <c r="JB20" s="33"/>
      <c r="JC20" s="33"/>
      <c r="JD20" s="33"/>
      <c r="JE20" s="33"/>
      <c r="JF20" s="33"/>
    </row>
    <row r="21" spans="1:266" s="26" customFormat="1" ht="6.75" customHeight="1" thickBot="1" x14ac:dyDescent="0.3"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U21" s="25"/>
      <c r="IV21" s="25"/>
      <c r="IW21" s="25"/>
      <c r="IX21" s="25"/>
      <c r="IY21" s="25"/>
      <c r="IZ21" s="25"/>
      <c r="JA21" s="25"/>
      <c r="JB21" s="25"/>
      <c r="JC21" s="25"/>
      <c r="JD21" s="25"/>
      <c r="JE21" s="25"/>
      <c r="JF21" s="25"/>
    </row>
    <row r="22" spans="1:266" ht="45.75" customHeight="1" thickBot="1" x14ac:dyDescent="0.3">
      <c r="A22" s="10" t="s">
        <v>167</v>
      </c>
      <c r="B22" s="5" t="s">
        <v>168</v>
      </c>
      <c r="C22" s="36">
        <f>SUM(D22:ALK22)*1.1</f>
        <v>0</v>
      </c>
      <c r="DB22" s="20">
        <f>0.26*DB2</f>
        <v>0</v>
      </c>
      <c r="DC22" s="20">
        <f>0.36*DC2</f>
        <v>0</v>
      </c>
      <c r="EA22" s="20">
        <f>0.28*EA2</f>
        <v>0</v>
      </c>
    </row>
    <row r="23" spans="1:266" ht="45.75" customHeight="1" thickBot="1" x14ac:dyDescent="0.3">
      <c r="A23" s="10" t="s">
        <v>310</v>
      </c>
      <c r="B23" s="5" t="s">
        <v>168</v>
      </c>
      <c r="C23" s="36">
        <f>SUM(D23:ALK23)*1.1</f>
        <v>0</v>
      </c>
      <c r="FG23" s="20">
        <f>0.761*FG2</f>
        <v>0</v>
      </c>
      <c r="FH23" s="20">
        <f>0.26*FH2</f>
        <v>0</v>
      </c>
    </row>
    <row r="24" spans="1:266" ht="15.75" customHeight="1" thickBot="1" x14ac:dyDescent="0.3">
      <c r="A24" s="10" t="s">
        <v>169</v>
      </c>
      <c r="B24" s="5" t="s">
        <v>168</v>
      </c>
      <c r="C24" s="36">
        <f>SUM(D24:ALK24)*1.1</f>
        <v>0</v>
      </c>
      <c r="M24" s="20">
        <f>0.4*M2</f>
        <v>0</v>
      </c>
      <c r="P24" s="20">
        <f>0.4*P2</f>
        <v>0</v>
      </c>
      <c r="Q24" s="20">
        <f>0.5*Q2</f>
        <v>0</v>
      </c>
      <c r="R24" s="20">
        <f>0.7*R2</f>
        <v>0</v>
      </c>
      <c r="S24" s="20">
        <f>0.8*S2</f>
        <v>0</v>
      </c>
      <c r="Y24" s="20">
        <f>0.5*Y2</f>
        <v>0</v>
      </c>
      <c r="AL24" s="20">
        <f>2*AL2</f>
        <v>0</v>
      </c>
      <c r="AT24" s="20">
        <f>0.5*AT2</f>
        <v>0</v>
      </c>
      <c r="AU24" s="20">
        <f>0.5*AU2</f>
        <v>0</v>
      </c>
      <c r="AV24" s="20">
        <f>0.6*AV2</f>
        <v>0</v>
      </c>
      <c r="AX24" s="20">
        <f>0.4*AX2</f>
        <v>0</v>
      </c>
      <c r="AY24" s="20">
        <f>0.4*AY2</f>
        <v>0</v>
      </c>
      <c r="BH24" s="20">
        <f>1.2*BH2</f>
        <v>0</v>
      </c>
      <c r="BI24" s="20">
        <f>0.7*BI2</f>
        <v>0</v>
      </c>
      <c r="BK24" s="20">
        <f>0.4*BK2</f>
        <v>0</v>
      </c>
      <c r="BL24" s="20">
        <f>0.5*BL2</f>
        <v>0</v>
      </c>
      <c r="BO24" s="20">
        <f>0.8*BO2</f>
        <v>0</v>
      </c>
      <c r="BS24" s="20">
        <f>0.5*BS2</f>
        <v>0</v>
      </c>
      <c r="CC24" s="20">
        <f>1.4*5*CC2</f>
        <v>0</v>
      </c>
      <c r="CK24" s="20">
        <f>0.6*CK2</f>
        <v>0</v>
      </c>
      <c r="CO24" s="20">
        <f>2*CO2</f>
        <v>0</v>
      </c>
      <c r="CQ24" s="20">
        <f>1.2*2*CQ2</f>
        <v>0</v>
      </c>
      <c r="CR24" s="20">
        <f>2*5*CR2</f>
        <v>0</v>
      </c>
      <c r="CS24" s="20">
        <f>2.4*5*CS2</f>
        <v>0</v>
      </c>
      <c r="CT24" s="20">
        <f>3*1.6*CT2</f>
        <v>0</v>
      </c>
      <c r="CU24" s="20">
        <f>2*3*CU2</f>
        <v>0</v>
      </c>
      <c r="CW24" s="20">
        <f>2*6*CW2</f>
        <v>0</v>
      </c>
      <c r="DG24" s="20">
        <f>0.4*DG2</f>
        <v>0</v>
      </c>
      <c r="EB24" s="20">
        <f>0.4*EB2</f>
        <v>0</v>
      </c>
    </row>
    <row r="25" spans="1:266" ht="30.75" customHeight="1" thickBot="1" x14ac:dyDescent="0.3">
      <c r="A25" s="10" t="s">
        <v>170</v>
      </c>
      <c r="B25" s="5" t="s">
        <v>168</v>
      </c>
      <c r="C25" s="36">
        <f>SUM(D25:ALK25)*1.05</f>
        <v>0</v>
      </c>
      <c r="F25" s="20">
        <f>0.6*F2</f>
        <v>0</v>
      </c>
      <c r="G25" s="20">
        <f>0.45*G2</f>
        <v>0</v>
      </c>
      <c r="H25" s="20">
        <f>0.9*H2</f>
        <v>0</v>
      </c>
      <c r="I25" s="20">
        <f>0.3*I2</f>
        <v>0</v>
      </c>
      <c r="L25" s="20">
        <f>0.6*L2</f>
        <v>0</v>
      </c>
      <c r="M25" s="20">
        <f>0.3*M2</f>
        <v>0</v>
      </c>
      <c r="N25" s="20">
        <f>0.9*N2</f>
        <v>0</v>
      </c>
      <c r="O25" s="20">
        <f>0.3*O2</f>
        <v>0</v>
      </c>
      <c r="P25" s="20">
        <f>0.3*P2</f>
        <v>0</v>
      </c>
      <c r="Q25" s="20">
        <f>0.9*Q2</f>
        <v>0</v>
      </c>
      <c r="R25" s="20">
        <f>0.9*R2</f>
        <v>0</v>
      </c>
      <c r="S25" s="20">
        <f>0.6*S2</f>
        <v>0</v>
      </c>
      <c r="V25" s="20">
        <f>0.3*V2</f>
        <v>0</v>
      </c>
      <c r="X25" s="20">
        <f>0.9*X2</f>
        <v>0</v>
      </c>
      <c r="Y25" s="20">
        <f>1*Y2</f>
        <v>0</v>
      </c>
      <c r="Z25" s="20">
        <f>0.6*Z2</f>
        <v>0</v>
      </c>
      <c r="AA25" s="20">
        <f>0.6*AA2</f>
        <v>0</v>
      </c>
      <c r="AB25" s="20">
        <f>0.6*AB2</f>
        <v>0</v>
      </c>
      <c r="AC25" s="20">
        <f>0.9*AC2</f>
        <v>0</v>
      </c>
      <c r="AD25" s="20">
        <f>0.9*AD2</f>
        <v>0</v>
      </c>
      <c r="AE25" s="20">
        <f>0.9*AE2</f>
        <v>0</v>
      </c>
      <c r="AF25" s="20">
        <f>0.24*AF2</f>
        <v>0</v>
      </c>
      <c r="AG25" s="20">
        <f>0.3*AG2</f>
        <v>0</v>
      </c>
      <c r="AH25" s="20">
        <f>0.24*AH2</f>
        <v>0</v>
      </c>
      <c r="AI25" s="20">
        <f>0.3*AI2</f>
        <v>0</v>
      </c>
      <c r="AJ25" s="20">
        <f>0.24*AJ2</f>
        <v>0</v>
      </c>
      <c r="AM25" s="20">
        <f>0.9*AM2</f>
        <v>0</v>
      </c>
      <c r="AN25" s="20">
        <f>0.6*AN2</f>
        <v>0</v>
      </c>
      <c r="AO25" s="20">
        <f>0.75*AO2</f>
        <v>0</v>
      </c>
      <c r="AQ25" s="20">
        <f>0.45*AQ2</f>
        <v>0</v>
      </c>
      <c r="AR25" s="20">
        <f>0.24*AR2</f>
        <v>0</v>
      </c>
      <c r="AS25" s="20">
        <f>0.6*AS2</f>
        <v>0</v>
      </c>
      <c r="AT25" s="20">
        <f>1*AT2</f>
        <v>0</v>
      </c>
      <c r="AU25" s="20">
        <f>1.3*AU2</f>
        <v>0</v>
      </c>
      <c r="AV25" s="20">
        <f>1.2*AV2</f>
        <v>0</v>
      </c>
      <c r="AW25" s="20">
        <f>0.9*AW2</f>
        <v>0</v>
      </c>
      <c r="AX25" s="20">
        <f>1*AX2</f>
        <v>0</v>
      </c>
      <c r="AY25" s="20">
        <f>1.2*AY2</f>
        <v>0</v>
      </c>
      <c r="AZ25" s="20">
        <f>0.9*AZ2</f>
        <v>0</v>
      </c>
      <c r="BA25" s="20">
        <f>0.9*BA2</f>
        <v>0</v>
      </c>
      <c r="BB25" s="20">
        <f>0.9*BB2</f>
        <v>0</v>
      </c>
      <c r="BC25" s="20">
        <f>0.9*BC2</f>
        <v>0</v>
      </c>
      <c r="BF25" s="20">
        <f>0.9*BF2</f>
        <v>0</v>
      </c>
      <c r="BG25" s="20">
        <f>0.9*BG2</f>
        <v>0</v>
      </c>
      <c r="BH25" s="20">
        <f>0.8*BH2</f>
        <v>0</v>
      </c>
      <c r="BI25" s="20">
        <f>0.9*BI2</f>
        <v>0</v>
      </c>
      <c r="BJ25" s="20">
        <f>0.6*BJ2</f>
        <v>0</v>
      </c>
      <c r="BK25" s="20">
        <f>0.9*BK2</f>
        <v>0</v>
      </c>
      <c r="BL25" s="20">
        <f>1*BL2</f>
        <v>0</v>
      </c>
      <c r="BM25" s="20">
        <f>0.3*BM2</f>
        <v>0</v>
      </c>
      <c r="BN25" s="20">
        <f>0.45*BN2</f>
        <v>0</v>
      </c>
      <c r="BO25" s="20">
        <f>1*BO2</f>
        <v>0</v>
      </c>
      <c r="BP25" s="20">
        <f>0.9*BP2</f>
        <v>0</v>
      </c>
      <c r="BQ25" s="20">
        <f>0.9*BQ2</f>
        <v>0</v>
      </c>
      <c r="BR25" s="20">
        <f>0.9*BR2</f>
        <v>0</v>
      </c>
      <c r="BS25" s="20">
        <f>0.45*BS2</f>
        <v>0</v>
      </c>
      <c r="BT25" s="20">
        <f>0.9*BT2</f>
        <v>0</v>
      </c>
      <c r="BU25" s="20">
        <f>0.9*BU2</f>
        <v>0</v>
      </c>
      <c r="BV25" s="20">
        <f>0.75*BV2</f>
        <v>0</v>
      </c>
      <c r="BW25" s="20">
        <f>0.75*BW2</f>
        <v>0</v>
      </c>
      <c r="BX25" s="20">
        <f>0.75*BX2</f>
        <v>0</v>
      </c>
      <c r="BY25" s="20">
        <f>0.75*BY2</f>
        <v>0</v>
      </c>
      <c r="BZ25" s="20">
        <f>0.6*BZ2</f>
        <v>0</v>
      </c>
      <c r="CA25" s="20">
        <f>1.2*CA2</f>
        <v>0</v>
      </c>
      <c r="CB25" s="20">
        <f>0.6*CB2</f>
        <v>0</v>
      </c>
      <c r="CD25" s="20">
        <f>0.22*CD2</f>
        <v>0</v>
      </c>
      <c r="CH25" s="20">
        <f>1.2*CH2</f>
        <v>0</v>
      </c>
      <c r="CI25" s="20">
        <f>0.32*CI2</f>
        <v>0</v>
      </c>
      <c r="CJ25" s="20">
        <f>0.34*CJ2</f>
        <v>0</v>
      </c>
      <c r="CK25" s="20">
        <f>0.55*CK2</f>
        <v>0</v>
      </c>
      <c r="CM25" s="20">
        <f>0.45*CM2</f>
        <v>0</v>
      </c>
      <c r="DD25" s="20">
        <f>0.3*DD2</f>
        <v>0</v>
      </c>
      <c r="DE25" s="20">
        <f>0.2*DE2</f>
        <v>0</v>
      </c>
      <c r="DF25" s="20">
        <f>0.6*DF2</f>
        <v>0</v>
      </c>
      <c r="DH25" s="20">
        <f>0.08*3*DH2</f>
        <v>0</v>
      </c>
      <c r="DI25" s="20">
        <f>0.9*DI2</f>
        <v>0</v>
      </c>
      <c r="DJ25" s="20">
        <f>0.9*DJ2</f>
        <v>0</v>
      </c>
      <c r="DK25" s="20">
        <f>0.9*DK2</f>
        <v>0</v>
      </c>
      <c r="DL25" s="20">
        <f>0.9*DL2</f>
        <v>0</v>
      </c>
      <c r="DM25" s="20">
        <f>1.26*DM2</f>
        <v>0</v>
      </c>
      <c r="DQ25" s="20">
        <f>0.2*DQ2</f>
        <v>0</v>
      </c>
      <c r="DR25" s="20">
        <f>0.45*DR2</f>
        <v>0</v>
      </c>
      <c r="DS25" s="20">
        <f>0.3*DS2</f>
        <v>0</v>
      </c>
      <c r="DT25" s="20">
        <f>0.2*DT2</f>
        <v>0</v>
      </c>
      <c r="DU25" s="20">
        <f>0.2*DU2</f>
        <v>0</v>
      </c>
      <c r="DV25" s="20">
        <f>0.45*DV2</f>
        <v>0</v>
      </c>
      <c r="DW25" s="20">
        <f>0.3*DW2</f>
        <v>0</v>
      </c>
      <c r="DX25" s="20">
        <f>0.2*DX2</f>
        <v>0</v>
      </c>
      <c r="DY25" s="20">
        <f>0.2*DY2</f>
        <v>0</v>
      </c>
      <c r="DZ25" s="20">
        <f>0.45*DZ2</f>
        <v>0</v>
      </c>
      <c r="EB25" s="20">
        <f>2.3*EB2</f>
        <v>0</v>
      </c>
      <c r="EE25" s="20">
        <f>0.5*EE2</f>
        <v>0</v>
      </c>
      <c r="EF25" s="20">
        <f>0.5*EF2</f>
        <v>0</v>
      </c>
      <c r="EG25" s="20">
        <f>0.5*EG2</f>
        <v>0</v>
      </c>
      <c r="EH25" s="20">
        <f>0.4*EH2</f>
        <v>0</v>
      </c>
      <c r="EI25" s="20">
        <f>0.4*EI2</f>
        <v>0</v>
      </c>
      <c r="EJ25" s="20">
        <f>0.4*EJ2</f>
        <v>0</v>
      </c>
      <c r="EK25" s="20">
        <f>2.3*EK2</f>
        <v>0</v>
      </c>
      <c r="EL25" s="20">
        <f>2.3*EL2</f>
        <v>0</v>
      </c>
      <c r="EM25" s="20">
        <f t="shared" ref="EM25:ER25" si="0">0.21*EM2</f>
        <v>0</v>
      </c>
      <c r="EN25" s="20">
        <f t="shared" si="0"/>
        <v>0</v>
      </c>
      <c r="EO25" s="20">
        <f t="shared" si="0"/>
        <v>0</v>
      </c>
      <c r="EP25" s="20">
        <f t="shared" si="0"/>
        <v>0</v>
      </c>
      <c r="EQ25" s="20">
        <f t="shared" si="0"/>
        <v>0</v>
      </c>
      <c r="ER25" s="20">
        <f t="shared" si="0"/>
        <v>0</v>
      </c>
      <c r="ES25" s="20">
        <f>0.9*ES2</f>
        <v>0</v>
      </c>
      <c r="ET25" s="20">
        <f>0.3*ET2</f>
        <v>0</v>
      </c>
      <c r="EU25" s="20">
        <f>0.6*EU2</f>
        <v>0</v>
      </c>
      <c r="EV25" s="20">
        <f>0.24*EV2</f>
        <v>0</v>
      </c>
      <c r="EW25" s="20">
        <f>0.3*EW2</f>
        <v>0</v>
      </c>
      <c r="EY25" s="20">
        <f>0.3*EY2</f>
        <v>0</v>
      </c>
      <c r="EZ25" s="20">
        <f>0.3*EZ2</f>
        <v>0</v>
      </c>
      <c r="FB25" s="20">
        <f>0.2*FB2</f>
        <v>0</v>
      </c>
      <c r="FC25" s="20">
        <f>0.1*FC2</f>
        <v>0</v>
      </c>
      <c r="FD25" s="20">
        <f>0.45*FD2</f>
        <v>0</v>
      </c>
      <c r="FE25" s="20">
        <f>0.45*FE2</f>
        <v>0</v>
      </c>
      <c r="FF25" s="20">
        <f>0.9*FF2</f>
        <v>0</v>
      </c>
    </row>
    <row r="26" spans="1:266" s="26" customFormat="1" ht="6" customHeight="1" thickBot="1" x14ac:dyDescent="0.3">
      <c r="A26" s="29"/>
      <c r="B26" s="29"/>
      <c r="C26" s="38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25"/>
      <c r="GO26" s="25"/>
      <c r="GP26" s="25"/>
      <c r="GQ26" s="25"/>
      <c r="GR26" s="25"/>
      <c r="GS26" s="25"/>
      <c r="GT26" s="25"/>
      <c r="GU26" s="25"/>
      <c r="GV26" s="25"/>
      <c r="GW26" s="25"/>
      <c r="GX26" s="25"/>
      <c r="GY26" s="25"/>
      <c r="GZ26" s="25"/>
      <c r="HA26" s="25"/>
      <c r="HB26" s="25"/>
      <c r="HC26" s="25"/>
      <c r="HD26" s="25"/>
      <c r="HE26" s="25"/>
      <c r="HF26" s="25"/>
      <c r="HG26" s="25"/>
      <c r="HH26" s="25"/>
      <c r="HI26" s="25"/>
      <c r="HJ26" s="25"/>
      <c r="HK26" s="25"/>
      <c r="HL26" s="25"/>
      <c r="HM26" s="25"/>
      <c r="HN26" s="25"/>
      <c r="HO26" s="25"/>
      <c r="HP26" s="25"/>
      <c r="HQ26" s="25"/>
      <c r="HR26" s="25"/>
      <c r="HS26" s="25"/>
      <c r="HT26" s="25"/>
      <c r="HU26" s="25"/>
      <c r="HV26" s="25"/>
      <c r="HW26" s="25"/>
      <c r="HX26" s="25"/>
      <c r="HY26" s="25"/>
      <c r="HZ26" s="25"/>
      <c r="IA26" s="25"/>
      <c r="IB26" s="25"/>
      <c r="IC26" s="25"/>
      <c r="ID26" s="25"/>
      <c r="IE26" s="25"/>
      <c r="IF26" s="25"/>
      <c r="IG26" s="25"/>
      <c r="IH26" s="25"/>
      <c r="II26" s="25"/>
      <c r="IJ26" s="25"/>
      <c r="IK26" s="25"/>
      <c r="IL26" s="25"/>
      <c r="IM26" s="25"/>
      <c r="IN26" s="25"/>
      <c r="IO26" s="25"/>
      <c r="IP26" s="25"/>
      <c r="IQ26" s="25"/>
      <c r="IR26" s="25"/>
      <c r="IS26" s="25"/>
      <c r="IT26" s="25"/>
      <c r="IU26" s="25"/>
      <c r="IV26" s="25"/>
      <c r="IW26" s="25"/>
      <c r="IX26" s="25"/>
      <c r="IY26" s="25"/>
      <c r="IZ26" s="25"/>
      <c r="JA26" s="25"/>
      <c r="JB26" s="25"/>
      <c r="JC26" s="25"/>
      <c r="JD26" s="25"/>
      <c r="JE26" s="25"/>
      <c r="JF26" s="25"/>
    </row>
    <row r="27" spans="1:266" ht="15.75" customHeight="1" thickBot="1" x14ac:dyDescent="0.3">
      <c r="A27" s="10" t="s">
        <v>171</v>
      </c>
      <c r="B27" s="5" t="s">
        <v>155</v>
      </c>
      <c r="C27" s="36">
        <f>SUM(D27:ALK27)*1.05</f>
        <v>0</v>
      </c>
      <c r="F27" s="20">
        <f>0.015*F2</f>
        <v>0</v>
      </c>
      <c r="G27" s="20">
        <f>G11</f>
        <v>0</v>
      </c>
      <c r="H27" s="20">
        <f>0.0383*H2</f>
        <v>0</v>
      </c>
      <c r="I27" s="20">
        <f>I11</f>
        <v>0</v>
      </c>
      <c r="K27" s="20">
        <f>K11</f>
        <v>0</v>
      </c>
      <c r="L27" s="20">
        <f>L11</f>
        <v>0</v>
      </c>
      <c r="M27" s="20">
        <f>0.0073*M2</f>
        <v>0</v>
      </c>
      <c r="N27" s="20">
        <f>0.04*N2</f>
        <v>0</v>
      </c>
      <c r="O27" s="20">
        <f>O11</f>
        <v>0</v>
      </c>
      <c r="P27" s="20">
        <f>0.006*P2</f>
        <v>0</v>
      </c>
      <c r="Q27" s="20">
        <f>Q11</f>
        <v>0</v>
      </c>
      <c r="R27" s="20">
        <f>0.022*R2</f>
        <v>0</v>
      </c>
      <c r="S27" s="20">
        <f>S11</f>
        <v>0</v>
      </c>
      <c r="V27" s="20">
        <f>V11</f>
        <v>0</v>
      </c>
      <c r="X27" s="20">
        <f t="shared" ref="X27:AF27" si="1">X11</f>
        <v>0</v>
      </c>
      <c r="Y27" s="20">
        <f t="shared" si="1"/>
        <v>0</v>
      </c>
      <c r="Z27" s="20">
        <f t="shared" si="1"/>
        <v>0</v>
      </c>
      <c r="AA27" s="20">
        <f t="shared" si="1"/>
        <v>0</v>
      </c>
      <c r="AB27" s="20">
        <f t="shared" si="1"/>
        <v>0</v>
      </c>
      <c r="AC27" s="20">
        <f t="shared" si="1"/>
        <v>0</v>
      </c>
      <c r="AD27" s="20">
        <f t="shared" si="1"/>
        <v>0</v>
      </c>
      <c r="AE27" s="20">
        <f t="shared" si="1"/>
        <v>0</v>
      </c>
      <c r="AF27" s="20">
        <f t="shared" si="1"/>
        <v>0</v>
      </c>
      <c r="AG27" s="20">
        <f>0.0063*AG2</f>
        <v>0</v>
      </c>
      <c r="AH27" s="20">
        <f>AH11</f>
        <v>0</v>
      </c>
      <c r="AI27" s="20">
        <f>AI11</f>
        <v>0</v>
      </c>
      <c r="AJ27" s="20">
        <f>0.0063*AJ2</f>
        <v>0</v>
      </c>
      <c r="AM27" s="20">
        <f>AM11</f>
        <v>0</v>
      </c>
      <c r="AN27" s="20">
        <f>AN11</f>
        <v>0</v>
      </c>
      <c r="AO27" s="20">
        <f>AO11</f>
        <v>0</v>
      </c>
      <c r="AQ27" s="20">
        <f t="shared" ref="AQ27:AZ27" si="2">AQ11</f>
        <v>0</v>
      </c>
      <c r="AR27" s="20">
        <f t="shared" si="2"/>
        <v>0</v>
      </c>
      <c r="AS27" s="20">
        <f t="shared" si="2"/>
        <v>0</v>
      </c>
      <c r="AT27" s="20">
        <f t="shared" si="2"/>
        <v>0</v>
      </c>
      <c r="AU27" s="20">
        <f t="shared" si="2"/>
        <v>0</v>
      </c>
      <c r="AV27" s="20">
        <f t="shared" si="2"/>
        <v>0</v>
      </c>
      <c r="AW27" s="20">
        <f t="shared" si="2"/>
        <v>0</v>
      </c>
      <c r="AX27" s="20">
        <f t="shared" si="2"/>
        <v>0</v>
      </c>
      <c r="AY27" s="20">
        <f t="shared" si="2"/>
        <v>0</v>
      </c>
      <c r="AZ27" s="20">
        <f t="shared" si="2"/>
        <v>0</v>
      </c>
      <c r="BA27" s="20">
        <f>0.038*BA2</f>
        <v>0</v>
      </c>
      <c r="BB27" s="20">
        <f>BB11</f>
        <v>0</v>
      </c>
      <c r="BC27" s="20">
        <f>BC11</f>
        <v>0</v>
      </c>
      <c r="BD27" s="20">
        <f>BD11</f>
        <v>0</v>
      </c>
      <c r="BF27" s="20">
        <f>0.019*BF2</f>
        <v>0</v>
      </c>
      <c r="BG27" s="20">
        <f>BG11</f>
        <v>0</v>
      </c>
      <c r="BH27" s="20">
        <f>BH11</f>
        <v>0</v>
      </c>
      <c r="BI27" s="20">
        <f>0.025*BI2</f>
        <v>0</v>
      </c>
      <c r="BJ27" s="20">
        <f>0.012*BJ2</f>
        <v>0</v>
      </c>
      <c r="BK27" s="20">
        <f>BK11</f>
        <v>0</v>
      </c>
      <c r="BL27" s="20">
        <f>BL11</f>
        <v>0</v>
      </c>
      <c r="BM27" s="20">
        <f>BM11</f>
        <v>0</v>
      </c>
      <c r="BN27" s="20">
        <f>0.012*BN2</f>
        <v>0</v>
      </c>
      <c r="BO27" s="20">
        <f>BO11</f>
        <v>0</v>
      </c>
      <c r="BP27" s="20">
        <f>0.031*BP2</f>
        <v>0</v>
      </c>
      <c r="BQ27" s="20">
        <f>0.031*BQ2</f>
        <v>0</v>
      </c>
      <c r="BR27" s="20">
        <f>0.022*BR2</f>
        <v>0</v>
      </c>
      <c r="BS27" s="20">
        <f>0.01*BS2</f>
        <v>0</v>
      </c>
      <c r="BT27" s="20">
        <f>0.039*BT2</f>
        <v>0</v>
      </c>
      <c r="BU27" s="20">
        <f>BU11</f>
        <v>0</v>
      </c>
      <c r="BV27" s="20">
        <f>BV11</f>
        <v>0</v>
      </c>
      <c r="BW27" s="20">
        <f>0.034*BW2</f>
        <v>0</v>
      </c>
      <c r="BX27" s="20">
        <f>BX11</f>
        <v>0</v>
      </c>
      <c r="BY27" s="20">
        <f>0.037*BY2</f>
        <v>0</v>
      </c>
      <c r="BZ27" s="20">
        <f>BZ11</f>
        <v>0</v>
      </c>
      <c r="CA27" s="20">
        <f>CA11</f>
        <v>0</v>
      </c>
      <c r="CB27" s="20">
        <f>CB11</f>
        <v>0</v>
      </c>
      <c r="CD27" s="20">
        <f>CD11</f>
        <v>0</v>
      </c>
      <c r="CH27" s="20">
        <f>CH11</f>
        <v>0</v>
      </c>
      <c r="CI27" s="20">
        <f>CI11</f>
        <v>0</v>
      </c>
      <c r="CJ27" s="20">
        <f>CJ11</f>
        <v>0</v>
      </c>
      <c r="CK27" s="20">
        <f>CK11</f>
        <v>0</v>
      </c>
      <c r="CM27" s="20">
        <f>0.0047*CM2</f>
        <v>0</v>
      </c>
      <c r="DD27" s="20">
        <f>DD11</f>
        <v>0</v>
      </c>
      <c r="DE27" s="20">
        <f>DE28</f>
        <v>0</v>
      </c>
      <c r="DQ27" s="20">
        <f>DQ11</f>
        <v>0</v>
      </c>
      <c r="DR27" s="20">
        <f>0.036*DR2</f>
        <v>0</v>
      </c>
      <c r="EB27" s="20">
        <f>0.029*EB2</f>
        <v>0</v>
      </c>
      <c r="EE27" s="20">
        <f>0.0125*EE2</f>
        <v>0</v>
      </c>
      <c r="EF27" s="20">
        <f>0.01*EF2</f>
        <v>0</v>
      </c>
      <c r="EG27" s="20">
        <f>0.0125*EG2</f>
        <v>0</v>
      </c>
      <c r="EH27" s="20">
        <f>0.008*EH2</f>
        <v>0</v>
      </c>
      <c r="EI27" s="20">
        <f>0.008*EI2</f>
        <v>0</v>
      </c>
      <c r="EJ27" s="20">
        <f>0.008*EJ2</f>
        <v>0</v>
      </c>
      <c r="EK27" s="20">
        <f>0.025*EK2</f>
        <v>0</v>
      </c>
      <c r="EL27" s="20">
        <f>0.025*EL2</f>
        <v>0</v>
      </c>
      <c r="EM27" s="20">
        <f>0.0052*EM2</f>
        <v>0</v>
      </c>
      <c r="EN27" s="20">
        <f>0.0052*EN2</f>
        <v>0</v>
      </c>
      <c r="EO27" s="20">
        <f>0.005*EO2</f>
        <v>0</v>
      </c>
      <c r="EP27" s="20">
        <f>0.0052*EP2</f>
        <v>0</v>
      </c>
      <c r="EQ27" s="20">
        <f>0.0052*EQ2</f>
        <v>0</v>
      </c>
      <c r="ER27" s="20">
        <f>0.005*ER2</f>
        <v>0</v>
      </c>
      <c r="ES27" s="20">
        <f>0.031*ES2</f>
        <v>0</v>
      </c>
      <c r="ET27" s="20">
        <f>0.005*ET2</f>
        <v>0</v>
      </c>
      <c r="EU27" s="20">
        <f>EU11</f>
        <v>0</v>
      </c>
      <c r="EV27" s="20">
        <f>EV11</f>
        <v>0</v>
      </c>
      <c r="EW27" s="20">
        <f>EW11</f>
        <v>0</v>
      </c>
      <c r="EY27" s="20">
        <f>EY11</f>
        <v>0</v>
      </c>
      <c r="EZ27" s="20">
        <f>EZ11</f>
        <v>0</v>
      </c>
      <c r="FB27" s="20">
        <f>0.006*FB2</f>
        <v>0</v>
      </c>
      <c r="FC27" s="20">
        <f>0.003*FC2</f>
        <v>0</v>
      </c>
      <c r="FD27" s="20">
        <f>0.019*FD2</f>
        <v>0</v>
      </c>
      <c r="FE27" s="20">
        <f>0.015*FE2</f>
        <v>0</v>
      </c>
      <c r="FF27" s="20">
        <f>0.031*FF2</f>
        <v>0</v>
      </c>
    </row>
    <row r="28" spans="1:266" ht="30.75" customHeight="1" thickBot="1" x14ac:dyDescent="0.3">
      <c r="A28" s="10" t="s">
        <v>172</v>
      </c>
      <c r="B28" s="5" t="s">
        <v>155</v>
      </c>
      <c r="C28" s="36">
        <f>SUM(D28:ALK28)*1.05</f>
        <v>0</v>
      </c>
      <c r="F28" s="20">
        <f>0.015*F2</f>
        <v>0</v>
      </c>
      <c r="G28" s="20">
        <f>0.05*G2</f>
        <v>0</v>
      </c>
      <c r="H28" s="20">
        <f>0.05*H2</f>
        <v>0</v>
      </c>
      <c r="I28" s="20">
        <f>0.05*I2</f>
        <v>0</v>
      </c>
      <c r="K28" s="20">
        <f>0.05*K2</f>
        <v>0</v>
      </c>
      <c r="L28" s="20">
        <f>0.05*L2</f>
        <v>0</v>
      </c>
      <c r="M28" s="20">
        <f>0.0073*M2</f>
        <v>0</v>
      </c>
      <c r="N28" s="20">
        <f>0.04*N2</f>
        <v>0</v>
      </c>
      <c r="O28" s="20">
        <f>0.08*O2</f>
        <v>0</v>
      </c>
      <c r="P28" s="20">
        <f>0.006*P2</f>
        <v>0</v>
      </c>
      <c r="Q28" s="20">
        <f>0.05*Q2</f>
        <v>0</v>
      </c>
      <c r="R28" s="20">
        <f>0.022*R2</f>
        <v>0</v>
      </c>
      <c r="S28" s="20">
        <f>0.05*S2</f>
        <v>0</v>
      </c>
      <c r="V28" s="20">
        <f>0.05*V2</f>
        <v>0</v>
      </c>
      <c r="X28" s="20">
        <f t="shared" ref="X28:AF28" si="3">0.05*X2</f>
        <v>0</v>
      </c>
      <c r="Y28" s="20">
        <f t="shared" si="3"/>
        <v>0</v>
      </c>
      <c r="Z28" s="20">
        <f t="shared" si="3"/>
        <v>0</v>
      </c>
      <c r="AA28" s="20">
        <f t="shared" si="3"/>
        <v>0</v>
      </c>
      <c r="AB28" s="20">
        <f t="shared" si="3"/>
        <v>0</v>
      </c>
      <c r="AC28" s="20">
        <f t="shared" si="3"/>
        <v>0</v>
      </c>
      <c r="AD28" s="20">
        <f t="shared" si="3"/>
        <v>0</v>
      </c>
      <c r="AE28" s="20">
        <f t="shared" si="3"/>
        <v>0</v>
      </c>
      <c r="AF28" s="20">
        <f t="shared" si="3"/>
        <v>0</v>
      </c>
      <c r="AG28" s="20">
        <f>0.063*AG2</f>
        <v>0</v>
      </c>
      <c r="AH28" s="20">
        <f>0.05*AH2</f>
        <v>0</v>
      </c>
      <c r="AI28" s="20">
        <f>0.05*AI2</f>
        <v>0</v>
      </c>
      <c r="AJ28" s="20">
        <f>0.063*AJ2</f>
        <v>0</v>
      </c>
      <c r="AM28" s="20">
        <f t="shared" ref="AM28:BC28" si="4">0.05*AM2</f>
        <v>0</v>
      </c>
      <c r="AN28" s="20">
        <f t="shared" si="4"/>
        <v>0</v>
      </c>
      <c r="AO28" s="20">
        <f t="shared" si="4"/>
        <v>0</v>
      </c>
      <c r="AP28" s="20">
        <f t="shared" si="4"/>
        <v>0</v>
      </c>
      <c r="AQ28" s="20">
        <f t="shared" si="4"/>
        <v>0</v>
      </c>
      <c r="AR28" s="20">
        <f t="shared" si="4"/>
        <v>0</v>
      </c>
      <c r="AS28" s="20">
        <f t="shared" si="4"/>
        <v>0</v>
      </c>
      <c r="AT28" s="20">
        <f t="shared" si="4"/>
        <v>0</v>
      </c>
      <c r="AU28" s="20">
        <f t="shared" si="4"/>
        <v>0</v>
      </c>
      <c r="AV28" s="20">
        <f t="shared" si="4"/>
        <v>0</v>
      </c>
      <c r="AW28" s="20">
        <f t="shared" si="4"/>
        <v>0</v>
      </c>
      <c r="AX28" s="20">
        <f t="shared" si="4"/>
        <v>0</v>
      </c>
      <c r="AY28" s="20">
        <f t="shared" si="4"/>
        <v>0</v>
      </c>
      <c r="AZ28" s="20">
        <f t="shared" si="4"/>
        <v>0</v>
      </c>
      <c r="BA28" s="20">
        <f t="shared" si="4"/>
        <v>0</v>
      </c>
      <c r="BB28" s="20">
        <f t="shared" si="4"/>
        <v>0</v>
      </c>
      <c r="BC28" s="20">
        <f t="shared" si="4"/>
        <v>0</v>
      </c>
      <c r="BE28" s="20">
        <f t="shared" ref="BE28:BL28" si="5">0.05*BE2</f>
        <v>0</v>
      </c>
      <c r="BF28" s="20">
        <f t="shared" si="5"/>
        <v>0</v>
      </c>
      <c r="BG28" s="20">
        <f t="shared" si="5"/>
        <v>0</v>
      </c>
      <c r="BH28" s="20">
        <f t="shared" si="5"/>
        <v>0</v>
      </c>
      <c r="BI28" s="20">
        <f t="shared" si="5"/>
        <v>0</v>
      </c>
      <c r="BJ28" s="20">
        <f t="shared" si="5"/>
        <v>0</v>
      </c>
      <c r="BK28" s="20">
        <f t="shared" si="5"/>
        <v>0</v>
      </c>
      <c r="BL28" s="20">
        <f t="shared" si="5"/>
        <v>0</v>
      </c>
      <c r="BM28" s="20">
        <f>BM11</f>
        <v>0</v>
      </c>
      <c r="BN28" s="20">
        <f t="shared" ref="BN28:BU28" si="6">0.05*BN2</f>
        <v>0</v>
      </c>
      <c r="BO28" s="20">
        <f t="shared" si="6"/>
        <v>0</v>
      </c>
      <c r="BP28" s="20">
        <f t="shared" si="6"/>
        <v>0</v>
      </c>
      <c r="BQ28" s="20">
        <f t="shared" si="6"/>
        <v>0</v>
      </c>
      <c r="BR28" s="20">
        <f t="shared" si="6"/>
        <v>0</v>
      </c>
      <c r="BS28" s="20">
        <f t="shared" si="6"/>
        <v>0</v>
      </c>
      <c r="BT28" s="20">
        <f t="shared" si="6"/>
        <v>0</v>
      </c>
      <c r="BU28" s="20">
        <f t="shared" si="6"/>
        <v>0</v>
      </c>
      <c r="BV28" s="20">
        <f>0.035*BV2</f>
        <v>0</v>
      </c>
      <c r="BW28" s="20">
        <f>0.034*BW2</f>
        <v>0</v>
      </c>
      <c r="BX28" s="20">
        <f>BX11</f>
        <v>0</v>
      </c>
      <c r="BY28" s="20">
        <f>0.05*BY2</f>
        <v>0</v>
      </c>
      <c r="BZ28" s="20">
        <f>0.05*BZ2</f>
        <v>0</v>
      </c>
      <c r="CA28" s="20">
        <f>0.05*CA2</f>
        <v>0</v>
      </c>
      <c r="CB28" s="20">
        <f>0.05*CB2</f>
        <v>0</v>
      </c>
      <c r="CD28" s="20">
        <f>0.05*CD2</f>
        <v>0</v>
      </c>
      <c r="CF28" s="20">
        <f t="shared" ref="CF28:CK28" si="7">0.05*CF2</f>
        <v>0</v>
      </c>
      <c r="CG28" s="20">
        <f t="shared" si="7"/>
        <v>0</v>
      </c>
      <c r="CH28" s="20">
        <f t="shared" si="7"/>
        <v>0</v>
      </c>
      <c r="CI28" s="20">
        <f t="shared" si="7"/>
        <v>0</v>
      </c>
      <c r="CJ28" s="20">
        <f t="shared" si="7"/>
        <v>0</v>
      </c>
      <c r="CK28" s="20">
        <f t="shared" si="7"/>
        <v>0</v>
      </c>
      <c r="CM28" s="20">
        <f>0.05*CM2</f>
        <v>0</v>
      </c>
      <c r="CX28" s="20">
        <f>0.05*CX2</f>
        <v>0</v>
      </c>
      <c r="DD28" s="20">
        <f>DD11</f>
        <v>0</v>
      </c>
      <c r="DE28" s="20">
        <f>0.006*DE2</f>
        <v>0</v>
      </c>
      <c r="DF28" s="20">
        <f>DF11</f>
        <v>0</v>
      </c>
      <c r="DG28" s="20">
        <f>0.009*DG2</f>
        <v>0</v>
      </c>
      <c r="DH28" s="20">
        <f t="shared" ref="DH28:DN28" si="8">DH11</f>
        <v>0</v>
      </c>
      <c r="DI28" s="20">
        <f t="shared" si="8"/>
        <v>0</v>
      </c>
      <c r="DJ28" s="20">
        <f t="shared" si="8"/>
        <v>0</v>
      </c>
      <c r="DK28" s="20">
        <f t="shared" si="8"/>
        <v>0</v>
      </c>
      <c r="DL28" s="20">
        <f t="shared" si="8"/>
        <v>0</v>
      </c>
      <c r="DM28" s="20">
        <f t="shared" si="8"/>
        <v>0</v>
      </c>
      <c r="DN28" s="20">
        <f t="shared" si="8"/>
        <v>0</v>
      </c>
      <c r="DQ28" s="20">
        <f>DQ11</f>
        <v>0</v>
      </c>
      <c r="DR28" s="20">
        <f>0.036*DR2</f>
        <v>0</v>
      </c>
      <c r="EB28" s="20">
        <f>0.029*EB2</f>
        <v>0</v>
      </c>
      <c r="EE28" s="20">
        <f>0.0125*EE2</f>
        <v>0</v>
      </c>
      <c r="EF28" s="20">
        <f>0.01*EF2</f>
        <v>0</v>
      </c>
      <c r="EG28" s="20">
        <f>0.0125*EG2</f>
        <v>0</v>
      </c>
      <c r="EH28" s="20">
        <f>0.008*EH2</f>
        <v>0</v>
      </c>
      <c r="EI28" s="20">
        <f>0.008*EI2</f>
        <v>0</v>
      </c>
      <c r="EJ28" s="20">
        <f>0.008*EJ2</f>
        <v>0</v>
      </c>
      <c r="EK28" s="20">
        <f>0.026*EK2</f>
        <v>0</v>
      </c>
      <c r="EL28" s="20">
        <f>0.026*EL2</f>
        <v>0</v>
      </c>
      <c r="EM28" s="20">
        <f>0.0052*EM2</f>
        <v>0</v>
      </c>
      <c r="EN28" s="20">
        <f>0.0052*EN2</f>
        <v>0</v>
      </c>
      <c r="EO28" s="20">
        <f>0.005*EO2</f>
        <v>0</v>
      </c>
      <c r="EP28" s="20">
        <f>0.0052*EP2</f>
        <v>0</v>
      </c>
      <c r="EQ28" s="20">
        <f>0.0052*EQ2</f>
        <v>0</v>
      </c>
      <c r="ER28" s="20">
        <f>0.005*ER2</f>
        <v>0</v>
      </c>
      <c r="ES28" s="20">
        <f t="shared" ref="ES28:EZ28" si="9">0.05*ES2</f>
        <v>0</v>
      </c>
      <c r="ET28" s="20">
        <f t="shared" si="9"/>
        <v>0</v>
      </c>
      <c r="EU28" s="20">
        <f t="shared" si="9"/>
        <v>0</v>
      </c>
      <c r="EV28" s="20">
        <f t="shared" si="9"/>
        <v>0</v>
      </c>
      <c r="EW28" s="20">
        <f t="shared" si="9"/>
        <v>0</v>
      </c>
      <c r="EY28" s="20">
        <f t="shared" si="9"/>
        <v>0</v>
      </c>
      <c r="EZ28" s="20">
        <f t="shared" si="9"/>
        <v>0</v>
      </c>
      <c r="FB28" s="20">
        <f>0.006*FB2</f>
        <v>0</v>
      </c>
      <c r="FC28" s="20">
        <f>0.003*FC2</f>
        <v>0</v>
      </c>
      <c r="FD28" s="20">
        <f>FD11</f>
        <v>0</v>
      </c>
      <c r="FE28" s="20">
        <f>0.015*FE2</f>
        <v>0</v>
      </c>
      <c r="FF28" s="20">
        <f>0.031*FF2</f>
        <v>0</v>
      </c>
    </row>
    <row r="29" spans="1:266" ht="30.75" customHeight="1" thickBot="1" x14ac:dyDescent="0.3">
      <c r="A29" s="10" t="s">
        <v>292</v>
      </c>
      <c r="B29" s="5" t="s">
        <v>155</v>
      </c>
      <c r="C29" s="36">
        <f>SUM(D29:ALK29)*1.05</f>
        <v>0</v>
      </c>
      <c r="EX29" s="20">
        <f>0.39*EX2</f>
        <v>0</v>
      </c>
      <c r="FA29" s="20">
        <f>0.195*FA2</f>
        <v>0</v>
      </c>
    </row>
    <row r="30" spans="1:266" s="55" customFormat="1" ht="30.75" customHeight="1" thickBot="1" x14ac:dyDescent="0.3">
      <c r="A30" s="53" t="s">
        <v>156</v>
      </c>
      <c r="B30" s="53" t="s">
        <v>173</v>
      </c>
      <c r="C30" s="54">
        <f>SUM(D30:ALK30)</f>
        <v>0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  <c r="EN30" s="50"/>
      <c r="EO30" s="50"/>
      <c r="EP30" s="50"/>
      <c r="EQ30" s="50"/>
      <c r="ER30" s="50"/>
      <c r="ES30" s="50"/>
      <c r="ET30" s="50"/>
      <c r="EU30" s="50"/>
      <c r="EV30" s="50"/>
      <c r="EW30" s="50"/>
      <c r="EX30" s="50">
        <f>2.9*EX2</f>
        <v>0</v>
      </c>
      <c r="EY30" s="50"/>
      <c r="EZ30" s="50"/>
      <c r="FA30" s="50">
        <f>1.6*FA2</f>
        <v>0</v>
      </c>
      <c r="FB30" s="50"/>
      <c r="FC30" s="50"/>
      <c r="FD30" s="50"/>
      <c r="FE30" s="50"/>
      <c r="FF30" s="50"/>
      <c r="FG30" s="50"/>
      <c r="FH30" s="50"/>
      <c r="FI30" s="50"/>
      <c r="FJ30" s="50"/>
      <c r="FK30" s="50"/>
      <c r="FL30" s="50"/>
      <c r="FM30" s="50"/>
      <c r="FN30" s="50"/>
      <c r="FO30" s="50"/>
      <c r="FP30" s="50"/>
      <c r="FQ30" s="50"/>
      <c r="FR30" s="50"/>
      <c r="FS30" s="50"/>
      <c r="FT30" s="50"/>
      <c r="FU30" s="50"/>
      <c r="FV30" s="50"/>
      <c r="FW30" s="50"/>
      <c r="FX30" s="50"/>
      <c r="FY30" s="50"/>
      <c r="FZ30" s="50"/>
      <c r="GA30" s="50"/>
      <c r="GB30" s="50"/>
      <c r="GC30" s="50"/>
      <c r="GD30" s="50"/>
      <c r="GE30" s="50"/>
      <c r="GF30" s="50"/>
      <c r="GG30" s="50"/>
      <c r="GH30" s="50"/>
      <c r="GI30" s="50"/>
      <c r="GJ30" s="50"/>
      <c r="GK30" s="50"/>
      <c r="GL30" s="50"/>
      <c r="GM30" s="50"/>
      <c r="GN30" s="50"/>
      <c r="GO30" s="50"/>
      <c r="GP30" s="50"/>
      <c r="GQ30" s="50"/>
      <c r="GR30" s="50"/>
      <c r="GS30" s="50"/>
      <c r="GT30" s="50"/>
      <c r="GU30" s="50"/>
      <c r="GV30" s="50"/>
      <c r="GW30" s="50"/>
      <c r="GX30" s="50"/>
      <c r="GY30" s="50"/>
      <c r="GZ30" s="50"/>
      <c r="HA30" s="50"/>
      <c r="HB30" s="50"/>
      <c r="HC30" s="50"/>
      <c r="HD30" s="50"/>
      <c r="HE30" s="50"/>
      <c r="HF30" s="50"/>
      <c r="HG30" s="50"/>
      <c r="HH30" s="50"/>
      <c r="HI30" s="50"/>
      <c r="HJ30" s="50"/>
      <c r="HK30" s="50"/>
      <c r="HL30" s="50"/>
      <c r="HM30" s="50"/>
      <c r="HN30" s="50"/>
      <c r="HO30" s="50"/>
      <c r="HP30" s="50"/>
      <c r="HQ30" s="50"/>
      <c r="HR30" s="50"/>
      <c r="HS30" s="50"/>
      <c r="HT30" s="50"/>
      <c r="HU30" s="50"/>
      <c r="HV30" s="50"/>
      <c r="HW30" s="50"/>
      <c r="HX30" s="50"/>
      <c r="HY30" s="50"/>
      <c r="HZ30" s="50"/>
      <c r="IA30" s="50"/>
      <c r="IB30" s="50"/>
      <c r="IC30" s="50"/>
      <c r="ID30" s="50"/>
      <c r="IE30" s="50"/>
      <c r="IF30" s="50"/>
      <c r="IG30" s="50"/>
      <c r="IH30" s="50"/>
      <c r="II30" s="50"/>
      <c r="IJ30" s="50"/>
      <c r="IK30" s="50"/>
      <c r="IL30" s="50"/>
      <c r="IM30" s="50"/>
      <c r="IN30" s="50"/>
      <c r="IO30" s="50"/>
      <c r="IP30" s="50"/>
      <c r="IQ30" s="50"/>
      <c r="IR30" s="50"/>
      <c r="IS30" s="50"/>
      <c r="IT30" s="50"/>
      <c r="IU30" s="50"/>
      <c r="IV30" s="50"/>
      <c r="IW30" s="50"/>
      <c r="IX30" s="50"/>
      <c r="IY30" s="50"/>
      <c r="IZ30" s="50"/>
      <c r="JA30" s="50"/>
      <c r="JB30" s="50"/>
      <c r="JC30" s="50"/>
      <c r="JD30" s="50"/>
      <c r="JE30" s="50"/>
      <c r="JF30" s="50"/>
    </row>
    <row r="31" spans="1:266" ht="15.75" customHeight="1" thickBot="1" x14ac:dyDescent="0.3">
      <c r="A31" s="10" t="s">
        <v>174</v>
      </c>
      <c r="B31" s="5" t="s">
        <v>155</v>
      </c>
      <c r="C31" s="36">
        <f>SUM(D31:ALK31)*1.1</f>
        <v>0</v>
      </c>
      <c r="J31" s="20">
        <f>0.045*J2</f>
        <v>0</v>
      </c>
    </row>
    <row r="32" spans="1:266" s="55" customFormat="1" ht="30.75" customHeight="1" thickBot="1" x14ac:dyDescent="0.3">
      <c r="A32" s="53" t="s">
        <v>156</v>
      </c>
      <c r="B32" s="53" t="s">
        <v>173</v>
      </c>
      <c r="C32" s="54">
        <f>SUM(D32:ALK32)</f>
        <v>0</v>
      </c>
      <c r="D32" s="50"/>
      <c r="E32" s="50"/>
      <c r="F32" s="50"/>
      <c r="G32" s="50"/>
      <c r="H32" s="50"/>
      <c r="I32" s="50"/>
      <c r="J32" s="50">
        <f>0.86*J2</f>
        <v>0</v>
      </c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0"/>
      <c r="EY32" s="50"/>
      <c r="EZ32" s="50"/>
      <c r="FA32" s="50">
        <f>1.6*FA4</f>
        <v>0</v>
      </c>
      <c r="FB32" s="50"/>
      <c r="FC32" s="50"/>
      <c r="FD32" s="50"/>
      <c r="FE32" s="50"/>
      <c r="FF32" s="50"/>
      <c r="FG32" s="50"/>
      <c r="FH32" s="50"/>
      <c r="FI32" s="50"/>
      <c r="FJ32" s="50"/>
      <c r="FK32" s="50"/>
      <c r="FL32" s="50"/>
      <c r="FM32" s="50"/>
      <c r="FN32" s="50"/>
      <c r="FO32" s="50"/>
      <c r="FP32" s="50"/>
      <c r="FQ32" s="50"/>
      <c r="FR32" s="50"/>
      <c r="FS32" s="50"/>
      <c r="FT32" s="50"/>
      <c r="FU32" s="50"/>
      <c r="FV32" s="50"/>
      <c r="FW32" s="50"/>
      <c r="FX32" s="50"/>
      <c r="FY32" s="50"/>
      <c r="FZ32" s="50"/>
      <c r="GA32" s="50"/>
      <c r="GB32" s="50"/>
      <c r="GC32" s="50"/>
      <c r="GD32" s="50"/>
      <c r="GE32" s="50"/>
      <c r="GF32" s="50"/>
      <c r="GG32" s="50"/>
      <c r="GH32" s="50"/>
      <c r="GI32" s="50"/>
      <c r="GJ32" s="50"/>
      <c r="GK32" s="50"/>
      <c r="GL32" s="50"/>
      <c r="GM32" s="50"/>
      <c r="GN32" s="50"/>
      <c r="GO32" s="50"/>
      <c r="GP32" s="50"/>
      <c r="GQ32" s="50"/>
      <c r="GR32" s="50"/>
      <c r="GS32" s="50"/>
      <c r="GT32" s="50"/>
      <c r="GU32" s="50"/>
      <c r="GV32" s="50"/>
      <c r="GW32" s="50"/>
      <c r="GX32" s="50"/>
      <c r="GY32" s="50"/>
      <c r="GZ32" s="50"/>
      <c r="HA32" s="50"/>
      <c r="HB32" s="50"/>
      <c r="HC32" s="50"/>
      <c r="HD32" s="50"/>
      <c r="HE32" s="50"/>
      <c r="HF32" s="50"/>
      <c r="HG32" s="50"/>
      <c r="HH32" s="50"/>
      <c r="HI32" s="50"/>
      <c r="HJ32" s="50"/>
      <c r="HK32" s="50"/>
      <c r="HL32" s="50"/>
      <c r="HM32" s="50"/>
      <c r="HN32" s="50"/>
      <c r="HO32" s="50"/>
      <c r="HP32" s="50"/>
      <c r="HQ32" s="50"/>
      <c r="HR32" s="50"/>
      <c r="HS32" s="50"/>
      <c r="HT32" s="50"/>
      <c r="HU32" s="50"/>
      <c r="HV32" s="50"/>
      <c r="HW32" s="50"/>
      <c r="HX32" s="50"/>
      <c r="HY32" s="50"/>
      <c r="HZ32" s="50"/>
      <c r="IA32" s="50"/>
      <c r="IB32" s="50"/>
      <c r="IC32" s="50"/>
      <c r="ID32" s="50"/>
      <c r="IE32" s="50"/>
      <c r="IF32" s="50"/>
      <c r="IG32" s="50"/>
      <c r="IH32" s="50"/>
      <c r="II32" s="50"/>
      <c r="IJ32" s="50"/>
      <c r="IK32" s="50"/>
      <c r="IL32" s="50"/>
      <c r="IM32" s="50"/>
      <c r="IN32" s="50"/>
      <c r="IO32" s="50"/>
      <c r="IP32" s="50"/>
      <c r="IQ32" s="50"/>
      <c r="IR32" s="50"/>
      <c r="IS32" s="50"/>
      <c r="IT32" s="50"/>
      <c r="IU32" s="50"/>
      <c r="IV32" s="50"/>
      <c r="IW32" s="50"/>
      <c r="IX32" s="50"/>
      <c r="IY32" s="50"/>
      <c r="IZ32" s="50"/>
      <c r="JA32" s="50"/>
      <c r="JB32" s="50"/>
      <c r="JC32" s="50"/>
      <c r="JD32" s="50"/>
      <c r="JE32" s="50"/>
      <c r="JF32" s="50"/>
    </row>
    <row r="33" spans="1:266" ht="30.75" customHeight="1" thickBot="1" x14ac:dyDescent="0.3">
      <c r="A33" s="10" t="s">
        <v>175</v>
      </c>
      <c r="B33" s="5" t="s">
        <v>155</v>
      </c>
      <c r="C33" s="36">
        <f>SUM(D33:ALK33)*1.1</f>
        <v>0</v>
      </c>
      <c r="AL33" s="20">
        <f>0.032*AL2</f>
        <v>0</v>
      </c>
      <c r="CC33" s="20">
        <f>0.13*CC2</f>
        <v>0</v>
      </c>
      <c r="CL33" s="20">
        <f>0.031*CL2</f>
        <v>0</v>
      </c>
      <c r="CN33" s="20">
        <f>0.022*CN2</f>
        <v>0</v>
      </c>
      <c r="CO33" s="20">
        <f>CO11</f>
        <v>0</v>
      </c>
      <c r="CP33" s="20">
        <f>0.037*CP2</f>
        <v>0</v>
      </c>
      <c r="CQ33" s="20">
        <f>CQ11</f>
        <v>0</v>
      </c>
      <c r="CR33" s="20">
        <f>CR11</f>
        <v>0</v>
      </c>
      <c r="CS33" s="20">
        <f>CS11</f>
        <v>0</v>
      </c>
      <c r="CT33" s="20">
        <f>CT11</f>
        <v>0</v>
      </c>
      <c r="CU33" s="20">
        <f>CU11</f>
        <v>0</v>
      </c>
      <c r="CV33" s="20">
        <f>0.036*CV2</f>
        <v>0</v>
      </c>
      <c r="CW33" s="20">
        <f>CW11</f>
        <v>0</v>
      </c>
      <c r="CX33" s="20">
        <f>0.45*CX2</f>
        <v>0</v>
      </c>
      <c r="DA33" s="20">
        <f>0.01*DA2</f>
        <v>0</v>
      </c>
      <c r="DP33" s="20">
        <f>0.028*DP2</f>
        <v>0</v>
      </c>
      <c r="DS33" s="20">
        <f t="shared" ref="DS33:DZ33" si="10">DS11</f>
        <v>0</v>
      </c>
      <c r="DT33" s="20">
        <f t="shared" si="10"/>
        <v>0</v>
      </c>
      <c r="DU33" s="20">
        <f t="shared" si="10"/>
        <v>0</v>
      </c>
      <c r="DV33" s="20">
        <f t="shared" si="10"/>
        <v>0</v>
      </c>
      <c r="DW33" s="20">
        <f t="shared" si="10"/>
        <v>0</v>
      </c>
      <c r="DX33" s="20">
        <f t="shared" si="10"/>
        <v>0</v>
      </c>
      <c r="DY33" s="20">
        <f t="shared" si="10"/>
        <v>0</v>
      </c>
      <c r="DZ33" s="20">
        <f t="shared" si="10"/>
        <v>0</v>
      </c>
      <c r="EX33" s="20">
        <f>0.39*EX2</f>
        <v>0</v>
      </c>
      <c r="FA33" s="20">
        <f>0.195*FA2</f>
        <v>0</v>
      </c>
    </row>
    <row r="34" spans="1:266" s="26" customFormat="1" ht="4.5" customHeight="1" thickBot="1" x14ac:dyDescent="0.3">
      <c r="A34" s="29"/>
      <c r="B34" s="29"/>
      <c r="C34" s="38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  <c r="HW34" s="25"/>
      <c r="HX34" s="25"/>
      <c r="HY34" s="25"/>
      <c r="HZ34" s="25"/>
      <c r="IA34" s="25"/>
      <c r="IB34" s="25"/>
      <c r="IC34" s="25"/>
      <c r="ID34" s="25"/>
      <c r="IE34" s="25"/>
      <c r="IF34" s="25"/>
      <c r="IG34" s="25"/>
      <c r="IH34" s="25"/>
      <c r="II34" s="25"/>
      <c r="IJ34" s="25"/>
      <c r="IK34" s="25"/>
      <c r="IL34" s="25"/>
      <c r="IM34" s="25"/>
      <c r="IN34" s="25"/>
      <c r="IO34" s="25"/>
      <c r="IP34" s="25"/>
      <c r="IQ34" s="25"/>
      <c r="IR34" s="25"/>
      <c r="IS34" s="25"/>
      <c r="IT34" s="25"/>
      <c r="IU34" s="25"/>
      <c r="IV34" s="25"/>
      <c r="IW34" s="25"/>
      <c r="IX34" s="25"/>
      <c r="IY34" s="25"/>
      <c r="IZ34" s="25"/>
      <c r="JA34" s="25"/>
      <c r="JB34" s="25"/>
      <c r="JC34" s="25"/>
      <c r="JD34" s="25"/>
      <c r="JE34" s="25"/>
      <c r="JF34" s="25"/>
    </row>
    <row r="35" spans="1:266" ht="15.75" customHeight="1" thickBot="1" x14ac:dyDescent="0.3">
      <c r="A35" s="10" t="s">
        <v>176</v>
      </c>
      <c r="B35" s="5" t="s">
        <v>177</v>
      </c>
      <c r="C35" s="36">
        <f>SUM(D35:ALK35)</f>
        <v>0</v>
      </c>
      <c r="CB35" s="20">
        <f>8*CB2</f>
        <v>0</v>
      </c>
      <c r="DN35" s="20">
        <f>8*DN2</f>
        <v>0</v>
      </c>
    </row>
    <row r="36" spans="1:266" ht="15.75" customHeight="1" thickBot="1" x14ac:dyDescent="0.3">
      <c r="A36" s="10" t="s">
        <v>178</v>
      </c>
      <c r="B36" s="5" t="s">
        <v>177</v>
      </c>
      <c r="C36" s="36">
        <f>SUM(D36:ALK36)</f>
        <v>0</v>
      </c>
      <c r="DA36" s="20">
        <f>2*DA2</f>
        <v>0</v>
      </c>
    </row>
    <row r="37" spans="1:266" ht="15.75" customHeight="1" thickBot="1" x14ac:dyDescent="0.3">
      <c r="A37" s="10" t="s">
        <v>299</v>
      </c>
      <c r="B37" s="5" t="s">
        <v>300</v>
      </c>
      <c r="C37" s="36">
        <f>SUM(D37:ALK37)</f>
        <v>0</v>
      </c>
      <c r="FD37" s="20">
        <f>0.2*FD2</f>
        <v>0</v>
      </c>
      <c r="FE37" s="20">
        <f>0.1*FE2</f>
        <v>0</v>
      </c>
      <c r="FF37" s="20">
        <f>0.1*FF2</f>
        <v>0</v>
      </c>
    </row>
    <row r="38" spans="1:266" ht="45" customHeight="1" x14ac:dyDescent="0.25">
      <c r="A38" s="10" t="s">
        <v>179</v>
      </c>
      <c r="B38" s="5" t="s">
        <v>177</v>
      </c>
      <c r="C38" s="36">
        <f>SUM(D38:ALK38)</f>
        <v>0</v>
      </c>
      <c r="CB38" s="20">
        <f>1*CB2</f>
        <v>0</v>
      </c>
      <c r="DN38" s="20">
        <f>1*DN2</f>
        <v>0</v>
      </c>
    </row>
    <row r="39" spans="1:266" s="26" customFormat="1" ht="5.25" customHeight="1" thickBot="1" x14ac:dyDescent="0.3">
      <c r="A39" s="29"/>
      <c r="B39" s="29"/>
      <c r="C39" s="39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  <c r="HF39" s="25"/>
      <c r="HG39" s="25"/>
      <c r="HH39" s="25"/>
      <c r="HI39" s="25"/>
      <c r="HJ39" s="25"/>
      <c r="HK39" s="25"/>
      <c r="HL39" s="25"/>
      <c r="HM39" s="25"/>
      <c r="HN39" s="25"/>
      <c r="HO39" s="25"/>
      <c r="HP39" s="25"/>
      <c r="HQ39" s="25"/>
      <c r="HR39" s="25"/>
      <c r="HS39" s="25"/>
      <c r="HT39" s="25"/>
      <c r="HU39" s="25"/>
      <c r="HV39" s="25"/>
      <c r="HW39" s="25"/>
      <c r="HX39" s="25"/>
      <c r="HY39" s="25"/>
      <c r="HZ39" s="25"/>
      <c r="IA39" s="25"/>
      <c r="IB39" s="25"/>
      <c r="IC39" s="25"/>
      <c r="ID39" s="25"/>
      <c r="IE39" s="25"/>
      <c r="IF39" s="25"/>
      <c r="IG39" s="25"/>
      <c r="IH39" s="25"/>
      <c r="II39" s="25"/>
      <c r="IJ39" s="25"/>
      <c r="IK39" s="25"/>
      <c r="IL39" s="25"/>
      <c r="IM39" s="25"/>
      <c r="IN39" s="25"/>
      <c r="IO39" s="25"/>
      <c r="IP39" s="25"/>
      <c r="IQ39" s="25"/>
      <c r="IR39" s="25"/>
      <c r="IS39" s="25"/>
      <c r="IT39" s="25"/>
      <c r="IU39" s="25"/>
      <c r="IV39" s="25"/>
      <c r="IW39" s="25"/>
      <c r="IX39" s="25"/>
      <c r="IY39" s="25"/>
      <c r="IZ39" s="25"/>
      <c r="JA39" s="25"/>
      <c r="JB39" s="25"/>
      <c r="JC39" s="25"/>
      <c r="JD39" s="25"/>
      <c r="JE39" s="25"/>
      <c r="JF39" s="25"/>
    </row>
    <row r="40" spans="1:266" ht="15.75" customHeight="1" thickBot="1" x14ac:dyDescent="0.3">
      <c r="A40" s="10" t="s">
        <v>180</v>
      </c>
      <c r="B40" s="5" t="s">
        <v>155</v>
      </c>
      <c r="C40" s="36">
        <f>SUM(D40:ALK40)*1.1</f>
        <v>0</v>
      </c>
      <c r="CX40" s="20">
        <f>2*CX2</f>
        <v>0</v>
      </c>
    </row>
    <row r="41" spans="1:266" ht="30" customHeight="1" x14ac:dyDescent="0.25">
      <c r="A41" s="10" t="s">
        <v>181</v>
      </c>
      <c r="B41" s="5" t="s">
        <v>177</v>
      </c>
      <c r="C41" s="36">
        <f>SUM(D41:ALK41)*1.1</f>
        <v>0</v>
      </c>
      <c r="CX41" s="20">
        <f>1*CX2</f>
        <v>0</v>
      </c>
    </row>
    <row r="42" spans="1:266" s="26" customFormat="1" ht="4.5" customHeight="1" thickBot="1" x14ac:dyDescent="0.3">
      <c r="A42" s="29"/>
      <c r="B42" s="29"/>
      <c r="C42" s="40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  <c r="FY42" s="25"/>
      <c r="FZ42" s="25"/>
      <c r="GA42" s="25"/>
      <c r="GB42" s="25"/>
      <c r="GC42" s="25"/>
      <c r="GD42" s="25"/>
      <c r="GE42" s="25"/>
      <c r="GF42" s="25"/>
      <c r="GG42" s="25"/>
      <c r="GH42" s="25"/>
      <c r="GI42" s="25"/>
      <c r="GJ42" s="25"/>
      <c r="GK42" s="25"/>
      <c r="GL42" s="25"/>
      <c r="GM42" s="25"/>
      <c r="GN42" s="25"/>
      <c r="GO42" s="25"/>
      <c r="GP42" s="25"/>
      <c r="GQ42" s="25"/>
      <c r="GR42" s="25"/>
      <c r="GS42" s="25"/>
      <c r="GT42" s="25"/>
      <c r="GU42" s="25"/>
      <c r="GV42" s="25"/>
      <c r="GW42" s="25"/>
      <c r="GX42" s="25"/>
      <c r="GY42" s="25"/>
      <c r="GZ42" s="25"/>
      <c r="HA42" s="25"/>
      <c r="HB42" s="25"/>
      <c r="HC42" s="25"/>
      <c r="HD42" s="25"/>
      <c r="HE42" s="25"/>
      <c r="HF42" s="25"/>
      <c r="HG42" s="25"/>
      <c r="HH42" s="25"/>
      <c r="HI42" s="25"/>
      <c r="HJ42" s="25"/>
      <c r="HK42" s="25"/>
      <c r="HL42" s="25"/>
      <c r="HM42" s="25"/>
      <c r="HN42" s="25"/>
      <c r="HO42" s="25"/>
      <c r="HP42" s="25"/>
      <c r="HQ42" s="25"/>
      <c r="HR42" s="25"/>
      <c r="HS42" s="25"/>
      <c r="HT42" s="25"/>
      <c r="HU42" s="25"/>
      <c r="HV42" s="25"/>
      <c r="HW42" s="25"/>
      <c r="HX42" s="25"/>
      <c r="HY42" s="25"/>
      <c r="HZ42" s="25"/>
      <c r="IA42" s="25"/>
      <c r="IB42" s="25"/>
      <c r="IC42" s="25"/>
      <c r="ID42" s="25"/>
      <c r="IE42" s="25"/>
      <c r="IF42" s="25"/>
      <c r="IG42" s="25"/>
      <c r="IH42" s="25"/>
      <c r="II42" s="25"/>
      <c r="IJ42" s="25"/>
      <c r="IK42" s="25"/>
      <c r="IL42" s="25"/>
      <c r="IM42" s="25"/>
      <c r="IN42" s="25"/>
      <c r="IO42" s="25"/>
      <c r="IP42" s="25"/>
      <c r="IQ42" s="25"/>
      <c r="IR42" s="25"/>
      <c r="IS42" s="25"/>
      <c r="IT42" s="25"/>
      <c r="IU42" s="25"/>
      <c r="IV42" s="25"/>
      <c r="IW42" s="25"/>
      <c r="IX42" s="25"/>
      <c r="IY42" s="25"/>
      <c r="IZ42" s="25"/>
      <c r="JA42" s="25"/>
      <c r="JB42" s="25"/>
      <c r="JC42" s="25"/>
      <c r="JD42" s="25"/>
      <c r="JE42" s="25"/>
      <c r="JF42" s="25"/>
    </row>
    <row r="43" spans="1:266" s="32" customFormat="1" ht="30" customHeight="1" thickBot="1" x14ac:dyDescent="0.3">
      <c r="A43" s="47" t="s">
        <v>182</v>
      </c>
      <c r="B43" s="47" t="s">
        <v>183</v>
      </c>
      <c r="C43" s="37">
        <f>SUM(D43:ALK43)</f>
        <v>0</v>
      </c>
      <c r="D43" s="33"/>
      <c r="E43" s="33"/>
      <c r="F43" s="33"/>
      <c r="G43" s="33"/>
      <c r="H43" s="33">
        <f>0.031*H2</f>
        <v>0</v>
      </c>
      <c r="I43" s="33">
        <f>0.007*I2</f>
        <v>0</v>
      </c>
      <c r="J43" s="33">
        <f>0.045*J2</f>
        <v>0</v>
      </c>
      <c r="K43" s="33"/>
      <c r="L43" s="33"/>
      <c r="M43" s="33">
        <f>0.002*M2</f>
        <v>0</v>
      </c>
      <c r="N43" s="33"/>
      <c r="O43" s="33">
        <f>0.006*O2</f>
        <v>0</v>
      </c>
      <c r="P43" s="33">
        <f>0.006*P2</f>
        <v>0</v>
      </c>
      <c r="Q43" s="33"/>
      <c r="R43" s="33">
        <f>0.066*R2</f>
        <v>0</v>
      </c>
      <c r="S43" s="33"/>
      <c r="T43" s="33"/>
      <c r="U43" s="33"/>
      <c r="V43" s="33">
        <f>0.006*V2</f>
        <v>0</v>
      </c>
      <c r="W43" s="33"/>
      <c r="X43" s="33"/>
      <c r="Y43" s="33">
        <f>0.013*Y2</f>
        <v>0</v>
      </c>
      <c r="Z43" s="33"/>
      <c r="AA43" s="33"/>
      <c r="AB43" s="33"/>
      <c r="AC43" s="33"/>
      <c r="AD43" s="33"/>
      <c r="AE43" s="33"/>
      <c r="AF43" s="33"/>
      <c r="AG43" s="33">
        <f>0.005*AG2</f>
        <v>0</v>
      </c>
      <c r="AH43" s="33">
        <f>0.002*AH2</f>
        <v>0</v>
      </c>
      <c r="AI43" s="33"/>
      <c r="AJ43" s="33"/>
      <c r="AK43" s="33"/>
      <c r="AL43" s="33">
        <f>0.032*AL2</f>
        <v>0</v>
      </c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>
        <f>0.019*BA2</f>
        <v>0</v>
      </c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>
        <f>0.003*BM2</f>
        <v>0</v>
      </c>
      <c r="BN43" s="33"/>
      <c r="BO43" s="33"/>
      <c r="BP43" s="33"/>
      <c r="BQ43" s="33"/>
      <c r="BR43" s="33">
        <f>0.01*BR2</f>
        <v>0</v>
      </c>
      <c r="BS43" s="33"/>
      <c r="BT43" s="33"/>
      <c r="BU43" s="33"/>
      <c r="BV43" s="33">
        <f>0.018*BV2</f>
        <v>0</v>
      </c>
      <c r="BW43" s="33">
        <f>0.018*BW2</f>
        <v>0</v>
      </c>
      <c r="BX43" s="33"/>
      <c r="BY43" s="33"/>
      <c r="BZ43" s="33"/>
      <c r="CA43" s="33"/>
      <c r="CB43" s="33"/>
      <c r="CC43" s="33"/>
      <c r="CD43" s="33">
        <f>0.004*CD2</f>
        <v>0</v>
      </c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>
        <f>0.037*CP2</f>
        <v>0</v>
      </c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>
        <f>0.006*DE2</f>
        <v>0</v>
      </c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>
        <f>0.036*DR2</f>
        <v>0</v>
      </c>
      <c r="DS43" s="33"/>
      <c r="DT43" s="33"/>
      <c r="DU43" s="33"/>
      <c r="DV43" s="33"/>
      <c r="DW43" s="33"/>
      <c r="DX43" s="33"/>
      <c r="DY43" s="33"/>
      <c r="DZ43" s="33"/>
      <c r="EA43" s="33"/>
      <c r="EB43" s="33">
        <f>0.025*EB2</f>
        <v>0</v>
      </c>
      <c r="EC43" s="33"/>
      <c r="ED43" s="33"/>
      <c r="EE43" s="33">
        <f>0.001*EE2</f>
        <v>0</v>
      </c>
      <c r="EF43" s="33"/>
      <c r="EG43" s="33"/>
      <c r="EH43" s="33">
        <f>0.001*EH2</f>
        <v>0</v>
      </c>
      <c r="EI43" s="33"/>
      <c r="EJ43" s="33"/>
      <c r="EK43" s="33"/>
      <c r="EL43" s="33"/>
      <c r="EM43" s="33">
        <f>0.002*EM2</f>
        <v>0</v>
      </c>
      <c r="EN43" s="33"/>
      <c r="EO43" s="33"/>
      <c r="EP43" s="33">
        <f>0.003*EP2</f>
        <v>0</v>
      </c>
      <c r="EQ43" s="33"/>
      <c r="ER43" s="33"/>
      <c r="ES43" s="33"/>
      <c r="ET43" s="33"/>
      <c r="EU43" s="33"/>
      <c r="EV43" s="33"/>
      <c r="EW43" s="33"/>
      <c r="EX43" s="33">
        <f>0.39*EX2</f>
        <v>0</v>
      </c>
      <c r="EY43" s="33"/>
      <c r="EZ43" s="33"/>
      <c r="FA43" s="33">
        <f>0.12*FA2</f>
        <v>0</v>
      </c>
      <c r="FB43" s="33">
        <f>0.006*FB2</f>
        <v>0</v>
      </c>
      <c r="FC43" s="33">
        <f>0.003*FC2</f>
        <v>0</v>
      </c>
      <c r="FD43" s="33">
        <f>0.016*FD2</f>
        <v>0</v>
      </c>
      <c r="FE43" s="33">
        <f>0.02*FE2</f>
        <v>0</v>
      </c>
      <c r="FF43" s="33">
        <f>0.036*FF2</f>
        <v>0</v>
      </c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  <c r="JA43" s="33"/>
      <c r="JB43" s="33"/>
      <c r="JC43" s="33"/>
      <c r="JD43" s="33"/>
      <c r="JE43" s="33"/>
      <c r="JF43" s="33"/>
    </row>
    <row r="44" spans="1:266" s="32" customFormat="1" ht="30" customHeight="1" thickBot="1" x14ac:dyDescent="0.3">
      <c r="A44" s="47" t="s">
        <v>182</v>
      </c>
      <c r="B44" s="47" t="s">
        <v>184</v>
      </c>
      <c r="C44" s="37">
        <f>SUM(D44:ALK44)</f>
        <v>0</v>
      </c>
      <c r="D44" s="33"/>
      <c r="E44" s="33"/>
      <c r="F44" s="33"/>
      <c r="G44" s="33"/>
      <c r="H44" s="33">
        <f>0.031*H2</f>
        <v>0</v>
      </c>
      <c r="I44" s="33">
        <f>0.007*I2</f>
        <v>0</v>
      </c>
      <c r="J44" s="33">
        <f>0.045*J2</f>
        <v>0</v>
      </c>
      <c r="K44" s="33"/>
      <c r="L44" s="33"/>
      <c r="M44" s="33">
        <f>0.002*M2</f>
        <v>0</v>
      </c>
      <c r="N44" s="33"/>
      <c r="O44" s="33">
        <f>0.006*O2</f>
        <v>0</v>
      </c>
      <c r="P44" s="33">
        <f>0.006*P2</f>
        <v>0</v>
      </c>
      <c r="Q44" s="33"/>
      <c r="R44" s="33">
        <f>0.066*R2</f>
        <v>0</v>
      </c>
      <c r="S44" s="33"/>
      <c r="T44" s="33"/>
      <c r="U44" s="33"/>
      <c r="V44" s="33">
        <f>0.006*V2</f>
        <v>0</v>
      </c>
      <c r="W44" s="33"/>
      <c r="X44" s="33"/>
      <c r="Y44" s="33">
        <f>0.013*Y2</f>
        <v>0</v>
      </c>
      <c r="Z44" s="33"/>
      <c r="AA44" s="33"/>
      <c r="AB44" s="33"/>
      <c r="AC44" s="33"/>
      <c r="AD44" s="33"/>
      <c r="AE44" s="33"/>
      <c r="AF44" s="33"/>
      <c r="AG44" s="33">
        <f>0.005*AG2</f>
        <v>0</v>
      </c>
      <c r="AH44" s="33">
        <f>0.002*AH2</f>
        <v>0</v>
      </c>
      <c r="AI44" s="33"/>
      <c r="AJ44" s="33"/>
      <c r="AK44" s="33"/>
      <c r="AL44" s="33">
        <f>0.032*AL2</f>
        <v>0</v>
      </c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>
        <f>0.019*BA2</f>
        <v>0</v>
      </c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>
        <f>0.003*BM2</f>
        <v>0</v>
      </c>
      <c r="BN44" s="33"/>
      <c r="BO44" s="33"/>
      <c r="BP44" s="33"/>
      <c r="BQ44" s="33"/>
      <c r="BR44" s="33">
        <f>0.01*BR2</f>
        <v>0</v>
      </c>
      <c r="BS44" s="33"/>
      <c r="BT44" s="33"/>
      <c r="BU44" s="33"/>
      <c r="BV44" s="33">
        <f>0.018*BV2</f>
        <v>0</v>
      </c>
      <c r="BW44" s="33">
        <f>0.018*BW2</f>
        <v>0</v>
      </c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>
        <f>0.037*CP2</f>
        <v>0</v>
      </c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>
        <f>0.006*DE2</f>
        <v>0</v>
      </c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>
        <f>0.036*DR2</f>
        <v>0</v>
      </c>
      <c r="DS44" s="33"/>
      <c r="DT44" s="33"/>
      <c r="DU44" s="33"/>
      <c r="DV44" s="33"/>
      <c r="DW44" s="33"/>
      <c r="DX44" s="33"/>
      <c r="DY44" s="33"/>
      <c r="DZ44" s="33"/>
      <c r="EA44" s="33"/>
      <c r="EB44" s="33">
        <f>0.025*EB2</f>
        <v>0</v>
      </c>
      <c r="EC44" s="33"/>
      <c r="ED44" s="33"/>
      <c r="EE44" s="33">
        <f>0.001*EE2</f>
        <v>0</v>
      </c>
      <c r="EF44" s="33"/>
      <c r="EG44" s="33"/>
      <c r="EH44" s="33"/>
      <c r="EI44" s="33"/>
      <c r="EJ44" s="33"/>
      <c r="EK44" s="33"/>
      <c r="EL44" s="33"/>
      <c r="EM44" s="33">
        <f>0.002*EM2</f>
        <v>0</v>
      </c>
      <c r="EN44" s="33"/>
      <c r="EO44" s="33"/>
      <c r="EP44" s="33">
        <f>0.003*EP2</f>
        <v>0</v>
      </c>
      <c r="EQ44" s="33"/>
      <c r="ER44" s="33"/>
      <c r="ES44" s="33"/>
      <c r="ET44" s="33"/>
      <c r="EU44" s="33"/>
      <c r="EV44" s="33"/>
      <c r="EW44" s="33"/>
      <c r="EX44" s="33">
        <f>0.39*EX2</f>
        <v>0</v>
      </c>
      <c r="EY44" s="33"/>
      <c r="EZ44" s="33"/>
      <c r="FA44" s="33"/>
      <c r="FB44" s="33">
        <f>0.006*FB2</f>
        <v>0</v>
      </c>
      <c r="FC44" s="33">
        <f>0.003*FC2</f>
        <v>0</v>
      </c>
      <c r="FD44" s="33">
        <f>0.016*FD2</f>
        <v>0</v>
      </c>
      <c r="FE44" s="33">
        <f>FE43</f>
        <v>0</v>
      </c>
      <c r="FF44" s="33">
        <f>FF43</f>
        <v>0</v>
      </c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  <c r="JB44" s="33"/>
      <c r="JC44" s="33"/>
      <c r="JD44" s="33"/>
      <c r="JE44" s="33"/>
      <c r="JF44" s="33"/>
    </row>
    <row r="45" spans="1:266" ht="30" customHeight="1" x14ac:dyDescent="0.25">
      <c r="A45" s="10"/>
      <c r="B45" s="5"/>
      <c r="C45" s="36">
        <f>SUM(D45:ALK45)</f>
        <v>0</v>
      </c>
    </row>
    <row r="46" spans="1:266" s="26" customFormat="1" ht="4.5" customHeight="1" thickBot="1" x14ac:dyDescent="0.3">
      <c r="A46" s="29"/>
      <c r="B46" s="29"/>
      <c r="C46" s="40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25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  <c r="HW46" s="25"/>
      <c r="HX46" s="25"/>
      <c r="HY46" s="25"/>
      <c r="HZ46" s="25"/>
      <c r="IA46" s="25"/>
      <c r="IB46" s="25"/>
      <c r="IC46" s="25"/>
      <c r="ID46" s="25"/>
      <c r="IE46" s="25"/>
      <c r="IF46" s="25"/>
      <c r="IG46" s="25"/>
      <c r="IH46" s="25"/>
      <c r="II46" s="25"/>
      <c r="IJ46" s="25"/>
      <c r="IK46" s="25"/>
      <c r="IL46" s="25"/>
      <c r="IM46" s="25"/>
      <c r="IN46" s="25"/>
      <c r="IO46" s="25"/>
      <c r="IP46" s="25"/>
      <c r="IQ46" s="25"/>
      <c r="IR46" s="25"/>
      <c r="IS46" s="25"/>
      <c r="IT46" s="25"/>
      <c r="IU46" s="25"/>
      <c r="IV46" s="25"/>
      <c r="IW46" s="25"/>
      <c r="IX46" s="25"/>
      <c r="IY46" s="25"/>
      <c r="IZ46" s="25"/>
      <c r="JA46" s="25"/>
      <c r="JB46" s="25"/>
      <c r="JC46" s="25"/>
      <c r="JD46" s="25"/>
      <c r="JE46" s="25"/>
      <c r="JF46" s="25"/>
    </row>
    <row r="47" spans="1:266" s="32" customFormat="1" ht="30" customHeight="1" thickBot="1" x14ac:dyDescent="0.3">
      <c r="A47" s="47" t="s">
        <v>185</v>
      </c>
      <c r="B47" s="47" t="s">
        <v>186</v>
      </c>
      <c r="C47" s="37">
        <f>SUM(D47:ALK47)</f>
        <v>0</v>
      </c>
      <c r="D47" s="33"/>
      <c r="E47" s="33"/>
      <c r="F47" s="33"/>
      <c r="G47" s="33"/>
      <c r="H47" s="33">
        <f>6*H2</f>
        <v>0</v>
      </c>
      <c r="I47" s="33">
        <f>4*I2</f>
        <v>0</v>
      </c>
      <c r="J47" s="33">
        <f>2*J2</f>
        <v>0</v>
      </c>
      <c r="K47" s="33"/>
      <c r="L47" s="33"/>
      <c r="M47" s="33">
        <f>10*M2</f>
        <v>0</v>
      </c>
      <c r="N47" s="33"/>
      <c r="O47" s="33">
        <f>4*O2</f>
        <v>0</v>
      </c>
      <c r="P47" s="33">
        <f>4*P2</f>
        <v>0</v>
      </c>
      <c r="Q47" s="33"/>
      <c r="R47" s="33">
        <f>9*R2</f>
        <v>0</v>
      </c>
      <c r="S47" s="33"/>
      <c r="T47" s="33"/>
      <c r="U47" s="33"/>
      <c r="V47" s="33">
        <f>4*V2</f>
        <v>0</v>
      </c>
      <c r="W47" s="33"/>
      <c r="X47" s="33"/>
      <c r="Y47" s="33">
        <f>4*Y2</f>
        <v>0</v>
      </c>
      <c r="Z47" s="33"/>
      <c r="AA47" s="33"/>
      <c r="AB47" s="33"/>
      <c r="AC47" s="33"/>
      <c r="AD47" s="33"/>
      <c r="AE47" s="33"/>
      <c r="AF47" s="33"/>
      <c r="AG47" s="33">
        <f>4*AG2</f>
        <v>0</v>
      </c>
      <c r="AH47" s="33">
        <f>5*AH2</f>
        <v>0</v>
      </c>
      <c r="AI47" s="33"/>
      <c r="AJ47" s="33"/>
      <c r="AK47" s="33"/>
      <c r="AL47" s="33">
        <f>4*AL2</f>
        <v>0</v>
      </c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>
        <f>7*BA2</f>
        <v>0</v>
      </c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>
        <f>4*BM2</f>
        <v>0</v>
      </c>
      <c r="BN47" s="33"/>
      <c r="BO47" s="33"/>
      <c r="BP47" s="33"/>
      <c r="BQ47" s="33"/>
      <c r="BR47" s="33">
        <f>10*BR2</f>
        <v>0</v>
      </c>
      <c r="BS47" s="33"/>
      <c r="BT47" s="33"/>
      <c r="BU47" s="33"/>
      <c r="BV47" s="33">
        <f>7*BV2</f>
        <v>0</v>
      </c>
      <c r="BW47" s="33">
        <f>7*BW2</f>
        <v>0</v>
      </c>
      <c r="BX47" s="33"/>
      <c r="BY47" s="33"/>
      <c r="BZ47" s="33"/>
      <c r="CA47" s="33"/>
      <c r="CB47" s="33"/>
      <c r="CC47" s="33"/>
      <c r="CD47" s="33">
        <f>5*CD2</f>
        <v>0</v>
      </c>
      <c r="CE47" s="33"/>
      <c r="CF47" s="33"/>
      <c r="CG47" s="33"/>
      <c r="CH47" s="33"/>
      <c r="CI47" s="33"/>
      <c r="CJ47" s="33"/>
      <c r="CK47" s="33"/>
      <c r="CL47" s="33"/>
      <c r="CM47" s="33"/>
      <c r="CN47" s="33">
        <f>4*CN2</f>
        <v>0</v>
      </c>
      <c r="CO47" s="33"/>
      <c r="CP47" s="33">
        <f>4*CP2</f>
        <v>0</v>
      </c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>
        <f>1*DB2</f>
        <v>0</v>
      </c>
      <c r="DC47" s="33">
        <f>2*DC2</f>
        <v>0</v>
      </c>
      <c r="DD47" s="33"/>
      <c r="DE47" s="33">
        <f>5*DE2</f>
        <v>0</v>
      </c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>
        <f>6*DR2</f>
        <v>0</v>
      </c>
      <c r="DS47" s="33"/>
      <c r="DT47" s="33"/>
      <c r="DU47" s="33"/>
      <c r="DV47" s="33"/>
      <c r="DW47" s="33"/>
      <c r="DX47" s="33"/>
      <c r="DY47" s="33"/>
      <c r="DZ47" s="33"/>
      <c r="EA47" s="33">
        <f>2*EA2</f>
        <v>0</v>
      </c>
      <c r="EB47" s="33">
        <f>9*EB2</f>
        <v>0</v>
      </c>
      <c r="EC47" s="33"/>
      <c r="ED47" s="33">
        <f>2*ED2</f>
        <v>0</v>
      </c>
      <c r="EE47" s="33">
        <f>5*EE2</f>
        <v>0</v>
      </c>
      <c r="EF47" s="33"/>
      <c r="EG47" s="33"/>
      <c r="EH47" s="33">
        <f>5*EH2</f>
        <v>0</v>
      </c>
      <c r="EI47" s="33"/>
      <c r="EJ47" s="33"/>
      <c r="EK47" s="33"/>
      <c r="EL47" s="33"/>
      <c r="EM47" s="33">
        <f>5*EM2</f>
        <v>0</v>
      </c>
      <c r="EN47" s="33"/>
      <c r="EO47" s="33"/>
      <c r="EP47" s="33">
        <f>5*EP2</f>
        <v>0</v>
      </c>
      <c r="EQ47" s="33"/>
      <c r="ER47" s="33"/>
      <c r="ES47" s="33"/>
      <c r="ET47" s="33"/>
      <c r="EU47" s="33"/>
      <c r="EV47" s="33"/>
      <c r="EW47" s="33"/>
      <c r="EX47" s="33">
        <f>0*EX2</f>
        <v>0</v>
      </c>
      <c r="EY47" s="33"/>
      <c r="EZ47" s="33"/>
      <c r="FA47" s="33"/>
      <c r="FB47" s="33">
        <f>5*FB2</f>
        <v>0</v>
      </c>
      <c r="FC47" s="33">
        <f>7*FC2</f>
        <v>0</v>
      </c>
      <c r="FD47" s="33">
        <f>5*FD2</f>
        <v>0</v>
      </c>
      <c r="FE47" s="33">
        <f>6*FE2</f>
        <v>0</v>
      </c>
      <c r="FF47" s="33">
        <f>9*FF2</f>
        <v>0</v>
      </c>
      <c r="FG47" s="33">
        <f>6*FG2</f>
        <v>0</v>
      </c>
      <c r="FH47" s="33">
        <f>1*FH2</f>
        <v>0</v>
      </c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  <c r="JA47" s="33"/>
      <c r="JB47" s="33"/>
      <c r="JC47" s="33"/>
      <c r="JD47" s="33"/>
      <c r="JE47" s="33"/>
      <c r="JF47" s="33"/>
    </row>
    <row r="48" spans="1:266" s="32" customFormat="1" ht="30" customHeight="1" thickBot="1" x14ac:dyDescent="0.3">
      <c r="A48" s="47" t="s">
        <v>308</v>
      </c>
      <c r="B48" s="47" t="s">
        <v>309</v>
      </c>
      <c r="C48" s="37">
        <f>SUM(D48:ALK48)</f>
        <v>0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>
        <f>34*FG2</f>
        <v>0</v>
      </c>
      <c r="FH48" s="33">
        <f>6*FH2</f>
        <v>0</v>
      </c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  <c r="JA48" s="33"/>
      <c r="JB48" s="33"/>
      <c r="JC48" s="33"/>
      <c r="JD48" s="33"/>
      <c r="JE48" s="33"/>
      <c r="JF48" s="33"/>
    </row>
    <row r="49" spans="1:266" s="32" customFormat="1" ht="30" customHeight="1" x14ac:dyDescent="0.25">
      <c r="A49" s="47" t="s">
        <v>187</v>
      </c>
      <c r="B49" s="47" t="s">
        <v>188</v>
      </c>
      <c r="C49" s="37">
        <f>SUM(D49:ALK49)</f>
        <v>0</v>
      </c>
      <c r="D49" s="33"/>
      <c r="E49" s="33"/>
      <c r="F49" s="33"/>
      <c r="G49" s="33"/>
      <c r="H49" s="33">
        <f>26*H2</f>
        <v>0</v>
      </c>
      <c r="I49" s="33">
        <f>6*I2</f>
        <v>0</v>
      </c>
      <c r="J49" s="33">
        <f>1*J2</f>
        <v>0</v>
      </c>
      <c r="K49" s="33"/>
      <c r="L49" s="33"/>
      <c r="M49" s="33">
        <f>18*M2</f>
        <v>0</v>
      </c>
      <c r="N49" s="33"/>
      <c r="O49" s="33">
        <f>6*O2</f>
        <v>0</v>
      </c>
      <c r="P49" s="33">
        <f>8*P2</f>
        <v>0</v>
      </c>
      <c r="Q49" s="33"/>
      <c r="R49" s="33">
        <f>22*R2</f>
        <v>0</v>
      </c>
      <c r="S49" s="33"/>
      <c r="T49" s="33"/>
      <c r="U49" s="33"/>
      <c r="V49" s="33">
        <f>6*V2</f>
        <v>0</v>
      </c>
      <c r="W49" s="33"/>
      <c r="X49" s="33"/>
      <c r="Y49" s="33">
        <f>10*Y2</f>
        <v>0</v>
      </c>
      <c r="Z49" s="33"/>
      <c r="AA49" s="33"/>
      <c r="AB49" s="33"/>
      <c r="AC49" s="33"/>
      <c r="AD49" s="33"/>
      <c r="AE49" s="33"/>
      <c r="AF49" s="33"/>
      <c r="AG49" s="33">
        <f>6*AG2</f>
        <v>0</v>
      </c>
      <c r="AH49" s="33">
        <f>15*AH2</f>
        <v>0</v>
      </c>
      <c r="AI49" s="33"/>
      <c r="AJ49" s="33"/>
      <c r="AK49" s="33"/>
      <c r="AL49" s="33">
        <f>1*AL2</f>
        <v>0</v>
      </c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>
        <f>33*BA2</f>
        <v>0</v>
      </c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>
        <f>13*BR2</f>
        <v>0</v>
      </c>
      <c r="BS49" s="33"/>
      <c r="BT49" s="33"/>
      <c r="BU49" s="33"/>
      <c r="BV49" s="33">
        <f>11*BV2</f>
        <v>0</v>
      </c>
      <c r="BW49" s="33">
        <f>11*BW2</f>
        <v>0</v>
      </c>
      <c r="BX49" s="33"/>
      <c r="BY49" s="33"/>
      <c r="BZ49" s="33"/>
      <c r="CA49" s="33"/>
      <c r="CB49" s="33"/>
      <c r="CC49" s="33"/>
      <c r="CD49" s="33">
        <f>9*CD2</f>
        <v>0</v>
      </c>
      <c r="CE49" s="33"/>
      <c r="CF49" s="33"/>
      <c r="CG49" s="33"/>
      <c r="CH49" s="33"/>
      <c r="CI49" s="33"/>
      <c r="CJ49" s="33"/>
      <c r="CK49" s="33"/>
      <c r="CL49" s="33"/>
      <c r="CM49" s="33"/>
      <c r="CN49" s="33">
        <f>1*CN2</f>
        <v>0</v>
      </c>
      <c r="CO49" s="33"/>
      <c r="CP49" s="33">
        <f>1*CP2</f>
        <v>0</v>
      </c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>
        <f>4*DB2</f>
        <v>0</v>
      </c>
      <c r="DC49" s="33">
        <f>3*DC2</f>
        <v>0</v>
      </c>
      <c r="DD49" s="33"/>
      <c r="DE49" s="33">
        <f>15*DE2</f>
        <v>0</v>
      </c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>
        <f>11*DR2</f>
        <v>0</v>
      </c>
      <c r="DS49" s="33"/>
      <c r="DT49" s="33"/>
      <c r="DU49" s="33"/>
      <c r="DV49" s="33"/>
      <c r="DW49" s="33"/>
      <c r="DX49" s="33"/>
      <c r="DY49" s="33"/>
      <c r="DZ49" s="33"/>
      <c r="EA49" s="33">
        <f>3*EA2</f>
        <v>0</v>
      </c>
      <c r="EB49" s="33">
        <f>26*EB2</f>
        <v>0</v>
      </c>
      <c r="EC49" s="33"/>
      <c r="ED49" s="33">
        <f>3*ED2</f>
        <v>0</v>
      </c>
      <c r="EE49" s="33">
        <f>7*EE2</f>
        <v>0</v>
      </c>
      <c r="EF49" s="33"/>
      <c r="EG49" s="33"/>
      <c r="EH49" s="33">
        <f>7*EH2</f>
        <v>0</v>
      </c>
      <c r="EI49" s="33"/>
      <c r="EJ49" s="33"/>
      <c r="EK49" s="33"/>
      <c r="EL49" s="33"/>
      <c r="EM49" s="33">
        <f>9*EM2</f>
        <v>0</v>
      </c>
      <c r="EN49" s="33"/>
      <c r="EO49" s="33"/>
      <c r="EP49" s="33">
        <f>11*EP2</f>
        <v>0</v>
      </c>
      <c r="EQ49" s="33"/>
      <c r="ER49" s="33"/>
      <c r="ES49" s="33"/>
      <c r="ET49" s="33"/>
      <c r="EU49" s="33"/>
      <c r="EV49" s="33"/>
      <c r="EW49" s="33"/>
      <c r="EX49" s="33">
        <f>0*EX2</f>
        <v>0</v>
      </c>
      <c r="EY49" s="33"/>
      <c r="EZ49" s="33"/>
      <c r="FA49" s="33"/>
      <c r="FB49" s="33">
        <f>15*FB2</f>
        <v>0</v>
      </c>
      <c r="FC49" s="33">
        <f>9*FC2</f>
        <v>0</v>
      </c>
      <c r="FD49" s="33">
        <f>15*FD2</f>
        <v>0</v>
      </c>
      <c r="FE49" s="33">
        <f>15*FE2</f>
        <v>0</v>
      </c>
      <c r="FF49" s="33">
        <f>29*FF2</f>
        <v>0</v>
      </c>
      <c r="FG49" s="33">
        <f>13*FG2</f>
        <v>0</v>
      </c>
      <c r="FH49" s="33">
        <f>3*FH2</f>
        <v>0</v>
      </c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  <c r="JB49" s="33"/>
      <c r="JC49" s="33"/>
      <c r="JD49" s="33"/>
      <c r="JE49" s="33"/>
      <c r="JF49" s="33"/>
    </row>
    <row r="50" spans="1:266" s="26" customFormat="1" ht="4.5" customHeight="1" x14ac:dyDescent="0.25">
      <c r="A50" s="29"/>
      <c r="B50" s="29"/>
      <c r="C50" s="40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25"/>
      <c r="FU50" s="25"/>
      <c r="FV50" s="25"/>
      <c r="FW50" s="25"/>
      <c r="FX50" s="25"/>
      <c r="FY50" s="25"/>
      <c r="FZ50" s="25"/>
      <c r="GA50" s="25"/>
      <c r="GB50" s="25"/>
      <c r="GC50" s="25"/>
      <c r="GD50" s="25"/>
      <c r="GE50" s="25"/>
      <c r="GF50" s="25"/>
      <c r="GG50" s="25"/>
      <c r="GH50" s="25"/>
      <c r="GI50" s="25"/>
      <c r="GJ50" s="25"/>
      <c r="GK50" s="25"/>
      <c r="GL50" s="25"/>
      <c r="GM50" s="25"/>
      <c r="GN50" s="25"/>
      <c r="GO50" s="25"/>
      <c r="GP50" s="25"/>
      <c r="GQ50" s="25"/>
      <c r="GR50" s="25"/>
      <c r="GS50" s="25"/>
      <c r="GT50" s="25"/>
      <c r="GU50" s="25"/>
      <c r="GV50" s="25"/>
      <c r="GW50" s="25"/>
      <c r="GX50" s="25"/>
      <c r="GY50" s="25"/>
      <c r="GZ50" s="25"/>
      <c r="HA50" s="25"/>
      <c r="HB50" s="25"/>
      <c r="HC50" s="25"/>
      <c r="HD50" s="25"/>
      <c r="HE50" s="25"/>
      <c r="HF50" s="25"/>
      <c r="HG50" s="25"/>
      <c r="HH50" s="25"/>
      <c r="HI50" s="25"/>
      <c r="HJ50" s="25"/>
      <c r="HK50" s="25"/>
      <c r="HL50" s="25"/>
      <c r="HM50" s="25"/>
      <c r="HN50" s="25"/>
      <c r="HO50" s="25"/>
      <c r="HP50" s="25"/>
      <c r="HQ50" s="25"/>
      <c r="HR50" s="25"/>
      <c r="HS50" s="25"/>
      <c r="HT50" s="25"/>
      <c r="HU50" s="25"/>
      <c r="HV50" s="25"/>
      <c r="HW50" s="25"/>
      <c r="HX50" s="25"/>
      <c r="HY50" s="25"/>
      <c r="HZ50" s="25"/>
      <c r="IA50" s="25"/>
      <c r="IB50" s="25"/>
      <c r="IC50" s="25"/>
      <c r="ID50" s="25"/>
      <c r="IE50" s="25"/>
      <c r="IF50" s="25"/>
      <c r="IG50" s="25"/>
      <c r="IH50" s="25"/>
      <c r="II50" s="25"/>
      <c r="IJ50" s="25"/>
      <c r="IK50" s="25"/>
      <c r="IL50" s="25"/>
      <c r="IM50" s="25"/>
      <c r="IN50" s="25"/>
      <c r="IO50" s="25"/>
      <c r="IP50" s="25"/>
      <c r="IQ50" s="25"/>
      <c r="IR50" s="25"/>
      <c r="IS50" s="25"/>
      <c r="IT50" s="25"/>
      <c r="IU50" s="25"/>
      <c r="IV50" s="25"/>
      <c r="IW50" s="25"/>
      <c r="IX50" s="25"/>
      <c r="IY50" s="25"/>
      <c r="IZ50" s="25"/>
      <c r="JA50" s="25"/>
      <c r="JB50" s="25"/>
      <c r="JC50" s="25"/>
      <c r="JD50" s="25"/>
      <c r="JE50" s="25"/>
      <c r="JF50" s="25"/>
    </row>
    <row r="51" spans="1:266" x14ac:dyDescent="0.25">
      <c r="A51" s="27" t="s">
        <v>189</v>
      </c>
      <c r="B51" s="27" t="s">
        <v>190</v>
      </c>
      <c r="C51" s="28">
        <f>MAX(E51:FKS51)</f>
        <v>0</v>
      </c>
      <c r="D51" s="20">
        <f>IF(D$2&gt;0,900,0)</f>
        <v>0</v>
      </c>
      <c r="E51" s="20">
        <f>IF(E$2&gt;0,1200,0)</f>
        <v>0</v>
      </c>
      <c r="F51" s="20">
        <f>IF(F$2&gt;0,198,0)</f>
        <v>0</v>
      </c>
      <c r="G51" s="20">
        <f>IF(G$2&gt;0,146,0)</f>
        <v>0</v>
      </c>
      <c r="H51" s="20">
        <f>IF(H$2&gt;0,288,0)</f>
        <v>0</v>
      </c>
      <c r="I51" s="20">
        <f>IF(I$2&gt;0,198,0)</f>
        <v>0</v>
      </c>
      <c r="J51" s="20">
        <f>IF(J$2&gt;0,248,0)</f>
        <v>0</v>
      </c>
      <c r="K51" s="20">
        <f>IF(K$2&gt;0,598,0)</f>
        <v>0</v>
      </c>
      <c r="L51" s="20">
        <f>IF(L$2&gt;0,198,0)</f>
        <v>0</v>
      </c>
      <c r="M51" s="20">
        <f>IF(M$2&gt;0,98,0)</f>
        <v>0</v>
      </c>
      <c r="N51" s="20">
        <f>IF(N$2&gt;0,298,0)</f>
        <v>0</v>
      </c>
      <c r="O51" s="20">
        <f>IF(O$2&gt;0,98,0)</f>
        <v>0</v>
      </c>
      <c r="P51" s="20">
        <f>IF(P$2&gt;0,98,0)</f>
        <v>0</v>
      </c>
      <c r="Q51" s="20">
        <f>IF(Q$2&gt;0,298,0)</f>
        <v>0</v>
      </c>
      <c r="R51" s="20">
        <f>IF(R$2&gt;0,298,0)</f>
        <v>0</v>
      </c>
      <c r="S51" s="20">
        <f>IF(S$2&gt;0,198,0)</f>
        <v>0</v>
      </c>
      <c r="T51" s="20">
        <f>IF(T$2&gt;0,1000,0)</f>
        <v>0</v>
      </c>
      <c r="U51" s="20">
        <f>IF(U$2&gt;0,600,0)</f>
        <v>0</v>
      </c>
      <c r="V51" s="20">
        <f>IF(V$2&gt;0,98,0)</f>
        <v>0</v>
      </c>
      <c r="W51" s="20">
        <f>IF(W$2&gt;0,800,0)</f>
        <v>0</v>
      </c>
      <c r="X51" s="20">
        <f>IF(X$2&gt;0,298,0)</f>
        <v>0</v>
      </c>
      <c r="Y51" s="20">
        <f>IF(Y$2&gt;0,348,0)</f>
        <v>0</v>
      </c>
      <c r="Z51" s="20">
        <f>IF(Z$2&gt;0,198,0)</f>
        <v>0</v>
      </c>
      <c r="AA51" s="20">
        <f>IF(AA$2&gt;0,198,0)</f>
        <v>0</v>
      </c>
      <c r="AB51" s="20">
        <f>IF(AB$2&gt;0,198,0)</f>
        <v>0</v>
      </c>
      <c r="AC51" s="20">
        <f>IF(AC$2&gt;0,148,0)</f>
        <v>0</v>
      </c>
      <c r="AD51" s="20">
        <f>IF(AD$2&gt;0,148,0)</f>
        <v>0</v>
      </c>
      <c r="AE51" s="20">
        <f>IF(AE$2&gt;0,148,0)</f>
        <v>0</v>
      </c>
      <c r="AF51" s="20">
        <f>IF(AF$2&gt;0,80,0)</f>
        <v>0</v>
      </c>
      <c r="AG51" s="20">
        <f>IF(AG$2&gt;0,80,0)</f>
        <v>0</v>
      </c>
      <c r="AH51" s="20">
        <f>IF(AH$2&gt;0,80,0)</f>
        <v>0</v>
      </c>
      <c r="AI51" s="20">
        <f>IF(AI$2&gt;0,80,0)</f>
        <v>0</v>
      </c>
      <c r="AJ51" s="20">
        <f>IF(AJ$2&gt;0,98,0)</f>
        <v>0</v>
      </c>
      <c r="AK51" s="20">
        <f>IF(AK$2&gt;0,934,0)</f>
        <v>0</v>
      </c>
      <c r="AL51" s="20">
        <f>IF(AL$2&gt;0,922,0)</f>
        <v>0</v>
      </c>
      <c r="AM51" s="20">
        <f>IF(AM$2&gt;0,298,0)</f>
        <v>0</v>
      </c>
      <c r="AN51" s="20">
        <f>IF(AN$2&gt;0,198,0)</f>
        <v>0</v>
      </c>
      <c r="AO51" s="20">
        <f>IF(AO$2&gt;0,248,0)</f>
        <v>0</v>
      </c>
      <c r="AP51" s="20">
        <f>IF(AP$2&gt;0,248,0)</f>
        <v>0</v>
      </c>
      <c r="AQ51" s="20">
        <f>IF(AQ$2&gt;0,138,0)</f>
        <v>0</v>
      </c>
      <c r="AR51" s="20">
        <f>IF(AR$2&gt;0,80,0)</f>
        <v>0</v>
      </c>
      <c r="AS51" s="20">
        <f>IF(AS$2&gt;0,198,0)</f>
        <v>0</v>
      </c>
      <c r="AT51" s="20">
        <f>IF(AT$2&gt;0,398,0)</f>
        <v>0</v>
      </c>
      <c r="AU51" s="20">
        <f>IF(AU$2&gt;0,298,0)</f>
        <v>0</v>
      </c>
      <c r="AV51" s="20">
        <f>IF(AV$2&gt;0,98,0)</f>
        <v>0</v>
      </c>
      <c r="AW51" s="20">
        <f>IF(AW$2&gt;0,198,0)</f>
        <v>0</v>
      </c>
      <c r="AX51" s="20">
        <f>IF(AX$2&gt;0,248,0)</f>
        <v>0</v>
      </c>
      <c r="AY51" s="20">
        <f>IF(AY$2&gt;0,348,0)</f>
        <v>0</v>
      </c>
      <c r="AZ51" s="20">
        <f>IF(AZ$2&gt;0,148,0)</f>
        <v>0</v>
      </c>
      <c r="BA51" s="20">
        <f>IF(BA$2&gt;0,298,0)</f>
        <v>0</v>
      </c>
      <c r="BB51" s="20">
        <f>IF(BB$2&gt;0,298,0)</f>
        <v>0</v>
      </c>
      <c r="BC51" s="20">
        <f>IF(BC$2&gt;0,298,0)</f>
        <v>0</v>
      </c>
      <c r="BD51" s="20">
        <f>IF(BD$2&gt;0,990,0)</f>
        <v>0</v>
      </c>
      <c r="BE51" s="20">
        <f>IF(BE$2&gt;0,188,0)</f>
        <v>0</v>
      </c>
      <c r="BF51" s="20">
        <f>IF(BF$2&gt;0,298,0)</f>
        <v>0</v>
      </c>
      <c r="BG51" s="20">
        <f>IF(BG$2&gt;0,298,0)</f>
        <v>0</v>
      </c>
      <c r="BH51" s="20">
        <f>IF(BH$2&gt;0,398,0)</f>
        <v>0</v>
      </c>
      <c r="BI51" s="20">
        <f>IF(BI$2&gt;0,398,0)</f>
        <v>0</v>
      </c>
      <c r="BJ51" s="20">
        <f>IF(BJ$2&gt;0,188,0)</f>
        <v>0</v>
      </c>
      <c r="BK51" s="20">
        <f>IF(BK$2&gt;0,298,0)</f>
        <v>0</v>
      </c>
      <c r="BL51" s="20">
        <f>IF(BL$2&gt;0,338,0)</f>
        <v>0</v>
      </c>
      <c r="BM51" s="20">
        <f>IF(BM$2&gt;0,98,0)</f>
        <v>0</v>
      </c>
      <c r="BN51" s="20">
        <f>IF(BN$2&gt;0,138,0)</f>
        <v>0</v>
      </c>
      <c r="BO51" s="20">
        <f>IF(BO$2&gt;0,298,0)</f>
        <v>0</v>
      </c>
      <c r="BP51" s="20">
        <f>IF(BP$2&gt;0,298,0)</f>
        <v>0</v>
      </c>
      <c r="BQ51" s="20">
        <f>IF(BQ$2&gt;0,298,0)</f>
        <v>0</v>
      </c>
      <c r="BR51" s="20">
        <f>IF(BR$2&gt;0,247,0)</f>
        <v>0</v>
      </c>
      <c r="BS51" s="20">
        <f>IF(BS$2&gt;0,148,0)</f>
        <v>0</v>
      </c>
      <c r="BT51" s="20">
        <f>IF(BT$2&gt;0,288,0)</f>
        <v>0</v>
      </c>
      <c r="BU51" s="20">
        <f>IF(BU$2&gt;0,298,0)</f>
        <v>0</v>
      </c>
      <c r="BV51" s="20">
        <f>IF(BV$2&gt;0,148,0)</f>
        <v>0</v>
      </c>
      <c r="BW51" s="20">
        <f>IF(BW$2&gt;0,148,0)</f>
        <v>0</v>
      </c>
      <c r="BX51" s="20">
        <f>IF(BX$2&gt;0,148,0)</f>
        <v>0</v>
      </c>
      <c r="BY51" s="20">
        <f>IF(BY$2&gt;0,148,0)</f>
        <v>0</v>
      </c>
      <c r="BZ51" s="20">
        <f>IF(BZ$2&gt;0,188,0)</f>
        <v>0</v>
      </c>
      <c r="CA51" s="20">
        <f>IF(CA$2&gt;0,426,0)</f>
        <v>0</v>
      </c>
      <c r="CB51" s="20">
        <f>IF(CB$2&gt;0,167,0)</f>
        <v>0</v>
      </c>
      <c r="CC51" s="20">
        <f>IF(CC$2&gt;0,686,0)</f>
        <v>0</v>
      </c>
      <c r="CD51" s="20">
        <f>IF(CD$2&gt;0,148,0)</f>
        <v>0</v>
      </c>
      <c r="CE51" s="20">
        <f>IF(CE$2&gt;0,"?",0)</f>
        <v>0</v>
      </c>
      <c r="CF51" s="20">
        <f>IF(CF$2&gt;0,684,0)</f>
        <v>0</v>
      </c>
      <c r="CG51" s="20">
        <f>IF(CG$2&gt;0,684,0)</f>
        <v>0</v>
      </c>
      <c r="CH51" s="20">
        <f>IF(CH$2&gt;0,298,0)</f>
        <v>0</v>
      </c>
      <c r="CI51" s="20">
        <f>IF(CI$2&gt;0,80,0)</f>
        <v>0</v>
      </c>
      <c r="CJ51" s="20">
        <f>IF(CJ$2&gt;0,80,0)</f>
        <v>0</v>
      </c>
      <c r="CK51" s="20">
        <f>IF(CK$2&gt;0,148,0)</f>
        <v>0</v>
      </c>
      <c r="CL51" s="20">
        <f>IF(CL$2&gt;0,1000,0)</f>
        <v>0</v>
      </c>
      <c r="CM51" s="20">
        <f>IF(CM$2&gt;0,149,0)</f>
        <v>0</v>
      </c>
      <c r="CN51" s="20">
        <f>IF(CN$2&gt;0,600,0)</f>
        <v>0</v>
      </c>
      <c r="CO51" s="20">
        <f>IF(CO$2&gt;0,1000,0)</f>
        <v>0</v>
      </c>
      <c r="CP51" s="20">
        <f>IF(CP$2&gt;0,1200,0)</f>
        <v>0</v>
      </c>
      <c r="CQ51" s="20">
        <f>IF(CQ$2&gt;0,600,0)</f>
        <v>0</v>
      </c>
      <c r="CR51" s="20">
        <f>IF(CR$2&gt;0,1000,0)</f>
        <v>0</v>
      </c>
      <c r="CS51" s="20">
        <f>IF(CS$2&gt;0,1201,0)</f>
        <v>0</v>
      </c>
      <c r="CT51" s="20">
        <f>IF(CT$2&gt;0,801,0)</f>
        <v>0</v>
      </c>
      <c r="CU51" s="20">
        <f>IF(CU$2&gt;0,1000,0)</f>
        <v>0</v>
      </c>
      <c r="CV51" s="20">
        <f>IF(CV$2&gt;0,988,0)</f>
        <v>0</v>
      </c>
      <c r="CW51" s="20">
        <f>IF(CW$2&gt;0,988,0)</f>
        <v>0</v>
      </c>
      <c r="CX51" s="20">
        <f>IF(CX$2&gt;0,900,0)</f>
        <v>0</v>
      </c>
      <c r="CY51" s="20">
        <f>IF(CY$2&gt;0,760,0)</f>
        <v>0</v>
      </c>
      <c r="CZ51" s="20">
        <f>IF(CZ$2&gt;0,760,0)</f>
        <v>0</v>
      </c>
      <c r="DA51" s="20">
        <f>IF(DA$2&gt;0,98,0)</f>
        <v>0</v>
      </c>
      <c r="DB51" s="20">
        <f>IF(DB$2&gt;0,89,0)</f>
        <v>0</v>
      </c>
      <c r="DC51" s="20">
        <f>IF(DC$2&gt;0,92,0)</f>
        <v>0</v>
      </c>
      <c r="DD51" s="20">
        <f>IF(DD$2&gt;0,148,0)</f>
        <v>0</v>
      </c>
      <c r="DE51" s="20">
        <f>IF(DE$2&gt;0,74,0)</f>
        <v>0</v>
      </c>
      <c r="DF51" s="20">
        <f>IF(DF$2&gt;0,198,0)</f>
        <v>0</v>
      </c>
      <c r="DG51" s="20">
        <f>IF(DG$2&gt;0,148,0)</f>
        <v>0</v>
      </c>
      <c r="DH51" s="20">
        <f>IF(DH$2&gt;0,80,0)</f>
        <v>0</v>
      </c>
      <c r="DI51" s="20">
        <f>IF(DI$2&gt;0,298,0)</f>
        <v>0</v>
      </c>
      <c r="DJ51" s="20">
        <f>IF(DJ$2&gt;0,298,0)</f>
        <v>0</v>
      </c>
      <c r="DK51" s="20">
        <f>IF(DK$2&gt;0,298,0)</f>
        <v>0</v>
      </c>
      <c r="DL51" s="20">
        <f>IF(DL$2&gt;0,298,0)</f>
        <v>0</v>
      </c>
      <c r="DM51" s="20">
        <f>IF(DM$2&gt;0,426,0)</f>
        <v>0</v>
      </c>
      <c r="DN51" s="20">
        <f>IF(DN$2&gt;0,178,0)</f>
        <v>0</v>
      </c>
      <c r="DO51" s="20">
        <f>IF(DO$2&gt;0,598,0)</f>
        <v>0</v>
      </c>
      <c r="DP51" s="20">
        <f>IF(DP$2&gt;0,900,0)</f>
        <v>0</v>
      </c>
      <c r="DQ51" s="20">
        <f>IF(DQ$2&gt;0,74,0)</f>
        <v>0</v>
      </c>
      <c r="DR51" s="20">
        <f>IF(DR$2&gt;0,148,0)</f>
        <v>0</v>
      </c>
      <c r="DS51" s="20">
        <f>IF(DS$2&gt;0,148,0)</f>
        <v>0</v>
      </c>
      <c r="DT51" s="20">
        <f>IF(DT$2&gt;0,74,0)</f>
        <v>0</v>
      </c>
      <c r="DU51" s="20">
        <f>IF(DU$2&gt;0,74,0)</f>
        <v>0</v>
      </c>
      <c r="DV51" s="20">
        <f>IF(DV$2&gt;0,148,0)</f>
        <v>0</v>
      </c>
      <c r="DW51" s="20">
        <f>IF(DW$2&gt;0,148,0)</f>
        <v>0</v>
      </c>
      <c r="DX51" s="20">
        <f>IF(DX$2&gt;0,74,0)</f>
        <v>0</v>
      </c>
      <c r="DY51" s="20">
        <f>IF(DY$2&gt;0,74,0)</f>
        <v>0</v>
      </c>
      <c r="DZ51" s="20">
        <f>IF(DZ$2&gt;0,148,0)</f>
        <v>0</v>
      </c>
      <c r="EA51" s="20">
        <f>IF(EA$2&gt;0,84,0)</f>
        <v>0</v>
      </c>
      <c r="EB51" s="20">
        <f>IF(EB$2&gt;0,398,0)</f>
        <v>0</v>
      </c>
      <c r="EC51" s="20">
        <f>IF(EC$2&gt;0,151,0)</f>
        <v>0</v>
      </c>
      <c r="ED51" s="20">
        <f>IF(ED$2&gt;0,98,0)</f>
        <v>0</v>
      </c>
      <c r="EE51" s="20">
        <f>IF(EE$2&gt;0,160,0)</f>
        <v>0</v>
      </c>
      <c r="EF51" s="20">
        <f>IF(EF$2&gt;0,160,0)</f>
        <v>0</v>
      </c>
      <c r="EG51" s="20">
        <f>IF(EG$2&gt;0,160,0)</f>
        <v>0</v>
      </c>
      <c r="EH51" s="20">
        <f>IF(EH$2&gt;0,98,0)</f>
        <v>0</v>
      </c>
      <c r="EI51" s="20">
        <f>IF(EI$2&gt;0,98,0)</f>
        <v>0</v>
      </c>
      <c r="EJ51" s="20">
        <f>IF(EJ$2&gt;0,130,0)</f>
        <v>0</v>
      </c>
      <c r="EK51" s="20">
        <f>IF(EK$2&gt;0,398,0)</f>
        <v>0</v>
      </c>
      <c r="EL51" s="20">
        <f>IF(EL$2&gt;0,398,0)</f>
        <v>0</v>
      </c>
      <c r="EM51" s="20">
        <f t="shared" ref="EM51:ER51" si="11">IF(EM$2&gt;0,67,0)</f>
        <v>0</v>
      </c>
      <c r="EN51" s="20">
        <f t="shared" si="11"/>
        <v>0</v>
      </c>
      <c r="EO51" s="20">
        <f t="shared" si="11"/>
        <v>0</v>
      </c>
      <c r="EP51" s="20">
        <f t="shared" si="11"/>
        <v>0</v>
      </c>
      <c r="EQ51" s="20">
        <f t="shared" si="11"/>
        <v>0</v>
      </c>
      <c r="ER51" s="20">
        <f t="shared" si="11"/>
        <v>0</v>
      </c>
      <c r="ES51" s="20">
        <f>IF(ES$2&gt;0,298,0)</f>
        <v>0</v>
      </c>
      <c r="ET51" s="20">
        <f>IF(ET$2&gt;0,198,0)</f>
        <v>0</v>
      </c>
      <c r="EU51" s="20">
        <f>IF(EU$2&gt;0,198,0)</f>
        <v>0</v>
      </c>
      <c r="EV51" s="20">
        <f>IF(EV$2&gt;0,80,0)</f>
        <v>0</v>
      </c>
      <c r="EW51" s="20">
        <f>IF(EW$2&gt;0,98,0)</f>
        <v>0</v>
      </c>
      <c r="EX51" s="20">
        <f>IF(EX$2&gt;0,0,0)</f>
        <v>0</v>
      </c>
      <c r="EY51" s="20">
        <f>IF(EY$2&gt;0,80,0)</f>
        <v>0</v>
      </c>
      <c r="EZ51" s="20">
        <f>IF(EZ$2&gt;0,98,0)</f>
        <v>0</v>
      </c>
      <c r="FA51" s="20">
        <f>IF(FA$2&gt;0,98,0)</f>
        <v>0</v>
      </c>
      <c r="FB51" s="20">
        <f>IF(FB$2&gt;0,100,0)</f>
        <v>0</v>
      </c>
      <c r="FC51" s="20">
        <f>IF(FC$2&gt;0,45,0)</f>
        <v>0</v>
      </c>
      <c r="FD51" s="20">
        <f>IF(FD$2&gt;0,149,0)</f>
        <v>0</v>
      </c>
      <c r="FE51" s="20">
        <f>IF(FE$2&gt;0,149,0)</f>
        <v>0</v>
      </c>
      <c r="FF51" s="20">
        <f>IF(FF$2&gt;0,298,0)</f>
        <v>0</v>
      </c>
      <c r="FG51" s="20">
        <f>IF(FG$2&gt;0,209,0)</f>
        <v>0</v>
      </c>
      <c r="FH51" s="20">
        <f>IF(FH$2&gt;0,26,0)</f>
        <v>0</v>
      </c>
    </row>
    <row r="52" spans="1:266" x14ac:dyDescent="0.25">
      <c r="A52" s="27" t="s">
        <v>191</v>
      </c>
      <c r="B52" s="27" t="s">
        <v>190</v>
      </c>
      <c r="C52" s="28">
        <f>MAX(E52:FKS52)</f>
        <v>0</v>
      </c>
      <c r="D52" s="20">
        <f>IF(D$2&gt;0,217,0)</f>
        <v>0</v>
      </c>
      <c r="E52" s="20">
        <f>IF(E$2&gt;0,217,0)</f>
        <v>0</v>
      </c>
      <c r="F52" s="20">
        <f t="shared" ref="F52:L52" si="12">IF(F$2&gt;0,210,0)</f>
        <v>0</v>
      </c>
      <c r="G52" s="20">
        <f t="shared" si="12"/>
        <v>0</v>
      </c>
      <c r="H52" s="20">
        <f t="shared" si="12"/>
        <v>0</v>
      </c>
      <c r="I52" s="20">
        <f t="shared" si="12"/>
        <v>0</v>
      </c>
      <c r="J52" s="20">
        <f t="shared" si="12"/>
        <v>0</v>
      </c>
      <c r="K52" s="20">
        <f t="shared" si="12"/>
        <v>0</v>
      </c>
      <c r="L52" s="20">
        <f t="shared" si="12"/>
        <v>0</v>
      </c>
      <c r="M52" s="20">
        <f>IF(M$2&gt;0,235,0)</f>
        <v>0</v>
      </c>
      <c r="N52" s="20">
        <f>IF(N$2&gt;0,210,0)</f>
        <v>0</v>
      </c>
      <c r="O52" s="20">
        <f>IF(O$2&gt;0,210,0)</f>
        <v>0</v>
      </c>
      <c r="P52" s="20">
        <f>IF(P$2&gt;0,210,0)</f>
        <v>0</v>
      </c>
      <c r="Q52" s="20">
        <f>IF(Q$2&gt;0,210,0)</f>
        <v>0</v>
      </c>
      <c r="R52" s="20">
        <f>IF(R$2&gt;0,236,0)</f>
        <v>0</v>
      </c>
      <c r="S52" s="20">
        <f>IF(S$2&gt;0,210,0)</f>
        <v>0</v>
      </c>
      <c r="T52" s="20">
        <f>IF(T$2&gt;0,217,0)</f>
        <v>0</v>
      </c>
      <c r="U52" s="20">
        <f>IF(U$2&gt;0,217,0)</f>
        <v>0</v>
      </c>
      <c r="V52" s="20">
        <f>IF(V$2&gt;0,210,0)</f>
        <v>0</v>
      </c>
      <c r="W52" s="20">
        <f>IF(W$2&gt;0,217,0)</f>
        <v>0</v>
      </c>
      <c r="X52" s="20">
        <f>IF(X$2&gt;0,210,0)</f>
        <v>0</v>
      </c>
      <c r="Y52" s="20">
        <f>IF(Y$2&gt;0,236,0)</f>
        <v>0</v>
      </c>
      <c r="Z52" s="20">
        <f>IF(Z$2&gt;0,210,0)</f>
        <v>0</v>
      </c>
      <c r="AA52" s="20">
        <f>IF(AA$2&gt;0,210,0)</f>
        <v>0</v>
      </c>
      <c r="AB52" s="20">
        <f>IF(AB$2&gt;0,210,0)</f>
        <v>0</v>
      </c>
      <c r="AC52" s="20">
        <f>IF(AC$2&gt;0,190,0)</f>
        <v>0</v>
      </c>
      <c r="AD52" s="20">
        <f>IF(AD$2&gt;0,190,0)</f>
        <v>0</v>
      </c>
      <c r="AE52" s="20">
        <f>IF(AE$2&gt;0,190,0)</f>
        <v>0</v>
      </c>
      <c r="AF52" s="20">
        <f>IF(AF$2&gt;0,210,0)</f>
        <v>0</v>
      </c>
      <c r="AG52" s="20">
        <f>IF(AG$2&gt;0,210,0)</f>
        <v>0</v>
      </c>
      <c r="AH52" s="20">
        <f>IF(AH$2&gt;0,210,0)</f>
        <v>0</v>
      </c>
      <c r="AI52" s="20">
        <f>IF(AI$2&gt;0,210,0)</f>
        <v>0</v>
      </c>
      <c r="AJ52" s="20">
        <f>IF(AJ$2&gt;0,210,0)</f>
        <v>0</v>
      </c>
      <c r="AK52" s="20">
        <f>IF(AK$2&gt;0,199,0)</f>
        <v>0</v>
      </c>
      <c r="AL52" s="20">
        <f>IF(AL$2&gt;0,243,0)</f>
        <v>0</v>
      </c>
      <c r="AM52" s="20">
        <f>IF(AM$2&gt;0,190,0)</f>
        <v>0</v>
      </c>
      <c r="AN52" s="20">
        <f>IF(AN$2&gt;0,191,0)</f>
        <v>0</v>
      </c>
      <c r="AO52" s="20">
        <f t="shared" ref="AO52:AU52" si="13">IF(AO$2&gt;0,190,0)</f>
        <v>0</v>
      </c>
      <c r="AP52" s="20">
        <f t="shared" si="13"/>
        <v>0</v>
      </c>
      <c r="AQ52" s="20">
        <f t="shared" si="13"/>
        <v>0</v>
      </c>
      <c r="AR52" s="20">
        <f t="shared" si="13"/>
        <v>0</v>
      </c>
      <c r="AS52" s="20">
        <f t="shared" si="13"/>
        <v>0</v>
      </c>
      <c r="AT52" s="20">
        <f t="shared" si="13"/>
        <v>0</v>
      </c>
      <c r="AU52" s="20">
        <f t="shared" si="13"/>
        <v>0</v>
      </c>
      <c r="AV52" s="20">
        <f>IF(AV$2&gt;0,210,0)</f>
        <v>0</v>
      </c>
      <c r="AW52" s="20">
        <f>IF(AW$2&gt;0,190,0)</f>
        <v>0</v>
      </c>
      <c r="AX52" s="20">
        <f>IF(AX$2&gt;0,190,0)</f>
        <v>0</v>
      </c>
      <c r="AY52" s="20">
        <f>IF(AY$2&gt;0,190,0)</f>
        <v>0</v>
      </c>
      <c r="AZ52" s="20">
        <f>IF(AZ$2&gt;0,190,0)</f>
        <v>0</v>
      </c>
      <c r="BA52" s="20">
        <f>IF(BA$2&gt;0,210,0)</f>
        <v>0</v>
      </c>
      <c r="BB52" s="20">
        <f>IF(BB$2&gt;0,190,0)</f>
        <v>0</v>
      </c>
      <c r="BC52" s="20">
        <f>IF(BC$2&gt;0,190,0)</f>
        <v>0</v>
      </c>
      <c r="BD52" s="20">
        <f>IF(BD$2&gt;0,217,0)</f>
        <v>0</v>
      </c>
      <c r="BE52" s="20">
        <f>IF(BE$2&gt;0,210,0)</f>
        <v>0</v>
      </c>
      <c r="BF52" s="20">
        <f>IF(BF$2&gt;0,210,0)</f>
        <v>0</v>
      </c>
      <c r="BG52" s="20">
        <f>IF(BG$2&gt;0,210,0)</f>
        <v>0</v>
      </c>
      <c r="BH52" s="20">
        <f>IF(BH$2&gt;0,236,0)</f>
        <v>0</v>
      </c>
      <c r="BI52" s="20">
        <f t="shared" ref="BI52:BN52" si="14">IF(BI$2&gt;0,210,0)</f>
        <v>0</v>
      </c>
      <c r="BJ52" s="20">
        <f t="shared" si="14"/>
        <v>0</v>
      </c>
      <c r="BK52" s="20">
        <f t="shared" si="14"/>
        <v>0</v>
      </c>
      <c r="BL52" s="20">
        <f t="shared" si="14"/>
        <v>0</v>
      </c>
      <c r="BM52" s="20">
        <f t="shared" si="14"/>
        <v>0</v>
      </c>
      <c r="BN52" s="20">
        <f t="shared" si="14"/>
        <v>0</v>
      </c>
      <c r="BO52" s="20">
        <f>IF(BO$2&gt;0,236,0)</f>
        <v>0</v>
      </c>
      <c r="BP52" s="20">
        <f t="shared" ref="BP52:BX52" si="15">IF(BP$2&gt;0,210,0)</f>
        <v>0</v>
      </c>
      <c r="BQ52" s="20">
        <f t="shared" si="15"/>
        <v>0</v>
      </c>
      <c r="BR52" s="20">
        <f t="shared" si="15"/>
        <v>0</v>
      </c>
      <c r="BS52" s="20">
        <f t="shared" si="15"/>
        <v>0</v>
      </c>
      <c r="BT52" s="20">
        <f t="shared" si="15"/>
        <v>0</v>
      </c>
      <c r="BU52" s="20">
        <f t="shared" si="15"/>
        <v>0</v>
      </c>
      <c r="BV52" s="20">
        <f t="shared" si="15"/>
        <v>0</v>
      </c>
      <c r="BW52" s="20">
        <f t="shared" si="15"/>
        <v>0</v>
      </c>
      <c r="BX52" s="20">
        <f t="shared" si="15"/>
        <v>0</v>
      </c>
      <c r="BY52" s="20">
        <f>IF(BY$2&gt;0,206,0)</f>
        <v>0</v>
      </c>
      <c r="BZ52" s="20">
        <f>IF(BZ$2&gt;0,210,0)</f>
        <v>0</v>
      </c>
      <c r="CA52" s="20">
        <f>IF(CA$2&gt;0,210,0)</f>
        <v>0</v>
      </c>
      <c r="CB52" s="20">
        <f>IF(CB$2&gt;0,208,0)</f>
        <v>0</v>
      </c>
      <c r="CC52" s="20">
        <f>IF(CC$2&gt;0,243,0)</f>
        <v>0</v>
      </c>
      <c r="CD52" s="20">
        <f>IF(CD$2&gt;0,210,0)</f>
        <v>0</v>
      </c>
      <c r="CE52" s="20">
        <f>IF(CE$2&gt;0,"?",0)</f>
        <v>0</v>
      </c>
      <c r="CF52" s="20">
        <f>IF(CF$2&gt;0,217,0)</f>
        <v>0</v>
      </c>
      <c r="CG52" s="20">
        <f>IF(CG$2&gt;0,199,0)</f>
        <v>0</v>
      </c>
      <c r="CH52" s="20">
        <f>IF(CH$2&gt;0,190,0)</f>
        <v>0</v>
      </c>
      <c r="CI52" s="20">
        <f>IF(CI$2&gt;0,190,0)</f>
        <v>0</v>
      </c>
      <c r="CJ52" s="20">
        <f>IF(CJ$2&gt;0,190,0)</f>
        <v>0</v>
      </c>
      <c r="CK52" s="20">
        <f>IF(CK$2&gt;0,190,0)</f>
        <v>0</v>
      </c>
      <c r="CL52" s="20">
        <f>IF(CL$2&gt;0,243,0)</f>
        <v>0</v>
      </c>
      <c r="CM52" s="20">
        <f>IF(CM$2&gt;0,210,0)</f>
        <v>0</v>
      </c>
      <c r="CN52" s="20">
        <f t="shared" ref="CN52:CW52" si="16">IF(CN$2&gt;0,243,0)</f>
        <v>0</v>
      </c>
      <c r="CO52" s="20">
        <f t="shared" si="16"/>
        <v>0</v>
      </c>
      <c r="CP52" s="20">
        <f t="shared" si="16"/>
        <v>0</v>
      </c>
      <c r="CQ52" s="20">
        <f t="shared" si="16"/>
        <v>0</v>
      </c>
      <c r="CR52" s="20">
        <f t="shared" si="16"/>
        <v>0</v>
      </c>
      <c r="CS52" s="20">
        <f t="shared" si="16"/>
        <v>0</v>
      </c>
      <c r="CT52" s="20">
        <f t="shared" si="16"/>
        <v>0</v>
      </c>
      <c r="CU52" s="20">
        <f t="shared" si="16"/>
        <v>0</v>
      </c>
      <c r="CV52" s="20">
        <f t="shared" si="16"/>
        <v>0</v>
      </c>
      <c r="CW52" s="20">
        <f t="shared" si="16"/>
        <v>0</v>
      </c>
      <c r="CX52" s="20">
        <f>IF(CX$2&gt;0,210,0)</f>
        <v>0</v>
      </c>
      <c r="CY52" s="20">
        <f>IF(CY$2&gt;0,199,0)</f>
        <v>0</v>
      </c>
      <c r="CZ52" s="20">
        <f>IF(CZ$2&gt;0,217,0)</f>
        <v>0</v>
      </c>
      <c r="DA52" s="20">
        <f>IF(DA$2&gt;0,156,0)</f>
        <v>0</v>
      </c>
      <c r="DB52" s="20">
        <f>IF(DB$2&gt;0,90,0)</f>
        <v>0</v>
      </c>
      <c r="DC52" s="20">
        <f>IF(DC$2&gt;0,100,0)</f>
        <v>0</v>
      </c>
      <c r="DD52" s="20">
        <f>IF(DD$2&gt;0,210,0)</f>
        <v>0</v>
      </c>
      <c r="DE52" s="20">
        <f>IF(DE$2&gt;0,210,0)</f>
        <v>0</v>
      </c>
      <c r="DF52" s="20">
        <f>IF(DF$2&gt;0,210,0)</f>
        <v>0</v>
      </c>
      <c r="DG52" s="20">
        <f>IF(DG$2&gt;0,216,0)</f>
        <v>0</v>
      </c>
      <c r="DH52" s="20">
        <f t="shared" ref="DH52:DO52" si="17">IF(DH$2&gt;0,190,0)</f>
        <v>0</v>
      </c>
      <c r="DI52" s="20">
        <f t="shared" si="17"/>
        <v>0</v>
      </c>
      <c r="DJ52" s="20">
        <f t="shared" si="17"/>
        <v>0</v>
      </c>
      <c r="DK52" s="20">
        <f t="shared" si="17"/>
        <v>0</v>
      </c>
      <c r="DL52" s="20">
        <f t="shared" si="17"/>
        <v>0</v>
      </c>
      <c r="DM52" s="20">
        <f t="shared" si="17"/>
        <v>0</v>
      </c>
      <c r="DN52" s="20">
        <f t="shared" si="17"/>
        <v>0</v>
      </c>
      <c r="DO52" s="20">
        <f t="shared" si="17"/>
        <v>0</v>
      </c>
      <c r="DP52" s="20">
        <f>IF(DP$2&gt;0,243,0)</f>
        <v>0</v>
      </c>
      <c r="DQ52" s="20">
        <f>IF(DQ$2&gt;0,210,0)</f>
        <v>0</v>
      </c>
      <c r="DR52" s="20">
        <f>IF(DR$2&gt;0,210,0)</f>
        <v>0</v>
      </c>
      <c r="DS52" s="20">
        <f>IF(DS$2&gt;0,190,0)</f>
        <v>0</v>
      </c>
      <c r="DT52" s="20">
        <f>IF(DT$2&gt;0,190,0)</f>
        <v>0</v>
      </c>
      <c r="DU52" s="20">
        <f>IF(DU$2&gt;0,190,0)</f>
        <v>0</v>
      </c>
      <c r="DV52" s="20">
        <f>IF(DV$2&gt;0,190,0)</f>
        <v>0</v>
      </c>
      <c r="DW52" s="20">
        <f>IF(DW$2&gt;0,210,0)</f>
        <v>0</v>
      </c>
      <c r="DX52" s="20">
        <f>IF(DX$2&gt;0,210,0)</f>
        <v>0</v>
      </c>
      <c r="DY52" s="20">
        <f>IF(DY$2&gt;0,210,0)</f>
        <v>0</v>
      </c>
      <c r="DZ52" s="20">
        <f>IF(DZ$2&gt;0,210,0)</f>
        <v>0</v>
      </c>
      <c r="EA52" s="20">
        <f>IF(EA$2&gt;0,75,0)</f>
        <v>0</v>
      </c>
      <c r="EB52" s="20">
        <f>IF(EB$2&gt;0,210,0)</f>
        <v>0</v>
      </c>
      <c r="EC52" s="20">
        <f>IF(EC$2&gt;0,56,0)</f>
        <v>0</v>
      </c>
      <c r="ED52" s="20">
        <f>IF(ED$2&gt;0,150,0)</f>
        <v>0</v>
      </c>
      <c r="EE52" s="20">
        <f>IF(EE$2&gt;0,210,0)</f>
        <v>0</v>
      </c>
      <c r="EF52" s="20">
        <f>IF(EF$2&gt;0,210,0)</f>
        <v>0</v>
      </c>
      <c r="EG52" s="20">
        <f>IF(EG$2&gt;0,190,0)</f>
        <v>0</v>
      </c>
      <c r="EH52" s="20">
        <f>IF(EH$2&gt;0,210,0)</f>
        <v>0</v>
      </c>
      <c r="EI52" s="20">
        <f>IF(EI$2&gt;0,210,0)</f>
        <v>0</v>
      </c>
      <c r="EJ52" s="20">
        <f>IF(EJ$2&gt;0,190,0)</f>
        <v>0</v>
      </c>
      <c r="EK52" s="20">
        <f>IF(EK$2&gt;0,190,0)</f>
        <v>0</v>
      </c>
      <c r="EL52" s="20">
        <f>IF(EL$2&gt;0,210,0)</f>
        <v>0</v>
      </c>
      <c r="EM52" s="20">
        <f>IF(EM$2&gt;0,210,0)</f>
        <v>0</v>
      </c>
      <c r="EN52" s="20">
        <f>IF(EN$2&gt;0,190,0)</f>
        <v>0</v>
      </c>
      <c r="EO52" s="20">
        <f>IF(EO$2&gt;0,210,0)</f>
        <v>0</v>
      </c>
      <c r="EP52" s="20">
        <f>IF(EP$2&gt;0,210,0)</f>
        <v>0</v>
      </c>
      <c r="EQ52" s="20">
        <f>IF(EQ$2&gt;0,190,0)</f>
        <v>0</v>
      </c>
      <c r="ER52" s="20">
        <f t="shared" ref="ER52:FA52" si="18">IF(ER$2&gt;0,210,0)</f>
        <v>0</v>
      </c>
      <c r="ES52" s="20">
        <f t="shared" si="18"/>
        <v>0</v>
      </c>
      <c r="ET52" s="20">
        <f t="shared" si="18"/>
        <v>0</v>
      </c>
      <c r="EU52" s="20">
        <f t="shared" si="18"/>
        <v>0</v>
      </c>
      <c r="EV52" s="20">
        <f t="shared" si="18"/>
        <v>0</v>
      </c>
      <c r="EW52" s="20">
        <f t="shared" si="18"/>
        <v>0</v>
      </c>
      <c r="EX52" s="20">
        <f>IF(EX$2&gt;0,0,0)</f>
        <v>0</v>
      </c>
      <c r="EY52" s="20">
        <f t="shared" si="18"/>
        <v>0</v>
      </c>
      <c r="EZ52" s="20">
        <f t="shared" si="18"/>
        <v>0</v>
      </c>
      <c r="FA52" s="20">
        <f t="shared" si="18"/>
        <v>0</v>
      </c>
      <c r="FB52" s="20">
        <f>IF(FB$2&gt;0,210,0)</f>
        <v>0</v>
      </c>
      <c r="FC52" s="20">
        <f>IF(FC$2&gt;0,210,0)</f>
        <v>0</v>
      </c>
      <c r="FD52" s="20">
        <f>IF(FD$2&gt;0,210,0)</f>
        <v>0</v>
      </c>
      <c r="FE52" s="20">
        <f>IF(FE$2&gt;0,210,0)</f>
        <v>0</v>
      </c>
      <c r="FF52" s="20">
        <f>IF(FF$2&gt;0,210,0)</f>
        <v>0</v>
      </c>
      <c r="FG52" s="20">
        <f>IF(FG$2&gt;0,187,0)</f>
        <v>0</v>
      </c>
      <c r="FH52" s="20">
        <f>IF(FH$2&gt;0,129,0)</f>
        <v>0</v>
      </c>
    </row>
    <row r="53" spans="1:266" x14ac:dyDescent="0.25">
      <c r="A53" s="27" t="s">
        <v>192</v>
      </c>
      <c r="B53" s="27" t="s">
        <v>190</v>
      </c>
      <c r="C53" s="28">
        <f>MAX(E53:FKS53)</f>
        <v>0</v>
      </c>
      <c r="D53" s="20">
        <f>IF(D$2&gt;0,14,0)</f>
        <v>0</v>
      </c>
      <c r="E53" s="20">
        <f>IF(E$2&gt;0,15,0)</f>
        <v>0</v>
      </c>
      <c r="F53" s="20">
        <f>IF(F$2&gt;0,51,0)</f>
        <v>0</v>
      </c>
      <c r="G53" s="20">
        <f>IF(G$2&gt;0,50,0)</f>
        <v>0</v>
      </c>
      <c r="H53" s="20">
        <f>IF(H$2&gt;0,92,0)</f>
        <v>0</v>
      </c>
      <c r="I53" s="20">
        <f>IF(I$2&gt;0,50,0)</f>
        <v>0</v>
      </c>
      <c r="J53" s="20">
        <f>IF(J$2&gt;0,188,0)</f>
        <v>0</v>
      </c>
      <c r="K53" s="20">
        <f>IF(K$2&gt;0,188,0)</f>
        <v>0</v>
      </c>
      <c r="L53" s="20">
        <f>IF(L$2&gt;0,70,0)</f>
        <v>0</v>
      </c>
      <c r="M53" s="20">
        <f>IF(M$2&gt;0,70,0)</f>
        <v>0</v>
      </c>
      <c r="N53" s="20">
        <f>IF(N$2&gt;0,92,0)</f>
        <v>0</v>
      </c>
      <c r="O53" s="20">
        <f>IF(O$2&gt;0,50,0)</f>
        <v>0</v>
      </c>
      <c r="P53" s="20">
        <f>IF(P$2&gt;0,50,0)</f>
        <v>0</v>
      </c>
      <c r="Q53" s="20">
        <f>IF(Q$2&gt;0,50,0)</f>
        <v>0</v>
      </c>
      <c r="R53" s="20">
        <f>IF(R$2&gt;0,50,0)</f>
        <v>0</v>
      </c>
      <c r="S53" s="20">
        <f>IF(S$2&gt;0,50,0)</f>
        <v>0</v>
      </c>
      <c r="T53" s="20">
        <f>IF(T$2&gt;0,15,0)</f>
        <v>0</v>
      </c>
      <c r="U53" s="20">
        <f>IF(U$2&gt;0,14,0)</f>
        <v>0</v>
      </c>
      <c r="V53" s="20">
        <f>IF(V$2&gt;0,50,0)</f>
        <v>0</v>
      </c>
      <c r="W53" s="20">
        <f>IF(W$2&gt;0,15,0)</f>
        <v>0</v>
      </c>
      <c r="X53" s="20">
        <f>IF(X$2&gt;0,92,0)</f>
        <v>0</v>
      </c>
      <c r="Y53" s="20">
        <f>IF(Y$2&gt;0,50,0)</f>
        <v>0</v>
      </c>
      <c r="Z53" s="20">
        <f>IF(Z$2&gt;0,85,0)</f>
        <v>0</v>
      </c>
      <c r="AA53" s="20">
        <f>IF(AA$2&gt;0,85,0)</f>
        <v>0</v>
      </c>
      <c r="AB53" s="20">
        <f>IF(AB$2&gt;0,85,0)</f>
        <v>0</v>
      </c>
      <c r="AC53" s="20">
        <f>IF(AC$2&gt;0,69,0)</f>
        <v>0</v>
      </c>
      <c r="AD53" s="20">
        <f>IF(AD$2&gt;0,69,0)</f>
        <v>0</v>
      </c>
      <c r="AE53" s="20">
        <f>IF(AE$2&gt;0,69,0)</f>
        <v>0</v>
      </c>
      <c r="AF53" s="20">
        <f>IF(AF$2&gt;0,92,0)</f>
        <v>0</v>
      </c>
      <c r="AG53" s="20">
        <f>IF(AG$2&gt;0,50,0)</f>
        <v>0</v>
      </c>
      <c r="AH53" s="20">
        <f>IF(AH$2&gt;0,70,0)</f>
        <v>0</v>
      </c>
      <c r="AI53" s="20">
        <f>IF(AI$2&gt;0,50,0)</f>
        <v>0</v>
      </c>
      <c r="AJ53" s="20">
        <f>IF(AJ$2&gt;0,50,0)</f>
        <v>0</v>
      </c>
      <c r="AK53" s="20">
        <f>IF(AK$2&gt;0,15,0)</f>
        <v>0</v>
      </c>
      <c r="AL53" s="20">
        <f>IF(AL$2&gt;0,14,0)</f>
        <v>0</v>
      </c>
      <c r="AM53" s="20">
        <f>IF(AM$2&gt;0,92,0)</f>
        <v>0</v>
      </c>
      <c r="AN53" s="20">
        <f>IF(AN$2&gt;0,70,0)</f>
        <v>0</v>
      </c>
      <c r="AO53" s="20">
        <f>IF(AO$2&gt;0,50,0)</f>
        <v>0</v>
      </c>
      <c r="AP53" s="20">
        <f>IF(AP$2&gt;0,186,0)</f>
        <v>0</v>
      </c>
      <c r="AQ53" s="20">
        <f t="shared" ref="AQ53:AX53" si="19">IF(AQ$2&gt;0,50,0)</f>
        <v>0</v>
      </c>
      <c r="AR53" s="20">
        <f t="shared" si="19"/>
        <v>0</v>
      </c>
      <c r="AS53" s="20">
        <f t="shared" si="19"/>
        <v>0</v>
      </c>
      <c r="AT53" s="20">
        <f t="shared" si="19"/>
        <v>0</v>
      </c>
      <c r="AU53" s="20">
        <f t="shared" si="19"/>
        <v>0</v>
      </c>
      <c r="AV53" s="20">
        <f t="shared" si="19"/>
        <v>0</v>
      </c>
      <c r="AW53" s="20">
        <f t="shared" si="19"/>
        <v>0</v>
      </c>
      <c r="AX53" s="20">
        <f t="shared" si="19"/>
        <v>0</v>
      </c>
      <c r="AY53" s="20">
        <f>IF(AY$2&gt;0,"50",0)</f>
        <v>0</v>
      </c>
      <c r="AZ53" s="20">
        <f>IF(AZ$2&gt;0,69,0)</f>
        <v>0</v>
      </c>
      <c r="BA53" s="20">
        <f>IF(BA$2&gt;0,92,0)</f>
        <v>0</v>
      </c>
      <c r="BB53" s="20">
        <f>IF(BB$2&gt;0,92,0)</f>
        <v>0</v>
      </c>
      <c r="BC53" s="20">
        <f>IF(BC$2&gt;0,92,0)</f>
        <v>0</v>
      </c>
      <c r="BD53" s="20">
        <f>IF(BD$2&gt;0,14,0)</f>
        <v>0</v>
      </c>
      <c r="BE53" s="20">
        <f>IF(BE$2&gt;0,188,0)</f>
        <v>0</v>
      </c>
      <c r="BF53" s="20">
        <f>IF(BF$2&gt;0,70,0)</f>
        <v>0</v>
      </c>
      <c r="BG53" s="20">
        <f>IF(BG$2&gt;0,158,0)</f>
        <v>0</v>
      </c>
      <c r="BH53" s="20">
        <f t="shared" ref="BH53:BO53" si="20">IF(BH$2&gt;0,50,0)</f>
        <v>0</v>
      </c>
      <c r="BI53" s="20">
        <f t="shared" si="20"/>
        <v>0</v>
      </c>
      <c r="BJ53" s="20">
        <f t="shared" si="20"/>
        <v>0</v>
      </c>
      <c r="BK53" s="20">
        <f t="shared" si="20"/>
        <v>0</v>
      </c>
      <c r="BL53" s="20">
        <f t="shared" si="20"/>
        <v>0</v>
      </c>
      <c r="BM53" s="20">
        <f t="shared" si="20"/>
        <v>0</v>
      </c>
      <c r="BN53" s="20">
        <f t="shared" si="20"/>
        <v>0</v>
      </c>
      <c r="BO53" s="20">
        <f t="shared" si="20"/>
        <v>0</v>
      </c>
      <c r="BP53" s="20">
        <f>IF(BP$2&gt;0,92,0)</f>
        <v>0</v>
      </c>
      <c r="BQ53" s="20">
        <f>IF(BQ$2&gt;0,50,0)</f>
        <v>0</v>
      </c>
      <c r="BR53" s="20">
        <f>IF(BR$2&gt;0,50,0)</f>
        <v>0</v>
      </c>
      <c r="BS53" s="20">
        <f>IF(BS$2&gt;0,70,0)</f>
        <v>0</v>
      </c>
      <c r="BT53" s="20">
        <f>IF(BT$2&gt;0,92,0)</f>
        <v>0</v>
      </c>
      <c r="BU53" s="20">
        <f>IF(BU$2&gt;0,92,0)</f>
        <v>0</v>
      </c>
      <c r="BV53" s="20">
        <f>IF(BV$2&gt;0,69,0)</f>
        <v>0</v>
      </c>
      <c r="BW53" s="20">
        <f>IF(BW$2&gt;0,69,0)</f>
        <v>0</v>
      </c>
      <c r="BX53" s="20">
        <f>IF(BX$2&gt;0,69,0)</f>
        <v>0</v>
      </c>
      <c r="BY53" s="20">
        <f>IF(BY$2&gt;0,69,0)</f>
        <v>0</v>
      </c>
      <c r="BZ53" s="20">
        <f>IF(BZ$2&gt;0,50,0)</f>
        <v>0</v>
      </c>
      <c r="CA53" s="20">
        <f>IF(CA$2&gt;0,108,0)</f>
        <v>0</v>
      </c>
      <c r="CB53" s="20">
        <f>IF(CB$2&gt;0,199,0)</f>
        <v>0</v>
      </c>
      <c r="CC53" s="20">
        <f>IF(CC$2&gt;0,14,0)</f>
        <v>0</v>
      </c>
      <c r="CD53" s="20">
        <f>IF(CD$2&gt;0,70,0)</f>
        <v>0</v>
      </c>
      <c r="CE53" s="20">
        <f>IF(CE$2&gt;0,"?",0)</f>
        <v>0</v>
      </c>
      <c r="CF53" s="20">
        <f>IF(CF$2&gt;0,14,0)</f>
        <v>0</v>
      </c>
      <c r="CG53" s="20">
        <f>IF(CG$2&gt;0,14,0)</f>
        <v>0</v>
      </c>
      <c r="CH53" s="20">
        <f>IF(CH$2&gt;0,92,0)</f>
        <v>0</v>
      </c>
      <c r="CI53" s="20">
        <f>IF(CI$2&gt;0,92,0)</f>
        <v>0</v>
      </c>
      <c r="CJ53" s="20">
        <f>IF(CJ$2&gt;0,70,0)</f>
        <v>0</v>
      </c>
      <c r="CK53" s="20">
        <f>IF(CK$2&gt;0,70,0)</f>
        <v>0</v>
      </c>
      <c r="CL53" s="20">
        <f>IF(CL$2&gt;0,14,0)</f>
        <v>0</v>
      </c>
      <c r="CM53" s="20">
        <f>IF(CM$2&gt;0,85,0)</f>
        <v>0</v>
      </c>
      <c r="CN53" s="20">
        <f t="shared" ref="CN53:CW53" si="21">IF(CN$2&gt;0,14,0)</f>
        <v>0</v>
      </c>
      <c r="CO53" s="20">
        <f t="shared" si="21"/>
        <v>0</v>
      </c>
      <c r="CP53" s="20">
        <f t="shared" si="21"/>
        <v>0</v>
      </c>
      <c r="CQ53" s="20">
        <f t="shared" si="21"/>
        <v>0</v>
      </c>
      <c r="CR53" s="20">
        <f t="shared" si="21"/>
        <v>0</v>
      </c>
      <c r="CS53" s="20">
        <f t="shared" si="21"/>
        <v>0</v>
      </c>
      <c r="CT53" s="20">
        <f t="shared" si="21"/>
        <v>0</v>
      </c>
      <c r="CU53" s="20">
        <f t="shared" si="21"/>
        <v>0</v>
      </c>
      <c r="CV53" s="20">
        <f t="shared" si="21"/>
        <v>0</v>
      </c>
      <c r="CW53" s="20">
        <f t="shared" si="21"/>
        <v>0</v>
      </c>
      <c r="CX53" s="20">
        <f>IF(CX$2&gt;0,380,0)</f>
        <v>0</v>
      </c>
      <c r="CY53" s="20">
        <f>IF(CY$2&gt;0,14,0)</f>
        <v>0</v>
      </c>
      <c r="CZ53" s="20">
        <f>IF(CZ$2&gt;0,"14",0)</f>
        <v>0</v>
      </c>
      <c r="DA53" s="20">
        <f>IF(DA$2&gt;0,BT53+127,0)</f>
        <v>0</v>
      </c>
      <c r="DB53" s="20">
        <f>IF(DB$2&gt;0,BR53+90,0)</f>
        <v>0</v>
      </c>
      <c r="DC53" s="20">
        <f>IF(DC$2&gt;0,24+BM53,0)</f>
        <v>0</v>
      </c>
      <c r="DD53" s="20">
        <f>IF(DD$2&gt;0,70,0)</f>
        <v>0</v>
      </c>
      <c r="DE53" s="20">
        <f>IF(DE$2&gt;0,70,0)</f>
        <v>0</v>
      </c>
      <c r="DF53" s="20">
        <f>IF(DF$2&gt;0,50,0)</f>
        <v>0</v>
      </c>
      <c r="DG53" s="20">
        <f>IF(DG$2&gt;0,70,0)</f>
        <v>0</v>
      </c>
      <c r="DH53" s="20">
        <f>IF(DH$2&gt;0,70,0)</f>
        <v>0</v>
      </c>
      <c r="DI53" s="20">
        <f>IF(DI$2&gt;0,148,0)</f>
        <v>0</v>
      </c>
      <c r="DJ53" s="20">
        <f>IF(DJ$2&gt;0,70,0)</f>
        <v>0</v>
      </c>
      <c r="DK53" s="20">
        <f>IF(DK$2&gt;0,92,0)</f>
        <v>0</v>
      </c>
      <c r="DL53" s="20">
        <f>IF(DL$2&gt;0,92,0)</f>
        <v>0</v>
      </c>
      <c r="DM53" s="20">
        <f>IF(DM$2&gt;0,100,0)</f>
        <v>0</v>
      </c>
      <c r="DN53" s="20">
        <f>IF(DN$2&gt;0,190,0)</f>
        <v>0</v>
      </c>
      <c r="DO53" s="20">
        <f>IF(DO$2&gt;0,186,0)</f>
        <v>0</v>
      </c>
      <c r="DP53" s="20">
        <f>IF(DP$2&gt;0,14,0)</f>
        <v>0</v>
      </c>
      <c r="DQ53" s="20">
        <f>IF(DQ$2&gt;0,70,0)</f>
        <v>0</v>
      </c>
      <c r="DR53" s="20">
        <f>IF(DR$2&gt;0,69,0)</f>
        <v>0</v>
      </c>
      <c r="DS53" s="20">
        <f t="shared" ref="DS53:DY53" si="22">IF(DS$2&gt;0,70,0)</f>
        <v>0</v>
      </c>
      <c r="DT53" s="20">
        <f t="shared" si="22"/>
        <v>0</v>
      </c>
      <c r="DU53" s="20">
        <f t="shared" si="22"/>
        <v>0</v>
      </c>
      <c r="DV53" s="20">
        <f t="shared" si="22"/>
        <v>0</v>
      </c>
      <c r="DW53" s="20">
        <f t="shared" si="22"/>
        <v>0</v>
      </c>
      <c r="DX53" s="20">
        <f t="shared" si="22"/>
        <v>0</v>
      </c>
      <c r="DY53" s="20">
        <f t="shared" si="22"/>
        <v>0</v>
      </c>
      <c r="DZ53" s="20">
        <f>IF(DZ$2&gt;0,69,0)</f>
        <v>0</v>
      </c>
      <c r="EA53" s="20">
        <f>IF(EA$2&gt;0,BM53+23,0)</f>
        <v>0</v>
      </c>
      <c r="EB53" s="20">
        <f>IF(EB$2&gt;0,70,0)</f>
        <v>0</v>
      </c>
      <c r="EC53" s="20">
        <f>IF(EC$2&gt;0,28,0)</f>
        <v>0</v>
      </c>
      <c r="ED53" s="20">
        <f>IF(ED$2&gt;0,BU53+15,0)</f>
        <v>0</v>
      </c>
      <c r="EE53" s="20">
        <f>IF(EE$2&gt;0,70,0)</f>
        <v>0</v>
      </c>
      <c r="EF53" s="20">
        <f>IF(EF$2&gt;0,70,0)</f>
        <v>0</v>
      </c>
      <c r="EG53" s="20">
        <f>IF(EG$2&gt;0,70,0)</f>
        <v>0</v>
      </c>
      <c r="EH53" s="20">
        <f>IF(EH$2&gt;0,50,0)</f>
        <v>0</v>
      </c>
      <c r="EI53" s="20">
        <f>IF(EI$2&gt;0,50,0)</f>
        <v>0</v>
      </c>
      <c r="EJ53" s="20">
        <f t="shared" ref="EJ53:EP53" si="23">IF(EJ$2&gt;0,70,0)</f>
        <v>0</v>
      </c>
      <c r="EK53" s="20">
        <f t="shared" si="23"/>
        <v>0</v>
      </c>
      <c r="EL53" s="20">
        <f t="shared" si="23"/>
        <v>0</v>
      </c>
      <c r="EM53" s="20">
        <f t="shared" si="23"/>
        <v>0</v>
      </c>
      <c r="EN53" s="20">
        <f t="shared" si="23"/>
        <v>0</v>
      </c>
      <c r="EO53" s="20">
        <f t="shared" si="23"/>
        <v>0</v>
      </c>
      <c r="EP53" s="20">
        <f t="shared" si="23"/>
        <v>0</v>
      </c>
      <c r="EQ53" s="20">
        <f>IF(EQ$2&gt;0,"70",0)</f>
        <v>0</v>
      </c>
      <c r="ER53" s="20">
        <f>IF(ER$2&gt;0,70,0)</f>
        <v>0</v>
      </c>
      <c r="ES53" s="20">
        <f>IF(ES$2&gt;0,92,0)</f>
        <v>0</v>
      </c>
      <c r="ET53" s="20">
        <f>IF(ET$2&gt;0,70,0)</f>
        <v>0</v>
      </c>
      <c r="EU53" s="20">
        <f>IF(EU$2&gt;0,70,0)</f>
        <v>0</v>
      </c>
      <c r="EV53" s="20">
        <f>IF(EV$2&gt;0,70,0)</f>
        <v>0</v>
      </c>
      <c r="EW53" s="20">
        <f>IF(EW$2&gt;0,50,0)</f>
        <v>0</v>
      </c>
      <c r="EX53" s="20">
        <f>IF(EX$2&gt;0,0,0)</f>
        <v>0</v>
      </c>
      <c r="EY53" s="20">
        <f>IF(EY$2&gt;0,50,0)</f>
        <v>0</v>
      </c>
      <c r="EZ53" s="20">
        <f>IF(EZ$2&gt;0,50,0)</f>
        <v>0</v>
      </c>
      <c r="FA53" s="20">
        <f>IF(FA$2&gt;0,50,0)</f>
        <v>0</v>
      </c>
      <c r="FB53" s="20">
        <f>IF(FB$2&gt;0,70,0)</f>
        <v>0</v>
      </c>
      <c r="FC53" s="20">
        <f>IF(FC$2&gt;0,70,0)</f>
        <v>0</v>
      </c>
      <c r="FD53" s="20">
        <f>IF(FD$2&gt;0,105,0)</f>
        <v>0</v>
      </c>
      <c r="FE53" s="20">
        <f>IF(FE$2&gt;0,105,0)</f>
        <v>0</v>
      </c>
      <c r="FF53" s="20">
        <f>IF(FF$2&gt;0,105,0)</f>
        <v>0</v>
      </c>
      <c r="FG53" s="20">
        <f>IF(FG$2&gt;0,97,0)</f>
        <v>0</v>
      </c>
      <c r="FH53" s="20">
        <f>IF(FH$2&gt;0,22,0)</f>
        <v>0</v>
      </c>
    </row>
    <row r="54" spans="1:266" ht="15.75" customHeight="1" thickBot="1" x14ac:dyDescent="0.3">
      <c r="A54" s="19" t="s">
        <v>193</v>
      </c>
      <c r="C54" s="41"/>
    </row>
    <row r="55" spans="1:266" ht="15.75" customHeight="1" thickBot="1" x14ac:dyDescent="0.3">
      <c r="A55" s="1" t="s">
        <v>180</v>
      </c>
      <c r="B55" s="5" t="s">
        <v>168</v>
      </c>
      <c r="C55" s="36">
        <f t="shared" ref="C55:C89" si="24">SUM(D55:HQ55)*1</f>
        <v>0</v>
      </c>
      <c r="D55" s="20">
        <f>0.4*D2</f>
        <v>0</v>
      </c>
      <c r="E55" s="20">
        <f>0.5*E2</f>
        <v>0</v>
      </c>
      <c r="F55" s="20">
        <f>0.2*F2</f>
        <v>0</v>
      </c>
      <c r="G55" s="20">
        <f>0.2*G2</f>
        <v>0</v>
      </c>
      <c r="H55" s="20">
        <f>0.4*H2</f>
        <v>0</v>
      </c>
      <c r="I55" s="20">
        <f>0.2*I2</f>
        <v>0</v>
      </c>
      <c r="J55" s="20">
        <f>0.2*J2</f>
        <v>0</v>
      </c>
      <c r="K55" s="20">
        <f>0.3*K2</f>
        <v>0</v>
      </c>
      <c r="L55" s="20">
        <f>0.2*L2</f>
        <v>0</v>
      </c>
      <c r="M55" s="20">
        <f>0.2*M2</f>
        <v>0</v>
      </c>
      <c r="N55" s="20">
        <f>0.3*N2</f>
        <v>0</v>
      </c>
      <c r="O55" s="20">
        <f>0.2*O2</f>
        <v>0</v>
      </c>
      <c r="P55" s="20">
        <f>0.2*P2</f>
        <v>0</v>
      </c>
      <c r="Q55" s="20">
        <f>0.3*Q2</f>
        <v>0</v>
      </c>
      <c r="R55" s="20">
        <f>0.3*R2</f>
        <v>0</v>
      </c>
      <c r="S55" s="20">
        <f>0.2*S2</f>
        <v>0</v>
      </c>
      <c r="T55" s="20">
        <f>0.4*T2</f>
        <v>0</v>
      </c>
      <c r="V55" s="20">
        <f>0.2*V2</f>
        <v>0</v>
      </c>
      <c r="W55" s="20">
        <f>0.4*W2</f>
        <v>0</v>
      </c>
      <c r="X55" s="20">
        <f>0.3*X2</f>
        <v>0</v>
      </c>
      <c r="Y55" s="20">
        <f>0.3*Y2</f>
        <v>0</v>
      </c>
      <c r="Z55" s="20">
        <f t="shared" ref="Z55:AE55" si="25">0.2*Z2</f>
        <v>0</v>
      </c>
      <c r="AA55" s="20">
        <f t="shared" si="25"/>
        <v>0</v>
      </c>
      <c r="AB55" s="20">
        <f t="shared" si="25"/>
        <v>0</v>
      </c>
      <c r="AC55" s="20">
        <f t="shared" si="25"/>
        <v>0</v>
      </c>
      <c r="AD55" s="20">
        <f t="shared" si="25"/>
        <v>0</v>
      </c>
      <c r="AE55" s="20">
        <f t="shared" si="25"/>
        <v>0</v>
      </c>
      <c r="AF55" s="20">
        <f>0.3*AF2</f>
        <v>0</v>
      </c>
      <c r="AG55" s="20">
        <f>0.2*AG2</f>
        <v>0</v>
      </c>
      <c r="AH55" s="20">
        <f>0.2*AH2</f>
        <v>0</v>
      </c>
      <c r="AI55" s="20">
        <f>0.2*AI2</f>
        <v>0</v>
      </c>
      <c r="AJ55" s="20">
        <f>0.2*AJ2</f>
        <v>0</v>
      </c>
      <c r="AK55" s="20">
        <f>0.4*AK2</f>
        <v>0</v>
      </c>
      <c r="AL55" s="20">
        <f>0.4*AL2</f>
        <v>0</v>
      </c>
      <c r="AM55" s="20">
        <f>0.3*AM2</f>
        <v>0</v>
      </c>
      <c r="AN55" s="20">
        <f>0.2*AN2</f>
        <v>0</v>
      </c>
      <c r="AO55" s="20">
        <f>0.3*AO2</f>
        <v>0</v>
      </c>
      <c r="AP55" s="20">
        <f>0.2*AP2</f>
        <v>0</v>
      </c>
      <c r="AQ55" s="20">
        <f>0.2*AQ2</f>
        <v>0</v>
      </c>
      <c r="AR55" s="20">
        <f>0.2*AR2</f>
        <v>0</v>
      </c>
      <c r="AS55" s="20">
        <f>0.2*AS2</f>
        <v>0</v>
      </c>
      <c r="AT55" s="20">
        <f>0.3*AT2</f>
        <v>0</v>
      </c>
      <c r="AU55" s="20">
        <f>0.4*AU2</f>
        <v>0</v>
      </c>
      <c r="AV55" s="20">
        <f>0.2*AV2</f>
        <v>0</v>
      </c>
      <c r="AW55" s="20">
        <f>0.2*AW2</f>
        <v>0</v>
      </c>
      <c r="AX55" s="20">
        <f>0.2*AX2</f>
        <v>0</v>
      </c>
      <c r="AY55" s="20">
        <f>0.2*AY2</f>
        <v>0</v>
      </c>
      <c r="AZ55" s="20">
        <f>0.2*AZ2</f>
        <v>0</v>
      </c>
      <c r="BA55" s="20">
        <f>0.3*BA2</f>
        <v>0</v>
      </c>
      <c r="BB55" s="20">
        <f>0.3*BB2</f>
        <v>0</v>
      </c>
      <c r="BC55" s="20">
        <f>0.3*BC2</f>
        <v>0</v>
      </c>
      <c r="BE55" s="20">
        <f>0.2*BE2</f>
        <v>0</v>
      </c>
      <c r="BF55" s="20">
        <f>0.3*BF2</f>
        <v>0</v>
      </c>
      <c r="BG55" s="20">
        <f>0.3*BG2</f>
        <v>0</v>
      </c>
      <c r="BH55" s="20">
        <f>0.3*BH2</f>
        <v>0</v>
      </c>
      <c r="BI55" s="20">
        <f>0.3*BI2</f>
        <v>0</v>
      </c>
      <c r="BJ55" s="20">
        <f>0.2*BJ2</f>
        <v>0</v>
      </c>
      <c r="BK55" s="20">
        <f>0.3*BK2</f>
        <v>0</v>
      </c>
      <c r="BL55" s="20">
        <f>0.3*BL2</f>
        <v>0</v>
      </c>
      <c r="BM55" s="20">
        <f>0.2*BM2</f>
        <v>0</v>
      </c>
      <c r="BN55" s="20">
        <f>0.2*BN2</f>
        <v>0</v>
      </c>
      <c r="BO55" s="20">
        <f>0.3*BO2</f>
        <v>0</v>
      </c>
      <c r="BP55" s="20">
        <f>0.4*BP2</f>
        <v>0</v>
      </c>
      <c r="BQ55" s="20">
        <f>0.4*BQ2</f>
        <v>0</v>
      </c>
      <c r="BR55" s="20">
        <f>0.3*BR2</f>
        <v>0</v>
      </c>
      <c r="BS55" s="20">
        <f>0.2*BS2</f>
        <v>0</v>
      </c>
      <c r="BT55" s="20">
        <f>0.4*BT2</f>
        <v>0</v>
      </c>
      <c r="BU55" s="20">
        <f>0.3*BU2</f>
        <v>0</v>
      </c>
      <c r="BV55" s="20">
        <f>0.2*BV2</f>
        <v>0</v>
      </c>
      <c r="BW55" s="20">
        <f>0.2*BW2</f>
        <v>0</v>
      </c>
      <c r="BX55" s="20">
        <f>0.2*BX2</f>
        <v>0</v>
      </c>
      <c r="BY55" s="20">
        <f>0.2*BY2</f>
        <v>0</v>
      </c>
      <c r="BZ55" s="20">
        <f>0.3*BZ2</f>
        <v>0</v>
      </c>
      <c r="CA55" s="20">
        <f>0.3*CA2</f>
        <v>0</v>
      </c>
      <c r="CB55" s="20">
        <f>0.3*CB2</f>
        <v>0</v>
      </c>
      <c r="CC55" s="20">
        <f>0.5*CC2</f>
        <v>0</v>
      </c>
      <c r="CD55" s="20">
        <f>0.2*CD2</f>
        <v>0</v>
      </c>
      <c r="CE55" s="20">
        <f>0.2*CE2</f>
        <v>0</v>
      </c>
      <c r="CF55" s="20">
        <f t="shared" ref="CF55:CK55" si="26">0.4*CF2</f>
        <v>0</v>
      </c>
      <c r="CG55" s="20">
        <f t="shared" si="26"/>
        <v>0</v>
      </c>
      <c r="CH55" s="20">
        <f t="shared" si="26"/>
        <v>0</v>
      </c>
      <c r="CI55" s="20">
        <f t="shared" si="26"/>
        <v>0</v>
      </c>
      <c r="CJ55" s="20">
        <f t="shared" si="26"/>
        <v>0</v>
      </c>
      <c r="CK55" s="20">
        <f t="shared" si="26"/>
        <v>0</v>
      </c>
      <c r="CM55" s="20">
        <f>0.4*CM2</f>
        <v>0</v>
      </c>
      <c r="CN55" s="20">
        <f>0.4*CN2</f>
        <v>0</v>
      </c>
      <c r="CO55" s="20">
        <f>0.4*CO2</f>
        <v>0</v>
      </c>
      <c r="CQ55" s="20">
        <f>0.4*CQ2</f>
        <v>0</v>
      </c>
      <c r="CR55" s="20">
        <f>0.4*CR2</f>
        <v>0</v>
      </c>
      <c r="CS55" s="20">
        <f>0.4*CS2</f>
        <v>0</v>
      </c>
      <c r="CT55" s="20">
        <f>0.4*CT2</f>
        <v>0</v>
      </c>
      <c r="CU55" s="20">
        <f>0.4*CU2</f>
        <v>0</v>
      </c>
      <c r="DA55" s="20">
        <f>0.2*DA2</f>
        <v>0</v>
      </c>
      <c r="DB55" s="20">
        <f>0.2*DB2</f>
        <v>0</v>
      </c>
      <c r="DC55" s="20">
        <f>0.2*DC2</f>
        <v>0</v>
      </c>
      <c r="DD55" s="20">
        <f>0.2*DD2</f>
        <v>0</v>
      </c>
      <c r="DE55" s="20">
        <f>0.2*DE2</f>
        <v>0</v>
      </c>
      <c r="ES55" s="20">
        <f>0.3*ES2</f>
        <v>0</v>
      </c>
      <c r="ET55" s="20">
        <f t="shared" ref="ET55:FA55" si="27">0.2*ET2</f>
        <v>0</v>
      </c>
      <c r="EU55" s="20">
        <f t="shared" si="27"/>
        <v>0</v>
      </c>
      <c r="EV55" s="20">
        <f t="shared" si="27"/>
        <v>0</v>
      </c>
      <c r="EW55" s="20">
        <f t="shared" si="27"/>
        <v>0</v>
      </c>
      <c r="EY55" s="20">
        <f t="shared" si="27"/>
        <v>0</v>
      </c>
      <c r="EZ55" s="20">
        <f t="shared" si="27"/>
        <v>0</v>
      </c>
      <c r="FA55" s="20">
        <f t="shared" si="27"/>
        <v>0</v>
      </c>
      <c r="FB55" s="20">
        <f>0.2*FB2</f>
        <v>0</v>
      </c>
      <c r="FC55" s="20">
        <f>0.2*FC2</f>
        <v>0</v>
      </c>
      <c r="FD55" s="20">
        <f>0.2*FD2</f>
        <v>0</v>
      </c>
      <c r="FE55" s="20">
        <f t="shared" ref="FE55:FF55" si="28">0.2*FE2</f>
        <v>0</v>
      </c>
      <c r="FF55" s="20">
        <f t="shared" si="28"/>
        <v>0</v>
      </c>
    </row>
    <row r="56" spans="1:266" ht="15.75" customHeight="1" thickBot="1" x14ac:dyDescent="0.3">
      <c r="A56" s="9" t="s">
        <v>194</v>
      </c>
      <c r="B56" s="4" t="s">
        <v>177</v>
      </c>
      <c r="C56" s="36">
        <f t="shared" si="24"/>
        <v>0</v>
      </c>
      <c r="O56" s="20">
        <f>1*O2</f>
        <v>0</v>
      </c>
      <c r="V56" s="20">
        <f>1*V2</f>
        <v>0</v>
      </c>
      <c r="BM56" s="20">
        <f>1*BM2</f>
        <v>0</v>
      </c>
      <c r="EW56" s="20">
        <f>1*EW2</f>
        <v>0</v>
      </c>
      <c r="EZ56" s="20">
        <f>1*EZ2</f>
        <v>0</v>
      </c>
    </row>
    <row r="57" spans="1:266" ht="15.75" customHeight="1" thickBot="1" x14ac:dyDescent="0.3">
      <c r="A57" s="9" t="s">
        <v>294</v>
      </c>
      <c r="B57" s="4" t="s">
        <v>177</v>
      </c>
      <c r="C57" s="36">
        <f t="shared" ref="C57" si="29">SUM(D57:HQ57)*1</f>
        <v>0</v>
      </c>
      <c r="FB57" s="20">
        <f>1*FB2</f>
        <v>0</v>
      </c>
    </row>
    <row r="58" spans="1:266" ht="15.75" customHeight="1" thickBot="1" x14ac:dyDescent="0.3">
      <c r="A58" s="9" t="s">
        <v>296</v>
      </c>
      <c r="B58" s="4" t="s">
        <v>177</v>
      </c>
      <c r="C58" s="36">
        <f t="shared" ref="C58" si="30">SUM(D58:HQ58)*1</f>
        <v>0</v>
      </c>
      <c r="FC58" s="20">
        <f>1*FC2</f>
        <v>0</v>
      </c>
    </row>
    <row r="59" spans="1:266" ht="15.75" customHeight="1" thickBot="1" x14ac:dyDescent="0.3">
      <c r="A59" s="9" t="s">
        <v>298</v>
      </c>
      <c r="B59" s="4" t="s">
        <v>177</v>
      </c>
      <c r="C59" s="36">
        <f t="shared" ref="C59" si="31">SUM(D59:HQ59)*1</f>
        <v>0</v>
      </c>
      <c r="FD59" s="20">
        <f>1*FD2</f>
        <v>0</v>
      </c>
    </row>
    <row r="60" spans="1:266" ht="15.75" customHeight="1" thickBot="1" x14ac:dyDescent="0.3">
      <c r="A60" s="1" t="s">
        <v>195</v>
      </c>
      <c r="B60" s="5" t="s">
        <v>177</v>
      </c>
      <c r="C60" s="36">
        <f t="shared" si="24"/>
        <v>0</v>
      </c>
      <c r="BV60" s="20">
        <f>1*BV2</f>
        <v>0</v>
      </c>
      <c r="BW60" s="20">
        <f>1*BW2</f>
        <v>0</v>
      </c>
      <c r="BX60" s="20">
        <f>1*BX2</f>
        <v>0</v>
      </c>
      <c r="BY60" s="20">
        <f>1*BY2</f>
        <v>0</v>
      </c>
    </row>
    <row r="61" spans="1:266" ht="15.75" customHeight="1" thickBot="1" x14ac:dyDescent="0.3">
      <c r="A61" s="1" t="s">
        <v>196</v>
      </c>
      <c r="B61" s="5" t="s">
        <v>177</v>
      </c>
      <c r="C61" s="36">
        <f t="shared" si="24"/>
        <v>0</v>
      </c>
      <c r="M61" s="20">
        <f>1*M2</f>
        <v>0</v>
      </c>
    </row>
    <row r="62" spans="1:266" ht="15.75" customHeight="1" thickBot="1" x14ac:dyDescent="0.3">
      <c r="A62" s="1" t="s">
        <v>197</v>
      </c>
      <c r="B62" s="5" t="s">
        <v>177</v>
      </c>
      <c r="C62" s="36">
        <f t="shared" si="24"/>
        <v>0</v>
      </c>
      <c r="P62" s="20">
        <f>1*P2</f>
        <v>0</v>
      </c>
    </row>
    <row r="63" spans="1:266" ht="15.75" customHeight="1" thickBot="1" x14ac:dyDescent="0.3">
      <c r="A63" s="1" t="s">
        <v>198</v>
      </c>
      <c r="B63" s="5" t="s">
        <v>177</v>
      </c>
      <c r="C63" s="36">
        <f t="shared" si="24"/>
        <v>0</v>
      </c>
      <c r="BJ63" s="20">
        <f>1*BJ2</f>
        <v>0</v>
      </c>
    </row>
    <row r="64" spans="1:266" ht="15.75" customHeight="1" thickBot="1" x14ac:dyDescent="0.3">
      <c r="A64" s="1" t="s">
        <v>199</v>
      </c>
      <c r="B64" s="5" t="s">
        <v>177</v>
      </c>
      <c r="C64" s="36">
        <f t="shared" si="24"/>
        <v>0</v>
      </c>
      <c r="AH64" s="20">
        <f>1*AH2</f>
        <v>0</v>
      </c>
      <c r="AI64" s="20">
        <f>1*AI2</f>
        <v>0</v>
      </c>
      <c r="AJ64" s="20">
        <f>1*AJ2</f>
        <v>0</v>
      </c>
      <c r="EV64" s="20">
        <f>1*EV2</f>
        <v>0</v>
      </c>
      <c r="EY64" s="20">
        <f>1*EY2</f>
        <v>0</v>
      </c>
    </row>
    <row r="65" spans="1:150" ht="15.75" customHeight="1" thickBot="1" x14ac:dyDescent="0.3">
      <c r="A65" s="1" t="s">
        <v>200</v>
      </c>
      <c r="B65" s="5" t="s">
        <v>177</v>
      </c>
      <c r="C65" s="36">
        <f t="shared" si="24"/>
        <v>0</v>
      </c>
      <c r="CH65" s="20">
        <f>1*CH2</f>
        <v>0</v>
      </c>
    </row>
    <row r="66" spans="1:150" ht="15.75" customHeight="1" thickBot="1" x14ac:dyDescent="0.3">
      <c r="A66" s="1" t="s">
        <v>201</v>
      </c>
      <c r="B66" s="5" t="s">
        <v>177</v>
      </c>
      <c r="C66" s="36">
        <f t="shared" si="24"/>
        <v>0</v>
      </c>
      <c r="BT66" s="20">
        <f>1*BT2</f>
        <v>0</v>
      </c>
    </row>
    <row r="67" spans="1:150" ht="15.75" customHeight="1" thickBot="1" x14ac:dyDescent="0.3">
      <c r="A67" s="1" t="s">
        <v>202</v>
      </c>
      <c r="B67" s="5" t="s">
        <v>177</v>
      </c>
      <c r="C67" s="36">
        <f t="shared" si="24"/>
        <v>0</v>
      </c>
      <c r="H67" s="20">
        <f>1*H2</f>
        <v>0</v>
      </c>
    </row>
    <row r="68" spans="1:150" ht="15.75" customHeight="1" thickBot="1" x14ac:dyDescent="0.3">
      <c r="A68" s="1" t="s">
        <v>203</v>
      </c>
      <c r="B68" s="5" t="s">
        <v>177</v>
      </c>
      <c r="C68" s="36">
        <f t="shared" si="24"/>
        <v>0</v>
      </c>
      <c r="BR68" s="20">
        <f>1*BR2</f>
        <v>0</v>
      </c>
    </row>
    <row r="69" spans="1:150" ht="15.75" customHeight="1" thickBot="1" x14ac:dyDescent="0.3">
      <c r="A69" s="30" t="s">
        <v>204</v>
      </c>
      <c r="B69" s="5" t="s">
        <v>177</v>
      </c>
      <c r="C69" s="36">
        <f t="shared" si="24"/>
        <v>0</v>
      </c>
      <c r="AC69" s="20">
        <f>1*AC2</f>
        <v>0</v>
      </c>
      <c r="AD69" s="20">
        <f>1*AD2</f>
        <v>0</v>
      </c>
      <c r="AE69" s="20">
        <f>1*AE2</f>
        <v>0</v>
      </c>
    </row>
    <row r="70" spans="1:150" ht="15.75" customHeight="1" thickBot="1" x14ac:dyDescent="0.3">
      <c r="A70" s="30" t="s">
        <v>205</v>
      </c>
      <c r="B70" s="5" t="s">
        <v>177</v>
      </c>
      <c r="C70" s="36">
        <f t="shared" si="24"/>
        <v>0</v>
      </c>
      <c r="AT70" s="20">
        <f>1*AT2</f>
        <v>0</v>
      </c>
    </row>
    <row r="71" spans="1:150" ht="15.75" customHeight="1" thickBot="1" x14ac:dyDescent="0.3">
      <c r="A71" s="30" t="s">
        <v>206</v>
      </c>
      <c r="B71" s="5" t="s">
        <v>177</v>
      </c>
      <c r="C71" s="36">
        <f t="shared" si="24"/>
        <v>0</v>
      </c>
      <c r="AV71" s="20">
        <f>1*AV2</f>
        <v>0</v>
      </c>
    </row>
    <row r="72" spans="1:150" ht="15.75" customHeight="1" thickBot="1" x14ac:dyDescent="0.3">
      <c r="A72" s="30" t="s">
        <v>207</v>
      </c>
      <c r="B72" s="5" t="s">
        <v>177</v>
      </c>
      <c r="C72" s="36">
        <f t="shared" si="24"/>
        <v>0</v>
      </c>
      <c r="AW72" s="20">
        <f>1*AW2</f>
        <v>0</v>
      </c>
    </row>
    <row r="73" spans="1:150" ht="15.75" customHeight="1" thickBot="1" x14ac:dyDescent="0.3">
      <c r="A73" s="30" t="s">
        <v>208</v>
      </c>
      <c r="B73" s="5" t="s">
        <v>177</v>
      </c>
      <c r="C73" s="36">
        <f t="shared" si="24"/>
        <v>0</v>
      </c>
      <c r="AX73" s="20">
        <f>1*AX2</f>
        <v>0</v>
      </c>
    </row>
    <row r="74" spans="1:150" ht="15.75" customHeight="1" thickBot="1" x14ac:dyDescent="0.3">
      <c r="A74" s="30" t="s">
        <v>209</v>
      </c>
      <c r="B74" s="5" t="s">
        <v>177</v>
      </c>
      <c r="C74" s="36">
        <f t="shared" si="24"/>
        <v>0</v>
      </c>
      <c r="AY74" s="20">
        <f>1*AY2</f>
        <v>0</v>
      </c>
    </row>
    <row r="75" spans="1:150" ht="15.75" customHeight="1" thickBot="1" x14ac:dyDescent="0.3">
      <c r="A75" s="30" t="s">
        <v>210</v>
      </c>
      <c r="B75" s="5" t="s">
        <v>177</v>
      </c>
      <c r="C75" s="36">
        <f t="shared" si="24"/>
        <v>0</v>
      </c>
      <c r="AZ75" s="20">
        <f>1*AZ2</f>
        <v>0</v>
      </c>
    </row>
    <row r="76" spans="1:150" ht="15.75" customHeight="1" thickBot="1" x14ac:dyDescent="0.3">
      <c r="A76" s="20" t="s">
        <v>211</v>
      </c>
      <c r="B76" s="5" t="s">
        <v>177</v>
      </c>
      <c r="C76" s="36">
        <f t="shared" si="24"/>
        <v>0</v>
      </c>
      <c r="AQ76" s="20">
        <f>1*AQ2</f>
        <v>0</v>
      </c>
      <c r="BN76" s="20">
        <f>1*BN2</f>
        <v>0</v>
      </c>
    </row>
    <row r="77" spans="1:150" ht="15.75" customHeight="1" thickBot="1" x14ac:dyDescent="0.3">
      <c r="A77" s="20" t="s">
        <v>212</v>
      </c>
      <c r="B77" s="5" t="s">
        <v>177</v>
      </c>
      <c r="C77" s="36">
        <f t="shared" si="24"/>
        <v>0</v>
      </c>
      <c r="N77" s="20">
        <f>1*N2</f>
        <v>0</v>
      </c>
      <c r="BA77" s="20">
        <f>1*BA2</f>
        <v>0</v>
      </c>
      <c r="BP77" s="20">
        <f>1*BP2</f>
        <v>0</v>
      </c>
      <c r="BQ77" s="20">
        <f>1*BQ2</f>
        <v>0</v>
      </c>
      <c r="ES77" s="20">
        <f>1*ES2</f>
        <v>0</v>
      </c>
    </row>
    <row r="78" spans="1:150" ht="15.75" customHeight="1" thickBot="1" x14ac:dyDescent="0.3">
      <c r="A78" s="20" t="s">
        <v>213</v>
      </c>
      <c r="B78" s="5" t="s">
        <v>177</v>
      </c>
      <c r="C78" s="36">
        <f t="shared" si="24"/>
        <v>0</v>
      </c>
      <c r="BF78" s="20">
        <f>1*BF2</f>
        <v>0</v>
      </c>
    </row>
    <row r="79" spans="1:150" ht="15.75" customHeight="1" thickBot="1" x14ac:dyDescent="0.3">
      <c r="A79" s="20" t="s">
        <v>214</v>
      </c>
      <c r="B79" s="5" t="s">
        <v>177</v>
      </c>
      <c r="C79" s="36">
        <f t="shared" si="24"/>
        <v>0</v>
      </c>
      <c r="BI79" s="20">
        <f>1*BI2</f>
        <v>0</v>
      </c>
    </row>
    <row r="80" spans="1:150" ht="15.75" customHeight="1" thickBot="1" x14ac:dyDescent="0.3">
      <c r="A80" s="20" t="s">
        <v>215</v>
      </c>
      <c r="B80" s="5" t="s">
        <v>177</v>
      </c>
      <c r="C80" s="36">
        <f t="shared" si="24"/>
        <v>0</v>
      </c>
      <c r="AG80" s="20">
        <f>1*AG2</f>
        <v>0</v>
      </c>
      <c r="ET80" s="20">
        <f>1*ET2</f>
        <v>0</v>
      </c>
    </row>
    <row r="81" spans="1:151" ht="15.75" customHeight="1" thickBot="1" x14ac:dyDescent="0.3">
      <c r="A81" s="20" t="s">
        <v>216</v>
      </c>
      <c r="B81" s="5" t="s">
        <v>177</v>
      </c>
      <c r="C81" s="36">
        <f t="shared" si="24"/>
        <v>0</v>
      </c>
      <c r="BS81" s="20">
        <f>1*BS2</f>
        <v>0</v>
      </c>
    </row>
    <row r="82" spans="1:151" ht="15.75" customHeight="1" thickBot="1" x14ac:dyDescent="0.3">
      <c r="A82" s="20" t="s">
        <v>217</v>
      </c>
      <c r="B82" s="5" t="s">
        <v>177</v>
      </c>
      <c r="C82" s="36">
        <f t="shared" si="24"/>
        <v>0</v>
      </c>
      <c r="F82" s="20">
        <f>1*F2</f>
        <v>0</v>
      </c>
      <c r="I82" s="20">
        <f>1*I2</f>
        <v>0</v>
      </c>
    </row>
    <row r="83" spans="1:151" ht="15.75" customHeight="1" thickBot="1" x14ac:dyDescent="0.3">
      <c r="A83" s="20" t="s">
        <v>218</v>
      </c>
      <c r="B83" s="5" t="s">
        <v>177</v>
      </c>
      <c r="C83" s="36">
        <f t="shared" si="24"/>
        <v>0</v>
      </c>
      <c r="L83" s="20">
        <f>1*L2</f>
        <v>0</v>
      </c>
      <c r="EU83" s="20">
        <f>1*EU2</f>
        <v>0</v>
      </c>
    </row>
    <row r="84" spans="1:151" ht="15.75" customHeight="1" thickBot="1" x14ac:dyDescent="0.3">
      <c r="A84" s="20" t="s">
        <v>219</v>
      </c>
      <c r="B84" s="5" t="s">
        <v>177</v>
      </c>
      <c r="C84" s="36">
        <f t="shared" si="24"/>
        <v>0</v>
      </c>
      <c r="BG84" s="20">
        <f>1*BG2</f>
        <v>0</v>
      </c>
    </row>
    <row r="85" spans="1:151" ht="15.75" customHeight="1" thickBot="1" x14ac:dyDescent="0.3">
      <c r="A85" s="20" t="s">
        <v>220</v>
      </c>
      <c r="B85" s="5" t="s">
        <v>177</v>
      </c>
      <c r="C85" s="36">
        <f t="shared" si="24"/>
        <v>0</v>
      </c>
      <c r="BO85" s="20">
        <f>1*BO2</f>
        <v>0</v>
      </c>
    </row>
    <row r="86" spans="1:151" ht="15.75" customHeight="1" thickBot="1" x14ac:dyDescent="0.3">
      <c r="A86" s="20" t="s">
        <v>221</v>
      </c>
      <c r="B86" s="5" t="s">
        <v>177</v>
      </c>
      <c r="C86" s="36">
        <f t="shared" si="24"/>
        <v>0</v>
      </c>
      <c r="BH86" s="20">
        <f>1*BH2</f>
        <v>0</v>
      </c>
    </row>
    <row r="87" spans="1:151" ht="15.75" customHeight="1" thickBot="1" x14ac:dyDescent="0.3">
      <c r="A87" s="20" t="s">
        <v>222</v>
      </c>
      <c r="B87" s="5" t="s">
        <v>177</v>
      </c>
      <c r="C87" s="36">
        <f t="shared" si="24"/>
        <v>0</v>
      </c>
      <c r="J87" s="20">
        <f>1*J2</f>
        <v>0</v>
      </c>
      <c r="AP87" s="20">
        <f>1*AP2</f>
        <v>0</v>
      </c>
    </row>
    <row r="88" spans="1:151" ht="15.75" customHeight="1" thickBot="1" x14ac:dyDescent="0.3">
      <c r="A88" s="20" t="s">
        <v>223</v>
      </c>
      <c r="B88" s="5" t="s">
        <v>177</v>
      </c>
      <c r="C88" s="36">
        <f t="shared" si="24"/>
        <v>0</v>
      </c>
      <c r="S88" s="20">
        <f>1*S2</f>
        <v>0</v>
      </c>
    </row>
    <row r="89" spans="1:151" ht="15.75" customHeight="1" thickBot="1" x14ac:dyDescent="0.3">
      <c r="A89" s="20" t="s">
        <v>224</v>
      </c>
      <c r="B89" s="5" t="s">
        <v>177</v>
      </c>
      <c r="C89" s="36">
        <f t="shared" si="24"/>
        <v>0</v>
      </c>
      <c r="G89" s="20">
        <f>1*G2</f>
        <v>0</v>
      </c>
    </row>
    <row r="90" spans="1:151" ht="15.75" customHeight="1" thickBot="1" x14ac:dyDescent="0.3">
      <c r="A90" s="20" t="s">
        <v>220</v>
      </c>
      <c r="B90" s="5" t="s">
        <v>177</v>
      </c>
      <c r="C90" s="36">
        <f t="shared" ref="C90:C121" si="32">SUM(D90:HQ90)*1</f>
        <v>0</v>
      </c>
      <c r="R90" s="20">
        <f>1*R2</f>
        <v>0</v>
      </c>
    </row>
    <row r="91" spans="1:151" ht="15.75" customHeight="1" thickBot="1" x14ac:dyDescent="0.3">
      <c r="A91" s="20" t="s">
        <v>225</v>
      </c>
      <c r="B91" s="5" t="s">
        <v>177</v>
      </c>
      <c r="C91" s="36">
        <f t="shared" si="32"/>
        <v>0</v>
      </c>
      <c r="BU91" s="20">
        <f>1*BU2</f>
        <v>0</v>
      </c>
    </row>
    <row r="92" spans="1:151" ht="15.75" customHeight="1" thickBot="1" x14ac:dyDescent="0.3">
      <c r="A92" s="20" t="s">
        <v>226</v>
      </c>
      <c r="B92" s="5" t="s">
        <v>177</v>
      </c>
      <c r="C92" s="36">
        <f t="shared" si="32"/>
        <v>0</v>
      </c>
      <c r="CA92" s="20">
        <f>1*CA2</f>
        <v>0</v>
      </c>
      <c r="EK92" s="20">
        <f>EK2*1</f>
        <v>0</v>
      </c>
      <c r="EL92" s="20">
        <f>EL2*1</f>
        <v>0</v>
      </c>
    </row>
    <row r="93" spans="1:151" ht="15.75" customHeight="1" thickBot="1" x14ac:dyDescent="0.3">
      <c r="A93" s="20" t="s">
        <v>227</v>
      </c>
      <c r="B93" s="5" t="s">
        <v>177</v>
      </c>
      <c r="C93" s="36">
        <f t="shared" si="32"/>
        <v>0</v>
      </c>
      <c r="K93" s="20">
        <f>1*K2</f>
        <v>0</v>
      </c>
    </row>
    <row r="94" spans="1:151" ht="15.75" customHeight="1" thickBot="1" x14ac:dyDescent="0.3">
      <c r="A94" s="20" t="s">
        <v>220</v>
      </c>
      <c r="B94" s="5" t="s">
        <v>177</v>
      </c>
      <c r="C94" s="36">
        <f t="shared" si="32"/>
        <v>0</v>
      </c>
      <c r="Q94" s="20">
        <f>1*Q2</f>
        <v>0</v>
      </c>
    </row>
    <row r="95" spans="1:151" ht="15.75" customHeight="1" thickBot="1" x14ac:dyDescent="0.3">
      <c r="A95" s="20" t="s">
        <v>228</v>
      </c>
      <c r="B95" s="5" t="s">
        <v>177</v>
      </c>
      <c r="C95" s="36">
        <f t="shared" si="32"/>
        <v>0</v>
      </c>
      <c r="BK95" s="20">
        <f>1*BK2</f>
        <v>0</v>
      </c>
    </row>
    <row r="96" spans="1:151" ht="15.75" customHeight="1" thickBot="1" x14ac:dyDescent="0.3">
      <c r="A96" s="20" t="s">
        <v>229</v>
      </c>
      <c r="B96" s="5" t="s">
        <v>177</v>
      </c>
      <c r="C96" s="36">
        <f t="shared" si="32"/>
        <v>0</v>
      </c>
      <c r="Y96" s="20">
        <f>1*Y2</f>
        <v>0</v>
      </c>
    </row>
    <row r="97" spans="1:140" ht="15.75" customHeight="1" thickBot="1" x14ac:dyDescent="0.3">
      <c r="A97" s="20" t="s">
        <v>202</v>
      </c>
      <c r="B97" s="5" t="s">
        <v>177</v>
      </c>
      <c r="C97" s="36">
        <f t="shared" si="32"/>
        <v>0</v>
      </c>
      <c r="X97" s="20">
        <f>1*X2</f>
        <v>0</v>
      </c>
    </row>
    <row r="98" spans="1:140" ht="15.75" customHeight="1" thickBot="1" x14ac:dyDescent="0.3">
      <c r="A98" s="20" t="s">
        <v>198</v>
      </c>
      <c r="B98" s="5" t="s">
        <v>177</v>
      </c>
      <c r="C98" s="36">
        <f t="shared" si="32"/>
        <v>0</v>
      </c>
      <c r="BZ98" s="20">
        <f>1*BZ2</f>
        <v>0</v>
      </c>
    </row>
    <row r="99" spans="1:140" ht="15.75" customHeight="1" thickBot="1" x14ac:dyDescent="0.3">
      <c r="A99" s="20" t="s">
        <v>230</v>
      </c>
      <c r="B99" s="5" t="s">
        <v>177</v>
      </c>
      <c r="C99" s="36">
        <f t="shared" si="32"/>
        <v>0</v>
      </c>
      <c r="BL99" s="20">
        <f>1*BL2</f>
        <v>0</v>
      </c>
    </row>
    <row r="100" spans="1:140" ht="15.75" customHeight="1" thickBot="1" x14ac:dyDescent="0.3">
      <c r="A100" s="20" t="s">
        <v>231</v>
      </c>
      <c r="B100" s="5" t="s">
        <v>177</v>
      </c>
      <c r="C100" s="36">
        <f t="shared" si="32"/>
        <v>0</v>
      </c>
      <c r="AF100" s="20">
        <f>1*AF2</f>
        <v>0</v>
      </c>
    </row>
    <row r="101" spans="1:140" ht="15.75" customHeight="1" thickBot="1" x14ac:dyDescent="0.3">
      <c r="A101" s="20" t="s">
        <v>232</v>
      </c>
      <c r="B101" s="5" t="s">
        <v>177</v>
      </c>
      <c r="C101" s="36">
        <f t="shared" si="32"/>
        <v>0</v>
      </c>
      <c r="CB101" s="20">
        <f>1*CB2</f>
        <v>0</v>
      </c>
    </row>
    <row r="102" spans="1:140" ht="15.75" customHeight="1" thickBot="1" x14ac:dyDescent="0.3">
      <c r="A102" s="20" t="s">
        <v>233</v>
      </c>
      <c r="B102" s="5" t="s">
        <v>177</v>
      </c>
      <c r="C102" s="36">
        <f t="shared" si="32"/>
        <v>0</v>
      </c>
      <c r="AM102" s="20">
        <f>1*AM2</f>
        <v>0</v>
      </c>
      <c r="BB102" s="20">
        <f>1*BB2</f>
        <v>0</v>
      </c>
    </row>
    <row r="103" spans="1:140" ht="15.75" customHeight="1" thickBot="1" x14ac:dyDescent="0.3">
      <c r="A103" s="20" t="s">
        <v>234</v>
      </c>
      <c r="B103" s="5" t="s">
        <v>177</v>
      </c>
      <c r="C103" s="36">
        <f t="shared" si="32"/>
        <v>0</v>
      </c>
      <c r="BC103" s="20">
        <f>1*BC2</f>
        <v>0</v>
      </c>
    </row>
    <row r="104" spans="1:140" ht="15.75" customHeight="1" thickBot="1" x14ac:dyDescent="0.3">
      <c r="A104" s="20" t="s">
        <v>235</v>
      </c>
      <c r="B104" s="5" t="s">
        <v>177</v>
      </c>
      <c r="C104" s="36">
        <f t="shared" si="32"/>
        <v>0</v>
      </c>
      <c r="AO104" s="20">
        <f>1*AO2</f>
        <v>0</v>
      </c>
    </row>
    <row r="105" spans="1:140" ht="15.75" customHeight="1" thickBot="1" x14ac:dyDescent="0.3">
      <c r="A105" s="20" t="s">
        <v>236</v>
      </c>
      <c r="B105" s="5" t="s">
        <v>177</v>
      </c>
      <c r="C105" s="36">
        <f t="shared" si="32"/>
        <v>0</v>
      </c>
      <c r="AR105" s="20">
        <f>1*AR2</f>
        <v>0</v>
      </c>
    </row>
    <row r="106" spans="1:140" ht="15.75" customHeight="1" thickBot="1" x14ac:dyDescent="0.3">
      <c r="A106" s="20" t="s">
        <v>237</v>
      </c>
      <c r="B106" s="5" t="s">
        <v>177</v>
      </c>
      <c r="C106" s="36">
        <f t="shared" si="32"/>
        <v>0</v>
      </c>
      <c r="AN106" s="20">
        <f>1*AN2</f>
        <v>0</v>
      </c>
      <c r="EF106" s="20">
        <f>1*EF2</f>
        <v>0</v>
      </c>
      <c r="EH106" s="20">
        <f>1*EH2</f>
        <v>0</v>
      </c>
      <c r="EI106" s="20">
        <f>1*EI2</f>
        <v>0</v>
      </c>
      <c r="EJ106" s="20">
        <f>1*EJ2</f>
        <v>0</v>
      </c>
    </row>
    <row r="107" spans="1:140" ht="15.75" customHeight="1" thickBot="1" x14ac:dyDescent="0.3">
      <c r="A107" s="20" t="s">
        <v>238</v>
      </c>
      <c r="B107" s="5" t="s">
        <v>177</v>
      </c>
      <c r="C107" s="36">
        <f t="shared" si="32"/>
        <v>0</v>
      </c>
      <c r="AS107" s="20">
        <f>1*AS2</f>
        <v>0</v>
      </c>
    </row>
    <row r="108" spans="1:140" ht="15.75" customHeight="1" thickBot="1" x14ac:dyDescent="0.3">
      <c r="A108" s="20" t="s">
        <v>239</v>
      </c>
      <c r="B108" s="5" t="s">
        <v>177</v>
      </c>
      <c r="C108" s="36">
        <f t="shared" si="32"/>
        <v>0</v>
      </c>
    </row>
    <row r="109" spans="1:140" ht="15.75" customHeight="1" thickBot="1" x14ac:dyDescent="0.3">
      <c r="A109" s="20" t="s">
        <v>240</v>
      </c>
      <c r="B109" s="5" t="s">
        <v>177</v>
      </c>
      <c r="C109" s="36">
        <f t="shared" si="32"/>
        <v>0</v>
      </c>
      <c r="Z109" s="20">
        <f>1*Z2</f>
        <v>0</v>
      </c>
      <c r="AA109" s="20">
        <f>1*AA2</f>
        <v>0</v>
      </c>
      <c r="AB109" s="20">
        <f>1*AB2</f>
        <v>0</v>
      </c>
    </row>
    <row r="110" spans="1:140" ht="15.75" customHeight="1" thickBot="1" x14ac:dyDescent="0.3">
      <c r="A110" s="20" t="s">
        <v>241</v>
      </c>
      <c r="B110" s="5" t="s">
        <v>177</v>
      </c>
      <c r="C110" s="36">
        <f t="shared" si="32"/>
        <v>0</v>
      </c>
      <c r="CD110" s="20">
        <f>1*CD2</f>
        <v>0</v>
      </c>
    </row>
    <row r="111" spans="1:140" ht="15.75" customHeight="1" thickBot="1" x14ac:dyDescent="0.3">
      <c r="A111" s="20" t="s">
        <v>242</v>
      </c>
      <c r="B111" s="5" t="s">
        <v>177</v>
      </c>
      <c r="C111" s="36">
        <f t="shared" si="32"/>
        <v>0</v>
      </c>
      <c r="DC111" s="20">
        <f>1*DC2</f>
        <v>0</v>
      </c>
    </row>
    <row r="112" spans="1:140" ht="15.75" customHeight="1" thickBot="1" x14ac:dyDescent="0.3">
      <c r="A112" s="20" t="s">
        <v>243</v>
      </c>
      <c r="B112" s="5" t="s">
        <v>177</v>
      </c>
      <c r="C112" s="36">
        <f t="shared" si="32"/>
        <v>0</v>
      </c>
      <c r="DB112" s="20">
        <f>1*DB2</f>
        <v>0</v>
      </c>
    </row>
    <row r="113" spans="1:148" ht="15.75" customHeight="1" thickBot="1" x14ac:dyDescent="0.3">
      <c r="A113" s="20" t="s">
        <v>244</v>
      </c>
      <c r="B113" s="5" t="s">
        <v>177</v>
      </c>
      <c r="C113" s="36">
        <f t="shared" si="32"/>
        <v>0</v>
      </c>
      <c r="DA113" s="20">
        <f>1*DA2</f>
        <v>0</v>
      </c>
    </row>
    <row r="114" spans="1:148" ht="15.75" customHeight="1" thickBot="1" x14ac:dyDescent="0.3">
      <c r="A114" s="20" t="s">
        <v>220</v>
      </c>
      <c r="B114" s="5" t="s">
        <v>177</v>
      </c>
      <c r="C114" s="36">
        <f t="shared" si="32"/>
        <v>0</v>
      </c>
      <c r="AU114" s="20">
        <f>1*AU2</f>
        <v>0</v>
      </c>
    </row>
    <row r="115" spans="1:148" ht="15.75" customHeight="1" thickBot="1" x14ac:dyDescent="0.3">
      <c r="A115" s="20" t="s">
        <v>245</v>
      </c>
      <c r="B115" s="5" t="s">
        <v>177</v>
      </c>
      <c r="C115" s="36">
        <f t="shared" si="32"/>
        <v>0</v>
      </c>
      <c r="CQ115" s="20">
        <f>1*CQ2</f>
        <v>0</v>
      </c>
    </row>
    <row r="116" spans="1:148" ht="15.75" customHeight="1" thickBot="1" x14ac:dyDescent="0.3">
      <c r="A116" s="20" t="s">
        <v>246</v>
      </c>
      <c r="B116" s="5" t="s">
        <v>177</v>
      </c>
      <c r="C116" s="36">
        <f t="shared" si="32"/>
        <v>0</v>
      </c>
      <c r="CR116" s="20">
        <f>1*CR2</f>
        <v>0</v>
      </c>
    </row>
    <row r="117" spans="1:148" ht="15.75" customHeight="1" thickBot="1" x14ac:dyDescent="0.3">
      <c r="A117" s="20" t="s">
        <v>247</v>
      </c>
      <c r="B117" s="5" t="s">
        <v>177</v>
      </c>
      <c r="C117" s="36">
        <f t="shared" si="32"/>
        <v>0</v>
      </c>
      <c r="CO117" s="20">
        <f>1*CO2</f>
        <v>0</v>
      </c>
    </row>
    <row r="118" spans="1:148" ht="15.75" customHeight="1" thickBot="1" x14ac:dyDescent="0.3">
      <c r="A118" s="20" t="s">
        <v>248</v>
      </c>
      <c r="B118" s="5" t="s">
        <v>177</v>
      </c>
      <c r="C118" s="36">
        <f t="shared" si="32"/>
        <v>0</v>
      </c>
      <c r="CS118" s="20">
        <f>1*CS2</f>
        <v>0</v>
      </c>
    </row>
    <row r="119" spans="1:148" ht="15.75" customHeight="1" thickBot="1" x14ac:dyDescent="0.3">
      <c r="A119" s="20" t="s">
        <v>249</v>
      </c>
      <c r="B119" s="5" t="s">
        <v>177</v>
      </c>
      <c r="C119" s="36">
        <f t="shared" si="32"/>
        <v>0</v>
      </c>
      <c r="CT119" s="20">
        <f>1*CT2</f>
        <v>0</v>
      </c>
    </row>
    <row r="120" spans="1:148" ht="15.75" customHeight="1" thickBot="1" x14ac:dyDescent="0.3">
      <c r="A120" s="20" t="s">
        <v>250</v>
      </c>
      <c r="B120" s="5" t="s">
        <v>177</v>
      </c>
      <c r="C120" s="36">
        <f t="shared" si="32"/>
        <v>0</v>
      </c>
      <c r="CU120" s="20">
        <f>1*CU2</f>
        <v>0</v>
      </c>
    </row>
    <row r="121" spans="1:148" ht="15.75" customHeight="1" thickBot="1" x14ac:dyDescent="0.3">
      <c r="A121" s="20" t="s">
        <v>251</v>
      </c>
      <c r="B121" s="5" t="s">
        <v>177</v>
      </c>
      <c r="C121" s="36">
        <f t="shared" si="32"/>
        <v>0</v>
      </c>
      <c r="DS121" s="20">
        <f>1*DS2</f>
        <v>0</v>
      </c>
    </row>
    <row r="122" spans="1:148" ht="15.75" customHeight="1" thickBot="1" x14ac:dyDescent="0.3">
      <c r="A122" s="20" t="s">
        <v>252</v>
      </c>
      <c r="B122" s="5" t="s">
        <v>177</v>
      </c>
      <c r="C122" s="36">
        <f t="shared" ref="C122:C137" si="33">SUM(D122:HQ122)*1</f>
        <v>0</v>
      </c>
      <c r="DT122" s="20">
        <f>1*DT2</f>
        <v>0</v>
      </c>
      <c r="DU122" s="20">
        <f>1*DU2</f>
        <v>0</v>
      </c>
    </row>
    <row r="123" spans="1:148" ht="15.75" customHeight="1" thickBot="1" x14ac:dyDescent="0.3">
      <c r="A123" s="20" t="s">
        <v>251</v>
      </c>
      <c r="B123" s="5" t="s">
        <v>177</v>
      </c>
      <c r="C123" s="36">
        <f t="shared" si="33"/>
        <v>0</v>
      </c>
      <c r="DV123" s="20">
        <f>1*DV2</f>
        <v>0</v>
      </c>
    </row>
    <row r="124" spans="1:148" ht="15.75" customHeight="1" thickBot="1" x14ac:dyDescent="0.3">
      <c r="A124" s="20" t="s">
        <v>253</v>
      </c>
      <c r="B124" s="5" t="s">
        <v>177</v>
      </c>
      <c r="C124" s="36">
        <f t="shared" si="33"/>
        <v>0</v>
      </c>
      <c r="DD124" s="20">
        <f>1*DD2</f>
        <v>0</v>
      </c>
      <c r="DW124" s="20">
        <f>1*DW2</f>
        <v>0</v>
      </c>
    </row>
    <row r="125" spans="1:148" ht="15.75" customHeight="1" thickBot="1" x14ac:dyDescent="0.3">
      <c r="A125" s="20" t="s">
        <v>254</v>
      </c>
      <c r="B125" s="5" t="s">
        <v>177</v>
      </c>
      <c r="C125" s="36">
        <f t="shared" si="33"/>
        <v>0</v>
      </c>
      <c r="DE125" s="20">
        <f>1*DE2</f>
        <v>0</v>
      </c>
      <c r="DQ125" s="20">
        <f>1*DQ2</f>
        <v>0</v>
      </c>
      <c r="DX125" s="20">
        <f>1*DX2</f>
        <v>0</v>
      </c>
      <c r="DY125" s="20">
        <f>1*DY2</f>
        <v>0</v>
      </c>
      <c r="EM125" s="20">
        <f t="shared" ref="EM125:ER125" si="34">1*EM2</f>
        <v>0</v>
      </c>
      <c r="EN125" s="20">
        <f t="shared" si="34"/>
        <v>0</v>
      </c>
      <c r="EO125" s="20">
        <f t="shared" si="34"/>
        <v>0</v>
      </c>
      <c r="EP125" s="20">
        <f t="shared" si="34"/>
        <v>0</v>
      </c>
      <c r="EQ125" s="20">
        <f t="shared" si="34"/>
        <v>0</v>
      </c>
      <c r="ER125" s="20">
        <f t="shared" si="34"/>
        <v>0</v>
      </c>
    </row>
    <row r="126" spans="1:148" ht="15.75" customHeight="1" thickBot="1" x14ac:dyDescent="0.3">
      <c r="A126" s="20" t="s">
        <v>253</v>
      </c>
      <c r="B126" s="5" t="s">
        <v>177</v>
      </c>
      <c r="C126" s="36">
        <f t="shared" si="33"/>
        <v>0</v>
      </c>
      <c r="DR126" s="20">
        <f>1*DR2</f>
        <v>0</v>
      </c>
      <c r="DZ126" s="20">
        <f>1*DZ2</f>
        <v>0</v>
      </c>
    </row>
    <row r="127" spans="1:148" ht="15.75" customHeight="1" thickBot="1" x14ac:dyDescent="0.3">
      <c r="A127" s="20" t="s">
        <v>255</v>
      </c>
      <c r="B127" s="5" t="s">
        <v>177</v>
      </c>
      <c r="C127" s="36">
        <f t="shared" si="33"/>
        <v>0</v>
      </c>
      <c r="EA127" s="20">
        <f>1*EA2</f>
        <v>0</v>
      </c>
    </row>
    <row r="128" spans="1:148" ht="15.75" customHeight="1" thickBot="1" x14ac:dyDescent="0.3">
      <c r="A128" s="20" t="s">
        <v>256</v>
      </c>
      <c r="B128" s="5" t="s">
        <v>177</v>
      </c>
      <c r="C128" s="36">
        <f t="shared" si="33"/>
        <v>0</v>
      </c>
      <c r="CM128" s="20">
        <f>1*CM2</f>
        <v>0</v>
      </c>
    </row>
    <row r="129" spans="1:162" ht="15.75" customHeight="1" thickBot="1" x14ac:dyDescent="0.3">
      <c r="A129" s="20" t="s">
        <v>257</v>
      </c>
      <c r="B129" s="5" t="s">
        <v>177</v>
      </c>
      <c r="C129" s="36">
        <f t="shared" si="33"/>
        <v>0</v>
      </c>
      <c r="EB129" s="20">
        <f>1*EB2</f>
        <v>0</v>
      </c>
    </row>
    <row r="130" spans="1:162" ht="15.75" customHeight="1" thickBot="1" x14ac:dyDescent="0.3">
      <c r="A130" s="20" t="s">
        <v>258</v>
      </c>
      <c r="B130" s="5" t="s">
        <v>177</v>
      </c>
      <c r="C130" s="36">
        <f t="shared" si="33"/>
        <v>0</v>
      </c>
      <c r="ED130" s="20">
        <f>1*ED2</f>
        <v>0</v>
      </c>
    </row>
    <row r="131" spans="1:162" ht="15.75" customHeight="1" thickBot="1" x14ac:dyDescent="0.3">
      <c r="A131" s="20" t="s">
        <v>259</v>
      </c>
      <c r="B131" s="5" t="s">
        <v>177</v>
      </c>
      <c r="C131" s="36">
        <f t="shared" si="33"/>
        <v>0</v>
      </c>
      <c r="EG131" s="20">
        <f>1*EG2</f>
        <v>0</v>
      </c>
    </row>
    <row r="132" spans="1:162" ht="15.75" customHeight="1" thickBot="1" x14ac:dyDescent="0.3">
      <c r="A132" s="20" t="s">
        <v>260</v>
      </c>
      <c r="B132" s="5" t="s">
        <v>177</v>
      </c>
      <c r="C132" s="36">
        <f t="shared" si="33"/>
        <v>0</v>
      </c>
      <c r="CZ132" s="20">
        <f>CZ2*1</f>
        <v>0</v>
      </c>
    </row>
    <row r="133" spans="1:162" ht="15.75" customHeight="1" thickBot="1" x14ac:dyDescent="0.3">
      <c r="A133" s="20" t="s">
        <v>261</v>
      </c>
      <c r="B133" s="5" t="s">
        <v>177</v>
      </c>
      <c r="C133" s="36">
        <f t="shared" si="33"/>
        <v>0</v>
      </c>
      <c r="EC133" s="20">
        <f>1*EC2</f>
        <v>0</v>
      </c>
    </row>
    <row r="134" spans="1:162" ht="15.75" customHeight="1" thickBot="1" x14ac:dyDescent="0.3">
      <c r="A134" s="20" t="s">
        <v>262</v>
      </c>
      <c r="B134" s="5" t="s">
        <v>177</v>
      </c>
      <c r="C134" s="36">
        <f t="shared" si="33"/>
        <v>0</v>
      </c>
      <c r="EE134" s="20">
        <f>1*EE2</f>
        <v>0</v>
      </c>
    </row>
    <row r="135" spans="1:162" ht="15.75" customHeight="1" thickBot="1" x14ac:dyDescent="0.3">
      <c r="A135" s="20" t="s">
        <v>304</v>
      </c>
      <c r="B135" s="5" t="s">
        <v>177</v>
      </c>
      <c r="C135" s="36">
        <f t="shared" ref="C135" si="35">SUM(D135:HQ135)*1</f>
        <v>0</v>
      </c>
      <c r="FE135" s="20">
        <f>1*FE2</f>
        <v>0</v>
      </c>
    </row>
    <row r="136" spans="1:162" ht="15.75" customHeight="1" thickBot="1" x14ac:dyDescent="0.3">
      <c r="A136" s="20" t="s">
        <v>305</v>
      </c>
      <c r="B136" s="5" t="s">
        <v>177</v>
      </c>
      <c r="C136" s="36">
        <f t="shared" ref="C136" si="36">SUM(D136:HQ136)*1</f>
        <v>0</v>
      </c>
      <c r="FF136" s="20">
        <f>1*FF2</f>
        <v>0</v>
      </c>
    </row>
    <row r="137" spans="1:162" x14ac:dyDescent="0.25">
      <c r="A137" s="24" t="s">
        <v>263</v>
      </c>
      <c r="B137" s="5" t="s">
        <v>177</v>
      </c>
      <c r="C137" s="36">
        <f t="shared" si="33"/>
        <v>0</v>
      </c>
      <c r="CY137" s="20">
        <f>1*CY2</f>
        <v>0</v>
      </c>
    </row>
    <row r="140" spans="1:162" ht="15.75" customHeight="1" thickBot="1" x14ac:dyDescent="0.3">
      <c r="A140" s="19" t="s">
        <v>264</v>
      </c>
    </row>
    <row r="141" spans="1:162" x14ac:dyDescent="0.25">
      <c r="A141" s="18" t="s">
        <v>265</v>
      </c>
      <c r="B141" s="14">
        <v>0</v>
      </c>
      <c r="C141" s="22"/>
    </row>
    <row r="142" spans="1:162" x14ac:dyDescent="0.25">
      <c r="A142" s="16" t="s">
        <v>266</v>
      </c>
      <c r="B142" s="13" t="s">
        <v>177</v>
      </c>
      <c r="C142" s="23">
        <f>5*B141</f>
        <v>0</v>
      </c>
    </row>
    <row r="143" spans="1:162" x14ac:dyDescent="0.25">
      <c r="A143" s="16" t="s">
        <v>267</v>
      </c>
      <c r="B143" s="13" t="s">
        <v>177</v>
      </c>
      <c r="C143" s="23">
        <f>2*B141</f>
        <v>0</v>
      </c>
    </row>
    <row r="144" spans="1:162" ht="15.75" customHeight="1" thickBot="1" x14ac:dyDescent="0.3">
      <c r="A144" s="17" t="s">
        <v>268</v>
      </c>
      <c r="B144" s="15" t="s">
        <v>177</v>
      </c>
      <c r="C144" s="42">
        <f>2*B141</f>
        <v>0</v>
      </c>
    </row>
    <row r="145" spans="1:13" ht="15.75" customHeight="1" thickBot="1" x14ac:dyDescent="0.3"/>
    <row r="146" spans="1:13" x14ac:dyDescent="0.25">
      <c r="A146" s="18" t="s">
        <v>269</v>
      </c>
      <c r="B146" s="14">
        <v>0</v>
      </c>
      <c r="C146" s="22"/>
    </row>
    <row r="147" spans="1:13" x14ac:dyDescent="0.25">
      <c r="A147" s="16" t="s">
        <v>270</v>
      </c>
      <c r="B147" s="13" t="s">
        <v>177</v>
      </c>
      <c r="C147" s="23">
        <f>1*B146</f>
        <v>0</v>
      </c>
    </row>
    <row r="148" spans="1:13" ht="15.75" customHeight="1" thickBot="1" x14ac:dyDescent="0.3">
      <c r="A148" s="17" t="s">
        <v>271</v>
      </c>
      <c r="B148" s="15" t="s">
        <v>177</v>
      </c>
      <c r="C148" s="42">
        <f>4*B146</f>
        <v>0</v>
      </c>
    </row>
    <row r="149" spans="1:13" ht="15.75" customHeight="1" thickBot="1" x14ac:dyDescent="0.3"/>
    <row r="150" spans="1:13" x14ac:dyDescent="0.25">
      <c r="A150" s="18" t="s">
        <v>272</v>
      </c>
      <c r="B150" s="14">
        <v>0</v>
      </c>
      <c r="C150" s="22"/>
    </row>
    <row r="151" spans="1:13" x14ac:dyDescent="0.25">
      <c r="A151" s="21" t="s">
        <v>273</v>
      </c>
      <c r="B151" s="13" t="s">
        <v>177</v>
      </c>
      <c r="C151" s="23">
        <f>1*B150</f>
        <v>0</v>
      </c>
    </row>
    <row r="152" spans="1:13" x14ac:dyDescent="0.25">
      <c r="A152" s="20" t="s">
        <v>274</v>
      </c>
      <c r="B152" s="13" t="s">
        <v>177</v>
      </c>
      <c r="C152" s="23">
        <f>3*B150</f>
        <v>0</v>
      </c>
    </row>
    <row r="153" spans="1:13" ht="15.75" customHeight="1" thickBot="1" x14ac:dyDescent="0.3">
      <c r="A153" s="20" t="s">
        <v>275</v>
      </c>
      <c r="B153" s="15" t="s">
        <v>177</v>
      </c>
      <c r="C153" s="42">
        <f>2*B150</f>
        <v>0</v>
      </c>
    </row>
    <row r="154" spans="1:13" ht="15.75" customHeight="1" thickBot="1" x14ac:dyDescent="0.3"/>
    <row r="155" spans="1:13" x14ac:dyDescent="0.25">
      <c r="A155" s="18" t="s">
        <v>276</v>
      </c>
      <c r="B155" s="14">
        <v>0</v>
      </c>
      <c r="C155" s="22"/>
      <c r="M155" s="21"/>
    </row>
    <row r="156" spans="1:13" x14ac:dyDescent="0.25">
      <c r="A156" s="20" t="s">
        <v>277</v>
      </c>
      <c r="B156" s="13" t="s">
        <v>177</v>
      </c>
      <c r="C156" s="23">
        <f>1*B155</f>
        <v>0</v>
      </c>
    </row>
    <row r="157" spans="1:13" x14ac:dyDescent="0.25">
      <c r="A157" s="20" t="s">
        <v>278</v>
      </c>
      <c r="B157" s="13" t="s">
        <v>177</v>
      </c>
      <c r="C157" s="23">
        <f>1*B155</f>
        <v>0</v>
      </c>
    </row>
    <row r="158" spans="1:13" x14ac:dyDescent="0.25">
      <c r="A158" s="20" t="s">
        <v>279</v>
      </c>
      <c r="B158" s="13" t="s">
        <v>177</v>
      </c>
      <c r="C158" s="23">
        <f>1*B155</f>
        <v>0</v>
      </c>
    </row>
    <row r="159" spans="1:13" ht="15.75" customHeight="1" thickBot="1" x14ac:dyDescent="0.3"/>
    <row r="160" spans="1:13" x14ac:dyDescent="0.25">
      <c r="A160" s="18" t="s">
        <v>280</v>
      </c>
      <c r="B160" s="14">
        <v>0</v>
      </c>
      <c r="C160" s="22"/>
    </row>
    <row r="161" spans="1:3" x14ac:dyDescent="0.25">
      <c r="A161" s="20" t="s">
        <v>281</v>
      </c>
      <c r="B161" s="13" t="s">
        <v>177</v>
      </c>
      <c r="C161" s="23">
        <f>1*B160</f>
        <v>0</v>
      </c>
    </row>
    <row r="162" spans="1:3" x14ac:dyDescent="0.25">
      <c r="A162" s="20" t="s">
        <v>282</v>
      </c>
      <c r="B162" s="13" t="s">
        <v>177</v>
      </c>
      <c r="C162" s="23">
        <f>1*B160</f>
        <v>0</v>
      </c>
    </row>
    <row r="163" spans="1:3" x14ac:dyDescent="0.25">
      <c r="A163" s="20" t="s">
        <v>283</v>
      </c>
      <c r="B163" s="13" t="s">
        <v>177</v>
      </c>
      <c r="C163" s="23">
        <f>1*B160</f>
        <v>0</v>
      </c>
    </row>
    <row r="164" spans="1:3" ht="15.75" customHeight="1" thickBot="1" x14ac:dyDescent="0.3"/>
    <row r="165" spans="1:3" x14ac:dyDescent="0.25">
      <c r="A165" s="18" t="s">
        <v>284</v>
      </c>
      <c r="B165" s="14">
        <v>0</v>
      </c>
      <c r="C165" s="22"/>
    </row>
    <row r="166" spans="1:3" x14ac:dyDescent="0.25">
      <c r="A166" s="20" t="s">
        <v>285</v>
      </c>
      <c r="B166" s="13" t="s">
        <v>177</v>
      </c>
      <c r="C166" s="23">
        <f>1*B165</f>
        <v>0</v>
      </c>
    </row>
    <row r="167" spans="1:3" x14ac:dyDescent="0.25">
      <c r="A167" s="20" t="s">
        <v>286</v>
      </c>
      <c r="B167" s="13" t="s">
        <v>177</v>
      </c>
      <c r="C167" s="23">
        <f>4*B165</f>
        <v>0</v>
      </c>
    </row>
    <row r="168" spans="1:3" ht="15.75" customHeight="1" thickBot="1" x14ac:dyDescent="0.3"/>
    <row r="169" spans="1:3" x14ac:dyDescent="0.25">
      <c r="A169" s="18" t="s">
        <v>287</v>
      </c>
      <c r="B169" s="14">
        <v>105</v>
      </c>
      <c r="C169" s="22"/>
    </row>
    <row r="170" spans="1:3" x14ac:dyDescent="0.25">
      <c r="A170" s="20" t="s">
        <v>288</v>
      </c>
      <c r="B170" s="13" t="s">
        <v>177</v>
      </c>
      <c r="C170" s="23">
        <f>1*B169</f>
        <v>105</v>
      </c>
    </row>
    <row r="171" spans="1:3" x14ac:dyDescent="0.25">
      <c r="A171" s="20" t="s">
        <v>289</v>
      </c>
      <c r="B171" s="13" t="s">
        <v>177</v>
      </c>
      <c r="C171" s="23">
        <f>1*B169</f>
        <v>105</v>
      </c>
    </row>
  </sheetData>
  <autoFilter ref="B1:B171"/>
  <conditionalFormatting sqref="A14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C14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7:C1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1:C1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C15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1:C16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C16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C17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C53">
    <cfRule type="cellIs" dxfId="3" priority="11" operator="between">
      <formula>0.00001</formula>
      <formula>999999999</formula>
    </cfRule>
  </conditionalFormatting>
  <conditionalFormatting sqref="A32:C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AMJ9 D10:FA12 FE10:AMJ12 FB11:FD12 D13:AMJ729">
    <cfRule type="cellIs" dxfId="2" priority="3" operator="between">
      <formula>0.0001</formula>
      <formula>9999999</formula>
    </cfRule>
    <cfRule type="notContainsBlanks" dxfId="1" priority="4">
      <formula>LEN(TRIM(D3))&gt;0</formula>
    </cfRule>
    <cfRule type="cellIs" dxfId="0" priority="5" operator="between">
      <formula>0.00001</formula>
      <formula>9999999999</formula>
    </cfRule>
  </conditionalFormatting>
  <conditionalFormatting sqref="A54:C56 A3:C20 A40:C41 A27:C31 A43:C45 A1:DP1 A60:C134 A33:C38 B137:C137 A47:C49 A22:C2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C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C1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E1" r:id="rId1"/>
    <hyperlink ref="FF1" r:id="rId2"/>
  </hyperlinks>
  <pageMargins left="0.7" right="0.7" top="0.75" bottom="0.75" header="0.3" footer="0.3"/>
  <pageSetup paperSize="9" orientation="portrait" horizontalDpi="180" verticalDpi="18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Киселев Антон Викторович</cp:lastModifiedBy>
  <dcterms:created xsi:type="dcterms:W3CDTF">2006-09-28T05:33:49Z</dcterms:created>
  <dcterms:modified xsi:type="dcterms:W3CDTF">2024-02-13T10:46:38Z</dcterms:modified>
</cp:coreProperties>
</file>