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3\#материалы в производство\006 ГРАДИЕНТ\# Дисплеи VS 2019\Справочная информация\"/>
    </mc:Choice>
  </mc:AlternateContent>
  <bookViews>
    <workbookView xWindow="23370" yWindow="735" windowWidth="24750" windowHeight="10650"/>
  </bookViews>
  <sheets>
    <sheet name="Таблица транспонированая" sheetId="1" r:id="rId1"/>
  </sheets>
  <definedNames>
    <definedName name="_xlnm._FilterDatabase" localSheetId="0" hidden="1">'Таблица транспонированая'!$B$1:$B$271</definedName>
  </definedNames>
  <calcPr calcId="162913"/>
</workbook>
</file>

<file path=xl/calcChain.xml><?xml version="1.0" encoding="utf-8"?>
<calcChain xmlns="http://schemas.openxmlformats.org/spreadsheetml/2006/main">
  <c r="AK68" i="1" l="1"/>
  <c r="FS271" i="1" l="1"/>
  <c r="D271" i="1" s="1"/>
  <c r="C271" i="1" s="1"/>
  <c r="D270" i="1"/>
  <c r="GO269" i="1"/>
  <c r="D269" i="1" s="1"/>
  <c r="C269" i="1" s="1"/>
  <c r="D268" i="1"/>
  <c r="GM267" i="1"/>
  <c r="D267" i="1"/>
  <c r="C267" i="1" s="1"/>
  <c r="D266" i="1"/>
  <c r="GP265" i="1"/>
  <c r="D265" i="1" s="1"/>
  <c r="C265" i="1" s="1"/>
  <c r="D264" i="1"/>
  <c r="GK263" i="1"/>
  <c r="D263" i="1" s="1"/>
  <c r="C263" i="1" s="1"/>
  <c r="D262" i="1"/>
  <c r="C262" i="1" s="1"/>
  <c r="D261" i="1"/>
  <c r="C261" i="1"/>
  <c r="D260" i="1"/>
  <c r="C260" i="1" s="1"/>
  <c r="D259" i="1"/>
  <c r="C259" i="1" s="1"/>
  <c r="D258" i="1"/>
  <c r="C258" i="1"/>
  <c r="D257" i="1"/>
  <c r="C257" i="1" s="1"/>
  <c r="D256" i="1"/>
  <c r="C256" i="1" s="1"/>
  <c r="CW255" i="1"/>
  <c r="D255" i="1" s="1"/>
  <c r="C255" i="1" s="1"/>
  <c r="D254" i="1"/>
  <c r="DS253" i="1"/>
  <c r="D253" i="1" s="1"/>
  <c r="C253" i="1" s="1"/>
  <c r="DR252" i="1"/>
  <c r="D252" i="1"/>
  <c r="C252" i="1" s="1"/>
  <c r="DQ251" i="1"/>
  <c r="D251" i="1" s="1"/>
  <c r="C251" i="1" s="1"/>
  <c r="DP250" i="1"/>
  <c r="D250" i="1"/>
  <c r="C250" i="1" s="1"/>
  <c r="DO249" i="1"/>
  <c r="D249" i="1" s="1"/>
  <c r="C249" i="1" s="1"/>
  <c r="DN248" i="1"/>
  <c r="D248" i="1" s="1"/>
  <c r="C248" i="1" s="1"/>
  <c r="DM247" i="1"/>
  <c r="D247" i="1" s="1"/>
  <c r="C247" i="1" s="1"/>
  <c r="D246" i="1"/>
  <c r="C246" i="1"/>
  <c r="DK245" i="1"/>
  <c r="D245" i="1" s="1"/>
  <c r="C245" i="1" s="1"/>
  <c r="DJ244" i="1"/>
  <c r="D244" i="1" s="1"/>
  <c r="C244" i="1" s="1"/>
  <c r="DI243" i="1"/>
  <c r="D243" i="1"/>
  <c r="C243" i="1" s="1"/>
  <c r="DH242" i="1"/>
  <c r="D242" i="1" s="1"/>
  <c r="C242" i="1" s="1"/>
  <c r="DG241" i="1"/>
  <c r="D241" i="1" s="1"/>
  <c r="C241" i="1" s="1"/>
  <c r="DF240" i="1"/>
  <c r="D240" i="1" s="1"/>
  <c r="C240" i="1" s="1"/>
  <c r="DE239" i="1"/>
  <c r="D239" i="1" s="1"/>
  <c r="C239" i="1" s="1"/>
  <c r="GA238" i="1"/>
  <c r="D238" i="1" s="1"/>
  <c r="C238" i="1" s="1"/>
  <c r="D237" i="1"/>
  <c r="C237" i="1" s="1"/>
  <c r="D236" i="1"/>
  <c r="C236" i="1" s="1"/>
  <c r="D235" i="1"/>
  <c r="C235" i="1"/>
  <c r="D234" i="1"/>
  <c r="C234" i="1" s="1"/>
  <c r="D233" i="1"/>
  <c r="C233" i="1" s="1"/>
  <c r="D232" i="1"/>
  <c r="C232" i="1"/>
  <c r="CX231" i="1"/>
  <c r="D231" i="1" s="1"/>
  <c r="C231" i="1" s="1"/>
  <c r="GV230" i="1"/>
  <c r="D230" i="1" s="1"/>
  <c r="C230" i="1" s="1"/>
  <c r="D229" i="1"/>
  <c r="C229" i="1" s="1"/>
  <c r="GH228" i="1"/>
  <c r="D228" i="1" s="1"/>
  <c r="C228" i="1" s="1"/>
  <c r="GG227" i="1"/>
  <c r="D227" i="1"/>
  <c r="C227" i="1" s="1"/>
  <c r="GC226" i="1"/>
  <c r="D226" i="1" s="1"/>
  <c r="C226" i="1" s="1"/>
  <c r="FX225" i="1"/>
  <c r="D225" i="1" s="1"/>
  <c r="C225" i="1" s="1"/>
  <c r="GI224" i="1"/>
  <c r="D224" i="1" s="1"/>
  <c r="C224" i="1" s="1"/>
  <c r="GF223" i="1"/>
  <c r="D223" i="1" s="1"/>
  <c r="C223" i="1" s="1"/>
  <c r="GN222" i="1"/>
  <c r="D222" i="1" s="1"/>
  <c r="C222" i="1" s="1"/>
  <c r="GE221" i="1"/>
  <c r="D221" i="1" s="1"/>
  <c r="C221" i="1" s="1"/>
  <c r="GD220" i="1"/>
  <c r="D220" i="1" s="1"/>
  <c r="C220" i="1" s="1"/>
  <c r="FY219" i="1"/>
  <c r="D219" i="1" s="1"/>
  <c r="C219" i="1" s="1"/>
  <c r="D218" i="1"/>
  <c r="C218" i="1" s="1"/>
  <c r="D217" i="1"/>
  <c r="C217" i="1"/>
  <c r="D216" i="1"/>
  <c r="C216" i="1" s="1"/>
  <c r="DW215" i="1"/>
  <c r="D215" i="1" s="1"/>
  <c r="C215" i="1" s="1"/>
  <c r="FZ214" i="1"/>
  <c r="D214" i="1" s="1"/>
  <c r="C214" i="1" s="1"/>
  <c r="FV213" i="1"/>
  <c r="D213" i="1" s="1"/>
  <c r="C213" i="1" s="1"/>
  <c r="GB212" i="1"/>
  <c r="D212" i="1" s="1"/>
  <c r="C212" i="1" s="1"/>
  <c r="D211" i="1"/>
  <c r="C211" i="1"/>
  <c r="D210" i="1"/>
  <c r="C210" i="1" s="1"/>
  <c r="FU209" i="1"/>
  <c r="D209" i="1" s="1"/>
  <c r="C209" i="1" s="1"/>
  <c r="FT208" i="1"/>
  <c r="D208" i="1" s="1"/>
  <c r="C208" i="1" s="1"/>
  <c r="EF207" i="1"/>
  <c r="D207" i="1" s="1"/>
  <c r="C207" i="1" s="1"/>
  <c r="FQ206" i="1"/>
  <c r="D206" i="1"/>
  <c r="C206" i="1" s="1"/>
  <c r="FF205" i="1"/>
  <c r="D205" i="1" s="1"/>
  <c r="C205" i="1" s="1"/>
  <c r="D204" i="1"/>
  <c r="C204" i="1"/>
  <c r="FK203" i="1"/>
  <c r="D203" i="1"/>
  <c r="C203" i="1" s="1"/>
  <c r="FM202" i="1"/>
  <c r="D202" i="1" s="1"/>
  <c r="C202" i="1" s="1"/>
  <c r="FN201" i="1"/>
  <c r="D201" i="1" s="1"/>
  <c r="C201" i="1" s="1"/>
  <c r="D200" i="1"/>
  <c r="C200" i="1" s="1"/>
  <c r="CZ199" i="1"/>
  <c r="D199" i="1" s="1"/>
  <c r="C199" i="1" s="1"/>
  <c r="FW198" i="1"/>
  <c r="D198" i="1" s="1"/>
  <c r="C198" i="1" s="1"/>
  <c r="AI197" i="1"/>
  <c r="D197" i="1"/>
  <c r="C197" i="1" s="1"/>
  <c r="AH196" i="1"/>
  <c r="D196" i="1" s="1"/>
  <c r="C196" i="1" s="1"/>
  <c r="D195" i="1"/>
  <c r="C195" i="1" s="1"/>
  <c r="D194" i="1"/>
  <c r="C194" i="1" s="1"/>
  <c r="D193" i="1"/>
  <c r="C193" i="1"/>
  <c r="D192" i="1"/>
  <c r="C192" i="1" s="1"/>
  <c r="D191" i="1"/>
  <c r="C191" i="1" s="1"/>
  <c r="AA190" i="1"/>
  <c r="D190" i="1" s="1"/>
  <c r="C190" i="1" s="1"/>
  <c r="BY189" i="1"/>
  <c r="D189" i="1" s="1"/>
  <c r="C189" i="1" s="1"/>
  <c r="Q188" i="1"/>
  <c r="D188" i="1" s="1"/>
  <c r="C188" i="1" s="1"/>
  <c r="CJ187" i="1"/>
  <c r="D187" i="1" s="1"/>
  <c r="C187" i="1" s="1"/>
  <c r="D186" i="1"/>
  <c r="C186" i="1" s="1"/>
  <c r="EW185" i="1"/>
  <c r="D185" i="1" s="1"/>
  <c r="C185" i="1" s="1"/>
  <c r="D184" i="1"/>
  <c r="C184" i="1" s="1"/>
  <c r="D183" i="1"/>
  <c r="C183" i="1" s="1"/>
  <c r="D182" i="1"/>
  <c r="C182" i="1" s="1"/>
  <c r="DL181" i="1"/>
  <c r="D181" i="1" s="1"/>
  <c r="C181" i="1" s="1"/>
  <c r="DU180" i="1"/>
  <c r="DT180" i="1"/>
  <c r="FL179" i="1"/>
  <c r="FJ179" i="1"/>
  <c r="FI179" i="1"/>
  <c r="FH179" i="1"/>
  <c r="FG179" i="1"/>
  <c r="EV178" i="1"/>
  <c r="D178" i="1" s="1"/>
  <c r="C178" i="1" s="1"/>
  <c r="ET177" i="1"/>
  <c r="D177" i="1" s="1"/>
  <c r="C177" i="1" s="1"/>
  <c r="D176" i="1"/>
  <c r="C176" i="1" s="1"/>
  <c r="CY175" i="1"/>
  <c r="D175" i="1"/>
  <c r="C175" i="1" s="1"/>
  <c r="D174" i="1"/>
  <c r="C174" i="1"/>
  <c r="FE173" i="1"/>
  <c r="D173" i="1" s="1"/>
  <c r="C173" i="1" s="1"/>
  <c r="EX172" i="1"/>
  <c r="D172" i="1" s="1"/>
  <c r="C172" i="1" s="1"/>
  <c r="EZ171" i="1"/>
  <c r="D171" i="1" s="1"/>
  <c r="C171" i="1" s="1"/>
  <c r="EY170" i="1"/>
  <c r="D170" i="1" s="1"/>
  <c r="C170" i="1" s="1"/>
  <c r="D169" i="1"/>
  <c r="C169" i="1" s="1"/>
  <c r="DZ168" i="1"/>
  <c r="D168" i="1" s="1"/>
  <c r="C168" i="1" s="1"/>
  <c r="FC167" i="1"/>
  <c r="D167" i="1" s="1"/>
  <c r="C167" i="1" s="1"/>
  <c r="FB166" i="1"/>
  <c r="D166" i="1" s="1"/>
  <c r="C166" i="1" s="1"/>
  <c r="FD165" i="1"/>
  <c r="D165" i="1" s="1"/>
  <c r="C165" i="1" s="1"/>
  <c r="EL164" i="1"/>
  <c r="D164" i="1" s="1"/>
  <c r="C164" i="1" s="1"/>
  <c r="EQ163" i="1"/>
  <c r="D163" i="1"/>
  <c r="C163" i="1" s="1"/>
  <c r="ES162" i="1"/>
  <c r="D162" i="1"/>
  <c r="C162" i="1" s="1"/>
  <c r="ER161" i="1"/>
  <c r="D161" i="1" s="1"/>
  <c r="C161" i="1" s="1"/>
  <c r="EP160" i="1"/>
  <c r="D160" i="1" s="1"/>
  <c r="C160" i="1" s="1"/>
  <c r="D159" i="1"/>
  <c r="C159" i="1" s="1"/>
  <c r="EM158" i="1"/>
  <c r="D158" i="1" s="1"/>
  <c r="C158" i="1" s="1"/>
  <c r="EH157" i="1"/>
  <c r="D157" i="1"/>
  <c r="C157" i="1" s="1"/>
  <c r="EI156" i="1"/>
  <c r="D156" i="1" s="1"/>
  <c r="C156" i="1" s="1"/>
  <c r="EU155" i="1"/>
  <c r="D155" i="1" s="1"/>
  <c r="C155" i="1" s="1"/>
  <c r="EJ154" i="1"/>
  <c r="D154" i="1" s="1"/>
  <c r="C154" i="1" s="1"/>
  <c r="EK153" i="1"/>
  <c r="EA153" i="1"/>
  <c r="D153" i="1"/>
  <c r="C153" i="1" s="1"/>
  <c r="EE152" i="1"/>
  <c r="D152" i="1" s="1"/>
  <c r="C152" i="1" s="1"/>
  <c r="D151" i="1"/>
  <c r="C151" i="1" s="1"/>
  <c r="D150" i="1"/>
  <c r="C150" i="1" s="1"/>
  <c r="EC149" i="1"/>
  <c r="EB149" i="1"/>
  <c r="CS148" i="1"/>
  <c r="D148" i="1" s="1"/>
  <c r="C148" i="1" s="1"/>
  <c r="ED147" i="1"/>
  <c r="D147" i="1" s="1"/>
  <c r="C147" i="1" s="1"/>
  <c r="D146" i="1"/>
  <c r="C146" i="1" s="1"/>
  <c r="D145" i="1"/>
  <c r="C145" i="1" s="1"/>
  <c r="D144" i="1"/>
  <c r="C144" i="1" s="1"/>
  <c r="D143" i="1"/>
  <c r="C143" i="1"/>
  <c r="DC142" i="1"/>
  <c r="D142" i="1" s="1"/>
  <c r="C142" i="1" s="1"/>
  <c r="DB141" i="1"/>
  <c r="D141" i="1"/>
  <c r="C141" i="1" s="1"/>
  <c r="DA140" i="1"/>
  <c r="D140" i="1"/>
  <c r="C140" i="1" s="1"/>
  <c r="D139" i="1"/>
  <c r="C139" i="1"/>
  <c r="D138" i="1"/>
  <c r="C138" i="1"/>
  <c r="D137" i="1"/>
  <c r="C137" i="1" s="1"/>
  <c r="D136" i="1"/>
  <c r="C136" i="1" s="1"/>
  <c r="R135" i="1"/>
  <c r="D135" i="1" s="1"/>
  <c r="C135" i="1" s="1"/>
  <c r="DV134" i="1"/>
  <c r="D134" i="1"/>
  <c r="C134" i="1" s="1"/>
  <c r="CR133" i="1"/>
  <c r="D133" i="1"/>
  <c r="C133" i="1" s="1"/>
  <c r="CQ132" i="1"/>
  <c r="D132" i="1" s="1"/>
  <c r="C132" i="1" s="1"/>
  <c r="CL131" i="1"/>
  <c r="D131" i="1" s="1"/>
  <c r="C131" i="1" s="1"/>
  <c r="CK130" i="1"/>
  <c r="D130" i="1" s="1"/>
  <c r="C130" i="1" s="1"/>
  <c r="CN129" i="1"/>
  <c r="D129" i="1" s="1"/>
  <c r="C129" i="1" s="1"/>
  <c r="BH128" i="1"/>
  <c r="D128" i="1"/>
  <c r="C128" i="1" s="1"/>
  <c r="X127" i="1"/>
  <c r="W127" i="1"/>
  <c r="D127" i="1" s="1"/>
  <c r="C127" i="1" s="1"/>
  <c r="BI126" i="1"/>
  <c r="D126" i="1" s="1"/>
  <c r="C126" i="1" s="1"/>
  <c r="BK125" i="1"/>
  <c r="D125" i="1" s="1"/>
  <c r="C125" i="1" s="1"/>
  <c r="CV124" i="1"/>
  <c r="CU124" i="1"/>
  <c r="CT124" i="1"/>
  <c r="V124" i="1"/>
  <c r="D124" i="1" s="1"/>
  <c r="C124" i="1" s="1"/>
  <c r="S124" i="1"/>
  <c r="CI123" i="1"/>
  <c r="D123" i="1" s="1"/>
  <c r="C123" i="1" s="1"/>
  <c r="D122" i="1"/>
  <c r="C122" i="1" s="1"/>
  <c r="K121" i="1"/>
  <c r="D121" i="1" s="1"/>
  <c r="C121" i="1" s="1"/>
  <c r="CG120" i="1"/>
  <c r="D120" i="1"/>
  <c r="C120" i="1" s="1"/>
  <c r="CH119" i="1"/>
  <c r="D119" i="1" s="1"/>
  <c r="C119" i="1" s="1"/>
  <c r="CA118" i="1"/>
  <c r="D118" i="1" s="1"/>
  <c r="C118" i="1" s="1"/>
  <c r="BZ117" i="1"/>
  <c r="D117" i="1"/>
  <c r="C117" i="1" s="1"/>
  <c r="CP116" i="1"/>
  <c r="I116" i="1"/>
  <c r="D116" i="1" s="1"/>
  <c r="C116" i="1" s="1"/>
  <c r="CO115" i="1"/>
  <c r="D115" i="1"/>
  <c r="C115" i="1" s="1"/>
  <c r="CM114" i="1"/>
  <c r="D114" i="1" s="1"/>
  <c r="C114" i="1" s="1"/>
  <c r="BX114" i="1"/>
  <c r="AC113" i="1"/>
  <c r="D113" i="1"/>
  <c r="C113" i="1" s="1"/>
  <c r="D112" i="1"/>
  <c r="C112" i="1" s="1"/>
  <c r="J111" i="1"/>
  <c r="D111" i="1" s="1"/>
  <c r="C111" i="1" s="1"/>
  <c r="BL110" i="1"/>
  <c r="AU110" i="1"/>
  <c r="Z109" i="1"/>
  <c r="D109" i="1" s="1"/>
  <c r="C109" i="1" s="1"/>
  <c r="BM108" i="1"/>
  <c r="D108" i="1" s="1"/>
  <c r="C108" i="1" s="1"/>
  <c r="BA107" i="1"/>
  <c r="D107" i="1" s="1"/>
  <c r="C107" i="1" s="1"/>
  <c r="BE106" i="1"/>
  <c r="D106" i="1"/>
  <c r="C106" i="1" s="1"/>
  <c r="D105" i="1"/>
  <c r="C105" i="1" s="1"/>
  <c r="CD104" i="1"/>
  <c r="BQ104" i="1"/>
  <c r="BP104" i="1"/>
  <c r="CC103" i="1"/>
  <c r="D103" i="1" s="1"/>
  <c r="C103" i="1" s="1"/>
  <c r="AV102" i="1"/>
  <c r="AS102" i="1"/>
  <c r="AB102" i="1"/>
  <c r="Y102" i="1"/>
  <c r="D102" i="1" s="1"/>
  <c r="C102" i="1" s="1"/>
  <c r="D101" i="1"/>
  <c r="C101" i="1" s="1"/>
  <c r="BF100" i="1"/>
  <c r="BD100" i="1"/>
  <c r="BC100" i="1"/>
  <c r="BB100" i="1"/>
  <c r="AZ100" i="1"/>
  <c r="AY100" i="1"/>
  <c r="AW100" i="1"/>
  <c r="U100" i="1"/>
  <c r="H99" i="1"/>
  <c r="D99" i="1" s="1"/>
  <c r="C99" i="1" s="1"/>
  <c r="D98" i="1"/>
  <c r="C98" i="1" s="1"/>
  <c r="G97" i="1"/>
  <c r="D97" i="1" s="1"/>
  <c r="C97" i="1" s="1"/>
  <c r="CB96" i="1"/>
  <c r="D96" i="1" s="1"/>
  <c r="C96" i="1" s="1"/>
  <c r="AX95" i="1"/>
  <c r="D95" i="1" s="1"/>
  <c r="C95" i="1" s="1"/>
  <c r="AT94" i="1"/>
  <c r="D94" i="1" s="1"/>
  <c r="C94" i="1" s="1"/>
  <c r="BN93" i="1"/>
  <c r="D93" i="1"/>
  <c r="C93" i="1" s="1"/>
  <c r="GU92" i="1"/>
  <c r="D92" i="1" s="1"/>
  <c r="C92" i="1" s="1"/>
  <c r="BO91" i="1"/>
  <c r="D91" i="1"/>
  <c r="C91" i="1" s="1"/>
  <c r="D90" i="1"/>
  <c r="C90" i="1"/>
  <c r="AK89" i="1"/>
  <c r="D89" i="1" s="1"/>
  <c r="C89" i="1" s="1"/>
  <c r="AI88" i="1"/>
  <c r="D88" i="1" s="1"/>
  <c r="C88" i="1" s="1"/>
  <c r="AH87" i="1"/>
  <c r="D87" i="1" s="1"/>
  <c r="C87" i="1" s="1"/>
  <c r="T86" i="1"/>
  <c r="D86" i="1"/>
  <c r="C86" i="1" s="1"/>
  <c r="D85" i="1"/>
  <c r="C85" i="1" s="1"/>
  <c r="P84" i="1"/>
  <c r="D84" i="1" s="1"/>
  <c r="C84" i="1" s="1"/>
  <c r="D83" i="1"/>
  <c r="C83" i="1" s="1"/>
  <c r="O82" i="1"/>
  <c r="L82" i="1"/>
  <c r="D82" i="1" s="1"/>
  <c r="C82" i="1" s="1"/>
  <c r="GT81" i="1"/>
  <c r="D81" i="1" s="1"/>
  <c r="C81" i="1" s="1"/>
  <c r="GS80" i="1"/>
  <c r="D80" i="1"/>
  <c r="C80" i="1" s="1"/>
  <c r="GW79" i="1"/>
  <c r="D79" i="1" s="1"/>
  <c r="C79" i="1" s="1"/>
  <c r="GX78" i="1"/>
  <c r="D78" i="1" s="1"/>
  <c r="C78" i="1" s="1"/>
  <c r="DY77" i="1"/>
  <c r="D77" i="1" s="1"/>
  <c r="C77" i="1" s="1"/>
  <c r="DD76" i="1"/>
  <c r="D76" i="1" s="1"/>
  <c r="C76" i="1" s="1"/>
  <c r="D75" i="1"/>
  <c r="C75" i="1" s="1"/>
  <c r="GZ74" i="1"/>
  <c r="D74" i="1" s="1"/>
  <c r="C74" i="1" s="1"/>
  <c r="DX73" i="1"/>
  <c r="D73" i="1"/>
  <c r="C73" i="1" s="1"/>
  <c r="EG72" i="1"/>
  <c r="D72" i="1" s="1"/>
  <c r="C72" i="1" s="1"/>
  <c r="GJ70" i="1"/>
  <c r="D70" i="1" s="1"/>
  <c r="C70" i="1" s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Q69" i="1"/>
  <c r="FM69" i="1"/>
  <c r="FL69" i="1"/>
  <c r="FK69" i="1"/>
  <c r="FJ69" i="1"/>
  <c r="FI69" i="1"/>
  <c r="FH69" i="1"/>
  <c r="FF69" i="1"/>
  <c r="FC69" i="1"/>
  <c r="FB69" i="1"/>
  <c r="EZ69" i="1"/>
  <c r="EY69" i="1"/>
  <c r="EX69" i="1"/>
  <c r="EW69" i="1"/>
  <c r="EV69" i="1"/>
  <c r="EU69" i="1"/>
  <c r="ET69" i="1"/>
  <c r="ES69" i="1"/>
  <c r="ER69" i="1"/>
  <c r="EO69" i="1"/>
  <c r="EM69" i="1"/>
  <c r="EL69" i="1"/>
  <c r="EK69" i="1"/>
  <c r="EJ69" i="1"/>
  <c r="EI69" i="1"/>
  <c r="EG69" i="1"/>
  <c r="EC69" i="1"/>
  <c r="EB69" i="1"/>
  <c r="EA69" i="1"/>
  <c r="DZ69" i="1"/>
  <c r="DY69" i="1"/>
  <c r="DX69" i="1"/>
  <c r="DV69" i="1"/>
  <c r="DL69" i="1"/>
  <c r="DD69" i="1"/>
  <c r="DC69" i="1"/>
  <c r="DB69" i="1"/>
  <c r="CY69" i="1"/>
  <c r="CX69" i="1"/>
  <c r="CW69" i="1"/>
  <c r="CQ69" i="1"/>
  <c r="CL69" i="1"/>
  <c r="CK69" i="1"/>
  <c r="CJ69" i="1"/>
  <c r="CI69" i="1"/>
  <c r="CG69" i="1"/>
  <c r="CD69" i="1"/>
  <c r="BZ69" i="1"/>
  <c r="BY69" i="1"/>
  <c r="BX69" i="1"/>
  <c r="BP69" i="1"/>
  <c r="BL69" i="1"/>
  <c r="BE69" i="1"/>
  <c r="AV69" i="1"/>
  <c r="AU69" i="1"/>
  <c r="AQ69" i="1"/>
  <c r="AL69" i="1"/>
  <c r="AK69" i="1"/>
  <c r="AB69" i="1"/>
  <c r="AA69" i="1"/>
  <c r="Z69" i="1"/>
  <c r="Y69" i="1"/>
  <c r="K69" i="1"/>
  <c r="J69" i="1"/>
  <c r="I69" i="1"/>
  <c r="G69" i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Q68" i="1"/>
  <c r="FM68" i="1"/>
  <c r="FL68" i="1"/>
  <c r="FK68" i="1"/>
  <c r="FJ68" i="1"/>
  <c r="FI68" i="1"/>
  <c r="FH68" i="1"/>
  <c r="FF68" i="1"/>
  <c r="FC68" i="1"/>
  <c r="FB68" i="1"/>
  <c r="EZ68" i="1"/>
  <c r="EY68" i="1"/>
  <c r="EX68" i="1"/>
  <c r="EW68" i="1"/>
  <c r="EV68" i="1"/>
  <c r="EU68" i="1"/>
  <c r="ET68" i="1"/>
  <c r="ER68" i="1"/>
  <c r="EO68" i="1"/>
  <c r="EM68" i="1"/>
  <c r="EL68" i="1"/>
  <c r="EK68" i="1"/>
  <c r="EI68" i="1"/>
  <c r="EG68" i="1"/>
  <c r="EC68" i="1"/>
  <c r="EB68" i="1"/>
  <c r="EA68" i="1"/>
  <c r="DZ68" i="1"/>
  <c r="DY68" i="1"/>
  <c r="DX68" i="1"/>
  <c r="DV68" i="1"/>
  <c r="DL68" i="1"/>
  <c r="DD68" i="1"/>
  <c r="DC68" i="1"/>
  <c r="DB68" i="1"/>
  <c r="CY68" i="1"/>
  <c r="CX68" i="1"/>
  <c r="CW68" i="1"/>
  <c r="CQ68" i="1"/>
  <c r="CL68" i="1"/>
  <c r="CK68" i="1"/>
  <c r="CJ68" i="1"/>
  <c r="CI68" i="1"/>
  <c r="CG68" i="1"/>
  <c r="BY68" i="1"/>
  <c r="BX68" i="1"/>
  <c r="BP68" i="1"/>
  <c r="BL68" i="1"/>
  <c r="BE68" i="1"/>
  <c r="AV68" i="1"/>
  <c r="AQ68" i="1"/>
  <c r="AL68" i="1"/>
  <c r="AB68" i="1"/>
  <c r="AA68" i="1"/>
  <c r="Z68" i="1"/>
  <c r="Y68" i="1"/>
  <c r="K68" i="1"/>
  <c r="J68" i="1"/>
  <c r="I68" i="1"/>
  <c r="G68" i="1"/>
  <c r="HA66" i="1"/>
  <c r="GZ66" i="1"/>
  <c r="GY66" i="1"/>
  <c r="GB66" i="1"/>
  <c r="GA66" i="1"/>
  <c r="FL66" i="1"/>
  <c r="FJ66" i="1"/>
  <c r="FI66" i="1"/>
  <c r="FH66" i="1"/>
  <c r="FG66" i="1"/>
  <c r="DD66" i="1"/>
  <c r="DC66" i="1"/>
  <c r="DB66" i="1"/>
  <c r="CY66" i="1"/>
  <c r="CX66" i="1"/>
  <c r="CW66" i="1"/>
  <c r="GQ65" i="1"/>
  <c r="EZ65" i="1"/>
  <c r="D65" i="1" s="1"/>
  <c r="C65" i="1" s="1"/>
  <c r="GW64" i="1"/>
  <c r="GS64" i="1"/>
  <c r="GR64" i="1"/>
  <c r="GO64" i="1"/>
  <c r="GN64" i="1"/>
  <c r="GI64" i="1"/>
  <c r="FZ64" i="1"/>
  <c r="FY64" i="1"/>
  <c r="FV64" i="1"/>
  <c r="FU64" i="1"/>
  <c r="FT64" i="1"/>
  <c r="FS64" i="1"/>
  <c r="FQ64" i="1"/>
  <c r="FM64" i="1"/>
  <c r="FK64" i="1"/>
  <c r="EY64" i="1"/>
  <c r="EX64" i="1"/>
  <c r="EV64" i="1"/>
  <c r="EU64" i="1"/>
  <c r="ET64" i="1"/>
  <c r="ES64" i="1"/>
  <c r="ER64" i="1"/>
  <c r="EO64" i="1"/>
  <c r="EM64" i="1"/>
  <c r="EG64" i="1"/>
  <c r="DV64" i="1"/>
  <c r="CQ64" i="1"/>
  <c r="CL64" i="1"/>
  <c r="BL64" i="1"/>
  <c r="BE64" i="1"/>
  <c r="AU64" i="1"/>
  <c r="AQ64" i="1"/>
  <c r="AL64" i="1"/>
  <c r="K64" i="1"/>
  <c r="J64" i="1"/>
  <c r="HE63" i="1"/>
  <c r="HD63" i="1"/>
  <c r="HC63" i="1"/>
  <c r="HB63" i="1"/>
  <c r="HA63" i="1"/>
  <c r="GZ63" i="1"/>
  <c r="GY63" i="1"/>
  <c r="GU63" i="1"/>
  <c r="GQ63" i="1"/>
  <c r="GK63" i="1"/>
  <c r="GH63" i="1"/>
  <c r="GC63" i="1"/>
  <c r="GB63" i="1"/>
  <c r="GA63" i="1"/>
  <c r="FX63" i="1"/>
  <c r="FL63" i="1"/>
  <c r="FJ63" i="1"/>
  <c r="FI63" i="1"/>
  <c r="FH63" i="1"/>
  <c r="FG63" i="1"/>
  <c r="FC63" i="1"/>
  <c r="FB63" i="1"/>
  <c r="EZ63" i="1"/>
  <c r="EY63" i="1"/>
  <c r="EW63" i="1"/>
  <c r="EV63" i="1"/>
  <c r="EK63" i="1"/>
  <c r="EC63" i="1"/>
  <c r="EB63" i="1"/>
  <c r="EA63" i="1"/>
  <c r="DZ63" i="1"/>
  <c r="DY63" i="1"/>
  <c r="DX63" i="1"/>
  <c r="DL63" i="1"/>
  <c r="DD63" i="1"/>
  <c r="DC63" i="1"/>
  <c r="DB63" i="1"/>
  <c r="CY63" i="1"/>
  <c r="CX63" i="1"/>
  <c r="CW63" i="1"/>
  <c r="CM63" i="1"/>
  <c r="CG63" i="1"/>
  <c r="BZ63" i="1"/>
  <c r="BY63" i="1"/>
  <c r="BX63" i="1"/>
  <c r="BP63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Q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V61" i="1"/>
  <c r="DL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Q61" i="1"/>
  <c r="BP61" i="1"/>
  <c r="BO61" i="1"/>
  <c r="BN61" i="1"/>
  <c r="BM61" i="1"/>
  <c r="BL61" i="1"/>
  <c r="BK61" i="1"/>
  <c r="BF61" i="1"/>
  <c r="BE61" i="1"/>
  <c r="BD61" i="1"/>
  <c r="BB61" i="1"/>
  <c r="BA61" i="1"/>
  <c r="AZ61" i="1"/>
  <c r="AY61" i="1"/>
  <c r="AX61" i="1"/>
  <c r="AW61" i="1"/>
  <c r="AV61" i="1"/>
  <c r="AU61" i="1"/>
  <c r="AT61" i="1"/>
  <c r="AS61" i="1"/>
  <c r="AQ61" i="1"/>
  <c r="AL61" i="1"/>
  <c r="AK61" i="1"/>
  <c r="AI61" i="1"/>
  <c r="AH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M61" i="1"/>
  <c r="L61" i="1"/>
  <c r="K61" i="1"/>
  <c r="J61" i="1"/>
  <c r="I61" i="1"/>
  <c r="H61" i="1"/>
  <c r="G61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Q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V60" i="1"/>
  <c r="DL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Q60" i="1"/>
  <c r="BP60" i="1"/>
  <c r="BO60" i="1"/>
  <c r="BN60" i="1"/>
  <c r="BM60" i="1"/>
  <c r="BL60" i="1"/>
  <c r="BK60" i="1"/>
  <c r="BF60" i="1"/>
  <c r="BE60" i="1"/>
  <c r="BD60" i="1"/>
  <c r="BB60" i="1"/>
  <c r="BA60" i="1"/>
  <c r="AZ60" i="1"/>
  <c r="AY60" i="1"/>
  <c r="AX60" i="1"/>
  <c r="AW60" i="1"/>
  <c r="AV60" i="1"/>
  <c r="AU60" i="1"/>
  <c r="AT60" i="1"/>
  <c r="AS60" i="1"/>
  <c r="AQ60" i="1"/>
  <c r="AL60" i="1"/>
  <c r="AK60" i="1"/>
  <c r="AI60" i="1"/>
  <c r="AH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M60" i="1"/>
  <c r="L60" i="1"/>
  <c r="K60" i="1"/>
  <c r="J60" i="1"/>
  <c r="I60" i="1"/>
  <c r="H60" i="1"/>
  <c r="G60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Q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V59" i="1"/>
  <c r="DL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Q59" i="1"/>
  <c r="BP59" i="1"/>
  <c r="BO59" i="1"/>
  <c r="BN59" i="1"/>
  <c r="BM59" i="1"/>
  <c r="BL59" i="1"/>
  <c r="BK59" i="1"/>
  <c r="BF59" i="1"/>
  <c r="BE59" i="1"/>
  <c r="BD59" i="1"/>
  <c r="BB59" i="1"/>
  <c r="BA59" i="1"/>
  <c r="AZ59" i="1"/>
  <c r="AY59" i="1"/>
  <c r="AX59" i="1"/>
  <c r="AW59" i="1"/>
  <c r="AV59" i="1"/>
  <c r="AU59" i="1"/>
  <c r="AT59" i="1"/>
  <c r="AS59" i="1"/>
  <c r="AQ59" i="1"/>
  <c r="AL59" i="1"/>
  <c r="AK59" i="1"/>
  <c r="AI59" i="1"/>
  <c r="AH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M59" i="1"/>
  <c r="L59" i="1"/>
  <c r="K59" i="1"/>
  <c r="J59" i="1"/>
  <c r="I59" i="1"/>
  <c r="H59" i="1"/>
  <c r="G59" i="1"/>
  <c r="GQ57" i="1"/>
  <c r="FR57" i="1"/>
  <c r="D57" i="1"/>
  <c r="C57" i="1" s="1"/>
  <c r="GL56" i="1"/>
  <c r="D56" i="1"/>
  <c r="C56" i="1" s="1"/>
  <c r="FA55" i="1"/>
  <c r="D55" i="1" s="1"/>
  <c r="C55" i="1" s="1"/>
  <c r="FP54" i="1"/>
  <c r="D54" i="1" s="1"/>
  <c r="C54" i="1" s="1"/>
  <c r="GU53" i="1"/>
  <c r="D53" i="1" s="1"/>
  <c r="C53" i="1" s="1"/>
  <c r="GJ52" i="1"/>
  <c r="D52" i="1" s="1"/>
  <c r="C52" i="1" s="1"/>
  <c r="FO52" i="1"/>
  <c r="GV51" i="1"/>
  <c r="GT51" i="1"/>
  <c r="GS51" i="1"/>
  <c r="GP51" i="1"/>
  <c r="GM51" i="1"/>
  <c r="GI51" i="1"/>
  <c r="GC51" i="1"/>
  <c r="FX51" i="1"/>
  <c r="FU51" i="1"/>
  <c r="FT51" i="1"/>
  <c r="FS51" i="1"/>
  <c r="FK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GO49" i="1"/>
  <c r="GI49" i="1"/>
  <c r="FQ49" i="1"/>
  <c r="AU49" i="1"/>
  <c r="EJ47" i="1"/>
  <c r="D47" i="1" s="1"/>
  <c r="C47" i="1" s="1"/>
  <c r="EK46" i="1"/>
  <c r="EA46" i="1"/>
  <c r="D46" i="1" s="1"/>
  <c r="C46" i="1" s="1"/>
  <c r="EB45" i="1"/>
  <c r="D45" i="1" s="1"/>
  <c r="C45" i="1" s="1"/>
  <c r="GH44" i="1"/>
  <c r="EC44" i="1"/>
  <c r="D44" i="1"/>
  <c r="C44" i="1" s="1"/>
  <c r="HF43" i="1"/>
  <c r="D43" i="1"/>
  <c r="C43" i="1" s="1"/>
  <c r="GK42" i="1"/>
  <c r="GC42" i="1"/>
  <c r="FZ42" i="1"/>
  <c r="FW42" i="1"/>
  <c r="FU42" i="1"/>
  <c r="FS42" i="1"/>
  <c r="FM42" i="1"/>
  <c r="FC42" i="1"/>
  <c r="FB42" i="1"/>
  <c r="EY42" i="1"/>
  <c r="EX42" i="1"/>
  <c r="EW42" i="1"/>
  <c r="EV42" i="1"/>
  <c r="DZ42" i="1"/>
  <c r="DY42" i="1"/>
  <c r="DX42" i="1"/>
  <c r="CT42" i="1"/>
  <c r="CQ42" i="1"/>
  <c r="CN42" i="1"/>
  <c r="CM42" i="1"/>
  <c r="CL42" i="1"/>
  <c r="CH42" i="1"/>
  <c r="CG42" i="1"/>
  <c r="CD42" i="1"/>
  <c r="CC42" i="1"/>
  <c r="CA42" i="1"/>
  <c r="BZ42" i="1"/>
  <c r="BY42" i="1"/>
  <c r="BX42" i="1"/>
  <c r="BQ42" i="1"/>
  <c r="BP42" i="1"/>
  <c r="BO42" i="1"/>
  <c r="BH42" i="1"/>
  <c r="BF42" i="1"/>
  <c r="BD42" i="1"/>
  <c r="BC42" i="1"/>
  <c r="BB42" i="1"/>
  <c r="AZ42" i="1"/>
  <c r="AY42" i="1"/>
  <c r="AX42" i="1"/>
  <c r="AW42" i="1"/>
  <c r="AR42" i="1"/>
  <c r="AN42" i="1"/>
  <c r="AM42" i="1"/>
  <c r="AD42" i="1"/>
  <c r="T42" i="1"/>
  <c r="S42" i="1"/>
  <c r="Q42" i="1"/>
  <c r="P42" i="1"/>
  <c r="O42" i="1"/>
  <c r="N42" i="1"/>
  <c r="M42" i="1"/>
  <c r="L42" i="1"/>
  <c r="GH40" i="1"/>
  <c r="EK40" i="1"/>
  <c r="EJ40" i="1"/>
  <c r="EH40" i="1"/>
  <c r="EC40" i="1"/>
  <c r="EB40" i="1"/>
  <c r="D40" i="1" s="1"/>
  <c r="C40" i="1" s="1"/>
  <c r="EA40" i="1"/>
  <c r="HE39" i="1"/>
  <c r="HD39" i="1"/>
  <c r="HC39" i="1"/>
  <c r="HB39" i="1"/>
  <c r="HA39" i="1"/>
  <c r="GZ39" i="1"/>
  <c r="GY39" i="1"/>
  <c r="D39" i="1" s="1"/>
  <c r="C39" i="1" s="1"/>
  <c r="GU38" i="1"/>
  <c r="D38" i="1" s="1"/>
  <c r="C38" i="1" s="1"/>
  <c r="GW37" i="1"/>
  <c r="GQ37" i="1"/>
  <c r="GL37" i="1"/>
  <c r="GC37" i="1"/>
  <c r="GB37" i="1"/>
  <c r="GA37" i="1"/>
  <c r="FY37" i="1"/>
  <c r="FX37" i="1"/>
  <c r="FU37" i="1"/>
  <c r="FR37" i="1"/>
  <c r="FP37" i="1"/>
  <c r="FO37" i="1"/>
  <c r="FN37" i="1"/>
  <c r="FL37" i="1"/>
  <c r="FJ37" i="1"/>
  <c r="FI37" i="1"/>
  <c r="FH37" i="1"/>
  <c r="FG37" i="1"/>
  <c r="FC37" i="1"/>
  <c r="FB37" i="1"/>
  <c r="EZ37" i="1"/>
  <c r="EY37" i="1"/>
  <c r="EW37" i="1"/>
  <c r="EV37" i="1"/>
  <c r="EQ37" i="1"/>
  <c r="EH37" i="1"/>
  <c r="EG37" i="1"/>
  <c r="EF37" i="1"/>
  <c r="EE37" i="1"/>
  <c r="ED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S37" i="1"/>
  <c r="CM37" i="1"/>
  <c r="CG37" i="1"/>
  <c r="CF37" i="1"/>
  <c r="CE37" i="1"/>
  <c r="CD37" i="1"/>
  <c r="CC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K37" i="1"/>
  <c r="BI37" i="1"/>
  <c r="BH37" i="1"/>
  <c r="BG37" i="1"/>
  <c r="BF37" i="1"/>
  <c r="BD37" i="1"/>
  <c r="BC37" i="1"/>
  <c r="BB37" i="1"/>
  <c r="AZ37" i="1"/>
  <c r="AY37" i="1"/>
  <c r="AX37" i="1"/>
  <c r="AW37" i="1"/>
  <c r="AR37" i="1"/>
  <c r="AP37" i="1"/>
  <c r="AO37" i="1"/>
  <c r="AN37" i="1"/>
  <c r="AM37" i="1"/>
  <c r="AJ37" i="1"/>
  <c r="AG37" i="1"/>
  <c r="AF37" i="1"/>
  <c r="AE37" i="1"/>
  <c r="AD37" i="1"/>
  <c r="U37" i="1"/>
  <c r="T37" i="1"/>
  <c r="S37" i="1"/>
  <c r="R37" i="1"/>
  <c r="Q37" i="1"/>
  <c r="P37" i="1"/>
  <c r="O37" i="1"/>
  <c r="N37" i="1"/>
  <c r="M37" i="1"/>
  <c r="L37" i="1"/>
  <c r="I37" i="1"/>
  <c r="F37" i="1"/>
  <c r="E37" i="1"/>
  <c r="GW35" i="1"/>
  <c r="GT35" i="1"/>
  <c r="GS35" i="1"/>
  <c r="GR35" i="1"/>
  <c r="GO35" i="1"/>
  <c r="GN35" i="1"/>
  <c r="GI35" i="1"/>
  <c r="FZ35" i="1"/>
  <c r="FY35" i="1"/>
  <c r="FV35" i="1"/>
  <c r="FU35" i="1"/>
  <c r="FT35" i="1"/>
  <c r="FS35" i="1"/>
  <c r="FQ35" i="1"/>
  <c r="FM35" i="1"/>
  <c r="FK35" i="1"/>
  <c r="EY35" i="1"/>
  <c r="EX35" i="1"/>
  <c r="EV35" i="1"/>
  <c r="EU35" i="1"/>
  <c r="ET35" i="1"/>
  <c r="EO35" i="1"/>
  <c r="EM35" i="1"/>
  <c r="EG35" i="1"/>
  <c r="CQ35" i="1"/>
  <c r="CL35" i="1"/>
  <c r="BL35" i="1"/>
  <c r="BE35" i="1"/>
  <c r="K35" i="1"/>
  <c r="J35" i="1"/>
  <c r="GW34" i="1"/>
  <c r="GT34" i="1"/>
  <c r="GS34" i="1"/>
  <c r="GR34" i="1"/>
  <c r="GQ34" i="1"/>
  <c r="GO34" i="1"/>
  <c r="GN34" i="1"/>
  <c r="GI34" i="1"/>
  <c r="FZ34" i="1"/>
  <c r="FY34" i="1"/>
  <c r="FV34" i="1"/>
  <c r="FU34" i="1"/>
  <c r="FT34" i="1"/>
  <c r="FS34" i="1"/>
  <c r="FR34" i="1"/>
  <c r="FQ34" i="1"/>
  <c r="FM34" i="1"/>
  <c r="FK34" i="1"/>
  <c r="EY34" i="1"/>
  <c r="EX34" i="1"/>
  <c r="EV34" i="1"/>
  <c r="EU34" i="1"/>
  <c r="ET34" i="1"/>
  <c r="ES34" i="1"/>
  <c r="ER34" i="1"/>
  <c r="EP34" i="1"/>
  <c r="EO34" i="1"/>
  <c r="EM34" i="1"/>
  <c r="EG34" i="1"/>
  <c r="EE34" i="1"/>
  <c r="DV34" i="1"/>
  <c r="CV34" i="1"/>
  <c r="CU34" i="1"/>
  <c r="CT34" i="1"/>
  <c r="CQ34" i="1"/>
  <c r="CN34" i="1"/>
  <c r="CL34" i="1"/>
  <c r="BM34" i="1"/>
  <c r="BL34" i="1"/>
  <c r="BE34" i="1"/>
  <c r="AU34" i="1"/>
  <c r="Q34" i="1"/>
  <c r="P34" i="1"/>
  <c r="O34" i="1"/>
  <c r="M34" i="1"/>
  <c r="L34" i="1"/>
  <c r="K34" i="1"/>
  <c r="J34" i="1"/>
  <c r="AQ33" i="1"/>
  <c r="AL33" i="1"/>
  <c r="DV32" i="1"/>
  <c r="AQ32" i="1"/>
  <c r="AL32" i="1"/>
  <c r="FL31" i="1"/>
  <c r="FJ31" i="1"/>
  <c r="FI31" i="1"/>
  <c r="FH31" i="1"/>
  <c r="FG31" i="1"/>
  <c r="EZ31" i="1"/>
  <c r="D31" i="1" s="1"/>
  <c r="C31" i="1" s="1"/>
  <c r="GB30" i="1"/>
  <c r="GA30" i="1"/>
  <c r="FL30" i="1"/>
  <c r="FJ30" i="1"/>
  <c r="FI30" i="1"/>
  <c r="FH30" i="1"/>
  <c r="FG30" i="1"/>
  <c r="EZ30" i="1"/>
  <c r="D28" i="1"/>
  <c r="C28" i="1"/>
  <c r="X27" i="1"/>
  <c r="W27" i="1"/>
  <c r="D27" i="1"/>
  <c r="C27" i="1" s="1"/>
  <c r="GL26" i="1"/>
  <c r="D26" i="1" s="1"/>
  <c r="C26" i="1" s="1"/>
  <c r="GL25" i="1"/>
  <c r="D25" i="1" s="1"/>
  <c r="C25" i="1" s="1"/>
  <c r="FP25" i="1"/>
  <c r="FO25" i="1"/>
  <c r="GK24" i="1"/>
  <c r="GC24" i="1"/>
  <c r="FX24" i="1"/>
  <c r="FC24" i="1"/>
  <c r="FB24" i="1"/>
  <c r="EZ24" i="1"/>
  <c r="EY24" i="1"/>
  <c r="EW24" i="1"/>
  <c r="EV24" i="1"/>
  <c r="DZ24" i="1"/>
  <c r="DY24" i="1"/>
  <c r="DX24" i="1"/>
  <c r="CG24" i="1"/>
  <c r="CD24" i="1"/>
  <c r="BZ24" i="1"/>
  <c r="BY24" i="1"/>
  <c r="BX24" i="1"/>
  <c r="BP24" i="1"/>
  <c r="GK23" i="1"/>
  <c r="GC23" i="1"/>
  <c r="FX23" i="1"/>
  <c r="FC23" i="1"/>
  <c r="FB23" i="1"/>
  <c r="EZ23" i="1"/>
  <c r="EY23" i="1"/>
  <c r="EW23" i="1"/>
  <c r="EV23" i="1"/>
  <c r="EQ23" i="1"/>
  <c r="EE23" i="1"/>
  <c r="DZ23" i="1"/>
  <c r="DY23" i="1"/>
  <c r="DX23" i="1"/>
  <c r="CM23" i="1"/>
  <c r="CG23" i="1"/>
  <c r="CF23" i="1"/>
  <c r="CE23" i="1"/>
  <c r="CD23" i="1"/>
  <c r="CC23" i="1"/>
  <c r="BZ23" i="1"/>
  <c r="BY23" i="1"/>
  <c r="BX23" i="1"/>
  <c r="BQ23" i="1"/>
  <c r="BP23" i="1"/>
  <c r="BO23" i="1"/>
  <c r="BK23" i="1"/>
  <c r="BF23" i="1"/>
  <c r="BD23" i="1"/>
  <c r="BC23" i="1"/>
  <c r="BB23" i="1"/>
  <c r="AZ23" i="1"/>
  <c r="AY23" i="1"/>
  <c r="AX23" i="1"/>
  <c r="AW23" i="1"/>
  <c r="T23" i="1"/>
  <c r="P23" i="1"/>
  <c r="O23" i="1"/>
  <c r="N23" i="1"/>
  <c r="M23" i="1"/>
  <c r="L23" i="1"/>
  <c r="GZ22" i="1"/>
  <c r="GJ22" i="1"/>
  <c r="D22" i="1" s="1"/>
  <c r="C22" i="1" s="1"/>
  <c r="DD22" i="1"/>
  <c r="GZ21" i="1"/>
  <c r="GJ21" i="1"/>
  <c r="FA21" i="1"/>
  <c r="DD21" i="1"/>
  <c r="GQ20" i="1"/>
  <c r="D20" i="1" s="1"/>
  <c r="C20" i="1" s="1"/>
  <c r="GQ19" i="1"/>
  <c r="FR19" i="1"/>
  <c r="D19" i="1" s="1"/>
  <c r="C19" i="1" s="1"/>
  <c r="GK18" i="1"/>
  <c r="GG18" i="1"/>
  <c r="GC18" i="1"/>
  <c r="FX18" i="1"/>
  <c r="FI18" i="1"/>
  <c r="FC18" i="1"/>
  <c r="FB18" i="1"/>
  <c r="EZ18" i="1"/>
  <c r="EY18" i="1"/>
  <c r="EW18" i="1"/>
  <c r="EV18" i="1"/>
  <c r="DZ18" i="1"/>
  <c r="DY18" i="1"/>
  <c r="DX18" i="1"/>
  <c r="CG18" i="1"/>
  <c r="CD18" i="1"/>
  <c r="BZ18" i="1"/>
  <c r="BY18" i="1"/>
  <c r="BX18" i="1"/>
  <c r="BP18" i="1"/>
  <c r="GK17" i="1"/>
  <c r="GG17" i="1"/>
  <c r="GC17" i="1"/>
  <c r="FX17" i="1"/>
  <c r="FI17" i="1"/>
  <c r="FC17" i="1"/>
  <c r="FB17" i="1"/>
  <c r="EZ17" i="1"/>
  <c r="EY17" i="1"/>
  <c r="EW17" i="1"/>
  <c r="EV17" i="1"/>
  <c r="EQ17" i="1"/>
  <c r="EE17" i="1"/>
  <c r="DZ17" i="1"/>
  <c r="DY17" i="1"/>
  <c r="DX17" i="1"/>
  <c r="CM17" i="1"/>
  <c r="CG17" i="1"/>
  <c r="CD17" i="1"/>
  <c r="CC17" i="1"/>
  <c r="BZ17" i="1"/>
  <c r="BY17" i="1"/>
  <c r="BX17" i="1"/>
  <c r="BQ17" i="1"/>
  <c r="BP17" i="1"/>
  <c r="BO17" i="1"/>
  <c r="BK17" i="1"/>
  <c r="BF17" i="1"/>
  <c r="BD17" i="1"/>
  <c r="BC17" i="1"/>
  <c r="BB17" i="1"/>
  <c r="AZ17" i="1"/>
  <c r="AY17" i="1"/>
  <c r="AX17" i="1"/>
  <c r="AW17" i="1"/>
  <c r="T17" i="1"/>
  <c r="P17" i="1"/>
  <c r="O17" i="1"/>
  <c r="N17" i="1"/>
  <c r="M17" i="1"/>
  <c r="L17" i="1"/>
  <c r="GK16" i="1"/>
  <c r="GC16" i="1"/>
  <c r="FX16" i="1"/>
  <c r="EY16" i="1"/>
  <c r="EW16" i="1"/>
  <c r="EV16" i="1"/>
  <c r="DZ16" i="1"/>
  <c r="DY16" i="1"/>
  <c r="DX16" i="1"/>
  <c r="CG16" i="1"/>
  <c r="CD16" i="1"/>
  <c r="BZ16" i="1"/>
  <c r="BY16" i="1"/>
  <c r="BX16" i="1"/>
  <c r="BP16" i="1"/>
  <c r="D16" i="1" s="1"/>
  <c r="C16" i="1" s="1"/>
  <c r="GK15" i="1"/>
  <c r="GC15" i="1"/>
  <c r="FX15" i="1"/>
  <c r="EY15" i="1"/>
  <c r="EW15" i="1"/>
  <c r="EV15" i="1"/>
  <c r="EQ15" i="1"/>
  <c r="EE15" i="1"/>
  <c r="DZ15" i="1"/>
  <c r="DY15" i="1"/>
  <c r="DX15" i="1"/>
  <c r="CM15" i="1"/>
  <c r="CG15" i="1"/>
  <c r="CF15" i="1"/>
  <c r="CE15" i="1"/>
  <c r="CD15" i="1"/>
  <c r="CC15" i="1"/>
  <c r="BZ15" i="1"/>
  <c r="BY15" i="1"/>
  <c r="BX15" i="1"/>
  <c r="BQ15" i="1"/>
  <c r="BP15" i="1"/>
  <c r="BO15" i="1"/>
  <c r="BK15" i="1"/>
  <c r="BF15" i="1"/>
  <c r="BD15" i="1"/>
  <c r="BC15" i="1"/>
  <c r="BB15" i="1"/>
  <c r="AZ15" i="1"/>
  <c r="AY15" i="1"/>
  <c r="AX15" i="1"/>
  <c r="AW15" i="1"/>
  <c r="T15" i="1"/>
  <c r="P15" i="1"/>
  <c r="O15" i="1"/>
  <c r="N15" i="1"/>
  <c r="M15" i="1"/>
  <c r="L15" i="1"/>
  <c r="GW14" i="1"/>
  <c r="GB14" i="1"/>
  <c r="GA14" i="1"/>
  <c r="FY14" i="1"/>
  <c r="FL14" i="1"/>
  <c r="FJ14" i="1"/>
  <c r="FI14" i="1"/>
  <c r="FH14" i="1"/>
  <c r="FG14" i="1"/>
  <c r="GW13" i="1"/>
  <c r="GB13" i="1"/>
  <c r="GA13" i="1"/>
  <c r="FY13" i="1"/>
  <c r="FN13" i="1"/>
  <c r="FL13" i="1"/>
  <c r="FJ13" i="1"/>
  <c r="FI13" i="1"/>
  <c r="FH13" i="1"/>
  <c r="FG13" i="1"/>
  <c r="EN13" i="1"/>
  <c r="CR13" i="1"/>
  <c r="AC13" i="1"/>
  <c r="HE12" i="1"/>
  <c r="HD12" i="1"/>
  <c r="HC12" i="1"/>
  <c r="HB12" i="1"/>
  <c r="HA12" i="1"/>
  <c r="GZ12" i="1"/>
  <c r="GY12" i="1"/>
  <c r="GX12" i="1"/>
  <c r="GV12" i="1"/>
  <c r="GT12" i="1"/>
  <c r="GS12" i="1"/>
  <c r="GP12" i="1"/>
  <c r="GO12" i="1"/>
  <c r="GN12" i="1"/>
  <c r="GM12" i="1"/>
  <c r="GI12" i="1"/>
  <c r="GH12" i="1"/>
  <c r="GG12" i="1"/>
  <c r="GF12" i="1"/>
  <c r="GE12" i="1"/>
  <c r="GD12" i="1"/>
  <c r="GB12" i="1"/>
  <c r="GA12" i="1"/>
  <c r="FZ12" i="1"/>
  <c r="FV12" i="1"/>
  <c r="FU12" i="1"/>
  <c r="FT12" i="1"/>
  <c r="FS12" i="1"/>
  <c r="FQ12" i="1"/>
  <c r="FM12" i="1"/>
  <c r="FL12" i="1"/>
  <c r="FK12" i="1"/>
  <c r="FJ12" i="1"/>
  <c r="FI12" i="1"/>
  <c r="FH12" i="1"/>
  <c r="FG12" i="1"/>
  <c r="FF12" i="1"/>
  <c r="EZ12" i="1"/>
  <c r="EX12" i="1"/>
  <c r="EV12" i="1"/>
  <c r="EU12" i="1"/>
  <c r="ET12" i="1"/>
  <c r="ES12" i="1"/>
  <c r="ER12" i="1"/>
  <c r="EO12" i="1"/>
  <c r="EM12" i="1"/>
  <c r="EL12" i="1"/>
  <c r="EK12" i="1"/>
  <c r="EJ12" i="1"/>
  <c r="EI12" i="1"/>
  <c r="EG12" i="1"/>
  <c r="EC12" i="1"/>
  <c r="EB12" i="1"/>
  <c r="EA12" i="1"/>
  <c r="DV12" i="1"/>
  <c r="DL12" i="1"/>
  <c r="DD12" i="1"/>
  <c r="DC12" i="1"/>
  <c r="DB12" i="1"/>
  <c r="CY12" i="1"/>
  <c r="CX12" i="1"/>
  <c r="CW12" i="1"/>
  <c r="CQ12" i="1"/>
  <c r="CL12" i="1"/>
  <c r="CK12" i="1"/>
  <c r="CJ12" i="1"/>
  <c r="CD12" i="1"/>
  <c r="BY12" i="1"/>
  <c r="BL12" i="1"/>
  <c r="BE12" i="1"/>
  <c r="AV12" i="1"/>
  <c r="AU12" i="1"/>
  <c r="AK12" i="1"/>
  <c r="AB12" i="1"/>
  <c r="AA12" i="1"/>
  <c r="Z12" i="1"/>
  <c r="Y12" i="1"/>
  <c r="K12" i="1"/>
  <c r="J12" i="1"/>
  <c r="I12" i="1"/>
  <c r="G12" i="1"/>
  <c r="D12" i="1" s="1"/>
  <c r="C12" i="1" s="1"/>
  <c r="HE11" i="1"/>
  <c r="HD11" i="1"/>
  <c r="HC11" i="1"/>
  <c r="HB11" i="1"/>
  <c r="HA11" i="1"/>
  <c r="GZ11" i="1"/>
  <c r="GY11" i="1"/>
  <c r="GX11" i="1"/>
  <c r="GV11" i="1"/>
  <c r="GT11" i="1"/>
  <c r="GS11" i="1"/>
  <c r="GP11" i="1"/>
  <c r="GO11" i="1"/>
  <c r="GN11" i="1"/>
  <c r="GM11" i="1"/>
  <c r="GI11" i="1"/>
  <c r="GH11" i="1"/>
  <c r="GG11" i="1"/>
  <c r="GF11" i="1"/>
  <c r="GE11" i="1"/>
  <c r="GD11" i="1"/>
  <c r="GB11" i="1"/>
  <c r="GA11" i="1"/>
  <c r="FZ11" i="1"/>
  <c r="FV11" i="1"/>
  <c r="FU11" i="1"/>
  <c r="FT11" i="1"/>
  <c r="FS11" i="1"/>
  <c r="FQ11" i="1"/>
  <c r="FN11" i="1"/>
  <c r="FM11" i="1"/>
  <c r="FL11" i="1"/>
  <c r="FK11" i="1"/>
  <c r="FJ11" i="1"/>
  <c r="FI11" i="1"/>
  <c r="FH11" i="1"/>
  <c r="FG11" i="1"/>
  <c r="FF11" i="1"/>
  <c r="FE11" i="1"/>
  <c r="FD11" i="1"/>
  <c r="EZ11" i="1"/>
  <c r="EX11" i="1"/>
  <c r="EV11" i="1"/>
  <c r="EU11" i="1"/>
  <c r="ET11" i="1"/>
  <c r="ES11" i="1"/>
  <c r="ER11" i="1"/>
  <c r="EP11" i="1"/>
  <c r="EO11" i="1"/>
  <c r="EM11" i="1"/>
  <c r="EL11" i="1"/>
  <c r="EK11" i="1"/>
  <c r="EJ11" i="1"/>
  <c r="EI11" i="1"/>
  <c r="EG11" i="1"/>
  <c r="EF11" i="1"/>
  <c r="EE11" i="1"/>
  <c r="EC11" i="1"/>
  <c r="EB11" i="1"/>
  <c r="EA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Q11" i="1"/>
  <c r="CP11" i="1"/>
  <c r="CO11" i="1"/>
  <c r="CN11" i="1"/>
  <c r="CL11" i="1"/>
  <c r="CK11" i="1"/>
  <c r="CJ11" i="1"/>
  <c r="CH11" i="1"/>
  <c r="CD11" i="1"/>
  <c r="CC11" i="1"/>
  <c r="CB11" i="1"/>
  <c r="CA11" i="1"/>
  <c r="BY11" i="1"/>
  <c r="BW11" i="1"/>
  <c r="BV11" i="1"/>
  <c r="BU11" i="1"/>
  <c r="BT11" i="1"/>
  <c r="BS11" i="1"/>
  <c r="BR11" i="1"/>
  <c r="BN11" i="1"/>
  <c r="BM11" i="1"/>
  <c r="BL11" i="1"/>
  <c r="BK11" i="1"/>
  <c r="BJ11" i="1"/>
  <c r="BI11" i="1"/>
  <c r="BH11" i="1"/>
  <c r="BG11" i="1"/>
  <c r="BE11" i="1"/>
  <c r="BA11" i="1"/>
  <c r="AV11" i="1"/>
  <c r="AU11" i="1"/>
  <c r="AT11" i="1"/>
  <c r="AS11" i="1"/>
  <c r="AR11" i="1"/>
  <c r="AP11" i="1"/>
  <c r="AO11" i="1"/>
  <c r="AN11" i="1"/>
  <c r="AM11" i="1"/>
  <c r="AK11" i="1"/>
  <c r="AJ11" i="1"/>
  <c r="AI11" i="1"/>
  <c r="AH11" i="1"/>
  <c r="AG11" i="1"/>
  <c r="AF11" i="1"/>
  <c r="AE11" i="1"/>
  <c r="AD11" i="1"/>
  <c r="AB11" i="1"/>
  <c r="AA11" i="1"/>
  <c r="Z11" i="1"/>
  <c r="Y11" i="1"/>
  <c r="S11" i="1"/>
  <c r="R11" i="1"/>
  <c r="Q11" i="1"/>
  <c r="K11" i="1"/>
  <c r="J11" i="1"/>
  <c r="I11" i="1"/>
  <c r="H11" i="1"/>
  <c r="G11" i="1"/>
  <c r="F11" i="1"/>
  <c r="E11" i="1"/>
  <c r="DV10" i="1"/>
  <c r="D10" i="1" s="1"/>
  <c r="C10" i="1" s="1"/>
  <c r="GU9" i="1"/>
  <c r="DV9" i="1"/>
  <c r="D9" i="1" s="1"/>
  <c r="C9" i="1" s="1"/>
  <c r="D8" i="1"/>
  <c r="C8" i="1" s="1"/>
  <c r="HF7" i="1"/>
  <c r="D7" i="1"/>
  <c r="C7" i="1"/>
  <c r="GX6" i="1"/>
  <c r="GW6" i="1"/>
  <c r="GV6" i="1"/>
  <c r="GT6" i="1"/>
  <c r="GS6" i="1"/>
  <c r="GP6" i="1"/>
  <c r="GO6" i="1"/>
  <c r="GN6" i="1"/>
  <c r="GM6" i="1"/>
  <c r="GK6" i="1"/>
  <c r="GI6" i="1"/>
  <c r="GH6" i="1"/>
  <c r="GC6" i="1"/>
  <c r="FZ6" i="1"/>
  <c r="FY6" i="1"/>
  <c r="FX6" i="1"/>
  <c r="FW6" i="1"/>
  <c r="FV6" i="1"/>
  <c r="FU6" i="1"/>
  <c r="FT6" i="1"/>
  <c r="FS6" i="1"/>
  <c r="FQ6" i="1"/>
  <c r="FM6" i="1"/>
  <c r="FK6" i="1"/>
  <c r="FF6" i="1"/>
  <c r="FC6" i="1"/>
  <c r="FB6" i="1"/>
  <c r="EY6" i="1"/>
  <c r="EX6" i="1"/>
  <c r="EW6" i="1"/>
  <c r="EV6" i="1"/>
  <c r="EU6" i="1"/>
  <c r="ET6" i="1"/>
  <c r="ES6" i="1"/>
  <c r="ER6" i="1"/>
  <c r="EO6" i="1"/>
  <c r="EM6" i="1"/>
  <c r="EL6" i="1"/>
  <c r="EK6" i="1"/>
  <c r="EJ6" i="1"/>
  <c r="EI6" i="1"/>
  <c r="EG6" i="1"/>
  <c r="EC6" i="1"/>
  <c r="EB6" i="1"/>
  <c r="EA6" i="1"/>
  <c r="DZ6" i="1"/>
  <c r="DY6" i="1"/>
  <c r="DX6" i="1"/>
  <c r="DV6" i="1"/>
  <c r="CQ6" i="1"/>
  <c r="CL6" i="1"/>
  <c r="CJ6" i="1"/>
  <c r="CI6" i="1"/>
  <c r="CG6" i="1"/>
  <c r="CD6" i="1"/>
  <c r="BZ6" i="1"/>
  <c r="BY6" i="1"/>
  <c r="BX6" i="1"/>
  <c r="BP6" i="1"/>
  <c r="BL6" i="1"/>
  <c r="BE6" i="1"/>
  <c r="AV6" i="1"/>
  <c r="AU6" i="1"/>
  <c r="AK6" i="1"/>
  <c r="AB6" i="1"/>
  <c r="AA6" i="1"/>
  <c r="Z6" i="1"/>
  <c r="Y6" i="1"/>
  <c r="K6" i="1"/>
  <c r="J6" i="1"/>
  <c r="G6" i="1"/>
  <c r="GX5" i="1"/>
  <c r="GW5" i="1"/>
  <c r="GV5" i="1"/>
  <c r="GT5" i="1"/>
  <c r="GS5" i="1"/>
  <c r="GP5" i="1"/>
  <c r="GO5" i="1"/>
  <c r="GN5" i="1"/>
  <c r="GM5" i="1"/>
  <c r="GK5" i="1"/>
  <c r="GI5" i="1"/>
  <c r="GH5" i="1"/>
  <c r="GC5" i="1"/>
  <c r="FZ5" i="1"/>
  <c r="FY5" i="1"/>
  <c r="FX5" i="1"/>
  <c r="FW5" i="1"/>
  <c r="FV5" i="1"/>
  <c r="FU5" i="1"/>
  <c r="FT5" i="1"/>
  <c r="FS5" i="1"/>
  <c r="FQ5" i="1"/>
  <c r="FM5" i="1"/>
  <c r="FK5" i="1"/>
  <c r="FF5" i="1"/>
  <c r="FE5" i="1"/>
  <c r="FD5" i="1"/>
  <c r="FC5" i="1"/>
  <c r="FB5" i="1"/>
  <c r="EY5" i="1"/>
  <c r="EX5" i="1"/>
  <c r="EW5" i="1"/>
  <c r="EV5" i="1"/>
  <c r="EU5" i="1"/>
  <c r="ET5" i="1"/>
  <c r="ES5" i="1"/>
  <c r="ER5" i="1"/>
  <c r="EQ5" i="1"/>
  <c r="EP5" i="1"/>
  <c r="EO5" i="1"/>
  <c r="EM5" i="1"/>
  <c r="EL5" i="1"/>
  <c r="EK5" i="1"/>
  <c r="EJ5" i="1"/>
  <c r="EI5" i="1"/>
  <c r="EG5" i="1"/>
  <c r="EF5" i="1"/>
  <c r="EC5" i="1"/>
  <c r="EB5" i="1"/>
  <c r="EA5" i="1"/>
  <c r="DZ5" i="1"/>
  <c r="DY5" i="1"/>
  <c r="DX5" i="1"/>
  <c r="DV5" i="1"/>
  <c r="CV5" i="1"/>
  <c r="CU5" i="1"/>
  <c r="CT5" i="1"/>
  <c r="CS5" i="1"/>
  <c r="CQ5" i="1"/>
  <c r="CN5" i="1"/>
  <c r="CM5" i="1"/>
  <c r="CL5" i="1"/>
  <c r="CJ5" i="1"/>
  <c r="CI5" i="1"/>
  <c r="CH5" i="1"/>
  <c r="CG5" i="1"/>
  <c r="CD5" i="1"/>
  <c r="CC5" i="1"/>
  <c r="CB5" i="1"/>
  <c r="CA5" i="1"/>
  <c r="BZ5" i="1"/>
  <c r="BY5" i="1"/>
  <c r="BX5" i="1"/>
  <c r="BQ5" i="1"/>
  <c r="BP5" i="1"/>
  <c r="BO5" i="1"/>
  <c r="BN5" i="1"/>
  <c r="BL5" i="1"/>
  <c r="BK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K5" i="1"/>
  <c r="AB5" i="1"/>
  <c r="AA5" i="1"/>
  <c r="Z5" i="1"/>
  <c r="Y5" i="1"/>
  <c r="V5" i="1"/>
  <c r="U5" i="1"/>
  <c r="T5" i="1"/>
  <c r="S5" i="1"/>
  <c r="R5" i="1"/>
  <c r="Q5" i="1"/>
  <c r="P5" i="1"/>
  <c r="O5" i="1"/>
  <c r="N5" i="1"/>
  <c r="M5" i="1"/>
  <c r="L5" i="1"/>
  <c r="K5" i="1"/>
  <c r="J5" i="1"/>
  <c r="H5" i="1"/>
  <c r="G5" i="1"/>
  <c r="GX4" i="1"/>
  <c r="GW4" i="1"/>
  <c r="GV4" i="1"/>
  <c r="GT4" i="1"/>
  <c r="GS4" i="1"/>
  <c r="GR4" i="1"/>
  <c r="GP4" i="1"/>
  <c r="GO4" i="1"/>
  <c r="GN4" i="1"/>
  <c r="GM4" i="1"/>
  <c r="GK4" i="1"/>
  <c r="GI4" i="1"/>
  <c r="GH4" i="1"/>
  <c r="GC4" i="1"/>
  <c r="FZ4" i="1"/>
  <c r="FY4" i="1"/>
  <c r="FV4" i="1"/>
  <c r="FU4" i="1"/>
  <c r="FT4" i="1"/>
  <c r="FS4" i="1"/>
  <c r="FQ4" i="1"/>
  <c r="FM4" i="1"/>
  <c r="FK4" i="1"/>
  <c r="FF4" i="1"/>
  <c r="FC4" i="1"/>
  <c r="FB4" i="1"/>
  <c r="EY4" i="1"/>
  <c r="EX4" i="1"/>
  <c r="EW4" i="1"/>
  <c r="EV4" i="1"/>
  <c r="EU4" i="1"/>
  <c r="ES4" i="1"/>
  <c r="ER4" i="1"/>
  <c r="EM4" i="1"/>
  <c r="EL4" i="1"/>
  <c r="EK4" i="1"/>
  <c r="EJ4" i="1"/>
  <c r="EI4" i="1"/>
  <c r="EG4" i="1"/>
  <c r="EC4" i="1"/>
  <c r="EB4" i="1"/>
  <c r="EA4" i="1"/>
  <c r="DZ4" i="1"/>
  <c r="DY4" i="1"/>
  <c r="DX4" i="1"/>
  <c r="DV4" i="1"/>
  <c r="CQ4" i="1"/>
  <c r="CL4" i="1"/>
  <c r="CK4" i="1"/>
  <c r="CJ4" i="1"/>
  <c r="CG4" i="1"/>
  <c r="CD4" i="1"/>
  <c r="BZ4" i="1"/>
  <c r="BY4" i="1"/>
  <c r="BX4" i="1"/>
  <c r="BP4" i="1"/>
  <c r="BL4" i="1"/>
  <c r="BE4" i="1"/>
  <c r="AV4" i="1"/>
  <c r="AU4" i="1"/>
  <c r="AQ4" i="1"/>
  <c r="AL4" i="1"/>
  <c r="AK4" i="1"/>
  <c r="AB4" i="1"/>
  <c r="AA4" i="1"/>
  <c r="Z4" i="1"/>
  <c r="Y4" i="1"/>
  <c r="K4" i="1"/>
  <c r="J4" i="1"/>
  <c r="I4" i="1"/>
  <c r="G4" i="1"/>
  <c r="GX3" i="1"/>
  <c r="GW3" i="1"/>
  <c r="GV3" i="1"/>
  <c r="GT3" i="1"/>
  <c r="GS3" i="1"/>
  <c r="GR3" i="1"/>
  <c r="GP3" i="1"/>
  <c r="GO3" i="1"/>
  <c r="GN3" i="1"/>
  <c r="GM3" i="1"/>
  <c r="GK3" i="1"/>
  <c r="GI3" i="1"/>
  <c r="GH3" i="1"/>
  <c r="GC3" i="1"/>
  <c r="FZ3" i="1"/>
  <c r="FY3" i="1"/>
  <c r="FV3" i="1"/>
  <c r="FU3" i="1"/>
  <c r="FT3" i="1"/>
  <c r="FS3" i="1"/>
  <c r="FQ3" i="1"/>
  <c r="FM3" i="1"/>
  <c r="FK3" i="1"/>
  <c r="FF3" i="1"/>
  <c r="FE3" i="1"/>
  <c r="FC3" i="1"/>
  <c r="FB3" i="1"/>
  <c r="EY3" i="1"/>
  <c r="EX3" i="1"/>
  <c r="EW3" i="1"/>
  <c r="EV3" i="1"/>
  <c r="EU3" i="1"/>
  <c r="ES3" i="1"/>
  <c r="ER3" i="1"/>
  <c r="EQ3" i="1"/>
  <c r="EP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V3" i="1"/>
  <c r="CV3" i="1"/>
  <c r="CU3" i="1"/>
  <c r="CT3" i="1"/>
  <c r="CS3" i="1"/>
  <c r="CQ3" i="1"/>
  <c r="CP3" i="1"/>
  <c r="CO3" i="1"/>
  <c r="CN3" i="1"/>
  <c r="CM3" i="1"/>
  <c r="CL3" i="1"/>
  <c r="CK3" i="1"/>
  <c r="CJ3" i="1"/>
  <c r="CH3" i="1"/>
  <c r="CG3" i="1"/>
  <c r="CD3" i="1"/>
  <c r="CC3" i="1"/>
  <c r="CB3" i="1"/>
  <c r="CA3" i="1"/>
  <c r="BZ3" i="1"/>
  <c r="BY3" i="1"/>
  <c r="BX3" i="1"/>
  <c r="BQ3" i="1"/>
  <c r="BP3" i="1"/>
  <c r="BO3" i="1"/>
  <c r="BN3" i="1"/>
  <c r="BL3" i="1"/>
  <c r="BK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Q3" i="1"/>
  <c r="AL3" i="1"/>
  <c r="AK3" i="1"/>
  <c r="AI3" i="1"/>
  <c r="AH3" i="1"/>
  <c r="AB3" i="1"/>
  <c r="AA3" i="1"/>
  <c r="Z3" i="1"/>
  <c r="Y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D64" i="1" l="1"/>
  <c r="C64" i="1" s="1"/>
  <c r="D4" i="1"/>
  <c r="C4" i="1" s="1"/>
  <c r="D37" i="1"/>
  <c r="C37" i="1" s="1"/>
  <c r="D100" i="1"/>
  <c r="C100" i="1" s="1"/>
  <c r="D13" i="1"/>
  <c r="C13" i="1" s="1"/>
  <c r="D35" i="1"/>
  <c r="C35" i="1" s="1"/>
  <c r="C60" i="1"/>
  <c r="C59" i="1"/>
  <c r="D18" i="1"/>
  <c r="C18" i="1" s="1"/>
  <c r="D23" i="1"/>
  <c r="C23" i="1" s="1"/>
  <c r="D63" i="1"/>
  <c r="C63" i="1" s="1"/>
  <c r="D15" i="1"/>
  <c r="C15" i="1" s="1"/>
  <c r="C61" i="1"/>
  <c r="D5" i="1"/>
  <c r="C5" i="1" s="1"/>
  <c r="D11" i="1"/>
  <c r="C11" i="1" s="1"/>
  <c r="D32" i="1"/>
  <c r="C32" i="1" s="1"/>
  <c r="D33" i="1"/>
  <c r="C33" i="1" s="1"/>
  <c r="D49" i="1"/>
  <c r="C49" i="1" s="1"/>
  <c r="D68" i="1"/>
  <c r="C68" i="1" s="1"/>
  <c r="D110" i="1"/>
  <c r="C110" i="1" s="1"/>
  <c r="D179" i="1"/>
  <c r="C179" i="1" s="1"/>
  <c r="D3" i="1"/>
  <c r="C3" i="1" s="1"/>
  <c r="D30" i="1"/>
  <c r="C30" i="1" s="1"/>
  <c r="D34" i="1"/>
  <c r="C34" i="1" s="1"/>
  <c r="D69" i="1"/>
  <c r="C69" i="1" s="1"/>
  <c r="D149" i="1"/>
  <c r="C149" i="1" s="1"/>
  <c r="D14" i="1"/>
  <c r="C14" i="1" s="1"/>
  <c r="D21" i="1"/>
  <c r="C21" i="1" s="1"/>
  <c r="D24" i="1"/>
  <c r="C24" i="1" s="1"/>
  <c r="D51" i="1"/>
  <c r="C51" i="1" s="1"/>
  <c r="D180" i="1"/>
  <c r="C180" i="1" s="1"/>
  <c r="D42" i="1"/>
  <c r="C42" i="1" s="1"/>
  <c r="D6" i="1"/>
  <c r="C6" i="1" s="1"/>
  <c r="D17" i="1"/>
  <c r="C17" i="1" s="1"/>
  <c r="D66" i="1"/>
  <c r="C66" i="1" s="1"/>
  <c r="D104" i="1"/>
  <c r="C104" i="1" s="1"/>
</calcChain>
</file>

<file path=xl/comments1.xml><?xml version="1.0" encoding="utf-8"?>
<comments xmlns="http://schemas.openxmlformats.org/spreadsheetml/2006/main">
  <authors>
    <author>Киселев Антон Викторович</author>
  </authors>
  <commentList>
    <comment ref="A72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Киселев Антон Викторович:
Количество коробок в листе:
11
Длина реза коробки:
5.13
Листов на обну коробку:
0.091
Внутренний размер короба:
235 x 140 x 155
Количество коробок на паллете:
240
Количество коробок по дну паллеты:
24
Количество коробок в высоту:
10
Размер изделия:
235 x 140 x 155</t>
        </r>
      </text>
    </comment>
  </commentList>
</comments>
</file>

<file path=xl/sharedStrings.xml><?xml version="1.0" encoding="utf-8"?>
<sst xmlns="http://schemas.openxmlformats.org/spreadsheetml/2006/main" count="720" uniqueCount="443">
  <si>
    <t>+5%</t>
  </si>
  <si>
    <t>ИТОГО</t>
  </si>
  <si>
    <t>D215899658
не существует</t>
  </si>
  <si>
    <t xml:space="preserve">D215899659
не существует </t>
  </si>
  <si>
    <t>D215899661</t>
  </si>
  <si>
    <t>D215899665</t>
  </si>
  <si>
    <t>D215899666</t>
  </si>
  <si>
    <t>D215899670</t>
  </si>
  <si>
    <t>D215899671</t>
  </si>
  <si>
    <t>D215899672</t>
  </si>
  <si>
    <t>D215899673</t>
  </si>
  <si>
    <t>D215899674
не 
существует</t>
  </si>
  <si>
    <t>D215899675</t>
  </si>
  <si>
    <t>D215899676</t>
  </si>
  <si>
    <t>D215899677</t>
  </si>
  <si>
    <t>D215899678</t>
  </si>
  <si>
    <t>D215899679</t>
  </si>
  <si>
    <t>D215899680</t>
  </si>
  <si>
    <t>D215899681</t>
  </si>
  <si>
    <t>D215899682</t>
  </si>
  <si>
    <t>D215899683</t>
  </si>
  <si>
    <t>D215899684</t>
  </si>
  <si>
    <t>D215899701</t>
  </si>
  <si>
    <t>D215899702</t>
  </si>
  <si>
    <t>D215899704</t>
  </si>
  <si>
    <t>D215899705</t>
  </si>
  <si>
    <t>D215899706</t>
  </si>
  <si>
    <t>D215899708
не
существует</t>
  </si>
  <si>
    <t>D215899712
не
существует</t>
  </si>
  <si>
    <t>D215899713
не 
существует</t>
  </si>
  <si>
    <t>D215899736
не
существует</t>
  </si>
  <si>
    <t>D215899753</t>
  </si>
  <si>
    <t>D215899754</t>
  </si>
  <si>
    <t>D215899778
не
существует</t>
  </si>
  <si>
    <t>D215899802</t>
  </si>
  <si>
    <t>D215899804</t>
  </si>
  <si>
    <t>D215899805
не
существует</t>
  </si>
  <si>
    <t>D215899815
не
существует</t>
  </si>
  <si>
    <t>D215899816
не
существует</t>
  </si>
  <si>
    <t>D215899817
не 
существует</t>
  </si>
  <si>
    <t>D215899818</t>
  </si>
  <si>
    <t xml:space="preserve">D215899914
не 
существует
</t>
  </si>
  <si>
    <t>D215899943</t>
  </si>
  <si>
    <t>D215899944</t>
  </si>
  <si>
    <t>D215899945</t>
  </si>
  <si>
    <t>D215899947</t>
  </si>
  <si>
    <t>D215899949</t>
  </si>
  <si>
    <t>D215899950</t>
  </si>
  <si>
    <t>D215899951</t>
  </si>
  <si>
    <t>D215899952</t>
  </si>
  <si>
    <t>D215899983</t>
  </si>
  <si>
    <t>D215899984</t>
  </si>
  <si>
    <t>D215899985
не
существует</t>
  </si>
  <si>
    <t>D215899986</t>
  </si>
  <si>
    <t>D215899987</t>
  </si>
  <si>
    <t>D215899989</t>
  </si>
  <si>
    <t>D215899998
не
существует</t>
  </si>
  <si>
    <t>D215900100
не
существует</t>
  </si>
  <si>
    <t>D215900101
не 
существует</t>
  </si>
  <si>
    <t>D215900158, D215900159, D215900160, D215900735
не
существует</t>
  </si>
  <si>
    <t>D215900163</t>
  </si>
  <si>
    <t>D215900167</t>
  </si>
  <si>
    <t>D215900168</t>
  </si>
  <si>
    <t>D215900178</t>
  </si>
  <si>
    <t>D215900237</t>
  </si>
  <si>
    <t>D215900293</t>
  </si>
  <si>
    <t>D215900324</t>
  </si>
  <si>
    <t>D215900372
не 
существует</t>
  </si>
  <si>
    <t>D215900373
не
существует</t>
  </si>
  <si>
    <t>D215900375
не
существует</t>
  </si>
  <si>
    <t>D215900376
не
существует</t>
  </si>
  <si>
    <t>D215900377
не
существует</t>
  </si>
  <si>
    <t>D215900378
не
существует</t>
  </si>
  <si>
    <t>D215900488</t>
  </si>
  <si>
    <t>D215900489</t>
  </si>
  <si>
    <t>D215900490</t>
  </si>
  <si>
    <t>D215900491</t>
  </si>
  <si>
    <t>D215900505</t>
  </si>
  <si>
    <t>D215900551
не
существует</t>
  </si>
  <si>
    <t>D215900552</t>
  </si>
  <si>
    <t>D215900572</t>
  </si>
  <si>
    <t>D215900573</t>
  </si>
  <si>
    <t>D215900610</t>
  </si>
  <si>
    <t>D215900620</t>
  </si>
  <si>
    <t>D215900621</t>
  </si>
  <si>
    <t>D215900674</t>
  </si>
  <si>
    <t>D215900675</t>
  </si>
  <si>
    <t>D215900677</t>
  </si>
  <si>
    <t>D215900712</t>
  </si>
  <si>
    <t>D215900717</t>
  </si>
  <si>
    <t>D215900753
не 
существует</t>
  </si>
  <si>
    <t>D215900754
не 
существует</t>
  </si>
  <si>
    <t>D215900787</t>
  </si>
  <si>
    <t>D215910039</t>
  </si>
  <si>
    <t>D215910066</t>
  </si>
  <si>
    <t>D215910080</t>
  </si>
  <si>
    <t>D215910085</t>
  </si>
  <si>
    <t>D215910086</t>
  </si>
  <si>
    <t>D215910149, D215910150, D215910151, D215910152,
D215910153, D215910154,
D215910155</t>
  </si>
  <si>
    <t>D215910162, D215910163, 
D215910164, D215910165, 
D215910166, D215910167,   
D215910168</t>
  </si>
  <si>
    <t>D215910175, D215910176,
D215910177, D215910178,
D215910179, D215910180,
D215910181</t>
  </si>
  <si>
    <t>D215910188, D215910189,
D215910190, D215910191,
D215910192, D215910193,
D215910194</t>
  </si>
  <si>
    <t>D215910271, D215910272,
D215910273, D215910274,
D215910275, D215910276,
D215910277</t>
  </si>
  <si>
    <t>D215920587, D215920588,
D215920589, D215920590,
D215920591, D215920592,
D215920593</t>
  </si>
  <si>
    <t>D215920575, D215920576,
D215920577, D215920578,
D215920579, D215920580,
D215920581</t>
  </si>
  <si>
    <t>D215920136, D215920137,
D215920138, D215920139,
D215920140, D215920141,
D215920142</t>
  </si>
  <si>
    <t xml:space="preserve">D215910234, D215910235, D215910236, D215910237, D215910238, D215910239, D215910240,  </t>
  </si>
  <si>
    <t xml:space="preserve">D215910241, </t>
  </si>
  <si>
    <t xml:space="preserve">D215910242, </t>
  </si>
  <si>
    <t xml:space="preserve">D215910243, </t>
  </si>
  <si>
    <t xml:space="preserve">D215910244, </t>
  </si>
  <si>
    <t xml:space="preserve">D215910245, </t>
  </si>
  <si>
    <t xml:space="preserve">D215910246 </t>
  </si>
  <si>
    <t>D215910252
D215910253
D215910254
D215910255
D215910256
D215910257</t>
  </si>
  <si>
    <t>D215910252 
D215910253 
D215910254
D215910255 
D215910256
D215910257 
D215910258</t>
  </si>
  <si>
    <t>D215910259</t>
  </si>
  <si>
    <t xml:space="preserve">D215910260 </t>
  </si>
  <si>
    <t xml:space="preserve">D215910261 </t>
  </si>
  <si>
    <t xml:space="preserve">D215910262 </t>
  </si>
  <si>
    <t xml:space="preserve">D215910263 </t>
  </si>
  <si>
    <t xml:space="preserve">D215910264 </t>
  </si>
  <si>
    <t>D215910314</t>
  </si>
  <si>
    <t>D215910315</t>
  </si>
  <si>
    <t>D215910364</t>
  </si>
  <si>
    <t>D215910725</t>
  </si>
  <si>
    <t>D215910747</t>
  </si>
  <si>
    <t>D215910749</t>
  </si>
  <si>
    <t>D215910750</t>
  </si>
  <si>
    <t>D215910756</t>
  </si>
  <si>
    <t>D215910758</t>
  </si>
  <si>
    <t>D215921680</t>
  </si>
  <si>
    <t>D215910759</t>
  </si>
  <si>
    <t>D215910764</t>
  </si>
  <si>
    <t>D215920022</t>
  </si>
  <si>
    <t>D215920028</t>
  </si>
  <si>
    <t>D215920033</t>
  </si>
  <si>
    <t>D215920040</t>
  </si>
  <si>
    <t>D215920041</t>
  </si>
  <si>
    <t>D215920042</t>
  </si>
  <si>
    <t>D215920046</t>
  </si>
  <si>
    <t>D215920112</t>
  </si>
  <si>
    <t>D215920114</t>
  </si>
  <si>
    <t>D215920119</t>
  </si>
  <si>
    <t>D215920120</t>
  </si>
  <si>
    <t>D215920121</t>
  </si>
  <si>
    <t>D215920122</t>
  </si>
  <si>
    <t>D215920123</t>
  </si>
  <si>
    <t>D215920124</t>
  </si>
  <si>
    <t>D215920144</t>
  </si>
  <si>
    <t xml:space="preserve">D215920262 </t>
  </si>
  <si>
    <t>D215920263</t>
  </si>
  <si>
    <t>D215920317</t>
  </si>
  <si>
    <t>D215920318</t>
  </si>
  <si>
    <t>D215920324</t>
  </si>
  <si>
    <t>D215920373</t>
  </si>
  <si>
    <t>D215920374</t>
  </si>
  <si>
    <t>D215920375</t>
  </si>
  <si>
    <t>D215920449</t>
  </si>
  <si>
    <t>D215920450</t>
  </si>
  <si>
    <t>D215920521</t>
  </si>
  <si>
    <t>D215920523</t>
  </si>
  <si>
    <t>D215920524</t>
  </si>
  <si>
    <t>D215920525</t>
  </si>
  <si>
    <t>D215920526</t>
  </si>
  <si>
    <t>D215920528</t>
  </si>
  <si>
    <t>D215920611</t>
  </si>
  <si>
    <t>D215920753</t>
  </si>
  <si>
    <t>D215920774</t>
  </si>
  <si>
    <t>D215920799</t>
  </si>
  <si>
    <t>D215920801</t>
  </si>
  <si>
    <t>D215920863</t>
  </si>
  <si>
    <t>D215920897</t>
  </si>
  <si>
    <t>D215920933</t>
  </si>
  <si>
    <t>D215920957</t>
  </si>
  <si>
    <t>D215920959</t>
  </si>
  <si>
    <t>D215920960</t>
  </si>
  <si>
    <t>D215920971</t>
  </si>
  <si>
    <t>D215920994</t>
  </si>
  <si>
    <t>D215920997</t>
  </si>
  <si>
    <t>D215921053</t>
  </si>
  <si>
    <t>D215921080</t>
  </si>
  <si>
    <t>D215921081</t>
  </si>
  <si>
    <t>D215921082</t>
  </si>
  <si>
    <t>D215921083</t>
  </si>
  <si>
    <t>D215921084</t>
  </si>
  <si>
    <t>D215921085</t>
  </si>
  <si>
    <t>D215921086</t>
  </si>
  <si>
    <t>D215921122</t>
  </si>
  <si>
    <t>D215921197</t>
  </si>
  <si>
    <t>D215921200</t>
  </si>
  <si>
    <t>D215921224</t>
  </si>
  <si>
    <t>D215921226</t>
  </si>
  <si>
    <t>D215921234</t>
  </si>
  <si>
    <t>D215921245</t>
  </si>
  <si>
    <t>D215921252</t>
  </si>
  <si>
    <t>D215921254</t>
  </si>
  <si>
    <t>D215921483</t>
  </si>
  <si>
    <t>D215921490</t>
  </si>
  <si>
    <t>D215921568</t>
  </si>
  <si>
    <t>D215921575</t>
  </si>
  <si>
    <t>D215921578</t>
  </si>
  <si>
    <t>D215921605</t>
  </si>
  <si>
    <t>D215921608</t>
  </si>
  <si>
    <t>D215921579</t>
  </si>
  <si>
    <t>D215910722
D215910723
D215910724
D215910725
D215910726
D215910727
D215910728</t>
  </si>
  <si>
    <t>D215920196
D215920197
D215920198
D215920199
D215920200
D215920201
D215920202</t>
  </si>
  <si>
    <t>D215910214
D215910215
D215910216
D215910217
D215910218</t>
  </si>
  <si>
    <t>D215910252
D215910253
D215910254
D215910255
D215910256</t>
  </si>
  <si>
    <t>D215910175
D215910176
D215910177
D215910178
D215910179
D215910180</t>
  </si>
  <si>
    <t>D215910162
D215910163
D215910164
D215910165
D215910166</t>
  </si>
  <si>
    <t>D215910149
D215910150
D215910151
D215910152
D215910153</t>
  </si>
  <si>
    <t>Табличка</t>
  </si>
  <si>
    <t>Оргстекло 2 мм</t>
  </si>
  <si>
    <t>м2</t>
  </si>
  <si>
    <t>Обработка</t>
  </si>
  <si>
    <t>Лазер</t>
  </si>
  <si>
    <t xml:space="preserve"> Оргстекло 3 мм</t>
  </si>
  <si>
    <t>Акрил белый глухой</t>
  </si>
  <si>
    <t>ПС белый 1 мм</t>
  </si>
  <si>
    <t>Фрезер</t>
  </si>
  <si>
    <t>ПС белый 2 мм</t>
  </si>
  <si>
    <t>ПС белый 3 мм</t>
  </si>
  <si>
    <t>ПС белый 5 мм</t>
  </si>
  <si>
    <t>ПС белый 6 мм</t>
  </si>
  <si>
    <t>ПЭТ 0,3 мм</t>
  </si>
  <si>
    <t>ПЭТ 0,5 мм</t>
  </si>
  <si>
    <t>ПЭТ 0,7 мм</t>
  </si>
  <si>
    <t>ПЭТ 1 мм</t>
  </si>
  <si>
    <t>ПЭТ 2 мм</t>
  </si>
  <si>
    <t>Пленка золотая зеркальная (мп)</t>
  </si>
  <si>
    <t>мп</t>
  </si>
  <si>
    <t>ЭСКО</t>
  </si>
  <si>
    <t>Белая матовая бумага</t>
  </si>
  <si>
    <t>Винил белый глянец для Ролланд</t>
  </si>
  <si>
    <t>Ролланд</t>
  </si>
  <si>
    <t>Скотч двусторонний 6 мм</t>
  </si>
  <si>
    <t>Скотч двусторонний 9 мм</t>
  </si>
  <si>
    <t>Скотчдвусторонний 12 мм</t>
  </si>
  <si>
    <t>Скотч листовой</t>
  </si>
  <si>
    <t>Винт пластиковый прозрачный 12 мм</t>
  </si>
  <si>
    <t>шт</t>
  </si>
  <si>
    <t>Застежка Dual Lock (16 мм), м</t>
  </si>
  <si>
    <t>Толкатель градиентовский + пружина</t>
  </si>
  <si>
    <t>Толкатель к дисплею D215910758</t>
  </si>
  <si>
    <t>Толкатель к дисплею D215910756</t>
  </si>
  <si>
    <t>Толкатель к дисплею D215920042</t>
  </si>
  <si>
    <t>Термоклей</t>
  </si>
  <si>
    <t>стержень</t>
  </si>
  <si>
    <t>Пупырка</t>
  </si>
  <si>
    <t>Пакет с замком zip-lock 15x20 см 32 мкм</t>
  </si>
  <si>
    <t>Пакет с замком zip-lock 8x12 см 40 мкм</t>
  </si>
  <si>
    <t>Пакет с замком zip-lock 10x15 см 32 мкм</t>
  </si>
  <si>
    <t>Пакет ЗИП лок 180х250 мм</t>
  </si>
  <si>
    <t>Пакет с замком zip-lock 6x8 см 32 мкм</t>
  </si>
  <si>
    <t>Пакет с замком zip-lock 20x30 см</t>
  </si>
  <si>
    <t>Ширина (макс)</t>
  </si>
  <si>
    <t>мм</t>
  </si>
  <si>
    <t>Глубина (макс)</t>
  </si>
  <si>
    <t>Высота (макс)</t>
  </si>
  <si>
    <t>Печать</t>
  </si>
  <si>
    <t>CMYK</t>
  </si>
  <si>
    <t>WHITE</t>
  </si>
  <si>
    <t>Лак</t>
  </si>
  <si>
    <t>Деталей на чистку</t>
  </si>
  <si>
    <t>Гибов</t>
  </si>
  <si>
    <t>гибы</t>
  </si>
  <si>
    <t>Холодныйх гибов</t>
  </si>
  <si>
    <t>Коробка ДШВ 235 x 140 x 155</t>
  </si>
  <si>
    <t>Коробка ДШВ  235 x 185 x 155</t>
  </si>
  <si>
    <t>Коробка ДШВ  955х260х60</t>
  </si>
  <si>
    <t>Коробка ДШВ  625х260х60</t>
  </si>
  <si>
    <t>Коробка ДШВ  900х260х60</t>
  </si>
  <si>
    <t>Коробка ДШВ 255 x 105 x 155</t>
  </si>
  <si>
    <t>Коробка ДШВ 235 x 135 x 115</t>
  </si>
  <si>
    <t>Коробка ДШВ 230х100х100</t>
  </si>
  <si>
    <t>Коробка ДШВ 235 x 220 x 155</t>
  </si>
  <si>
    <t>Коробка ДШВ 235 x 125 x 155</t>
  </si>
  <si>
    <t>Коробка ДШВ 265х255х155</t>
  </si>
  <si>
    <t>Коробка ДШВ 255 x 245 x 155</t>
  </si>
  <si>
    <t>Коробка ДШВ 255 x 190 x 155</t>
  </si>
  <si>
    <t>Коробка ДШВ 345 x 235 x 155</t>
  </si>
  <si>
    <t>Коробка ДШВ 255 x 235 x 155</t>
  </si>
  <si>
    <t>Коробка ДШВ 500 x 205 x 80</t>
  </si>
  <si>
    <t>Коробка ДШВ 435 x 205 x 80</t>
  </si>
  <si>
    <t>Коробка ДШВ 235 x 225 x 145</t>
  </si>
  <si>
    <t>Коробка ДШВ 305 x 235 x 220</t>
  </si>
  <si>
    <t>Коробка ДШВ 255 x 180 x 155</t>
  </si>
  <si>
    <t>Коробка ДШВ 320х240х80</t>
  </si>
  <si>
    <t>Коробка ДШВ 235 x 225 x 220</t>
  </si>
  <si>
    <t>Коробка ДШВ 
255 x 130 x 155</t>
  </si>
  <si>
    <t>Коробка ДШВ 230 x 120 x 75</t>
  </si>
  <si>
    <t>Коробка ДШВ 240 x 225 x 220</t>
  </si>
  <si>
    <t>Коробка 220х290х205</t>
  </si>
  <si>
    <t>Коробка ДШВ 300 x 235 x 220</t>
  </si>
  <si>
    <t>Коробка ДШВ 255 x 225 x 155</t>
  </si>
  <si>
    <t>Коробка 220х140х245</t>
  </si>
  <si>
    <t>Коробка 235 x 225 x 220</t>
  </si>
  <si>
    <t>Коробка 215х145х240</t>
  </si>
  <si>
    <t>Коробка ДШВ 255 x 130 x 155</t>
  </si>
  <si>
    <t>Коробка 210х60х215</t>
  </si>
  <si>
    <t>Коробка ДШВ 230 x 225 x 75</t>
  </si>
  <si>
    <t>Коробка ДШВ 185 x 120 x 105</t>
  </si>
  <si>
    <t>Коробка ДШВ 235 x 130 x 220</t>
  </si>
  <si>
    <t>Коробка ДШВ 230 x 130 x 75</t>
  </si>
  <si>
    <t>Коробка 225х205х205</t>
  </si>
  <si>
    <t>Коробка ДШВ 235 x 225 x 140</t>
  </si>
  <si>
    <t>Коробка ДВШ 255 x 225 x 155</t>
  </si>
  <si>
    <t>Коробка 485х65х195</t>
  </si>
  <si>
    <t>Коробка ДШВ 420х200х700</t>
  </si>
  <si>
    <t>Коробка ДШВ 255 x 110 x 155</t>
  </si>
  <si>
    <t>Коробка ДШВ 255 x 155 x 155</t>
  </si>
  <si>
    <t>Коробка ДШВ 235 x 195 x 215</t>
  </si>
  <si>
    <t>Коробка 220х70х225</t>
  </si>
  <si>
    <t>Коробка ДШВ 230 x 115 x 225</t>
  </si>
  <si>
    <t>Коробка ДШВ 235 x 225 x 155</t>
  </si>
  <si>
    <t>Коробка ДШВ 270 x 220 x 185</t>
  </si>
  <si>
    <t>Коробка 915х25х210</t>
  </si>
  <si>
    <t>Коробка ДШВ 250 x 225 x 50</t>
  </si>
  <si>
    <t>Коробка 925х60х260</t>
  </si>
  <si>
    <t>Коробка ДШВ 235 x 135 x 155</t>
  </si>
  <si>
    <t>Коробка ДШВ 235 x 125 x 220</t>
  </si>
  <si>
    <t>Коробка ДШВ 235 x 185 x 155</t>
  </si>
  <si>
    <t>Коробка ДШВ 155 x 120 x 105</t>
  </si>
  <si>
    <t>Коробка 120х70х230</t>
  </si>
  <si>
    <t>Коробка ДШВ 235 x 100 x 155</t>
  </si>
  <si>
    <t>Коробка 1220х250х260</t>
  </si>
  <si>
    <t>Коробка 620х300х260</t>
  </si>
  <si>
    <t>Коробка ДШВ 1010х260х220</t>
  </si>
  <si>
    <t>Коробка 1220х280х260</t>
  </si>
  <si>
    <t>Коробка ДШВ 1035 x 260 x 60</t>
  </si>
  <si>
    <t>Коробка ДШВ 945 x 260 x 60</t>
  </si>
  <si>
    <t>Коробка ДШВ 915 x 260 x 60</t>
  </si>
  <si>
    <t>Коробка 880х300х260</t>
  </si>
  <si>
    <t>Коробка 930х300х260</t>
  </si>
  <si>
    <t>Коробка 1030х300х260</t>
  </si>
  <si>
    <t>Коробка 950х240х260</t>
  </si>
  <si>
    <t>Коробка ДШВ 145 x 135 x 60</t>
  </si>
  <si>
    <t>Коробка ДШВ 235 x 155 x 125</t>
  </si>
  <si>
    <t>Коробка ДШВ 235 x 140 x 225</t>
  </si>
  <si>
    <t>Коробка 1030х240х260</t>
  </si>
  <si>
    <t>Коробка 1270х120х260</t>
  </si>
  <si>
    <t>Коробка ДШВ 220 x 140 x 235</t>
  </si>
  <si>
    <t>Коробка ДШВ 235 x 185 x 225</t>
  </si>
  <si>
    <t>Коробка ДШВ 340 x 235 x 225</t>
  </si>
  <si>
    <t>Коробка ДШВ 235 x 95 x 70</t>
  </si>
  <si>
    <t>Коробка 230х215х220</t>
  </si>
  <si>
    <t>Коробка ДШВ 170х130х50</t>
  </si>
  <si>
    <t>Коробка ДШВ 235 x 120 x 155</t>
  </si>
  <si>
    <t>Коробка ДШВ 230х170х70</t>
  </si>
  <si>
    <t>Коробка ДШВ  230х75х70</t>
  </si>
  <si>
    <t>Коробка ДШВ 230х220х150</t>
  </si>
  <si>
    <t>Коробка ДШВ 245х220х150</t>
  </si>
  <si>
    <t>Коробка ДШВ 230х180х90</t>
  </si>
  <si>
    <t>Коробка ДШВ 255х120х215</t>
  </si>
  <si>
    <t>Коробка ДШВ 215х75х150</t>
  </si>
  <si>
    <t>Коробка ДШВ 230х220х205</t>
  </si>
  <si>
    <t>Коробка ДШВ 280х235х105</t>
  </si>
  <si>
    <t>Коробка ДШВ 255 x 120 x 95</t>
  </si>
  <si>
    <t>Коробка ДШВ 220х215х165</t>
  </si>
  <si>
    <t>Коробка ДШВ 1005х255х165</t>
  </si>
  <si>
    <t>Коробка ДШВ 1005х255х60</t>
  </si>
  <si>
    <t>Коробка ДШВ 950х255х60</t>
  </si>
  <si>
    <t>Коробка ДШВ 230х130х100</t>
  </si>
  <si>
    <t>Коробка ДШВ 230х220х220</t>
  </si>
  <si>
    <t>Коробка ДШВ 425х225х195</t>
  </si>
  <si>
    <t>Коробка ДШВ 880х260х50</t>
  </si>
  <si>
    <t>Коробка ДШВ 920х260х50</t>
  </si>
  <si>
    <t>Коробка ДШВ 880х260х90</t>
  </si>
  <si>
    <t>Коробка ДШВ 1010х260х210</t>
  </si>
  <si>
    <t>Коробка ДШВ 820х260х130</t>
  </si>
  <si>
    <t>Коробка ДШВ 255 x 125 x 200</t>
  </si>
  <si>
    <t>Коробка ДШВ 830х260х230</t>
  </si>
  <si>
    <t>Коробка ДШВ 235х110х215</t>
  </si>
  <si>
    <t>Коробка ДШВ 1030х230х210</t>
  </si>
  <si>
    <t>Коробка ДШВ 895х265*215</t>
  </si>
  <si>
    <t>Коробка ДШВ 910х265*215</t>
  </si>
  <si>
    <t>Коробка ДШВ 1220х260х90</t>
  </si>
  <si>
    <t>Коробка ДШВ 1030х265х215</t>
  </si>
  <si>
    <t>Коробка ДШВ 500х205х80</t>
  </si>
  <si>
    <t>Коробка ДШВ 435х205х80</t>
  </si>
  <si>
    <t>Коробка ДШВ 235х130х120</t>
  </si>
  <si>
    <t>Коробка ДШВ 985х275х215</t>
  </si>
  <si>
    <t>Коробка ДШВ 830х275х215</t>
  </si>
  <si>
    <t>Коробка ДШВ 230х230х65</t>
  </si>
  <si>
    <t>Коробка ДШВ 235 x 95 x 95</t>
  </si>
  <si>
    <t>Коробка ДШВ 235 x 85 x 75</t>
  </si>
  <si>
    <t>Коробка ДШВ 220х85х75</t>
  </si>
  <si>
    <t>Коробка ДШВ 230х140х220</t>
  </si>
  <si>
    <t>Коробка ДШВ 235 x 85 x 80</t>
  </si>
  <si>
    <t>Коробка ДШВ 235х105х215</t>
  </si>
  <si>
    <t>Коробка ДШВ 230х70х180</t>
  </si>
  <si>
    <t>Коробка ДШВ 275х230х200</t>
  </si>
  <si>
    <t>Коробка ДШВ 425х230х200</t>
  </si>
  <si>
    <t>Коробка ДШВ 270х230х200</t>
  </si>
  <si>
    <t>Коробка ДШВ 235х125х155</t>
  </si>
  <si>
    <t>Коробка ДШВ 955х255х50</t>
  </si>
  <si>
    <t>Коробка ДШВ 1025х255х100</t>
  </si>
  <si>
    <t>Коробка ДШВ 825х255х100</t>
  </si>
  <si>
    <t>Коробка ДШВ 235 x 105 x 110</t>
  </si>
  <si>
    <t>Коробка ДШВ 130х115х105</t>
  </si>
  <si>
    <t>Коробка ДШВ 130х115х55</t>
  </si>
  <si>
    <t>Коробка ДШВ 150х115х55</t>
  </si>
  <si>
    <t>Коробка ДШВ 235х95х100</t>
  </si>
  <si>
    <t>Коробка ДШВ 255 x 145 x 175</t>
  </si>
  <si>
    <t>Коробка ДШВ 260х260х155</t>
  </si>
  <si>
    <t>Коробка ДШВ 120х105х75</t>
  </si>
  <si>
    <t>Коробка ДШВ 295х235х230</t>
  </si>
  <si>
    <t>Коробка ДШВ 275х230х195</t>
  </si>
  <si>
    <t>Коробка ДШВ 230х125х110</t>
  </si>
  <si>
    <t>Коробка ДШВ 1030х260х50</t>
  </si>
  <si>
    <t>Коробка ДШВ 1030х260х80</t>
  </si>
  <si>
    <t>Коробка ДШВ 1030х260х150</t>
  </si>
  <si>
    <t>Коробка ДШВ 1030х260х200</t>
  </si>
  <si>
    <t>Коробка ДШВ 1030х260х250</t>
  </si>
  <si>
    <t>Коробка ДШВ 1030х260х300</t>
  </si>
  <si>
    <t>Коробка ДШВ 1030х260х350</t>
  </si>
  <si>
    <t>Коробка ДШВ 425х230х195</t>
  </si>
  <si>
    <t>Коробка ДШВ 880х260х80</t>
  </si>
  <si>
    <t>Коробка ДШВ 880х260х150</t>
  </si>
  <si>
    <t>Коробка ДШВ 880х260х200</t>
  </si>
  <si>
    <t>Коробка ДШВ 880х260х250</t>
  </si>
  <si>
    <t>Коробка ДШВ 880х260х300</t>
  </si>
  <si>
    <t>Коробка ДШВ 880х260х350</t>
  </si>
  <si>
    <t>Коробка ДШВ 235х125х220</t>
  </si>
  <si>
    <t>Коробка ДШВ 830х260х50</t>
  </si>
  <si>
    <t>Коробка ДШВ 830х260х80</t>
  </si>
  <si>
    <t>Коробка ДШВ 830х260х150</t>
  </si>
  <si>
    <t>Коробка ДШВ 830х260х200</t>
  </si>
  <si>
    <t>Коробка ДШВ 830х260х250</t>
  </si>
  <si>
    <t>Коробка ДШВ 830х260х300</t>
  </si>
  <si>
    <t>Коробка ДШВ 830х260х350</t>
  </si>
  <si>
    <t>Коробка ДШВ 1225х260х50</t>
  </si>
  <si>
    <t>Коробка ДШВ 1225х260х80</t>
  </si>
  <si>
    <t>Коробка ДШВ 1225х260х150</t>
  </si>
  <si>
    <t>Коробка ДШВ 1225х260х200</t>
  </si>
  <si>
    <t>Коробка ДШВ 1225х260х250</t>
  </si>
  <si>
    <t>Коробка ДШВ 1225х260х300</t>
  </si>
  <si>
    <t>Коробка ДШВ 1225х260х350</t>
  </si>
  <si>
    <t>Коробка ДШВ 260х125х155</t>
  </si>
  <si>
    <t>Коробка ДШВ 235х115х115</t>
  </si>
  <si>
    <t>Коробка ДШВ 235х170х220</t>
  </si>
  <si>
    <t>Коробка ДШВ 235 x 130 x 80</t>
  </si>
  <si>
    <t>Коробка ДШВ 235х225х155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</si>
</sst>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5" fillId="5" borderId="1" xfId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5" fillId="5" borderId="1" xfId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5" fillId="5" borderId="0" xfId="1" applyFill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3" xfId="0" applyBorder="1"/>
  </cellXfs>
  <cellStyles count="2">
    <cellStyle name="Гиперссылка" xfId="1" builtinId="8"/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00491.pdf" TargetMode="External"/><Relationship Id="rId21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00293.pdf" TargetMode="External"/><Relationship Id="rId42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10747.pdf" TargetMode="External"/><Relationship Id="rId47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1680.pdf" TargetMode="External"/><Relationship Id="rId63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124.pdf" TargetMode="External"/><Relationship Id="rId68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318.pdf" TargetMode="External"/><Relationship Id="rId84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994.pdf" TargetMode="External"/><Relationship Id="rId89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1122.pdf" TargetMode="External"/><Relationship Id="rId7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899949.pdf" TargetMode="External"/><Relationship Id="rId71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374.pdf" TargetMode="External"/><Relationship Id="rId92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1224.pdf" TargetMode="External"/><Relationship Id="rId2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899818.pdf" TargetMode="External"/><Relationship Id="rId16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00163.pdf" TargetMode="External"/><Relationship Id="rId29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00610.pdf" TargetMode="External"/><Relationship Id="rId107" Type="http://schemas.openxmlformats.org/officeDocument/2006/relationships/comments" Target="../comments1.xml"/><Relationship Id="rId11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899983.pdf" TargetMode="External"/><Relationship Id="rId24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00489.pdf" TargetMode="External"/><Relationship Id="rId32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00674.pdf" TargetMode="External"/><Relationship Id="rId37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00787.pdf" TargetMode="External"/><Relationship Id="rId40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10085.pdf" TargetMode="External"/><Relationship Id="rId45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10756.pdf" TargetMode="External"/><Relationship Id="rId53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040.pdf" TargetMode="External"/><Relationship Id="rId58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119.pdf" TargetMode="External"/><Relationship Id="rId66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263.pdf" TargetMode="External"/><Relationship Id="rId74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450.pdf" TargetMode="External"/><Relationship Id="rId79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526.pdf" TargetMode="External"/><Relationship Id="rId87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1080.pdf" TargetMode="External"/><Relationship Id="rId102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1605_Vivienne_Sabo_&#1044;&#1080;&#1089;&#1087;&#1083;&#1077;&#1080;&#774;_&#1087;&#1086;&#1076;_&#1087;&#1086;&#1084;&#1072;&#1076;&#1091;_Volumatteur_8_SKU_2024.pdf" TargetMode="External"/><Relationship Id="rId5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899945.pdf" TargetMode="External"/><Relationship Id="rId61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122.pdf" TargetMode="External"/><Relationship Id="rId82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957%20Vivienne%20Sabo%20&#1044;&#1080;&#1089;&#1087;&#1083;&#1077;&#1081;%20&#1076;&#1083;&#1103;%20&#1090;&#1086;&#1085;&#1072;&#1083;&#1100;&#1085;&#1086;&#1075;&#1086;%20&#1082;&#1088;&#1077;&#1084;&#1072;%20Shake%20matte%20&#1080;%20Nuage%204%20SKU.pdf" TargetMode="External"/><Relationship Id="rId90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1197%20Vivienne%20Sabo%20&#1044;&#1080;&#1089;&#1087;&#1083;&#1077;&#1081;%20&#1087;&#1086;&#1076;%20&#1090;&#1091;&#1096;&#1100;%20Femme%20Fatale%202023.pdf" TargetMode="External"/><Relationship Id="rId95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1245.pdf" TargetMode="External"/><Relationship Id="rId19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00178.pdf" TargetMode="External"/><Relationship Id="rId14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899987.pdf" TargetMode="External"/><Relationship Id="rId22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00324.pdf" TargetMode="External"/><Relationship Id="rId27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00505.pdf" TargetMode="External"/><Relationship Id="rId30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00620.pdf" TargetMode="External"/><Relationship Id="rId35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00712.pdf" TargetMode="External"/><Relationship Id="rId43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10749.pdf" TargetMode="External"/><Relationship Id="rId48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10759.pdf" TargetMode="External"/><Relationship Id="rId56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046.pdf" TargetMode="External"/><Relationship Id="rId64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144.pdf" TargetMode="External"/><Relationship Id="rId69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324.pdf" TargetMode="External"/><Relationship Id="rId77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524.pdf" TargetMode="External"/><Relationship Id="rId100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1568.pdf" TargetMode="External"/><Relationship Id="rId105" Type="http://schemas.openxmlformats.org/officeDocument/2006/relationships/printerSettings" Target="../printerSettings/printerSettings1.bin"/><Relationship Id="rId8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899950.pdf" TargetMode="External"/><Relationship Id="rId51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028.pdf" TargetMode="External"/><Relationship Id="rId72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375.pdf" TargetMode="External"/><Relationship Id="rId80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611.pdf" TargetMode="External"/><Relationship Id="rId85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997.pdf" TargetMode="External"/><Relationship Id="rId93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1226.pdf" TargetMode="External"/><Relationship Id="rId98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1483.pdf" TargetMode="External"/><Relationship Id="rId3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899943.pdf" TargetMode="External"/><Relationship Id="rId12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899984.pdf" TargetMode="External"/><Relationship Id="rId17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00167.pdf" TargetMode="External"/><Relationship Id="rId25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00490.pdf" TargetMode="External"/><Relationship Id="rId33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00675.PDF" TargetMode="External"/><Relationship Id="rId38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10066.pdf" TargetMode="External"/><Relationship Id="rId46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10758.pdf" TargetMode="External"/><Relationship Id="rId59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120%20.pdf" TargetMode="External"/><Relationship Id="rId67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317.pdf" TargetMode="External"/><Relationship Id="rId103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1608.pdf" TargetMode="External"/><Relationship Id="rId20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00237.pdf" TargetMode="External"/><Relationship Id="rId41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10086.pdf" TargetMode="External"/><Relationship Id="rId54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10756.pdf" TargetMode="External"/><Relationship Id="rId62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123.pdf" TargetMode="External"/><Relationship Id="rId70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373.PDF" TargetMode="External"/><Relationship Id="rId75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521.pdf" TargetMode="External"/><Relationship Id="rId83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960.pdf" TargetMode="External"/><Relationship Id="rId88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1082.pdf" TargetMode="External"/><Relationship Id="rId91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1200.pdf" TargetMode="External"/><Relationship Id="rId96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1252.pdf" TargetMode="External"/><Relationship Id="rId1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899804.pdf" TargetMode="External"/><Relationship Id="rId6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899947.pdf" TargetMode="External"/><Relationship Id="rId15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899989.pdf" TargetMode="External"/><Relationship Id="rId23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00488.pdf" TargetMode="External"/><Relationship Id="rId28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00552.pdf" TargetMode="External"/><Relationship Id="rId36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00717.pdf" TargetMode="External"/><Relationship Id="rId49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10764.jpeg" TargetMode="External"/><Relationship Id="rId57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112.pdf" TargetMode="External"/><Relationship Id="rId106" Type="http://schemas.openxmlformats.org/officeDocument/2006/relationships/vmlDrawing" Target="../drawings/vmlDrawing1.vml"/><Relationship Id="rId10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899952.pdf" TargetMode="External"/><Relationship Id="rId31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00621.pdf" TargetMode="External"/><Relationship Id="rId44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10750.pdf" TargetMode="External"/><Relationship Id="rId52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033.pdf" TargetMode="External"/><Relationship Id="rId60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121.pdf" TargetMode="External"/><Relationship Id="rId65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262%20.pdf" TargetMode="External"/><Relationship Id="rId73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449.pdf" TargetMode="External"/><Relationship Id="rId78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525.pdf" TargetMode="External"/><Relationship Id="rId81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753.pdf" TargetMode="External"/><Relationship Id="rId86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1053.pdf" TargetMode="External"/><Relationship Id="rId94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1234.pdf" TargetMode="External"/><Relationship Id="rId99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1490.pdf" TargetMode="External"/><Relationship Id="rId101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1575.pdf" TargetMode="External"/><Relationship Id="rId4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899944.pdf" TargetMode="External"/><Relationship Id="rId9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899951.pdf" TargetMode="External"/><Relationship Id="rId13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899986.PDF" TargetMode="External"/><Relationship Id="rId18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00168.pdf" TargetMode="External"/><Relationship Id="rId39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10080.pdf" TargetMode="External"/><Relationship Id="rId34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00677.pdf" TargetMode="External"/><Relationship Id="rId50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022.pdf" TargetMode="External"/><Relationship Id="rId55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042.pdf" TargetMode="External"/><Relationship Id="rId76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0523.pdf" TargetMode="External"/><Relationship Id="rId97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1254.pdf" TargetMode="External"/><Relationship Id="rId104" Type="http://schemas.openxmlformats.org/officeDocument/2006/relationships/hyperlink" Target="../../../../Exchange/&#1050;&#1080;&#1089;&#1077;&#1083;&#1077;&#1074;/%23%20&#1059;&#1090;&#1080;&#1083;&#1080;&#1090;&#1099;/&#1044;&#1083;&#1103;%20&#1087;&#1088;&#1086;&#1089;&#1095;&#1077;&#1090;&#1072;/&#1042;&#1085;&#1077;&#1096;&#1085;&#1080;&#1081;%20&#1074;&#1080;&#1076;%20&#1076;&#1080;&#1089;&#1087;&#1083;&#1077;&#1077;&#1074;/D215921579%20Vivienne%20Sabo%20&#1044;&#1080;&#1089;&#1087;&#1083;&#1077;&#1080;&#774;%20&#1087;&#1086;&#1076;&#1087;&#1086;&#1084;&#1072;&#1076;&#1091;%20&#1073;&#1072;&#1083;&#1100;&#1079;&#1072;&#1084;%20Balm%20Fantaisi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F271"/>
  <sheetViews>
    <sheetView tabSelected="1" zoomScale="115" zoomScaleNormal="115" workbookViewId="0">
      <pane xSplit="4" ySplit="2" topLeftCell="DS51" activePane="bottomRight" state="frozen"/>
      <selection pane="topRight" activeCell="D1" sqref="D1"/>
      <selection pane="bottomLeft" activeCell="A3" sqref="A3"/>
      <selection pane="bottomRight" activeCell="DV52" sqref="DV52"/>
    </sheetView>
  </sheetViews>
  <sheetFormatPr defaultRowHeight="15" x14ac:dyDescent="0.25"/>
  <cols>
    <col min="1" max="1" width="33.140625" style="30" customWidth="1"/>
    <col min="2" max="2" width="13.7109375" style="30" customWidth="1"/>
    <col min="3" max="3" width="8.7109375" style="30" customWidth="1"/>
    <col min="4" max="4" width="7.140625" style="30" customWidth="1"/>
    <col min="5" max="43" width="11.5703125" style="2" customWidth="1"/>
    <col min="44" max="44" width="12.5703125" style="2" customWidth="1"/>
    <col min="45" max="61" width="11.5703125" style="2" customWidth="1"/>
    <col min="62" max="62" width="47.85546875" style="2" customWidth="1"/>
    <col min="63" max="100" width="11.5703125" style="2" customWidth="1"/>
    <col min="101" max="101" width="28" style="2" customWidth="1"/>
    <col min="102" max="102" width="29.28515625" style="2" customWidth="1"/>
    <col min="103" max="103" width="26" style="2" customWidth="1"/>
    <col min="104" max="104" width="28.85546875" style="2" customWidth="1"/>
    <col min="105" max="105" width="27" style="2" customWidth="1"/>
    <col min="106" max="106" width="25.5703125" style="2" customWidth="1"/>
    <col min="107" max="107" width="27.5703125" style="2" customWidth="1"/>
    <col min="108" max="108" width="26.7109375" style="2" customWidth="1"/>
    <col min="109" max="109" width="85.42578125" style="2" customWidth="1"/>
    <col min="110" max="114" width="12.5703125" style="2" customWidth="1"/>
    <col min="115" max="115" width="12.140625" style="2" customWidth="1"/>
    <col min="116" max="117" width="12.28515625" style="2" bestFit="1" customWidth="1"/>
    <col min="118" max="118" width="11.5703125" style="2" customWidth="1"/>
    <col min="119" max="123" width="12.140625" style="2" customWidth="1"/>
    <col min="124" max="135" width="11.5703125" style="2" customWidth="1"/>
    <col min="136" max="136" width="11.85546875" style="2" customWidth="1"/>
    <col min="137" max="151" width="11.5703125" style="2" customWidth="1"/>
    <col min="152" max="152" width="12.140625" style="2" customWidth="1"/>
    <col min="153" max="156" width="11.5703125" style="2" customWidth="1"/>
    <col min="157" max="157" width="12.42578125" style="2" bestFit="1" customWidth="1"/>
    <col min="158" max="158" width="14.140625" style="2" bestFit="1" customWidth="1"/>
    <col min="159" max="159" width="13.140625" style="2" customWidth="1"/>
    <col min="160" max="177" width="11.5703125" style="2" customWidth="1"/>
    <col min="178" max="178" width="11.28515625" style="2" customWidth="1"/>
    <col min="179" max="198" width="11.5703125" style="2" customWidth="1"/>
    <col min="199" max="213" width="12.140625" style="2" customWidth="1"/>
    <col min="214" max="214" width="9.42578125" style="2" customWidth="1"/>
    <col min="215" max="241" width="9.140625" style="2" customWidth="1"/>
    <col min="242" max="16384" width="9.140625" style="2"/>
  </cols>
  <sheetData>
    <row r="1" spans="1:214" s="17" customFormat="1" ht="108.75" customHeight="1" x14ac:dyDescent="0.25">
      <c r="C1" s="26" t="s">
        <v>0</v>
      </c>
      <c r="D1" s="17" t="s">
        <v>1</v>
      </c>
      <c r="E1" s="11" t="s">
        <v>2</v>
      </c>
      <c r="F1" s="11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1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1" t="s">
        <v>27</v>
      </c>
      <c r="AE1" s="11" t="s">
        <v>28</v>
      </c>
      <c r="AF1" s="11" t="s">
        <v>29</v>
      </c>
      <c r="AG1" s="11" t="s">
        <v>30</v>
      </c>
      <c r="AH1" s="10" t="s">
        <v>31</v>
      </c>
      <c r="AI1" s="10" t="s">
        <v>32</v>
      </c>
      <c r="AJ1" s="11" t="s">
        <v>33</v>
      </c>
      <c r="AK1" s="10" t="s">
        <v>34</v>
      </c>
      <c r="AL1" s="12" t="s">
        <v>35</v>
      </c>
      <c r="AM1" s="11" t="s">
        <v>36</v>
      </c>
      <c r="AN1" s="11" t="s">
        <v>37</v>
      </c>
      <c r="AO1" s="11" t="s">
        <v>38</v>
      </c>
      <c r="AP1" s="11" t="s">
        <v>39</v>
      </c>
      <c r="AQ1" s="12" t="s">
        <v>40</v>
      </c>
      <c r="AR1" s="11" t="s">
        <v>41</v>
      </c>
      <c r="AS1" s="12" t="s">
        <v>42</v>
      </c>
      <c r="AT1" s="12" t="s">
        <v>43</v>
      </c>
      <c r="AU1" s="12" t="s">
        <v>44</v>
      </c>
      <c r="AV1" s="12" t="s">
        <v>45</v>
      </c>
      <c r="AW1" s="12" t="s">
        <v>46</v>
      </c>
      <c r="AX1" s="12" t="s">
        <v>47</v>
      </c>
      <c r="AY1" s="12" t="s">
        <v>48</v>
      </c>
      <c r="AZ1" s="12" t="s">
        <v>49</v>
      </c>
      <c r="BA1" s="12" t="s">
        <v>50</v>
      </c>
      <c r="BB1" s="12" t="s">
        <v>51</v>
      </c>
      <c r="BC1" s="13" t="s">
        <v>52</v>
      </c>
      <c r="BD1" s="12" t="s">
        <v>53</v>
      </c>
      <c r="BE1" s="12" t="s">
        <v>54</v>
      </c>
      <c r="BF1" s="12" t="s">
        <v>55</v>
      </c>
      <c r="BG1" s="11" t="s">
        <v>56</v>
      </c>
      <c r="BH1" s="11" t="s">
        <v>57</v>
      </c>
      <c r="BI1" s="11" t="s">
        <v>58</v>
      </c>
      <c r="BJ1" s="11" t="s">
        <v>59</v>
      </c>
      <c r="BK1" s="12" t="s">
        <v>60</v>
      </c>
      <c r="BL1" s="12" t="s">
        <v>61</v>
      </c>
      <c r="BM1" s="12" t="s">
        <v>62</v>
      </c>
      <c r="BN1" s="12" t="s">
        <v>63</v>
      </c>
      <c r="BO1" s="12" t="s">
        <v>64</v>
      </c>
      <c r="BP1" s="12" t="s">
        <v>65</v>
      </c>
      <c r="BQ1" s="12" t="s">
        <v>66</v>
      </c>
      <c r="BR1" s="11" t="s">
        <v>67</v>
      </c>
      <c r="BS1" s="11" t="s">
        <v>68</v>
      </c>
      <c r="BT1" s="11" t="s">
        <v>69</v>
      </c>
      <c r="BU1" s="11" t="s">
        <v>70</v>
      </c>
      <c r="BV1" s="11" t="s">
        <v>71</v>
      </c>
      <c r="BW1" s="11" t="s">
        <v>72</v>
      </c>
      <c r="BX1" s="12" t="s">
        <v>73</v>
      </c>
      <c r="BY1" s="12" t="s">
        <v>74</v>
      </c>
      <c r="BZ1" s="12" t="s">
        <v>75</v>
      </c>
      <c r="CA1" s="12" t="s">
        <v>76</v>
      </c>
      <c r="CB1" s="12" t="s">
        <v>77</v>
      </c>
      <c r="CC1" s="11" t="s">
        <v>78</v>
      </c>
      <c r="CD1" s="12" t="s">
        <v>79</v>
      </c>
      <c r="CE1" s="10" t="s">
        <v>80</v>
      </c>
      <c r="CF1" s="10" t="s">
        <v>81</v>
      </c>
      <c r="CG1" s="12" t="s">
        <v>82</v>
      </c>
      <c r="CH1" s="12" t="s">
        <v>83</v>
      </c>
      <c r="CI1" s="12" t="s">
        <v>84</v>
      </c>
      <c r="CJ1" s="12" t="s">
        <v>85</v>
      </c>
      <c r="CK1" s="12" t="s">
        <v>86</v>
      </c>
      <c r="CL1" s="12" t="s">
        <v>87</v>
      </c>
      <c r="CM1" s="12" t="s">
        <v>88</v>
      </c>
      <c r="CN1" s="12" t="s">
        <v>89</v>
      </c>
      <c r="CO1" s="11" t="s">
        <v>90</v>
      </c>
      <c r="CP1" s="11" t="s">
        <v>91</v>
      </c>
      <c r="CQ1" s="12" t="s">
        <v>92</v>
      </c>
      <c r="CR1" s="14" t="s">
        <v>93</v>
      </c>
      <c r="CS1" s="12" t="s">
        <v>94</v>
      </c>
      <c r="CT1" s="12" t="s">
        <v>95</v>
      </c>
      <c r="CU1" s="12" t="s">
        <v>96</v>
      </c>
      <c r="CV1" s="12" t="s">
        <v>97</v>
      </c>
      <c r="CW1" s="15" t="s">
        <v>98</v>
      </c>
      <c r="CX1" s="15" t="s">
        <v>99</v>
      </c>
      <c r="CY1" s="15" t="s">
        <v>100</v>
      </c>
      <c r="CZ1" s="15" t="s">
        <v>101</v>
      </c>
      <c r="DA1" s="15" t="s">
        <v>102</v>
      </c>
      <c r="DB1" s="15" t="s">
        <v>103</v>
      </c>
      <c r="DC1" s="15" t="s">
        <v>104</v>
      </c>
      <c r="DD1" s="16" t="s">
        <v>105</v>
      </c>
      <c r="DE1" s="17" t="s">
        <v>106</v>
      </c>
      <c r="DF1" s="17" t="s">
        <v>107</v>
      </c>
      <c r="DG1" s="17" t="s">
        <v>108</v>
      </c>
      <c r="DH1" s="17" t="s">
        <v>109</v>
      </c>
      <c r="DI1" s="17" t="s">
        <v>110</v>
      </c>
      <c r="DJ1" s="17" t="s">
        <v>111</v>
      </c>
      <c r="DK1" s="17" t="s">
        <v>112</v>
      </c>
      <c r="DL1" s="15" t="s">
        <v>113</v>
      </c>
      <c r="DM1" s="16" t="s">
        <v>114</v>
      </c>
      <c r="DN1" s="17" t="s">
        <v>115</v>
      </c>
      <c r="DO1" s="17" t="s">
        <v>116</v>
      </c>
      <c r="DP1" s="17" t="s">
        <v>117</v>
      </c>
      <c r="DQ1" s="17" t="s">
        <v>118</v>
      </c>
      <c r="DR1" s="17" t="s">
        <v>119</v>
      </c>
      <c r="DS1" s="17" t="s">
        <v>120</v>
      </c>
      <c r="DT1" s="17" t="s">
        <v>121</v>
      </c>
      <c r="DU1" s="17" t="s">
        <v>122</v>
      </c>
      <c r="DV1" s="14" t="s">
        <v>123</v>
      </c>
      <c r="DW1" s="17" t="s">
        <v>124</v>
      </c>
      <c r="DX1" s="12" t="s">
        <v>125</v>
      </c>
      <c r="DY1" s="12" t="s">
        <v>126</v>
      </c>
      <c r="DZ1" s="12" t="s">
        <v>127</v>
      </c>
      <c r="EA1" s="12" t="s">
        <v>128</v>
      </c>
      <c r="EB1" s="12" t="s">
        <v>129</v>
      </c>
      <c r="EC1" s="25" t="s">
        <v>130</v>
      </c>
      <c r="ED1" s="12" t="s">
        <v>131</v>
      </c>
      <c r="EE1" s="12" t="s">
        <v>132</v>
      </c>
      <c r="EF1" s="12" t="s">
        <v>133</v>
      </c>
      <c r="EG1" s="12" t="s">
        <v>134</v>
      </c>
      <c r="EH1" s="12" t="s">
        <v>135</v>
      </c>
      <c r="EI1" s="12" t="s">
        <v>136</v>
      </c>
      <c r="EJ1" s="12" t="s">
        <v>137</v>
      </c>
      <c r="EK1" s="12" t="s">
        <v>138</v>
      </c>
      <c r="EL1" s="12" t="s">
        <v>139</v>
      </c>
      <c r="EM1" s="12" t="s">
        <v>140</v>
      </c>
      <c r="EN1" s="10" t="s">
        <v>141</v>
      </c>
      <c r="EO1" s="12" t="s">
        <v>142</v>
      </c>
      <c r="EP1" s="12" t="s">
        <v>143</v>
      </c>
      <c r="EQ1" s="12" t="s">
        <v>144</v>
      </c>
      <c r="ER1" s="12" t="s">
        <v>145</v>
      </c>
      <c r="ES1" s="12" t="s">
        <v>146</v>
      </c>
      <c r="ET1" s="12" t="s">
        <v>147</v>
      </c>
      <c r="EU1" s="12" t="s">
        <v>148</v>
      </c>
      <c r="EV1" s="12" t="s">
        <v>149</v>
      </c>
      <c r="EW1" s="12" t="s">
        <v>150</v>
      </c>
      <c r="EX1" s="12" t="s">
        <v>151</v>
      </c>
      <c r="EY1" s="12" t="s">
        <v>152</v>
      </c>
      <c r="EZ1" s="12" t="s">
        <v>153</v>
      </c>
      <c r="FA1" s="12" t="s">
        <v>154</v>
      </c>
      <c r="FB1" s="12" t="s">
        <v>155</v>
      </c>
      <c r="FC1" s="12" t="s">
        <v>156</v>
      </c>
      <c r="FD1" s="12" t="s">
        <v>157</v>
      </c>
      <c r="FE1" s="12" t="s">
        <v>158</v>
      </c>
      <c r="FF1" s="12" t="s">
        <v>159</v>
      </c>
      <c r="FG1" s="25" t="s">
        <v>160</v>
      </c>
      <c r="FH1" s="12" t="s">
        <v>161</v>
      </c>
      <c r="FI1" s="12" t="s">
        <v>162</v>
      </c>
      <c r="FJ1" s="25" t="s">
        <v>163</v>
      </c>
      <c r="FK1" s="10" t="s">
        <v>164</v>
      </c>
      <c r="FL1" s="25" t="s">
        <v>165</v>
      </c>
      <c r="FM1" s="25" t="s">
        <v>166</v>
      </c>
      <c r="FN1" s="17" t="s">
        <v>167</v>
      </c>
      <c r="FO1" s="17" t="s">
        <v>168</v>
      </c>
      <c r="FP1" s="17" t="s">
        <v>169</v>
      </c>
      <c r="FQ1" s="10" t="s">
        <v>170</v>
      </c>
      <c r="FR1" s="17" t="s">
        <v>171</v>
      </c>
      <c r="FS1" s="14" t="s">
        <v>172</v>
      </c>
      <c r="FT1" s="25" t="s">
        <v>173</v>
      </c>
      <c r="FU1" s="14" t="s">
        <v>174</v>
      </c>
      <c r="FV1" s="25" t="s">
        <v>175</v>
      </c>
      <c r="FW1" s="10" t="s">
        <v>176</v>
      </c>
      <c r="FX1" s="25" t="s">
        <v>177</v>
      </c>
      <c r="FY1" s="25" t="s">
        <v>178</v>
      </c>
      <c r="FZ1" s="25" t="s">
        <v>179</v>
      </c>
      <c r="GA1" s="25" t="s">
        <v>180</v>
      </c>
      <c r="GB1" s="10" t="s">
        <v>181</v>
      </c>
      <c r="GC1" s="25" t="s">
        <v>182</v>
      </c>
      <c r="GD1" s="10" t="s">
        <v>183</v>
      </c>
      <c r="GE1" s="10" t="s">
        <v>184</v>
      </c>
      <c r="GF1" s="10" t="s">
        <v>185</v>
      </c>
      <c r="GG1" s="10" t="s">
        <v>186</v>
      </c>
      <c r="GH1" s="25" t="s">
        <v>187</v>
      </c>
      <c r="GI1" s="12" t="s">
        <v>188</v>
      </c>
      <c r="GJ1" s="12" t="s">
        <v>189</v>
      </c>
      <c r="GK1" s="12" t="s">
        <v>190</v>
      </c>
      <c r="GL1" s="12" t="s">
        <v>191</v>
      </c>
      <c r="GM1" s="12" t="s">
        <v>192</v>
      </c>
      <c r="GN1" s="12" t="s">
        <v>193</v>
      </c>
      <c r="GO1" s="12" t="s">
        <v>194</v>
      </c>
      <c r="GP1" s="12" t="s">
        <v>195</v>
      </c>
      <c r="GQ1" s="12" t="s">
        <v>196</v>
      </c>
      <c r="GR1" s="12" t="s">
        <v>197</v>
      </c>
      <c r="GS1" s="12" t="s">
        <v>198</v>
      </c>
      <c r="GT1" s="12" t="s">
        <v>199</v>
      </c>
      <c r="GU1" s="24" t="s">
        <v>200</v>
      </c>
      <c r="GV1" s="12" t="s">
        <v>201</v>
      </c>
      <c r="GW1" s="12" t="s">
        <v>202</v>
      </c>
      <c r="GX1" s="12" t="s">
        <v>203</v>
      </c>
      <c r="GY1" s="23" t="s">
        <v>204</v>
      </c>
      <c r="GZ1" s="23" t="s">
        <v>205</v>
      </c>
      <c r="HA1" s="23" t="s">
        <v>206</v>
      </c>
      <c r="HB1" s="23" t="s">
        <v>207</v>
      </c>
      <c r="HC1" s="23" t="s">
        <v>208</v>
      </c>
      <c r="HD1" s="23" t="s">
        <v>209</v>
      </c>
      <c r="HE1" s="23" t="s">
        <v>210</v>
      </c>
      <c r="HF1" s="17" t="s">
        <v>211</v>
      </c>
    </row>
    <row r="2" spans="1:214" x14ac:dyDescent="0.25">
      <c r="C2" s="4"/>
      <c r="D2" s="4"/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</row>
    <row r="3" spans="1:214" x14ac:dyDescent="0.25">
      <c r="A3" s="2" t="s">
        <v>212</v>
      </c>
      <c r="B3" s="30" t="s">
        <v>213</v>
      </c>
      <c r="C3" s="30">
        <f>D3*1.05</f>
        <v>0</v>
      </c>
      <c r="D3" s="30">
        <f t="shared" ref="D3:D28" si="0">SUM(E3:FKK3)</f>
        <v>0</v>
      </c>
      <c r="G3" s="2">
        <f>0.204*G2</f>
        <v>0</v>
      </c>
      <c r="H3" s="2">
        <f>0.194*H2</f>
        <v>0</v>
      </c>
      <c r="I3" s="2">
        <f>I2*0.12</f>
        <v>0</v>
      </c>
      <c r="J3" s="2">
        <f>0.027*J2</f>
        <v>0</v>
      </c>
      <c r="K3" s="2">
        <f>0.215*K2</f>
        <v>0</v>
      </c>
      <c r="L3" s="2">
        <f>0.174*L2</f>
        <v>0</v>
      </c>
      <c r="M3" s="2">
        <f>0.145*M2</f>
        <v>0</v>
      </c>
      <c r="N3" s="2">
        <f>0.17*N2</f>
        <v>0</v>
      </c>
      <c r="O3" s="2">
        <f>0.159*O2</f>
        <v>0</v>
      </c>
      <c r="P3" s="2">
        <f>0.107*P2</f>
        <v>0</v>
      </c>
      <c r="Q3" s="2">
        <f>0.216*Q2</f>
        <v>0</v>
      </c>
      <c r="R3" s="2">
        <f>0.0163*R2</f>
        <v>0</v>
      </c>
      <c r="S3" s="2">
        <f>0.102*S2</f>
        <v>0</v>
      </c>
      <c r="T3" s="2">
        <f>0.14*T2</f>
        <v>0</v>
      </c>
      <c r="Y3" s="2">
        <f>0.12*Y2</f>
        <v>0</v>
      </c>
      <c r="Z3" s="2">
        <f>0.065*Z2</f>
        <v>0</v>
      </c>
      <c r="AA3" s="2">
        <f>0.091*AA2</f>
        <v>0</v>
      </c>
      <c r="AB3" s="2">
        <f>0.22*AB2</f>
        <v>0</v>
      </c>
      <c r="AH3" s="2">
        <f>0.143*AH2</f>
        <v>0</v>
      </c>
      <c r="AI3" s="2">
        <f>0.119*AI2</f>
        <v>0</v>
      </c>
      <c r="AK3" s="2">
        <f>0.131*AK2</f>
        <v>0</v>
      </c>
      <c r="AL3" s="2">
        <f>0.2*AL2</f>
        <v>0</v>
      </c>
      <c r="AQ3" s="2">
        <f>0.1334*AQ2</f>
        <v>0</v>
      </c>
      <c r="AS3" s="2">
        <f>0.218*AS2</f>
        <v>0</v>
      </c>
      <c r="AT3" s="2">
        <f>0.134*AT2</f>
        <v>0</v>
      </c>
      <c r="AU3" s="3">
        <f>0.06138*AU2</f>
        <v>0</v>
      </c>
      <c r="AV3" s="2">
        <f>0.138*AV2</f>
        <v>0</v>
      </c>
      <c r="AW3" s="2">
        <f>0.099*AW2</f>
        <v>0</v>
      </c>
      <c r="AX3" s="2">
        <f>0.071*AX2</f>
        <v>0</v>
      </c>
      <c r="AY3" s="2">
        <f>0.129*AY2</f>
        <v>0</v>
      </c>
      <c r="AZ3" s="2">
        <f>0.13*AZ2</f>
        <v>0</v>
      </c>
      <c r="BA3" s="2">
        <f>0.096*BA2</f>
        <v>0</v>
      </c>
      <c r="BB3" s="3">
        <f>0.13*BB2</f>
        <v>0</v>
      </c>
      <c r="BC3" s="3">
        <f>0.1*BC2</f>
        <v>0</v>
      </c>
      <c r="BD3" s="2">
        <f>0.13*BD2</f>
        <v>0</v>
      </c>
      <c r="BE3" s="3">
        <f>0.105*BE2</f>
        <v>0</v>
      </c>
      <c r="BF3" s="2">
        <f>0.13*BF2</f>
        <v>0</v>
      </c>
      <c r="BK3" s="2">
        <f>0.173*BK2</f>
        <v>0</v>
      </c>
      <c r="BL3" s="2">
        <f>0.071*BL2</f>
        <v>0</v>
      </c>
      <c r="BN3" s="2">
        <f>0.14*BN2</f>
        <v>0</v>
      </c>
      <c r="BO3" s="2">
        <f>0.103*BO2</f>
        <v>0</v>
      </c>
      <c r="BP3" s="2">
        <f>0.074*BP2</f>
        <v>0</v>
      </c>
      <c r="BQ3" s="2">
        <f>0.08*BQ2</f>
        <v>0</v>
      </c>
      <c r="BR3" s="3"/>
      <c r="BS3" s="3"/>
      <c r="BT3" s="5"/>
      <c r="BU3" s="5"/>
      <c r="BV3" s="5"/>
      <c r="BW3" s="5"/>
      <c r="BX3" s="3">
        <f>0.144*BX2</f>
        <v>0</v>
      </c>
      <c r="BY3" s="3">
        <f>0.184*BY2</f>
        <v>0</v>
      </c>
      <c r="BZ3" s="2">
        <f>0.064*BZ2</f>
        <v>0</v>
      </c>
      <c r="CA3" s="2">
        <f>0.085*CA2</f>
        <v>0</v>
      </c>
      <c r="CB3" s="2">
        <f>0.0285*CB2</f>
        <v>0</v>
      </c>
      <c r="CC3" s="2">
        <f>0.094*CC2</f>
        <v>0</v>
      </c>
      <c r="CD3" s="2">
        <f>0.061*CD2</f>
        <v>0</v>
      </c>
      <c r="CG3" s="2">
        <f>0.085*CG2</f>
        <v>0</v>
      </c>
      <c r="CH3" s="2">
        <f>0.1003*CH2</f>
        <v>0</v>
      </c>
      <c r="CJ3" s="2">
        <f>0.131*CJ2</f>
        <v>0</v>
      </c>
      <c r="CK3" s="2">
        <f>0.139*CK2</f>
        <v>0</v>
      </c>
      <c r="CL3" s="2">
        <f>0.066*CL2</f>
        <v>0</v>
      </c>
      <c r="CM3" s="2">
        <f>0.173*CM2</f>
        <v>0</v>
      </c>
      <c r="CN3" s="2">
        <f>0.098*CN2</f>
        <v>0</v>
      </c>
      <c r="CO3" s="2">
        <f>0.11*CO2</f>
        <v>0</v>
      </c>
      <c r="CP3" s="2">
        <f>0.1*CP2</f>
        <v>0</v>
      </c>
      <c r="CQ3" s="2">
        <f>0.0524*CQ2</f>
        <v>0</v>
      </c>
      <c r="CS3" s="2">
        <f>0.048*CS2</f>
        <v>0</v>
      </c>
      <c r="CT3" s="2">
        <f>0.0665*CT2</f>
        <v>0</v>
      </c>
      <c r="CU3" s="2">
        <f>0.078*CU2</f>
        <v>0</v>
      </c>
      <c r="CV3" s="2">
        <f>0.0572*CV2</f>
        <v>0</v>
      </c>
      <c r="DV3" s="2">
        <f>0.04*DV2</f>
        <v>0</v>
      </c>
      <c r="DX3" s="2">
        <f>0.122*DX2</f>
        <v>0</v>
      </c>
      <c r="DY3" s="2">
        <f>0.063*DY2</f>
        <v>0</v>
      </c>
      <c r="DZ3" s="2">
        <f>0.062*DZ2</f>
        <v>0</v>
      </c>
      <c r="EA3" s="2">
        <f>0.043*EA2</f>
        <v>0</v>
      </c>
      <c r="EB3" s="2">
        <f>0.025*EB2</f>
        <v>0</v>
      </c>
      <c r="EC3" s="2">
        <f>0.025*EC2</f>
        <v>0</v>
      </c>
      <c r="ED3" s="2">
        <f>0.048*ED2</f>
        <v>0</v>
      </c>
      <c r="EE3" s="2">
        <f>0.34*EE2</f>
        <v>0</v>
      </c>
      <c r="EF3" s="2">
        <f>0.038*EF2</f>
        <v>0</v>
      </c>
      <c r="EG3" s="2">
        <f>0.0516*EG2</f>
        <v>0</v>
      </c>
      <c r="EH3" s="2">
        <f>0.03*EH2</f>
        <v>0</v>
      </c>
      <c r="EI3" s="2">
        <f>0.176*EI2</f>
        <v>0</v>
      </c>
      <c r="EJ3" s="2">
        <f>0.068*EJ2</f>
        <v>0</v>
      </c>
      <c r="EK3" s="2">
        <f>0.043*EK2</f>
        <v>0</v>
      </c>
      <c r="EL3" s="2">
        <f>0.175*EL2</f>
        <v>0</v>
      </c>
      <c r="EM3" s="2">
        <f>0.047*EM2</f>
        <v>0</v>
      </c>
      <c r="EP3" s="2">
        <f>0.024*EP2</f>
        <v>0</v>
      </c>
      <c r="EQ3" s="2">
        <f>0.122*EQ2</f>
        <v>0</v>
      </c>
      <c r="ER3" s="2">
        <f>0.1*ER2</f>
        <v>0</v>
      </c>
      <c r="ES3" s="2">
        <f>0.0353*ES2</f>
        <v>0</v>
      </c>
      <c r="EU3" s="2">
        <f>0.0126*EU2</f>
        <v>0</v>
      </c>
      <c r="EV3" s="2">
        <f>0.3055*EV2</f>
        <v>0</v>
      </c>
      <c r="EW3" s="2">
        <f>0.129*EW2</f>
        <v>0</v>
      </c>
      <c r="EX3" s="2">
        <f>0.047*EX2</f>
        <v>0</v>
      </c>
      <c r="EY3" s="2">
        <f>0.149*EY2</f>
        <v>0</v>
      </c>
      <c r="FB3" s="2">
        <f>0.12*FB2</f>
        <v>0</v>
      </c>
      <c r="FC3" s="2">
        <f>0.049*FC2</f>
        <v>0</v>
      </c>
      <c r="FE3" s="2">
        <f>0.081*FE2</f>
        <v>0</v>
      </c>
      <c r="FF3" s="2">
        <f>0.0497*FF2</f>
        <v>0</v>
      </c>
      <c r="FK3" s="2">
        <f>0.025*FK2</f>
        <v>0</v>
      </c>
      <c r="FM3" s="2">
        <f>0.0254*FM2</f>
        <v>0</v>
      </c>
      <c r="FQ3" s="2">
        <f>0.028*FQ2</f>
        <v>0</v>
      </c>
      <c r="FS3" s="2">
        <f>0.064*FS2</f>
        <v>0</v>
      </c>
      <c r="FT3" s="2">
        <f>0.021*FT2</f>
        <v>0</v>
      </c>
      <c r="FU3" s="2">
        <f>0.031*FU2</f>
        <v>0</v>
      </c>
      <c r="FV3" s="2">
        <f>0.0155*FV2</f>
        <v>0</v>
      </c>
      <c r="FY3" s="2">
        <f>0.0105*FY2</f>
        <v>0</v>
      </c>
      <c r="FZ3" s="2">
        <f>0.0324*FZ2</f>
        <v>0</v>
      </c>
      <c r="GC3" s="2">
        <f>0.127*GC2</f>
        <v>0</v>
      </c>
      <c r="GH3" s="2">
        <f>0.084*GH2</f>
        <v>0</v>
      </c>
      <c r="GI3" s="2">
        <f>0.033*GI2</f>
        <v>0</v>
      </c>
      <c r="GK3" s="2">
        <f>0.0421*GK2</f>
        <v>0</v>
      </c>
      <c r="GM3" s="2">
        <f>0.095*GM2</f>
        <v>0</v>
      </c>
      <c r="GN3" s="2">
        <f>0.027*GN2</f>
        <v>0</v>
      </c>
      <c r="GO3" s="2">
        <f>0.045*GO2</f>
        <v>0</v>
      </c>
      <c r="GP3" s="2">
        <f>0.0544*GP2</f>
        <v>0</v>
      </c>
      <c r="GR3" s="2">
        <f>0.0715*GR2</f>
        <v>0</v>
      </c>
      <c r="GS3" s="2">
        <f>0.0427*GS2</f>
        <v>0</v>
      </c>
      <c r="GT3" s="2">
        <f>0.0239*GT2</f>
        <v>0</v>
      </c>
      <c r="GV3" s="2">
        <f>0.0684*GV2</f>
        <v>0</v>
      </c>
      <c r="GW3" s="2">
        <f>0.0095*GW2</f>
        <v>0</v>
      </c>
      <c r="GX3" s="2">
        <f>0.0834*GX2</f>
        <v>0</v>
      </c>
    </row>
    <row r="4" spans="1:214" s="30" customFormat="1" x14ac:dyDescent="0.25">
      <c r="A4" s="30" t="s">
        <v>214</v>
      </c>
      <c r="B4" s="21" t="s">
        <v>215</v>
      </c>
      <c r="C4" s="30">
        <f>D4</f>
        <v>0</v>
      </c>
      <c r="D4" s="30">
        <f t="shared" si="0"/>
        <v>0</v>
      </c>
      <c r="G4" s="30">
        <f>9.9*G2</f>
        <v>0</v>
      </c>
      <c r="I4" s="30">
        <f>6.9*I2</f>
        <v>0</v>
      </c>
      <c r="J4" s="30">
        <f>1.3*J2</f>
        <v>0</v>
      </c>
      <c r="K4" s="30">
        <f>1.45*K2</f>
        <v>0</v>
      </c>
      <c r="Y4" s="30">
        <f>6.5*Y2</f>
        <v>0</v>
      </c>
      <c r="Z4" s="30">
        <f>3.35*Z2</f>
        <v>0</v>
      </c>
      <c r="AA4" s="30">
        <f>4.2*AA2</f>
        <v>0</v>
      </c>
      <c r="AB4" s="30">
        <f>10*AB2</f>
        <v>0</v>
      </c>
      <c r="AK4" s="30">
        <f>5.8*AK2</f>
        <v>0</v>
      </c>
      <c r="AL4" s="30">
        <f>1.8*AL2</f>
        <v>0</v>
      </c>
      <c r="AQ4" s="30">
        <f>1.6*AQ2</f>
        <v>0</v>
      </c>
      <c r="AU4" s="19">
        <f>2.56*AU2</f>
        <v>0</v>
      </c>
      <c r="AV4" s="30">
        <f>7.2*AV2</f>
        <v>0</v>
      </c>
      <c r="BB4" s="19"/>
      <c r="BC4" s="19"/>
      <c r="BE4" s="19">
        <f>3.3*BE2</f>
        <v>0</v>
      </c>
      <c r="BL4" s="30">
        <f>4.6*BL2</f>
        <v>0</v>
      </c>
      <c r="BP4" s="30">
        <f>5.1*BP2</f>
        <v>0</v>
      </c>
      <c r="BR4" s="19"/>
      <c r="BS4" s="19"/>
      <c r="BT4" s="20"/>
      <c r="BU4" s="20"/>
      <c r="BV4" s="20"/>
      <c r="BW4" s="20"/>
      <c r="BX4" s="19">
        <f>6.611*BX2</f>
        <v>0</v>
      </c>
      <c r="BY4" s="19">
        <f>7.7*BY2</f>
        <v>0</v>
      </c>
      <c r="BZ4" s="30">
        <f>3.43*BZ2</f>
        <v>0</v>
      </c>
      <c r="CD4" s="30">
        <f>3.1*CD2</f>
        <v>0</v>
      </c>
      <c r="CG4" s="30">
        <f>4.77*CG2</f>
        <v>0</v>
      </c>
      <c r="CJ4" s="30">
        <f>6.6*CJ2</f>
        <v>0</v>
      </c>
      <c r="CK4" s="30">
        <f>6*CK2</f>
        <v>0</v>
      </c>
      <c r="CL4" s="30">
        <f>2.4*CL2</f>
        <v>0</v>
      </c>
      <c r="CQ4" s="30">
        <f>2.1*CQ2</f>
        <v>0</v>
      </c>
      <c r="DV4" s="30">
        <f>2.35*DV2</f>
        <v>0</v>
      </c>
      <c r="DX4" s="30">
        <f>5.8*DX2</f>
        <v>0</v>
      </c>
      <c r="DY4" s="30">
        <f>3.3*DY2</f>
        <v>0</v>
      </c>
      <c r="DZ4" s="30">
        <f>3.15*DZ2</f>
        <v>0</v>
      </c>
      <c r="EA4" s="30">
        <f>2.1*EA2</f>
        <v>0</v>
      </c>
      <c r="EB4" s="30">
        <f>1.2*EB2</f>
        <v>0</v>
      </c>
      <c r="EC4" s="30">
        <f>1.2*EC2</f>
        <v>0</v>
      </c>
      <c r="EG4" s="30">
        <f>3.3*EG2</f>
        <v>0</v>
      </c>
      <c r="EI4" s="30">
        <f>9.3*EI2</f>
        <v>0</v>
      </c>
      <c r="EJ4" s="30">
        <f>2.1*EJ2*2</f>
        <v>0</v>
      </c>
      <c r="EK4" s="30">
        <f>2.2*EK2</f>
        <v>0</v>
      </c>
      <c r="EL4" s="30">
        <f>9.6*EL2</f>
        <v>0</v>
      </c>
      <c r="EM4" s="30">
        <f>2.86*EM2</f>
        <v>0</v>
      </c>
      <c r="ER4" s="30">
        <f>5*ER2</f>
        <v>0</v>
      </c>
      <c r="ES4" s="30">
        <f>2.24*ES2</f>
        <v>0</v>
      </c>
      <c r="EU4" s="30">
        <f>3.1*EU2</f>
        <v>0</v>
      </c>
      <c r="EV4" s="30">
        <f>14.7*EV2</f>
        <v>0</v>
      </c>
      <c r="EW4" s="30">
        <f>6.9*EW2</f>
        <v>0</v>
      </c>
      <c r="EX4" s="30">
        <f>3.3*EX2</f>
        <v>0</v>
      </c>
      <c r="EY4" s="30">
        <f>8.17*EY2</f>
        <v>0</v>
      </c>
      <c r="FB4" s="30">
        <f>4.66*FB2</f>
        <v>0</v>
      </c>
      <c r="FC4" s="30">
        <f>3.25*FC2</f>
        <v>0</v>
      </c>
      <c r="FF4" s="30">
        <f>2.84*FF2</f>
        <v>0</v>
      </c>
      <c r="FK4" s="30">
        <f>1.77*FK2</f>
        <v>0</v>
      </c>
      <c r="FM4" s="30">
        <f>1.74*FM2</f>
        <v>0</v>
      </c>
      <c r="FQ4" s="30">
        <f>2.16*FQ2</f>
        <v>0</v>
      </c>
      <c r="FS4" s="30">
        <f>2.37*FS2</f>
        <v>0</v>
      </c>
      <c r="FT4" s="30">
        <f>1.27*FT2</f>
        <v>0</v>
      </c>
      <c r="FU4" s="30">
        <f>2.55*FU2</f>
        <v>0</v>
      </c>
      <c r="FV4" s="30">
        <f>1.36*FV2</f>
        <v>0</v>
      </c>
      <c r="FY4" s="30">
        <f>0.714*FY2</f>
        <v>0</v>
      </c>
      <c r="FZ4" s="30">
        <f>0.73*FZ2</f>
        <v>0</v>
      </c>
      <c r="GC4" s="30">
        <f>6.22*GC2</f>
        <v>0</v>
      </c>
      <c r="GH4" s="30">
        <f>4*GH2</f>
        <v>0</v>
      </c>
      <c r="GI4" s="30">
        <f>2.47*GI2</f>
        <v>0</v>
      </c>
      <c r="GK4" s="30">
        <f>1.49*GK2</f>
        <v>0</v>
      </c>
      <c r="GM4" s="30">
        <f>6.5*GM2</f>
        <v>0</v>
      </c>
      <c r="GN4" s="30">
        <f>1.62*GN2</f>
        <v>0</v>
      </c>
      <c r="GO4" s="30">
        <f>2.83*GO2</f>
        <v>0</v>
      </c>
      <c r="GP4" s="30">
        <f>3.44*GP2</f>
        <v>0</v>
      </c>
      <c r="GR4" s="30">
        <f>1.38*GR2</f>
        <v>0</v>
      </c>
      <c r="GS4" s="30">
        <f>3.8*GS2</f>
        <v>0</v>
      </c>
      <c r="GT4" s="30">
        <f>1.73*GT2</f>
        <v>0</v>
      </c>
      <c r="GV4" s="30">
        <f>4.42*GV2</f>
        <v>0</v>
      </c>
      <c r="GW4" s="30">
        <f>0.64*GW2</f>
        <v>0</v>
      </c>
      <c r="GX4" s="30">
        <f>4.7*GX2</f>
        <v>0</v>
      </c>
    </row>
    <row r="5" spans="1:214" x14ac:dyDescent="0.25">
      <c r="A5" s="2" t="s">
        <v>216</v>
      </c>
      <c r="B5" s="30" t="s">
        <v>213</v>
      </c>
      <c r="C5" s="30">
        <f>D5*1.05</f>
        <v>0</v>
      </c>
      <c r="D5" s="30">
        <f t="shared" si="0"/>
        <v>0</v>
      </c>
      <c r="G5" s="2">
        <f>0.13*G2</f>
        <v>0</v>
      </c>
      <c r="H5" s="2">
        <f>0.14*H2</f>
        <v>0</v>
      </c>
      <c r="J5" s="2">
        <f>0.087*J2</f>
        <v>0</v>
      </c>
      <c r="K5" s="2">
        <f>0.143*K2</f>
        <v>0</v>
      </c>
      <c r="L5" s="2">
        <f>0.107*L2</f>
        <v>0</v>
      </c>
      <c r="M5" s="2">
        <f>0.107*M2</f>
        <v>0</v>
      </c>
      <c r="N5" s="2">
        <f>0.162*N2</f>
        <v>0</v>
      </c>
      <c r="O5" s="2">
        <f>0.107*O2</f>
        <v>0</v>
      </c>
      <c r="P5" s="2">
        <f>0.097*P2</f>
        <v>0</v>
      </c>
      <c r="Q5" s="2">
        <f>0.183*Q2</f>
        <v>0</v>
      </c>
      <c r="R5" s="2">
        <f>0.106*R2</f>
        <v>0</v>
      </c>
      <c r="S5" s="2">
        <f>0.143*S2</f>
        <v>0</v>
      </c>
      <c r="T5" s="2">
        <f>0.107*T2</f>
        <v>0</v>
      </c>
      <c r="U5" s="2">
        <f>0.286*U2</f>
        <v>0</v>
      </c>
      <c r="V5" s="2">
        <f>0.243*V2</f>
        <v>0</v>
      </c>
      <c r="Y5" s="2">
        <f>0.086*Y2</f>
        <v>0</v>
      </c>
      <c r="Z5" s="2">
        <f>0.075*Z2</f>
        <v>0</v>
      </c>
      <c r="AA5" s="2">
        <f>0.09*AA2</f>
        <v>0</v>
      </c>
      <c r="AB5" s="2">
        <f>0.143*AB2</f>
        <v>0</v>
      </c>
      <c r="AK5" s="2">
        <f>0.06*AK2</f>
        <v>0</v>
      </c>
      <c r="AS5" s="2">
        <f>0.116*AS2</f>
        <v>0</v>
      </c>
      <c r="AT5" s="2">
        <f>0.107*AT2</f>
        <v>0</v>
      </c>
      <c r="AU5" s="3">
        <f>0.0744*AU2</f>
        <v>0</v>
      </c>
      <c r="AV5" s="2">
        <f>0.1154*AV2</f>
        <v>0</v>
      </c>
      <c r="AW5" s="2">
        <f>0.12*AW2</f>
        <v>0</v>
      </c>
      <c r="AX5" s="2">
        <f>0.089*AX2</f>
        <v>0</v>
      </c>
      <c r="AY5" s="2">
        <f>0.108*AY2</f>
        <v>0</v>
      </c>
      <c r="AZ5" s="2">
        <f>0.108*AZ2</f>
        <v>0</v>
      </c>
      <c r="BA5" s="2">
        <f>0.12*BA2</f>
        <v>0</v>
      </c>
      <c r="BB5" s="3">
        <f>0.108*BB2</f>
        <v>0</v>
      </c>
      <c r="BC5" s="3">
        <f>0.12*BC2</f>
        <v>0</v>
      </c>
      <c r="BD5" s="2">
        <f>0.108*BD2</f>
        <v>0</v>
      </c>
      <c r="BE5" s="3">
        <f>0.126*BE2</f>
        <v>0</v>
      </c>
      <c r="BF5" s="2">
        <f>0.107*BF2</f>
        <v>0</v>
      </c>
      <c r="BK5" s="2">
        <f>0.081*BK2</f>
        <v>0</v>
      </c>
      <c r="BL5" s="2">
        <f>0.055*BL2</f>
        <v>0</v>
      </c>
      <c r="BN5" s="2">
        <f>0.107*BN2</f>
        <v>0</v>
      </c>
      <c r="BO5" s="2">
        <f>0.097*BO2</f>
        <v>0</v>
      </c>
      <c r="BP5" s="2">
        <f>0.086*BP2</f>
        <v>0</v>
      </c>
      <c r="BQ5" s="2">
        <f>0.0882*BQ2</f>
        <v>0</v>
      </c>
      <c r="BR5" s="3"/>
      <c r="BS5" s="3"/>
      <c r="BT5" s="5"/>
      <c r="BU5" s="5"/>
      <c r="BV5" s="5"/>
      <c r="BW5" s="5"/>
      <c r="BX5" s="3">
        <f>0.1*BX2</f>
        <v>0</v>
      </c>
      <c r="BY5" s="3">
        <f>0.375*BY2</f>
        <v>0</v>
      </c>
      <c r="BZ5" s="2">
        <f>0.0882*BZ2</f>
        <v>0</v>
      </c>
      <c r="CA5" s="2">
        <f>0.108*CA2</f>
        <v>0</v>
      </c>
      <c r="CB5" s="2">
        <f>0.088*CB2</f>
        <v>0</v>
      </c>
      <c r="CC5" s="2">
        <f>0.117*CC2</f>
        <v>0</v>
      </c>
      <c r="CD5" s="2">
        <f>0.108*CD2</f>
        <v>0</v>
      </c>
      <c r="CG5" s="2">
        <f>0.089*CG2</f>
        <v>0</v>
      </c>
      <c r="CH5" s="2">
        <f>0.11*CH2</f>
        <v>0</v>
      </c>
      <c r="CI5" s="2">
        <f>0.137*CI2</f>
        <v>0</v>
      </c>
      <c r="CJ5" s="2">
        <f>0.11*CJ2</f>
        <v>0</v>
      </c>
      <c r="CL5" s="2">
        <f>0.14*CL2</f>
        <v>0</v>
      </c>
      <c r="CM5" s="2">
        <f>0.1083*CM2</f>
        <v>0</v>
      </c>
      <c r="CN5" s="2">
        <f>0.01045*CN2</f>
        <v>0</v>
      </c>
      <c r="CQ5" s="2">
        <f>0.125*CQ2</f>
        <v>0</v>
      </c>
      <c r="CS5" s="2">
        <f>0.0996*CS2</f>
        <v>0</v>
      </c>
      <c r="CT5" s="2">
        <f>0.141*CT2</f>
        <v>0</v>
      </c>
      <c r="CU5" s="2">
        <f>0.17*CU2</f>
        <v>0</v>
      </c>
      <c r="CV5" s="2">
        <f>0.143*CV2</f>
        <v>0</v>
      </c>
      <c r="DV5" s="2">
        <f>0.05*DV2</f>
        <v>0</v>
      </c>
      <c r="DX5" s="2">
        <f>0.0953*DX2</f>
        <v>0</v>
      </c>
      <c r="DY5" s="2">
        <f>0.088*DY2</f>
        <v>0</v>
      </c>
      <c r="DZ5" s="2">
        <f>0.082*DZ2</f>
        <v>0</v>
      </c>
      <c r="EA5" s="2">
        <f>0.124*EA2</f>
        <v>0</v>
      </c>
      <c r="EB5" s="2">
        <f>0.108*EB2</f>
        <v>0</v>
      </c>
      <c r="EC5" s="2">
        <f>0.108*EC2</f>
        <v>0</v>
      </c>
      <c r="EF5" s="2">
        <f>0.056*EF2</f>
        <v>0</v>
      </c>
      <c r="EG5" s="2">
        <f>0.105*EG2</f>
        <v>0</v>
      </c>
      <c r="EI5" s="2">
        <f>0.107*EI2</f>
        <v>0</v>
      </c>
      <c r="EJ5" s="2">
        <f>0.22*EJ2</f>
        <v>0</v>
      </c>
      <c r="EK5" s="2">
        <f>0.124*EK2</f>
        <v>0</v>
      </c>
      <c r="EL5" s="2">
        <f>0.1225*EL2</f>
        <v>0</v>
      </c>
      <c r="EM5" s="2">
        <f>0.1*EM2</f>
        <v>0</v>
      </c>
      <c r="EO5" s="2">
        <f>0.146*EO2</f>
        <v>0</v>
      </c>
      <c r="EP5" s="2">
        <f>0.037*EP2</f>
        <v>0</v>
      </c>
      <c r="EQ5" s="2">
        <f>0.112*EQ2</f>
        <v>0</v>
      </c>
      <c r="ER5" s="2">
        <f>0.134*ER2</f>
        <v>0</v>
      </c>
      <c r="ES5" s="2">
        <f>0.09*ES2</f>
        <v>0</v>
      </c>
      <c r="ET5" s="2">
        <f>0.104*ET2</f>
        <v>0</v>
      </c>
      <c r="EU5" s="2">
        <f>0.0496*EU2</f>
        <v>0</v>
      </c>
      <c r="EV5" s="2">
        <f>0.136*EV2</f>
        <v>0</v>
      </c>
      <c r="EW5" s="2">
        <f>0.12*EW2</f>
        <v>0</v>
      </c>
      <c r="EX5" s="2">
        <f>0.072*EX2</f>
        <v>0</v>
      </c>
      <c r="EY5" s="2">
        <f>0.0923*EY2</f>
        <v>0</v>
      </c>
      <c r="FB5" s="2">
        <f>0.112*FB2</f>
        <v>0</v>
      </c>
      <c r="FC5" s="2">
        <f>0.0715*FC2</f>
        <v>0</v>
      </c>
      <c r="FD5" s="2">
        <f>0.124*FD2</f>
        <v>0</v>
      </c>
      <c r="FE5" s="2">
        <f>0.07143*FE2</f>
        <v>0</v>
      </c>
      <c r="FF5" s="2">
        <f>0.056*FF2</f>
        <v>0</v>
      </c>
      <c r="FK5" s="2">
        <f>0.04*FK2</f>
        <v>0</v>
      </c>
      <c r="FM5" s="2">
        <f>0.03*FM2</f>
        <v>0</v>
      </c>
      <c r="FQ5" s="2">
        <f>0.04*FQ2</f>
        <v>0</v>
      </c>
      <c r="FS5" s="2">
        <f>0.155*FS2</f>
        <v>0</v>
      </c>
      <c r="FT5" s="2">
        <f>0.1085*FT2</f>
        <v>0</v>
      </c>
      <c r="FU5" s="2">
        <f>0.07*FU2</f>
        <v>0</v>
      </c>
      <c r="FV5" s="2">
        <f>0.1*FV2</f>
        <v>0</v>
      </c>
      <c r="FW5" s="2">
        <f>0.11*FW2</f>
        <v>0</v>
      </c>
      <c r="FX5" s="2">
        <f>0.147*FX2</f>
        <v>0</v>
      </c>
      <c r="FY5" s="2">
        <f>0.098*FY2</f>
        <v>0</v>
      </c>
      <c r="FZ5" s="2">
        <f>0.129*FZ2</f>
        <v>0</v>
      </c>
      <c r="GC5" s="2">
        <f>0.09*GC2</f>
        <v>0</v>
      </c>
      <c r="GH5" s="2">
        <f>0.127*GH2</f>
        <v>0</v>
      </c>
      <c r="GI5" s="2">
        <f>0.043*GI2</f>
        <v>0</v>
      </c>
      <c r="GK5" s="2">
        <f>0.081*GK2</f>
        <v>0</v>
      </c>
      <c r="GM5" s="2">
        <f>0.072*GM2</f>
        <v>0</v>
      </c>
      <c r="GN5" s="2">
        <f>0.095*GN2</f>
        <v>0</v>
      </c>
      <c r="GO5" s="2">
        <f>0.054*GO2</f>
        <v>0</v>
      </c>
      <c r="GP5" s="2">
        <f>0.0531*GP2</f>
        <v>0</v>
      </c>
      <c r="GS5" s="2">
        <f>0.13*GS2</f>
        <v>0</v>
      </c>
      <c r="GT5" s="2">
        <f>0.0933*GT2</f>
        <v>0</v>
      </c>
      <c r="GV5" s="2">
        <f>0.068*GV2</f>
        <v>0</v>
      </c>
      <c r="GW5" s="2">
        <f>0.099*GW2</f>
        <v>0</v>
      </c>
      <c r="GX5" s="2">
        <f>0.0577*GX2</f>
        <v>0</v>
      </c>
    </row>
    <row r="6" spans="1:214" s="30" customFormat="1" x14ac:dyDescent="0.25">
      <c r="A6" s="30" t="s">
        <v>214</v>
      </c>
      <c r="B6" s="21" t="s">
        <v>215</v>
      </c>
      <c r="C6" s="30">
        <f>D6</f>
        <v>0</v>
      </c>
      <c r="D6" s="30">
        <f t="shared" si="0"/>
        <v>0</v>
      </c>
      <c r="G6" s="30">
        <f>2.9*G2</f>
        <v>0</v>
      </c>
      <c r="J6" s="30">
        <f>6.1*J2</f>
        <v>0</v>
      </c>
      <c r="K6" s="30">
        <f>3.52*K2</f>
        <v>0</v>
      </c>
      <c r="Y6" s="30">
        <f>2.1*Y2</f>
        <v>0</v>
      </c>
      <c r="Z6" s="30">
        <f>1.75*Z2</f>
        <v>0</v>
      </c>
      <c r="AA6" s="30">
        <f>2.3*AA2</f>
        <v>0</v>
      </c>
      <c r="AB6" s="30">
        <f>3.3*AB2</f>
        <v>0</v>
      </c>
      <c r="AK6" s="30">
        <f>1.71*AK2</f>
        <v>0</v>
      </c>
      <c r="AU6" s="19">
        <f>3.43*AU2</f>
        <v>0</v>
      </c>
      <c r="AV6" s="30">
        <f>2.5*AV2</f>
        <v>0</v>
      </c>
      <c r="BB6" s="19"/>
      <c r="BC6" s="19"/>
      <c r="BE6" s="19">
        <f>5.1*BE2</f>
        <v>0</v>
      </c>
      <c r="BL6" s="30">
        <f>1.44*BL2</f>
        <v>0</v>
      </c>
      <c r="BP6" s="30">
        <f>2.7*BP2</f>
        <v>0</v>
      </c>
      <c r="BR6" s="19"/>
      <c r="BS6" s="19"/>
      <c r="BT6" s="20"/>
      <c r="BU6" s="20"/>
      <c r="BV6" s="20"/>
      <c r="BW6" s="20"/>
      <c r="BX6" s="19">
        <f>2.94*BX2</f>
        <v>0</v>
      </c>
      <c r="BY6" s="19">
        <f>3.4*BY2</f>
        <v>0</v>
      </c>
      <c r="BZ6" s="30">
        <f>2.91*BZ2</f>
        <v>0</v>
      </c>
      <c r="CD6" s="30">
        <f>3.87*CD2</f>
        <v>0</v>
      </c>
      <c r="CG6" s="30">
        <f>2.78*CG2</f>
        <v>0</v>
      </c>
      <c r="CI6" s="30">
        <f>2.91*CI2</f>
        <v>0</v>
      </c>
      <c r="CJ6" s="30">
        <f>2.2*CJ2</f>
        <v>0</v>
      </c>
      <c r="CL6" s="30">
        <f>5.4*CL2</f>
        <v>0</v>
      </c>
      <c r="CQ6" s="30">
        <f>4.66*CQ2</f>
        <v>0</v>
      </c>
      <c r="DV6" s="30">
        <f>5.335*DV2</f>
        <v>0</v>
      </c>
      <c r="DX6" s="30">
        <f>3.1*DX2</f>
        <v>0</v>
      </c>
      <c r="DY6" s="30">
        <f>3*DY2</f>
        <v>0</v>
      </c>
      <c r="DZ6" s="30">
        <f>2.95*DZ2</f>
        <v>0</v>
      </c>
      <c r="EA6" s="30">
        <f>4.6*EA2</f>
        <v>0</v>
      </c>
      <c r="EB6" s="30">
        <f>3.3*EB2</f>
        <v>0</v>
      </c>
      <c r="EC6" s="30">
        <f>3.3*EC2</f>
        <v>0</v>
      </c>
      <c r="EG6" s="30">
        <f>4.84*EG2</f>
        <v>0</v>
      </c>
      <c r="EI6" s="30">
        <f>2.15*EI2</f>
        <v>0</v>
      </c>
      <c r="EJ6" s="30">
        <f>4.6*EJ2*2</f>
        <v>0</v>
      </c>
      <c r="EK6" s="30">
        <f>4.6*EK2</f>
        <v>0</v>
      </c>
      <c r="EL6" s="30">
        <f>2.55*EL2</f>
        <v>0</v>
      </c>
      <c r="EM6" s="30">
        <f>4.55*EM2</f>
        <v>0</v>
      </c>
      <c r="EO6" s="30">
        <f>9.3*EO2</f>
        <v>0</v>
      </c>
      <c r="ER6" s="30">
        <f>5.6*ER2</f>
        <v>0</v>
      </c>
      <c r="ES6" s="30">
        <f>3.6*ES2</f>
        <v>0</v>
      </c>
      <c r="ET6" s="30">
        <f>7.4*ET2</f>
        <v>0</v>
      </c>
      <c r="EU6" s="30">
        <f>0.73*EU2</f>
        <v>0</v>
      </c>
      <c r="EV6" s="30">
        <f>3.5*EV2</f>
        <v>0</v>
      </c>
      <c r="EW6" s="30">
        <f>3.547*EW2</f>
        <v>0</v>
      </c>
      <c r="EX6" s="30">
        <f>4.5*EX2</f>
        <v>0</v>
      </c>
      <c r="EY6" s="30">
        <f>3.17*EY2</f>
        <v>0</v>
      </c>
      <c r="FB6" s="30">
        <f>2.85*FB2</f>
        <v>0</v>
      </c>
      <c r="FC6" s="30">
        <f>2.9*FC2</f>
        <v>0</v>
      </c>
      <c r="FF6" s="30">
        <f>1.65*FF2</f>
        <v>0</v>
      </c>
      <c r="FK6" s="30">
        <f>3.1*FK2</f>
        <v>0</v>
      </c>
      <c r="FM6" s="30">
        <f>2.1*FM2</f>
        <v>0</v>
      </c>
      <c r="FQ6" s="30">
        <f>3.47*FQ2</f>
        <v>0</v>
      </c>
      <c r="FS6" s="30">
        <f>5.45*FS2</f>
        <v>0</v>
      </c>
      <c r="FT6" s="30">
        <f>4.9*FT2</f>
        <v>0</v>
      </c>
      <c r="FU6" s="30">
        <f>1.89*FU2</f>
        <v>0</v>
      </c>
      <c r="FV6" s="30">
        <f>4.3*FV2</f>
        <v>0</v>
      </c>
      <c r="FW6" s="30">
        <f>2.1*FW2</f>
        <v>0</v>
      </c>
      <c r="FX6" s="30">
        <f>4.2*FX2</f>
        <v>0</v>
      </c>
      <c r="FY6" s="30">
        <f>8.1*FY2</f>
        <v>0</v>
      </c>
      <c r="FZ6" s="30">
        <f>5.1*FZ2</f>
        <v>0</v>
      </c>
      <c r="GC6" s="30">
        <f>2.7*GC2</f>
        <v>0</v>
      </c>
      <c r="GH6" s="30">
        <f>7.27*GH2</f>
        <v>0</v>
      </c>
      <c r="GI6" s="30">
        <f>3.76*GI2</f>
        <v>0</v>
      </c>
      <c r="GK6" s="30">
        <f>2.69*GK2</f>
        <v>0</v>
      </c>
      <c r="GM6" s="30">
        <f>2*GM2</f>
        <v>0</v>
      </c>
      <c r="GN6" s="30">
        <f>3.64*GN2</f>
        <v>0</v>
      </c>
      <c r="GO6" s="30">
        <f>4.1*GO2</f>
        <v>0</v>
      </c>
      <c r="GP6" s="30">
        <f>1.97*GP2</f>
        <v>0</v>
      </c>
      <c r="GS6" s="30">
        <f>3.7*GS2</f>
        <v>0</v>
      </c>
      <c r="GT6" s="30">
        <f>3*GT2</f>
        <v>0</v>
      </c>
      <c r="GV6" s="30">
        <f>2.18*GV2</f>
        <v>0</v>
      </c>
      <c r="GW6" s="30">
        <f>7.75*GW2</f>
        <v>0</v>
      </c>
      <c r="GX6" s="30">
        <f>2*GX2</f>
        <v>0</v>
      </c>
    </row>
    <row r="7" spans="1:214" x14ac:dyDescent="0.25">
      <c r="A7" s="2" t="s">
        <v>217</v>
      </c>
      <c r="B7" s="30" t="s">
        <v>213</v>
      </c>
      <c r="C7" s="30">
        <f>D7*1.05</f>
        <v>0</v>
      </c>
      <c r="D7" s="30">
        <f t="shared" si="0"/>
        <v>0</v>
      </c>
      <c r="AU7" s="3"/>
      <c r="BB7" s="3"/>
      <c r="BC7" s="3"/>
      <c r="BE7" s="3"/>
      <c r="BR7" s="3"/>
      <c r="BS7" s="3"/>
      <c r="BT7" s="5"/>
      <c r="BU7" s="5"/>
      <c r="BV7" s="5"/>
      <c r="BW7" s="5"/>
      <c r="BX7" s="3"/>
      <c r="BY7" s="3"/>
      <c r="HF7" s="2">
        <f>0.09*HF2</f>
        <v>0</v>
      </c>
    </row>
    <row r="8" spans="1:214" s="30" customFormat="1" x14ac:dyDescent="0.25">
      <c r="A8" s="30" t="s">
        <v>214</v>
      </c>
      <c r="B8" s="21" t="s">
        <v>215</v>
      </c>
      <c r="C8" s="30">
        <f>D8</f>
        <v>0</v>
      </c>
      <c r="D8" s="30">
        <f t="shared" si="0"/>
        <v>0</v>
      </c>
      <c r="AU8" s="19"/>
      <c r="BB8" s="19"/>
      <c r="BC8" s="19"/>
      <c r="BE8" s="19"/>
      <c r="BR8" s="19"/>
      <c r="BS8" s="19"/>
      <c r="BT8" s="20"/>
      <c r="BU8" s="20"/>
      <c r="BV8" s="20"/>
      <c r="BW8" s="20"/>
      <c r="BX8" s="19"/>
      <c r="BY8" s="19"/>
    </row>
    <row r="9" spans="1:214" x14ac:dyDescent="0.25">
      <c r="A9" s="2" t="s">
        <v>218</v>
      </c>
      <c r="B9" s="30" t="s">
        <v>213</v>
      </c>
      <c r="C9" s="30">
        <f>D9*1.05</f>
        <v>0</v>
      </c>
      <c r="D9" s="30">
        <f t="shared" si="0"/>
        <v>0</v>
      </c>
      <c r="AU9" s="3"/>
      <c r="BB9" s="3"/>
      <c r="BC9" s="3"/>
      <c r="BE9" s="3"/>
      <c r="BR9" s="3"/>
      <c r="BS9" s="3"/>
      <c r="BT9" s="5"/>
      <c r="BU9" s="5"/>
      <c r="BV9" s="5"/>
      <c r="BW9" s="5"/>
      <c r="BX9" s="3"/>
      <c r="BY9" s="3"/>
      <c r="DV9" s="2">
        <f>0.0095*DV2</f>
        <v>0</v>
      </c>
      <c r="GU9" s="2">
        <f>0.00441*GU2</f>
        <v>0</v>
      </c>
    </row>
    <row r="10" spans="1:214" s="30" customFormat="1" x14ac:dyDescent="0.25">
      <c r="A10" s="30" t="s">
        <v>214</v>
      </c>
      <c r="B10" s="21" t="s">
        <v>219</v>
      </c>
      <c r="C10" s="30">
        <f>D10</f>
        <v>0</v>
      </c>
      <c r="D10" s="30">
        <f t="shared" si="0"/>
        <v>0</v>
      </c>
      <c r="AU10" s="19"/>
      <c r="BB10" s="19"/>
      <c r="BC10" s="19"/>
      <c r="BE10" s="19"/>
      <c r="BR10" s="19"/>
      <c r="BS10" s="19"/>
      <c r="BT10" s="20"/>
      <c r="BU10" s="20"/>
      <c r="BV10" s="20"/>
      <c r="BW10" s="20"/>
      <c r="BX10" s="19"/>
      <c r="BY10" s="19"/>
      <c r="DV10" s="30">
        <f>0.64*DV2</f>
        <v>0</v>
      </c>
    </row>
    <row r="11" spans="1:214" x14ac:dyDescent="0.25">
      <c r="A11" s="2" t="s">
        <v>220</v>
      </c>
      <c r="B11" s="30" t="s">
        <v>213</v>
      </c>
      <c r="C11" s="30">
        <f>D11*1.05</f>
        <v>0</v>
      </c>
      <c r="D11" s="30">
        <f t="shared" si="0"/>
        <v>0</v>
      </c>
      <c r="E11" s="2">
        <f>0.324*E2</f>
        <v>0</v>
      </c>
      <c r="F11" s="2">
        <f>0.153*F2</f>
        <v>0</v>
      </c>
      <c r="G11" s="2">
        <f>0.1*G2</f>
        <v>0</v>
      </c>
      <c r="H11" s="2">
        <f>0.14*H2</f>
        <v>0</v>
      </c>
      <c r="I11" s="2">
        <f>0.29*I2</f>
        <v>0</v>
      </c>
      <c r="J11" s="2">
        <f>0.0112*J2</f>
        <v>0</v>
      </c>
      <c r="K11" s="2">
        <f>0.05*K2</f>
        <v>0</v>
      </c>
      <c r="Q11" s="2">
        <f>0.107*Q2</f>
        <v>0</v>
      </c>
      <c r="R11" s="2">
        <f>0.0174*R2</f>
        <v>0</v>
      </c>
      <c r="S11" s="2">
        <f>0.0468*S2</f>
        <v>0</v>
      </c>
      <c r="Y11" s="2">
        <f>0.085*Y2</f>
        <v>0</v>
      </c>
      <c r="Z11" s="2">
        <f>0.058*Z2</f>
        <v>0</v>
      </c>
      <c r="AA11" s="2">
        <f>0.044*AA2</f>
        <v>0</v>
      </c>
      <c r="AB11" s="2">
        <f>0.104*AB2</f>
        <v>0</v>
      </c>
      <c r="AD11" s="2">
        <f>0.4*AD2</f>
        <v>0</v>
      </c>
      <c r="AE11" s="2">
        <f>0.42*AE2</f>
        <v>0</v>
      </c>
      <c r="AF11" s="2">
        <f>0.25*AF2</f>
        <v>0</v>
      </c>
      <c r="AG11" s="2">
        <f>0.55*AG2</f>
        <v>0</v>
      </c>
      <c r="AH11" s="2">
        <f>0.332*AH2</f>
        <v>0</v>
      </c>
      <c r="AI11" s="2">
        <f>0.295*AI2</f>
        <v>0</v>
      </c>
      <c r="AJ11" s="2">
        <f>0.33*AJ2</f>
        <v>0</v>
      </c>
      <c r="AK11" s="2">
        <f>0.094*AK2</f>
        <v>0</v>
      </c>
      <c r="AM11" s="2">
        <f>0.372*AM2</f>
        <v>0</v>
      </c>
      <c r="AN11" s="2">
        <f>0.177*AN2</f>
        <v>0</v>
      </c>
      <c r="AO11" s="2">
        <f>0.2*AO2</f>
        <v>0</v>
      </c>
      <c r="AP11" s="2">
        <f>0.24*AP2</f>
        <v>0</v>
      </c>
      <c r="AR11" s="2">
        <f>0.191*AR2</f>
        <v>0</v>
      </c>
      <c r="AS11" s="2">
        <f>0.099*AS2</f>
        <v>0</v>
      </c>
      <c r="AT11" s="2">
        <f>0.099*AT2</f>
        <v>0</v>
      </c>
      <c r="AU11" s="3">
        <f>0.0139*AU2</f>
        <v>0</v>
      </c>
      <c r="AV11" s="2">
        <f>0.15*AV2</f>
        <v>0</v>
      </c>
      <c r="BA11" s="2">
        <f>0.025*BA2</f>
        <v>0</v>
      </c>
      <c r="BB11" s="3"/>
      <c r="BC11" s="3"/>
      <c r="BE11" s="3">
        <f>0.025*BE2</f>
        <v>0</v>
      </c>
      <c r="BG11" s="2">
        <f>0.12*BG2</f>
        <v>0</v>
      </c>
      <c r="BH11" s="2">
        <f>0.37*BH2</f>
        <v>0</v>
      </c>
      <c r="BI11" s="2">
        <f>0.18*BI2</f>
        <v>0</v>
      </c>
      <c r="BJ11" s="2">
        <f>0.4*BJ2</f>
        <v>0</v>
      </c>
      <c r="BK11" s="2">
        <f>0.093*BK2</f>
        <v>0</v>
      </c>
      <c r="BL11" s="2">
        <f>0.019*BL2</f>
        <v>0</v>
      </c>
      <c r="BM11" s="2">
        <f>0.0273*BM2</f>
        <v>0</v>
      </c>
      <c r="BN11" s="2">
        <f>0.134*BN2</f>
        <v>0</v>
      </c>
      <c r="BR11" s="3">
        <f>0.16*BR2</f>
        <v>0</v>
      </c>
      <c r="BS11" s="3">
        <f>0.35*BS2</f>
        <v>0</v>
      </c>
      <c r="BT11" s="3">
        <f>0.2*BT2</f>
        <v>0</v>
      </c>
      <c r="BU11" s="3">
        <f>0.4*BU2</f>
        <v>0</v>
      </c>
      <c r="BV11" s="3">
        <f>0.21*BV2</f>
        <v>0</v>
      </c>
      <c r="BW11" s="3">
        <f>0.45*BW2</f>
        <v>0</v>
      </c>
      <c r="BX11" s="3"/>
      <c r="BY11" s="3">
        <f>0.0514*BY2</f>
        <v>0</v>
      </c>
      <c r="CA11" s="2">
        <f>0.0309*CA2</f>
        <v>0</v>
      </c>
      <c r="CB11" s="2">
        <f>0.016*CB2</f>
        <v>0</v>
      </c>
      <c r="CC11" s="2">
        <f>0.041*CC2</f>
        <v>0</v>
      </c>
      <c r="CD11" s="2">
        <f>0.0257*CD2</f>
        <v>0</v>
      </c>
      <c r="CH11" s="2">
        <f>0.0216*CH2</f>
        <v>0</v>
      </c>
      <c r="CJ11" s="2">
        <f>0.1*CJ2</f>
        <v>0</v>
      </c>
      <c r="CK11" s="2">
        <f>0.07*CK2</f>
        <v>0</v>
      </c>
      <c r="CL11" s="2">
        <f>0.066*CL2</f>
        <v>0</v>
      </c>
      <c r="CN11" s="2">
        <f>0.0356*CN2</f>
        <v>0</v>
      </c>
      <c r="CO11" s="2">
        <f>0.3*CO2</f>
        <v>0</v>
      </c>
      <c r="CP11" s="2">
        <f>0.26*CP2</f>
        <v>0</v>
      </c>
      <c r="CQ11" s="2">
        <f>0.039*CQ2</f>
        <v>0</v>
      </c>
      <c r="CS11" s="2">
        <f>0.0122*CS2</f>
        <v>0</v>
      </c>
      <c r="CT11" s="2">
        <f>0.056*CT2</f>
        <v>0</v>
      </c>
      <c r="CU11" s="2">
        <f>0.051*CU2</f>
        <v>0</v>
      </c>
      <c r="CV11" s="2">
        <f>0.048*CV2</f>
        <v>0</v>
      </c>
      <c r="CW11" s="2">
        <f>0.49*CW2</f>
        <v>0</v>
      </c>
      <c r="CX11" s="2">
        <f>0.361*CX2</f>
        <v>0</v>
      </c>
      <c r="CY11" s="2">
        <f>0.45*CY2</f>
        <v>0</v>
      </c>
      <c r="CZ11" s="2">
        <f>0.4*CZ2</f>
        <v>0</v>
      </c>
      <c r="DA11" s="2">
        <f>0.046*DA2</f>
        <v>0</v>
      </c>
      <c r="DB11" s="2">
        <f>0.45*DB2</f>
        <v>0</v>
      </c>
      <c r="DC11" s="2">
        <f>0.45*DC2</f>
        <v>0</v>
      </c>
      <c r="DD11" s="2">
        <f>0.43*DD2</f>
        <v>0</v>
      </c>
      <c r="DE11" s="2">
        <f>0.31*DE2</f>
        <v>0</v>
      </c>
      <c r="DF11" s="2">
        <f>0.31*DF2*2</f>
        <v>0</v>
      </c>
      <c r="DG11" s="2">
        <f>0.31*DG2*3</f>
        <v>0</v>
      </c>
      <c r="DH11" s="2">
        <f>0.31*DH2*4</f>
        <v>0</v>
      </c>
      <c r="DI11" s="2">
        <f>0.31*DI2*5</f>
        <v>0</v>
      </c>
      <c r="DJ11" s="2">
        <f>0.31*DJ2*6</f>
        <v>0</v>
      </c>
      <c r="DK11" s="2">
        <f>0.31*DK2*7</f>
        <v>0</v>
      </c>
      <c r="DL11" s="2">
        <f>0.375*DL2</f>
        <v>0</v>
      </c>
      <c r="DM11" s="2">
        <f>0.3*DM2</f>
        <v>0</v>
      </c>
      <c r="DN11" s="2">
        <f>0.3*DN2*2</f>
        <v>0</v>
      </c>
      <c r="DO11" s="2">
        <f>0.3*DO2*3</f>
        <v>0</v>
      </c>
      <c r="DP11" s="2">
        <f>0.3*DP2*4</f>
        <v>0</v>
      </c>
      <c r="DQ11" s="2">
        <f>0.3*DQ2*5</f>
        <v>0</v>
      </c>
      <c r="DR11" s="2">
        <f>0.3*DR2*6</f>
        <v>0</v>
      </c>
      <c r="DS11" s="2">
        <f>0.3*DS2*7</f>
        <v>0</v>
      </c>
      <c r="DT11" s="2">
        <f>0.344*DT2</f>
        <v>0</v>
      </c>
      <c r="DU11" s="2">
        <f>0.344*DU2</f>
        <v>0</v>
      </c>
      <c r="DV11" s="2">
        <f>0.006*DV2</f>
        <v>0</v>
      </c>
      <c r="DW11" s="2">
        <f>0.431*DW2</f>
        <v>0</v>
      </c>
      <c r="EA11" s="2">
        <f>0.171*EA2</f>
        <v>0</v>
      </c>
      <c r="EB11" s="2">
        <f>0.162*EB2</f>
        <v>0</v>
      </c>
      <c r="EC11" s="2">
        <f>0.162*EC2</f>
        <v>0</v>
      </c>
      <c r="EE11" s="2">
        <f>0.094*EE2</f>
        <v>0</v>
      </c>
      <c r="EF11" s="2">
        <f>0.102*EF2</f>
        <v>0</v>
      </c>
      <c r="EG11" s="2">
        <f>0.03*EG2</f>
        <v>0</v>
      </c>
      <c r="EI11" s="2">
        <f>0.098*EI2</f>
        <v>0</v>
      </c>
      <c r="EJ11" s="2">
        <f>0.3*EJ2</f>
        <v>0</v>
      </c>
      <c r="EK11" s="2">
        <f>0.171*EK2</f>
        <v>0</v>
      </c>
      <c r="EL11" s="2">
        <f>0.13*EL2</f>
        <v>0</v>
      </c>
      <c r="EM11" s="2">
        <f>0.029*EM2</f>
        <v>0</v>
      </c>
      <c r="EO11" s="2">
        <f>0.02564*EO2</f>
        <v>0</v>
      </c>
      <c r="EP11" s="2">
        <f>0.0103*EP2</f>
        <v>0</v>
      </c>
      <c r="ER11" s="2">
        <f>0.05*ER2</f>
        <v>0</v>
      </c>
      <c r="ES11" s="2">
        <f>0.02*ES2</f>
        <v>0</v>
      </c>
      <c r="ET11" s="2">
        <f>0.0177*ET2</f>
        <v>0</v>
      </c>
      <c r="EU11" s="2">
        <f>0.0051*EU2</f>
        <v>0</v>
      </c>
      <c r="EV11" s="2">
        <f>0.102*EV2</f>
        <v>0</v>
      </c>
      <c r="EX11" s="2">
        <f>0.006*EX2</f>
        <v>0</v>
      </c>
      <c r="EZ11" s="2">
        <f>0.374*EZ2</f>
        <v>0</v>
      </c>
      <c r="FD11" s="2">
        <f>0.1355*FD2</f>
        <v>0</v>
      </c>
      <c r="FE11" s="2">
        <f>0.08*FE2</f>
        <v>0</v>
      </c>
      <c r="FF11" s="2">
        <f>0.065*FF2</f>
        <v>0</v>
      </c>
      <c r="FG11" s="2">
        <f>0.407*FG2</f>
        <v>0</v>
      </c>
      <c r="FH11" s="2">
        <f>0.414*FH2</f>
        <v>0</v>
      </c>
      <c r="FI11" s="2">
        <f>0.48*FI2</f>
        <v>0</v>
      </c>
      <c r="FJ11" s="2">
        <f>0.47*FJ2</f>
        <v>0</v>
      </c>
      <c r="FK11" s="2">
        <f>0.0058*FK2</f>
        <v>0</v>
      </c>
      <c r="FL11" s="2">
        <f>0.47*FL2</f>
        <v>0</v>
      </c>
      <c r="FM11" s="2">
        <f>0.0217*FM2</f>
        <v>0</v>
      </c>
      <c r="FN11" s="2">
        <f>0.02*FN2</f>
        <v>0</v>
      </c>
      <c r="FQ11" s="2">
        <f>0.0061*FQ2</f>
        <v>0</v>
      </c>
      <c r="FS11" s="2">
        <f>0.05*FS2</f>
        <v>0</v>
      </c>
      <c r="FT11" s="2">
        <f>0.0273*FT2</f>
        <v>0</v>
      </c>
      <c r="FU11" s="2">
        <f>0.026*FU2</f>
        <v>0</v>
      </c>
      <c r="FV11" s="2">
        <f>0.028*FV2</f>
        <v>0</v>
      </c>
      <c r="FZ11" s="2">
        <f>0.034*FZ2</f>
        <v>0</v>
      </c>
      <c r="GA11" s="2">
        <f>0.547*GA2</f>
        <v>0</v>
      </c>
      <c r="GB11" s="2">
        <f>0.318*GB2</f>
        <v>0</v>
      </c>
      <c r="GD11" s="2">
        <f>0.057*GD2</f>
        <v>0</v>
      </c>
      <c r="GE11" s="2">
        <f>0.0382*GE2</f>
        <v>0</v>
      </c>
      <c r="GF11" s="2">
        <f>0.051*GF2</f>
        <v>0</v>
      </c>
      <c r="GG11" s="2">
        <f>0.0455*GG2</f>
        <v>0</v>
      </c>
      <c r="GH11" s="2">
        <f>0.21*GH2</f>
        <v>0</v>
      </c>
      <c r="GI11" s="2">
        <f>0.0072*GI2</f>
        <v>0</v>
      </c>
      <c r="GM11" s="2">
        <f>0.07*GM2</f>
        <v>0</v>
      </c>
      <c r="GN11" s="2">
        <f>0.028*GN2</f>
        <v>0</v>
      </c>
      <c r="GO11" s="2">
        <f>0.0095*GO2</f>
        <v>0</v>
      </c>
      <c r="GP11" s="2">
        <f>0.0092*GP2</f>
        <v>0</v>
      </c>
      <c r="GS11" s="2">
        <f>0.056*GS2</f>
        <v>0</v>
      </c>
      <c r="GT11" s="2">
        <f>0.028*GT2</f>
        <v>0</v>
      </c>
      <c r="GV11" s="2">
        <f>0.0105*GV2</f>
        <v>0</v>
      </c>
      <c r="GX11" s="2">
        <f>0.0107*GX2</f>
        <v>0</v>
      </c>
      <c r="GY11" s="2">
        <f>0.43*GY2</f>
        <v>0</v>
      </c>
      <c r="GZ11" s="2">
        <f>0.375*GZ2</f>
        <v>0</v>
      </c>
      <c r="HA11" s="2">
        <f>0.25*HA2</f>
        <v>0</v>
      </c>
      <c r="HB11" s="2">
        <f>0.375*HB2</f>
        <v>0</v>
      </c>
      <c r="HC11" s="2">
        <f>0.43*HC2</f>
        <v>0</v>
      </c>
      <c r="HD11" s="2">
        <f>0.43*HD2</f>
        <v>0</v>
      </c>
      <c r="HE11" s="2">
        <f>0.5*HE2</f>
        <v>0</v>
      </c>
    </row>
    <row r="12" spans="1:214" s="30" customFormat="1" x14ac:dyDescent="0.25">
      <c r="A12" s="30" t="s">
        <v>214</v>
      </c>
      <c r="B12" s="21" t="s">
        <v>219</v>
      </c>
      <c r="C12" s="30">
        <f>D12</f>
        <v>0</v>
      </c>
      <c r="D12" s="30">
        <f t="shared" si="0"/>
        <v>0</v>
      </c>
      <c r="G12" s="30">
        <f>4.7*G2</f>
        <v>0</v>
      </c>
      <c r="I12" s="30">
        <f>11.8*I2</f>
        <v>0</v>
      </c>
      <c r="J12" s="30">
        <f>0.69*J2</f>
        <v>0</v>
      </c>
      <c r="K12" s="30">
        <f>1.7*K2</f>
        <v>0</v>
      </c>
      <c r="Y12" s="30">
        <f>4.3*Y2</f>
        <v>0</v>
      </c>
      <c r="Z12" s="30">
        <f>2.9*Z2</f>
        <v>0</v>
      </c>
      <c r="AA12" s="30">
        <f>2.8*AA2</f>
        <v>0</v>
      </c>
      <c r="AB12" s="30">
        <f>4.5*AB2</f>
        <v>0</v>
      </c>
      <c r="AK12" s="30">
        <f>4.3*AK2</f>
        <v>0</v>
      </c>
      <c r="AU12" s="19">
        <f>0.73*AU2</f>
        <v>0</v>
      </c>
      <c r="AV12" s="30">
        <f>6.9*AV2</f>
        <v>0</v>
      </c>
      <c r="BB12" s="19"/>
      <c r="BC12" s="19"/>
      <c r="BE12" s="19">
        <f>1.11*BE2</f>
        <v>0</v>
      </c>
      <c r="BL12" s="30">
        <f>1*BL2</f>
        <v>0</v>
      </c>
      <c r="BR12" s="19"/>
      <c r="BS12" s="19"/>
      <c r="BT12" s="19"/>
      <c r="BU12" s="19"/>
      <c r="BV12" s="19"/>
      <c r="BW12" s="19"/>
      <c r="BX12" s="19"/>
      <c r="BY12" s="19">
        <f>0.97*BY2</f>
        <v>0</v>
      </c>
      <c r="CD12" s="30">
        <f>0.75*CD2</f>
        <v>0</v>
      </c>
      <c r="CJ12" s="30">
        <f>4.3*CJ2</f>
        <v>0</v>
      </c>
      <c r="CK12" s="30">
        <f>3*CK2</f>
        <v>0</v>
      </c>
      <c r="CL12" s="30">
        <f>1.32*CL2</f>
        <v>0</v>
      </c>
      <c r="CQ12" s="30">
        <f>1.1*CQ2</f>
        <v>0</v>
      </c>
      <c r="CW12" s="30">
        <f>8.6*CW2</f>
        <v>0</v>
      </c>
      <c r="CX12" s="30">
        <f>7.4*CX2</f>
        <v>0</v>
      </c>
      <c r="CY12" s="30">
        <f>7.3*CY2</f>
        <v>0</v>
      </c>
      <c r="DB12" s="30">
        <f>6.9*DB2</f>
        <v>0</v>
      </c>
      <c r="DC12" s="30">
        <f>6.7*DC2</f>
        <v>0</v>
      </c>
      <c r="DD12" s="30">
        <f>4.8*DD2</f>
        <v>0</v>
      </c>
      <c r="DL12" s="30">
        <f>6.2*DL2</f>
        <v>0</v>
      </c>
      <c r="DV12" s="30">
        <f>0.59*DV2</f>
        <v>0</v>
      </c>
      <c r="EA12" s="30">
        <f>5.9*EA2</f>
        <v>0</v>
      </c>
      <c r="EB12" s="30">
        <f>5.14*EB2</f>
        <v>0</v>
      </c>
      <c r="EC12" s="30">
        <f>5.14*EC2</f>
        <v>0</v>
      </c>
      <c r="EG12" s="30">
        <f>2*EG2</f>
        <v>0</v>
      </c>
      <c r="EI12" s="30">
        <f>4.2*EI2</f>
        <v>0</v>
      </c>
      <c r="EJ12" s="30">
        <f>5.9*EJ2</f>
        <v>0</v>
      </c>
      <c r="EK12" s="30">
        <f>5.9*EK2</f>
        <v>0</v>
      </c>
      <c r="EL12" s="30">
        <f>5.4*EL2</f>
        <v>0</v>
      </c>
      <c r="EM12" s="30">
        <f>2.12*EM2</f>
        <v>0</v>
      </c>
      <c r="EO12" s="30">
        <f>1.2*EO2</f>
        <v>0</v>
      </c>
      <c r="ER12" s="30">
        <f>1.7*ER2</f>
        <v>0</v>
      </c>
      <c r="ES12" s="30">
        <f>1.43*ES2</f>
        <v>0</v>
      </c>
      <c r="ET12" s="30">
        <f>1*ET2</f>
        <v>0</v>
      </c>
      <c r="EU12" s="30">
        <f>0.38*EU2</f>
        <v>0</v>
      </c>
      <c r="EV12" s="30">
        <f>4.3*EV2</f>
        <v>0</v>
      </c>
      <c r="EX12" s="30">
        <f>0.53*EX2</f>
        <v>0</v>
      </c>
      <c r="EZ12" s="30">
        <f>22.5*EZ2</f>
        <v>0</v>
      </c>
      <c r="FF12" s="30">
        <f>2.86*FF2</f>
        <v>0</v>
      </c>
      <c r="FG12" s="30">
        <f>29*FG2</f>
        <v>0</v>
      </c>
      <c r="FH12" s="30">
        <f>25.4*FH2</f>
        <v>0</v>
      </c>
      <c r="FI12" s="30">
        <f>32*FI2</f>
        <v>0</v>
      </c>
      <c r="FJ12" s="30">
        <f>35.2*FJ2</f>
        <v>0</v>
      </c>
      <c r="FK12" s="30">
        <f>0.47*FK2</f>
        <v>0</v>
      </c>
      <c r="FL12" s="30">
        <f>34*FL2</f>
        <v>0</v>
      </c>
      <c r="FM12" s="30">
        <f>0.89*FM2</f>
        <v>0</v>
      </c>
      <c r="FQ12" s="30">
        <f>0.524*FQ2</f>
        <v>0</v>
      </c>
      <c r="FS12" s="30">
        <f>1.65*FS2</f>
        <v>0</v>
      </c>
      <c r="FT12" s="30">
        <f>1.37*FT2</f>
        <v>0</v>
      </c>
      <c r="FU12" s="30">
        <f>1.5*FU2</f>
        <v>0</v>
      </c>
      <c r="FV12" s="30">
        <f>1.2*FV2</f>
        <v>0</v>
      </c>
      <c r="FZ12" s="30">
        <f>2.32*FZ2</f>
        <v>0</v>
      </c>
      <c r="GA12" s="30">
        <f>6.24*GA2</f>
        <v>0</v>
      </c>
      <c r="GB12" s="30">
        <f>23.6*GB2</f>
        <v>0</v>
      </c>
      <c r="GD12" s="30">
        <f>4.27*GD2</f>
        <v>0</v>
      </c>
      <c r="GE12" s="30">
        <f>3.75*GE2</f>
        <v>0</v>
      </c>
      <c r="GF12" s="30">
        <f>4.7*GF2</f>
        <v>0</v>
      </c>
      <c r="GG12" s="30">
        <f>3.97*GG2</f>
        <v>0</v>
      </c>
      <c r="GH12" s="30">
        <f>8.23*GH2</f>
        <v>0</v>
      </c>
      <c r="GI12" s="30">
        <f>0.58*GI2</f>
        <v>0</v>
      </c>
      <c r="GM12" s="30">
        <f>3.5*GM2</f>
        <v>0</v>
      </c>
      <c r="GN12" s="30">
        <f>1.353*GN2</f>
        <v>0</v>
      </c>
      <c r="GO12" s="30">
        <f>0.7*GO2</f>
        <v>0</v>
      </c>
      <c r="GP12" s="30">
        <f>0.61*GP2</f>
        <v>0</v>
      </c>
      <c r="GS12" s="30">
        <f>1.74*GS2</f>
        <v>0</v>
      </c>
      <c r="GT12" s="30">
        <f>1.1*GT2</f>
        <v>0</v>
      </c>
      <c r="GV12" s="30">
        <f>0.614*GV2</f>
        <v>0</v>
      </c>
      <c r="GX12" s="30">
        <f>0.63*GX2</f>
        <v>0</v>
      </c>
      <c r="GY12" s="30">
        <f>7*GY2</f>
        <v>0</v>
      </c>
      <c r="GZ12" s="30">
        <f>5*GZ2</f>
        <v>0</v>
      </c>
      <c r="HA12" s="30">
        <f>5*HA2</f>
        <v>0</v>
      </c>
      <c r="HB12" s="30">
        <f>6.2*HB2</f>
        <v>0</v>
      </c>
      <c r="HC12" s="30">
        <f>7.3*HC2</f>
        <v>0</v>
      </c>
      <c r="HD12" s="30">
        <f>7.37*HD2</f>
        <v>0</v>
      </c>
      <c r="HE12" s="30">
        <f>8.54*HE2</f>
        <v>0</v>
      </c>
    </row>
    <row r="13" spans="1:214" x14ac:dyDescent="0.25">
      <c r="A13" s="2" t="s">
        <v>221</v>
      </c>
      <c r="B13" s="30" t="s">
        <v>213</v>
      </c>
      <c r="C13" s="30">
        <f>D13*1.05</f>
        <v>0</v>
      </c>
      <c r="D13" s="30">
        <f t="shared" si="0"/>
        <v>0</v>
      </c>
      <c r="AC13" s="2">
        <f>0.222*AC2</f>
        <v>0</v>
      </c>
      <c r="AU13" s="3"/>
      <c r="BB13" s="3"/>
      <c r="BC13" s="3"/>
      <c r="BE13" s="3"/>
      <c r="BR13" s="5"/>
      <c r="BS13" s="5"/>
      <c r="BT13" s="5"/>
      <c r="BU13" s="5"/>
      <c r="BV13" s="5"/>
      <c r="BW13" s="5"/>
      <c r="BX13" s="5"/>
      <c r="BY13" s="5"/>
      <c r="CR13" s="2">
        <f>0.026*CR2</f>
        <v>0</v>
      </c>
      <c r="EN13" s="2">
        <f>0.046*EN2</f>
        <v>0</v>
      </c>
      <c r="FG13" s="2">
        <f>0.322*FG2</f>
        <v>0</v>
      </c>
      <c r="FH13" s="2">
        <f>0.279*FH2</f>
        <v>0</v>
      </c>
      <c r="FI13" s="2">
        <f>0.34*FI2</f>
        <v>0</v>
      </c>
      <c r="FJ13" s="2">
        <f>0.33*FJ2</f>
        <v>0</v>
      </c>
      <c r="FL13" s="2">
        <f>0.313*FL2</f>
        <v>0</v>
      </c>
      <c r="FN13" s="2">
        <f>0.1*FN2</f>
        <v>0</v>
      </c>
      <c r="FY13" s="2">
        <f>0.007*FY2</f>
        <v>0</v>
      </c>
      <c r="GA13" s="2">
        <f>0.278*GA2</f>
        <v>0</v>
      </c>
      <c r="GB13" s="2">
        <f>0.21*GB2</f>
        <v>0</v>
      </c>
      <c r="GW13" s="2">
        <f>0.0068*GW2</f>
        <v>0</v>
      </c>
    </row>
    <row r="14" spans="1:214" s="30" customFormat="1" x14ac:dyDescent="0.25">
      <c r="A14" s="30" t="s">
        <v>214</v>
      </c>
      <c r="B14" s="21" t="s">
        <v>219</v>
      </c>
      <c r="C14" s="30">
        <f>D14</f>
        <v>0</v>
      </c>
      <c r="D14" s="30">
        <f t="shared" si="0"/>
        <v>0</v>
      </c>
      <c r="AU14" s="19"/>
      <c r="BB14" s="19"/>
      <c r="BC14" s="19"/>
      <c r="BE14" s="19"/>
      <c r="BR14" s="20"/>
      <c r="BS14" s="20"/>
      <c r="BT14" s="20"/>
      <c r="BU14" s="20"/>
      <c r="BV14" s="20"/>
      <c r="BW14" s="20"/>
      <c r="BX14" s="20"/>
      <c r="BY14" s="20"/>
      <c r="FG14" s="30">
        <f>9.2*FG2</f>
        <v>0</v>
      </c>
      <c r="FH14" s="30">
        <f>6.2*FH2</f>
        <v>0</v>
      </c>
      <c r="FI14" s="30">
        <f>15*FI2</f>
        <v>0</v>
      </c>
      <c r="FJ14" s="30">
        <f>8.7*FJ2</f>
        <v>0</v>
      </c>
      <c r="FL14" s="30">
        <f>10.2*FL2</f>
        <v>0</v>
      </c>
      <c r="FY14" s="30">
        <f>0.5*FY2</f>
        <v>0</v>
      </c>
      <c r="GA14" s="30">
        <f>46.7*GA2</f>
        <v>0</v>
      </c>
      <c r="GB14" s="30">
        <f>5.7*GB2</f>
        <v>0</v>
      </c>
      <c r="GW14" s="30">
        <f>0.37*GW2</f>
        <v>0</v>
      </c>
    </row>
    <row r="15" spans="1:214" x14ac:dyDescent="0.25">
      <c r="A15" s="2" t="s">
        <v>222</v>
      </c>
      <c r="B15" s="30" t="s">
        <v>213</v>
      </c>
      <c r="C15" s="30">
        <f>D15*1.05</f>
        <v>0</v>
      </c>
      <c r="D15" s="30">
        <f t="shared" si="0"/>
        <v>0</v>
      </c>
      <c r="L15" s="2">
        <f>0.0206*L2</f>
        <v>0</v>
      </c>
      <c r="M15" s="2">
        <f>0.027*M2</f>
        <v>0</v>
      </c>
      <c r="N15" s="2">
        <f>0.03*N2</f>
        <v>0</v>
      </c>
      <c r="O15" s="2">
        <f>0.0145*O2</f>
        <v>0</v>
      </c>
      <c r="P15" s="2">
        <f>0.0113*P2</f>
        <v>0</v>
      </c>
      <c r="T15" s="2">
        <f>0.024*T2</f>
        <v>0</v>
      </c>
      <c r="AU15" s="3"/>
      <c r="AW15" s="2">
        <f>0.0234*AW2</f>
        <v>0</v>
      </c>
      <c r="AX15" s="2">
        <f>0.0114*AX2</f>
        <v>0</v>
      </c>
      <c r="AY15" s="2">
        <f>0.0234*AY2</f>
        <v>0</v>
      </c>
      <c r="AZ15" s="2">
        <f>0.0234*AZ2</f>
        <v>0</v>
      </c>
      <c r="BB15" s="3">
        <f>0.023*BB2</f>
        <v>0</v>
      </c>
      <c r="BC15" s="3">
        <f>0.02*BC2</f>
        <v>0</v>
      </c>
      <c r="BD15" s="2">
        <f>0.023*BD2</f>
        <v>0</v>
      </c>
      <c r="BE15" s="3"/>
      <c r="BF15" s="2">
        <f>0.0234*BF2</f>
        <v>0</v>
      </c>
      <c r="BK15" s="2">
        <f>0.009*BK2</f>
        <v>0</v>
      </c>
      <c r="BO15" s="2">
        <f>0.0127*BO2</f>
        <v>0</v>
      </c>
      <c r="BP15" s="2">
        <f>0.01*BP2</f>
        <v>0</v>
      </c>
      <c r="BQ15" s="2">
        <f>0.00952*BQ2</f>
        <v>0</v>
      </c>
      <c r="BR15" s="3"/>
      <c r="BS15" s="3"/>
      <c r="BT15" s="3"/>
      <c r="BU15" s="3"/>
      <c r="BV15" s="3"/>
      <c r="BW15" s="3"/>
      <c r="BX15" s="3">
        <f>0.021*BX2</f>
        <v>0</v>
      </c>
      <c r="BY15" s="3">
        <f>0.031*BY2</f>
        <v>0</v>
      </c>
      <c r="BZ15" s="2">
        <f>0.009*BZ2</f>
        <v>0</v>
      </c>
      <c r="CC15" s="2">
        <f>0.019*CC2</f>
        <v>0</v>
      </c>
      <c r="CD15" s="2">
        <f>0.0142*CD2</f>
        <v>0</v>
      </c>
      <c r="CE15" s="2">
        <f>0.0204*CE2</f>
        <v>0</v>
      </c>
      <c r="CF15" s="2">
        <f>0.027*CF2</f>
        <v>0</v>
      </c>
      <c r="CG15" s="2">
        <f>0.0139*CG2</f>
        <v>0</v>
      </c>
      <c r="CM15" s="2">
        <f>0.0235*CM2</f>
        <v>0</v>
      </c>
      <c r="DX15" s="2">
        <f>0.015*DX2</f>
        <v>0</v>
      </c>
      <c r="DY15" s="2">
        <f>0.0079*DY2</f>
        <v>0</v>
      </c>
      <c r="DZ15" s="2">
        <f>0.008*DZ2</f>
        <v>0</v>
      </c>
      <c r="EE15" s="2">
        <f>0.01*EE2</f>
        <v>0</v>
      </c>
      <c r="EQ15" s="2">
        <f>0.02*EQ2</f>
        <v>0</v>
      </c>
      <c r="EV15" s="2">
        <f>0.0093*EV2</f>
        <v>0</v>
      </c>
      <c r="EW15" s="2">
        <f>0.0087*EW2</f>
        <v>0</v>
      </c>
      <c r="EY15" s="2">
        <f>0.017*EY2</f>
        <v>0</v>
      </c>
      <c r="FX15" s="2">
        <f>0.0085*FX2</f>
        <v>0</v>
      </c>
      <c r="GC15" s="2">
        <f>0.009*GC2</f>
        <v>0</v>
      </c>
      <c r="GK15" s="2">
        <f>0.0079*GK2</f>
        <v>0</v>
      </c>
    </row>
    <row r="16" spans="1:214" s="30" customFormat="1" x14ac:dyDescent="0.25">
      <c r="A16" s="30" t="s">
        <v>214</v>
      </c>
      <c r="B16" s="21" t="s">
        <v>219</v>
      </c>
      <c r="C16" s="30">
        <f>D16</f>
        <v>0</v>
      </c>
      <c r="D16" s="30">
        <f t="shared" si="0"/>
        <v>0</v>
      </c>
      <c r="AU16" s="19"/>
      <c r="BB16" s="19"/>
      <c r="BC16" s="19"/>
      <c r="BE16" s="19"/>
      <c r="BP16" s="30">
        <f>0.73*BP2</f>
        <v>0</v>
      </c>
      <c r="BR16" s="19"/>
      <c r="BS16" s="19"/>
      <c r="BT16" s="19"/>
      <c r="BU16" s="19"/>
      <c r="BV16" s="19"/>
      <c r="BW16" s="19"/>
      <c r="BX16" s="19">
        <f>1.5*BX2</f>
        <v>0</v>
      </c>
      <c r="BY16" s="19">
        <f>2.1*BY2</f>
        <v>0</v>
      </c>
      <c r="BZ16" s="30">
        <f>0.76*BZ2</f>
        <v>0</v>
      </c>
      <c r="CD16" s="30">
        <f>0.98*CD2</f>
        <v>0</v>
      </c>
      <c r="CG16" s="30">
        <f>0.98*CG2</f>
        <v>0</v>
      </c>
      <c r="DX16" s="30">
        <f>1.1*DX2</f>
        <v>0</v>
      </c>
      <c r="DY16" s="30">
        <f>0.64*DY2</f>
        <v>0</v>
      </c>
      <c r="DZ16" s="30">
        <f>0.64*DZ2</f>
        <v>0</v>
      </c>
      <c r="EV16" s="30">
        <f>0.78*EV2</f>
        <v>0</v>
      </c>
      <c r="EW16" s="30">
        <f>0.8*EW2</f>
        <v>0</v>
      </c>
      <c r="EY16" s="30">
        <f>1.3*EY2</f>
        <v>0</v>
      </c>
      <c r="FX16" s="30">
        <f>0.73*FX2</f>
        <v>0</v>
      </c>
      <c r="GC16" s="30">
        <f>0.82*GC2</f>
        <v>0</v>
      </c>
      <c r="GK16" s="30">
        <f>0.63*GK2</f>
        <v>0</v>
      </c>
    </row>
    <row r="17" spans="1:208" x14ac:dyDescent="0.25">
      <c r="A17" s="2" t="s">
        <v>223</v>
      </c>
      <c r="B17" s="30" t="s">
        <v>213</v>
      </c>
      <c r="C17" s="30">
        <f>D17*1.05</f>
        <v>0</v>
      </c>
      <c r="D17" s="30">
        <f t="shared" si="0"/>
        <v>0</v>
      </c>
      <c r="L17" s="2">
        <f>0.05*L2</f>
        <v>0</v>
      </c>
      <c r="M17" s="2">
        <f>0.056*M2</f>
        <v>0</v>
      </c>
      <c r="N17" s="2">
        <f>0.06*N2</f>
        <v>0</v>
      </c>
      <c r="O17" s="2">
        <f>0.05*O2</f>
        <v>0</v>
      </c>
      <c r="P17" s="2">
        <f>0.039*P2</f>
        <v>0</v>
      </c>
      <c r="T17" s="2">
        <f>0.056*T2</f>
        <v>0</v>
      </c>
      <c r="AU17" s="3"/>
      <c r="AW17" s="2">
        <f>0.0476*AW2</f>
        <v>0</v>
      </c>
      <c r="AX17" s="2">
        <f>0.024*AX2</f>
        <v>0</v>
      </c>
      <c r="AY17" s="2">
        <f>0.04*AY2</f>
        <v>0</v>
      </c>
      <c r="AZ17" s="2">
        <f>0.048*AZ2</f>
        <v>0</v>
      </c>
      <c r="BB17" s="3">
        <f>0.048*BB2</f>
        <v>0</v>
      </c>
      <c r="BC17" s="3">
        <f>0.04*BC2</f>
        <v>0</v>
      </c>
      <c r="BD17" s="2">
        <f>0.051*BD2</f>
        <v>0</v>
      </c>
      <c r="BE17" s="3"/>
      <c r="BF17" s="2">
        <f>0.047*BF2</f>
        <v>0</v>
      </c>
      <c r="BK17" s="2">
        <f>0.02*BK2</f>
        <v>0</v>
      </c>
      <c r="BO17" s="2">
        <f>0.0357*BO2</f>
        <v>0</v>
      </c>
      <c r="BP17" s="2">
        <f>0.021*BP2</f>
        <v>0</v>
      </c>
      <c r="BQ17" s="2">
        <f>0.022*BQ2</f>
        <v>0</v>
      </c>
      <c r="BR17" s="3"/>
      <c r="BS17" s="3"/>
      <c r="BT17" s="3"/>
      <c r="BU17" s="3"/>
      <c r="BV17" s="3"/>
      <c r="BW17" s="3"/>
      <c r="BX17" s="3">
        <f>0.043*BX2</f>
        <v>0</v>
      </c>
      <c r="BY17" s="3">
        <f>0.0554*BY2</f>
        <v>0</v>
      </c>
      <c r="BZ17" s="2">
        <f>0.0204*BZ2</f>
        <v>0</v>
      </c>
      <c r="CC17" s="2">
        <f>0.04*CC2</f>
        <v>0</v>
      </c>
      <c r="CD17" s="2">
        <f>0.0259*CD2</f>
        <v>0</v>
      </c>
      <c r="CG17" s="2">
        <f>0.0306*CG2</f>
        <v>0</v>
      </c>
      <c r="CM17" s="2">
        <f>0.0476*CM2</f>
        <v>0</v>
      </c>
      <c r="DX17" s="2">
        <f>0.0385*DX2</f>
        <v>0</v>
      </c>
      <c r="DY17" s="2">
        <f>0.0204*DY2</f>
        <v>0</v>
      </c>
      <c r="DZ17" s="2">
        <f>0.02*DZ2</f>
        <v>0</v>
      </c>
      <c r="EE17" s="2">
        <f>0.017*EE2</f>
        <v>0</v>
      </c>
      <c r="EQ17" s="2">
        <f>0.04*EQ2</f>
        <v>0</v>
      </c>
      <c r="EV17" s="2">
        <f>0.018*EV2</f>
        <v>0</v>
      </c>
      <c r="EW17" s="2">
        <f>0.025*EW2</f>
        <v>0</v>
      </c>
      <c r="EY17" s="2">
        <f>0.035*EY2</f>
        <v>0</v>
      </c>
      <c r="EZ17" s="2">
        <f>0.0313*EZ2</f>
        <v>0</v>
      </c>
      <c r="FB17" s="2">
        <f>0.024*FB2</f>
        <v>0</v>
      </c>
      <c r="FC17" s="2">
        <f>0.0129*FC2</f>
        <v>0</v>
      </c>
      <c r="FI17" s="2">
        <f>0.0048*FI2</f>
        <v>0</v>
      </c>
      <c r="FX17" s="2">
        <f>0.0247*FX2</f>
        <v>0</v>
      </c>
      <c r="GC17" s="2">
        <f>0.04*GC2</f>
        <v>0</v>
      </c>
      <c r="GG17" s="2">
        <f>0.004*GG2</f>
        <v>0</v>
      </c>
      <c r="GK17" s="2">
        <f>0.0218*GK2</f>
        <v>0</v>
      </c>
    </row>
    <row r="18" spans="1:208" s="30" customFormat="1" x14ac:dyDescent="0.25">
      <c r="A18" s="30" t="s">
        <v>214</v>
      </c>
      <c r="B18" s="21" t="s">
        <v>219</v>
      </c>
      <c r="C18" s="30">
        <f>D18</f>
        <v>0</v>
      </c>
      <c r="D18" s="30">
        <f t="shared" si="0"/>
        <v>0</v>
      </c>
      <c r="AU18" s="19"/>
      <c r="BB18" s="19"/>
      <c r="BC18" s="19"/>
      <c r="BE18" s="19"/>
      <c r="BP18" s="30">
        <f>1.06*BP2</f>
        <v>0</v>
      </c>
      <c r="BR18" s="19"/>
      <c r="BS18" s="19"/>
      <c r="BT18" s="19"/>
      <c r="BU18" s="19"/>
      <c r="BV18" s="19"/>
      <c r="BW18" s="19"/>
      <c r="BX18" s="19">
        <f>1.5*BX2</f>
        <v>0</v>
      </c>
      <c r="BY18" s="19">
        <f>1.73*BY2</f>
        <v>0</v>
      </c>
      <c r="BZ18" s="30">
        <f>1.1*BZ2</f>
        <v>0</v>
      </c>
      <c r="CD18" s="30">
        <f>1.26*CD2</f>
        <v>0</v>
      </c>
      <c r="CG18" s="30">
        <f>1.24*CG2</f>
        <v>0</v>
      </c>
      <c r="DX18" s="30">
        <f>1.34*DX2</f>
        <v>0</v>
      </c>
      <c r="DY18" s="30">
        <f>1.1*DY2</f>
        <v>0</v>
      </c>
      <c r="DZ18" s="30">
        <f>1.1*DZ2</f>
        <v>0</v>
      </c>
      <c r="EV18" s="30">
        <f>1.1*EV2</f>
        <v>0</v>
      </c>
      <c r="EW18" s="30">
        <f>1.24*EW2</f>
        <v>0</v>
      </c>
      <c r="EY18" s="30">
        <f>1.4*EY2</f>
        <v>0</v>
      </c>
      <c r="EZ18" s="30">
        <f>1.546*EZ2</f>
        <v>0</v>
      </c>
      <c r="FB18" s="30">
        <f>1.47*FB2</f>
        <v>0</v>
      </c>
      <c r="FC18" s="30">
        <f>1.1*FC2</f>
        <v>0</v>
      </c>
      <c r="FI18" s="30">
        <f>0.354*FI2</f>
        <v>0</v>
      </c>
      <c r="FX18" s="30">
        <f>1.07*FX2</f>
        <v>0</v>
      </c>
      <c r="GC18" s="30">
        <f>1.39*GC2</f>
        <v>0</v>
      </c>
      <c r="GG18" s="30">
        <f>0.51*GG2</f>
        <v>0</v>
      </c>
      <c r="GK18" s="30">
        <f>1.02*GK2</f>
        <v>0</v>
      </c>
    </row>
    <row r="19" spans="1:208" x14ac:dyDescent="0.25">
      <c r="A19" s="2" t="s">
        <v>224</v>
      </c>
      <c r="B19" s="30" t="s">
        <v>213</v>
      </c>
      <c r="C19" s="30">
        <f>D19*1.05</f>
        <v>0</v>
      </c>
      <c r="D19" s="30">
        <f t="shared" si="0"/>
        <v>0</v>
      </c>
      <c r="AU19" s="3"/>
      <c r="BB19" s="3"/>
      <c r="BC19" s="3"/>
      <c r="BE19" s="3"/>
      <c r="BR19" s="3"/>
      <c r="BS19" s="3"/>
      <c r="BT19" s="3"/>
      <c r="BU19" s="3"/>
      <c r="BV19" s="3"/>
      <c r="BW19" s="3"/>
      <c r="BX19" s="3"/>
      <c r="BY19" s="3"/>
      <c r="FR19" s="2">
        <f>0.056*FR2</f>
        <v>0</v>
      </c>
      <c r="GQ19" s="2">
        <f>0.066*GQ2</f>
        <v>0</v>
      </c>
    </row>
    <row r="20" spans="1:208" s="30" customFormat="1" x14ac:dyDescent="0.25">
      <c r="A20" s="30" t="s">
        <v>214</v>
      </c>
      <c r="B20" s="21" t="s">
        <v>215</v>
      </c>
      <c r="C20" s="30">
        <f>D20</f>
        <v>0</v>
      </c>
      <c r="D20" s="30">
        <f t="shared" si="0"/>
        <v>0</v>
      </c>
      <c r="AU20" s="19"/>
      <c r="BB20" s="19"/>
      <c r="BC20" s="19"/>
      <c r="BE20" s="19"/>
      <c r="BR20" s="19"/>
      <c r="BS20" s="19"/>
      <c r="BT20" s="19"/>
      <c r="BU20" s="19"/>
      <c r="BV20" s="19"/>
      <c r="BW20" s="19"/>
      <c r="BX20" s="19"/>
      <c r="BY20" s="19"/>
      <c r="GQ20" s="30">
        <f>0.96*GQ2</f>
        <v>0</v>
      </c>
    </row>
    <row r="21" spans="1:208" x14ac:dyDescent="0.25">
      <c r="A21" s="2" t="s">
        <v>225</v>
      </c>
      <c r="B21" s="30" t="s">
        <v>213</v>
      </c>
      <c r="C21" s="30">
        <f>D21*1.05</f>
        <v>0</v>
      </c>
      <c r="D21" s="30">
        <f t="shared" si="0"/>
        <v>0</v>
      </c>
      <c r="AU21" s="3"/>
      <c r="BB21" s="3"/>
      <c r="BC21" s="3"/>
      <c r="BE21" s="3"/>
      <c r="BR21" s="3"/>
      <c r="BS21" s="3"/>
      <c r="BT21" s="3"/>
      <c r="BU21" s="3"/>
      <c r="BV21" s="3"/>
      <c r="BW21" s="3"/>
      <c r="BX21" s="3"/>
      <c r="BY21" s="3"/>
      <c r="DD21" s="2">
        <f>0.077*DD2</f>
        <v>0</v>
      </c>
      <c r="FA21" s="2">
        <f>0.022*FA2</f>
        <v>0</v>
      </c>
      <c r="GJ21" s="2">
        <f>0.0216*GJ2</f>
        <v>0</v>
      </c>
      <c r="GZ21" s="2">
        <f>0.081*GZ2</f>
        <v>0</v>
      </c>
    </row>
    <row r="22" spans="1:208" s="30" customFormat="1" x14ac:dyDescent="0.25">
      <c r="A22" s="30" t="s">
        <v>214</v>
      </c>
      <c r="B22" s="21" t="s">
        <v>215</v>
      </c>
      <c r="C22" s="30">
        <f>D22</f>
        <v>0</v>
      </c>
      <c r="D22" s="30">
        <f t="shared" si="0"/>
        <v>0</v>
      </c>
      <c r="AU22" s="19"/>
      <c r="BB22" s="19"/>
      <c r="BC22" s="19"/>
      <c r="BE22" s="19"/>
      <c r="BR22" s="19"/>
      <c r="BS22" s="19"/>
      <c r="BT22" s="19"/>
      <c r="BU22" s="19"/>
      <c r="BV22" s="19"/>
      <c r="BW22" s="19"/>
      <c r="BX22" s="19"/>
      <c r="BY22" s="19"/>
      <c r="DD22" s="30">
        <f>1.9*DD2</f>
        <v>0</v>
      </c>
      <c r="GJ22" s="30">
        <f>2.6*GJ2</f>
        <v>0</v>
      </c>
      <c r="GZ22" s="30">
        <f>2*GZ2</f>
        <v>0</v>
      </c>
    </row>
    <row r="23" spans="1:208" x14ac:dyDescent="0.25">
      <c r="A23" s="2" t="s">
        <v>226</v>
      </c>
      <c r="B23" s="30" t="s">
        <v>213</v>
      </c>
      <c r="C23" s="30">
        <f>D23*1.05</f>
        <v>0</v>
      </c>
      <c r="D23" s="30">
        <f t="shared" si="0"/>
        <v>0</v>
      </c>
      <c r="L23" s="2">
        <f>0.053*L2</f>
        <v>0</v>
      </c>
      <c r="M23" s="2">
        <f>0.06*M2</f>
        <v>0</v>
      </c>
      <c r="N23" s="2">
        <f>0.07*N2</f>
        <v>0</v>
      </c>
      <c r="O23" s="2">
        <f>0.036*O2</f>
        <v>0</v>
      </c>
      <c r="P23" s="2">
        <f>0.038*P2</f>
        <v>0</v>
      </c>
      <c r="T23" s="2">
        <f>0.055*T2</f>
        <v>0</v>
      </c>
      <c r="AU23" s="3"/>
      <c r="AW23" s="2">
        <f>0.0516*AW2</f>
        <v>0</v>
      </c>
      <c r="AX23" s="2">
        <f>0.025*AX2</f>
        <v>0</v>
      </c>
      <c r="AY23" s="2">
        <f>0.052*AY2</f>
        <v>0</v>
      </c>
      <c r="AZ23" s="2">
        <f>0.05*AZ2</f>
        <v>0</v>
      </c>
      <c r="BB23" s="3">
        <f>0.051*BB2</f>
        <v>0</v>
      </c>
      <c r="BC23" s="3">
        <f>0.05*BC2</f>
        <v>0</v>
      </c>
      <c r="BD23" s="2">
        <f>0.05*BD2</f>
        <v>0</v>
      </c>
      <c r="BE23" s="3"/>
      <c r="BF23" s="2">
        <f>0.052*BF2</f>
        <v>0</v>
      </c>
      <c r="BK23" s="2">
        <f>0.0217*BK2</f>
        <v>0</v>
      </c>
      <c r="BO23" s="2">
        <f>0.032*BO2</f>
        <v>0</v>
      </c>
      <c r="BP23" s="2">
        <f>0.022*BP2</f>
        <v>0</v>
      </c>
      <c r="BQ23" s="2">
        <f>0.02*BQ2</f>
        <v>0</v>
      </c>
      <c r="BR23" s="3"/>
      <c r="BS23" s="3"/>
      <c r="BT23" s="3"/>
      <c r="BU23" s="3"/>
      <c r="BV23" s="3"/>
      <c r="BW23" s="3"/>
      <c r="BX23" s="3">
        <f>0.048*BX2</f>
        <v>0</v>
      </c>
      <c r="BY23" s="3">
        <f>0.074*BY2</f>
        <v>0</v>
      </c>
      <c r="BZ23" s="2">
        <f>0.025*BZ2</f>
        <v>0</v>
      </c>
      <c r="CC23" s="2">
        <f>0.042*CC2</f>
        <v>0</v>
      </c>
      <c r="CD23" s="2">
        <f>0.03*CD2</f>
        <v>0</v>
      </c>
      <c r="CE23" s="2">
        <f>0.0204*CE2</f>
        <v>0</v>
      </c>
      <c r="CF23" s="2">
        <f>0.027*CF2</f>
        <v>0</v>
      </c>
      <c r="CG23" s="2">
        <f>0.031*CG2</f>
        <v>0</v>
      </c>
      <c r="CM23" s="2">
        <f>0.0514*CM2</f>
        <v>0</v>
      </c>
      <c r="DX23" s="2">
        <f>0.0377*DX2</f>
        <v>0</v>
      </c>
      <c r="DY23" s="2">
        <f>0.02*DY2</f>
        <v>0</v>
      </c>
      <c r="DZ23" s="2">
        <f>0.02*DZ2</f>
        <v>0</v>
      </c>
      <c r="EE23" s="2">
        <f>0.022*EE2</f>
        <v>0</v>
      </c>
      <c r="EQ23" s="2">
        <f>0.043*EQ2</f>
        <v>0</v>
      </c>
      <c r="EV23" s="2">
        <f>0.021*EV2</f>
        <v>0</v>
      </c>
      <c r="EW23" s="2">
        <f>0.023*EW2</f>
        <v>0</v>
      </c>
      <c r="EY23" s="2">
        <f>0.0417*EY2</f>
        <v>0</v>
      </c>
      <c r="EZ23" s="2">
        <f>0.0196*EZ2</f>
        <v>0</v>
      </c>
      <c r="FB23" s="2">
        <f>0.0137*FB2</f>
        <v>0</v>
      </c>
      <c r="FC23" s="2">
        <f>0.008*FC2</f>
        <v>0</v>
      </c>
      <c r="FX23" s="2">
        <f>0.025*FX2</f>
        <v>0</v>
      </c>
      <c r="GC23" s="2">
        <f>0.039*GC2</f>
        <v>0</v>
      </c>
      <c r="GK23" s="2">
        <f>0.017*GK2</f>
        <v>0</v>
      </c>
    </row>
    <row r="24" spans="1:208" s="30" customFormat="1" x14ac:dyDescent="0.25">
      <c r="A24" s="30" t="s">
        <v>214</v>
      </c>
      <c r="B24" s="21" t="s">
        <v>215</v>
      </c>
      <c r="C24" s="30">
        <f>D24</f>
        <v>0</v>
      </c>
      <c r="D24" s="30">
        <f t="shared" si="0"/>
        <v>0</v>
      </c>
      <c r="AU24" s="19"/>
      <c r="BB24" s="19"/>
      <c r="BC24" s="19"/>
      <c r="BE24" s="19"/>
      <c r="BP24" s="30">
        <f>0.7*BP2</f>
        <v>0</v>
      </c>
      <c r="BR24" s="19"/>
      <c r="BS24" s="19"/>
      <c r="BT24" s="19"/>
      <c r="BU24" s="19"/>
      <c r="BV24" s="19"/>
      <c r="BW24" s="19"/>
      <c r="BX24" s="19">
        <f>1.32*BX2</f>
        <v>0</v>
      </c>
      <c r="BY24" s="19">
        <f>1.53*BY2</f>
        <v>0</v>
      </c>
      <c r="BZ24" s="30">
        <f>0.85*BZ2</f>
        <v>0</v>
      </c>
      <c r="CD24" s="30">
        <f>1.1*CD2</f>
        <v>0</v>
      </c>
      <c r="CG24" s="30">
        <f>1.03*CG2</f>
        <v>0</v>
      </c>
      <c r="DX24" s="30">
        <f>1.117*DX2</f>
        <v>0</v>
      </c>
      <c r="DY24" s="30">
        <f>0.85*DY2</f>
        <v>0</v>
      </c>
      <c r="DZ24" s="30">
        <f>0.86*DZ2</f>
        <v>0</v>
      </c>
      <c r="EV24" s="30">
        <f>0.9*EV2</f>
        <v>0</v>
      </c>
      <c r="EW24" s="30">
        <f>0.93*EW2</f>
        <v>0</v>
      </c>
      <c r="EY24" s="30">
        <f>1.2*EY2</f>
        <v>0</v>
      </c>
      <c r="EZ24" s="30">
        <f>0.607*EZ2</f>
        <v>0</v>
      </c>
      <c r="FB24" s="30">
        <f>0.48*FB2</f>
        <v>0</v>
      </c>
      <c r="FC24" s="30">
        <f>0.39*FC2</f>
        <v>0</v>
      </c>
      <c r="FX24" s="30">
        <f>0.84*FX2</f>
        <v>0</v>
      </c>
      <c r="GC24" s="30">
        <f>1.163*GC2</f>
        <v>0</v>
      </c>
      <c r="GK24" s="30">
        <f>0.77*GK2</f>
        <v>0</v>
      </c>
    </row>
    <row r="25" spans="1:208" x14ac:dyDescent="0.25">
      <c r="A25" s="2" t="s">
        <v>227</v>
      </c>
      <c r="B25" s="30" t="s">
        <v>213</v>
      </c>
      <c r="C25" s="30">
        <f>D25*1.05</f>
        <v>0</v>
      </c>
      <c r="D25" s="30">
        <f t="shared" si="0"/>
        <v>0</v>
      </c>
      <c r="AU25" s="3"/>
      <c r="BB25" s="3"/>
      <c r="BC25" s="3"/>
      <c r="BE25" s="3"/>
      <c r="BR25" s="3"/>
      <c r="BS25" s="3"/>
      <c r="BT25" s="3"/>
      <c r="BU25" s="3"/>
      <c r="BV25" s="3"/>
      <c r="BW25" s="3"/>
      <c r="BX25" s="3"/>
      <c r="BY25" s="3"/>
      <c r="FO25" s="2">
        <f>0.0055*FO2</f>
        <v>0</v>
      </c>
      <c r="FP25" s="2">
        <f>0.0046*FP2</f>
        <v>0</v>
      </c>
      <c r="GL25" s="2">
        <f>0.0021*GL2</f>
        <v>0</v>
      </c>
    </row>
    <row r="26" spans="1:208" s="30" customFormat="1" x14ac:dyDescent="0.25">
      <c r="A26" s="30" t="s">
        <v>214</v>
      </c>
      <c r="B26" s="21" t="s">
        <v>215</v>
      </c>
      <c r="C26" s="30">
        <f>D26</f>
        <v>0</v>
      </c>
      <c r="D26" s="30">
        <f t="shared" si="0"/>
        <v>0</v>
      </c>
      <c r="AU26" s="19"/>
      <c r="BB26" s="19"/>
      <c r="BC26" s="19"/>
      <c r="BE26" s="19"/>
      <c r="BR26" s="19"/>
      <c r="BS26" s="19"/>
      <c r="BT26" s="19"/>
      <c r="BU26" s="19"/>
      <c r="BV26" s="19"/>
      <c r="BW26" s="19"/>
      <c r="BX26" s="19"/>
      <c r="BY26" s="19"/>
      <c r="GL26" s="30">
        <f>0.178*GL2</f>
        <v>0</v>
      </c>
    </row>
    <row r="27" spans="1:208" x14ac:dyDescent="0.25">
      <c r="A27" s="2" t="s">
        <v>228</v>
      </c>
      <c r="B27" s="30" t="s">
        <v>213</v>
      </c>
      <c r="C27" s="30">
        <f>D27*1.05</f>
        <v>0</v>
      </c>
      <c r="D27" s="30">
        <f t="shared" si="0"/>
        <v>0</v>
      </c>
      <c r="W27" s="2">
        <f>0.13*W2</f>
        <v>0</v>
      </c>
      <c r="X27" s="2">
        <f>0.13*X2</f>
        <v>0</v>
      </c>
      <c r="AU27" s="3"/>
      <c r="BB27" s="3"/>
      <c r="BC27" s="3"/>
      <c r="BE27" s="3"/>
      <c r="BR27" s="5"/>
      <c r="BS27" s="5"/>
      <c r="BT27" s="5"/>
      <c r="BU27" s="5"/>
      <c r="BV27" s="5"/>
      <c r="BW27" s="5"/>
      <c r="BX27" s="5"/>
      <c r="BY27" s="5"/>
    </row>
    <row r="28" spans="1:208" s="30" customFormat="1" x14ac:dyDescent="0.25">
      <c r="A28" s="30" t="s">
        <v>214</v>
      </c>
      <c r="B28" s="21" t="s">
        <v>215</v>
      </c>
      <c r="C28" s="30">
        <f>D28</f>
        <v>0</v>
      </c>
      <c r="D28" s="30">
        <f t="shared" si="0"/>
        <v>0</v>
      </c>
      <c r="AU28" s="19"/>
      <c r="BB28" s="19"/>
      <c r="BC28" s="19"/>
      <c r="BE28" s="19"/>
      <c r="BR28" s="20"/>
      <c r="BS28" s="20"/>
      <c r="BT28" s="20"/>
      <c r="BU28" s="20"/>
      <c r="BV28" s="20"/>
      <c r="BW28" s="20"/>
      <c r="BX28" s="20"/>
      <c r="BY28" s="20"/>
    </row>
    <row r="29" spans="1:208" s="7" customFormat="1" ht="6" customHeight="1" x14ac:dyDescent="0.25">
      <c r="AU29" s="8"/>
      <c r="BB29" s="8"/>
      <c r="BC29" s="8"/>
      <c r="BE29" s="8"/>
      <c r="BR29" s="9"/>
      <c r="BS29" s="9"/>
      <c r="BT29" s="9"/>
      <c r="BU29" s="9"/>
      <c r="BV29" s="9"/>
      <c r="BW29" s="9"/>
      <c r="BX29" s="9"/>
      <c r="BY29" s="9"/>
    </row>
    <row r="30" spans="1:208" ht="30" customHeight="1" x14ac:dyDescent="0.25">
      <c r="A30" s="2" t="s">
        <v>229</v>
      </c>
      <c r="B30" s="30" t="s">
        <v>230</v>
      </c>
      <c r="C30" s="30">
        <f>D30*1.05</f>
        <v>0</v>
      </c>
      <c r="D30" s="30">
        <f t="shared" ref="D30:D35" si="1">SUM(E30:FKK30)</f>
        <v>0</v>
      </c>
      <c r="AU30" s="3"/>
      <c r="BB30" s="3"/>
      <c r="BC30" s="3"/>
      <c r="BE30" s="3"/>
      <c r="BR30" s="3"/>
      <c r="BS30" s="3"/>
      <c r="BT30" s="3"/>
      <c r="BU30" s="3"/>
      <c r="BV30" s="3"/>
      <c r="BW30" s="3"/>
      <c r="BX30" s="3"/>
      <c r="BY30" s="3"/>
      <c r="EZ30" s="2">
        <f>0.06*EZ2</f>
        <v>0</v>
      </c>
      <c r="FG30" s="2">
        <f>0.01*FG2</f>
        <v>0</v>
      </c>
      <c r="FH30" s="2">
        <f>0.01*FH2</f>
        <v>0</v>
      </c>
      <c r="FI30" s="2">
        <f>0.01*FI2</f>
        <v>0</v>
      </c>
      <c r="FJ30" s="2">
        <f>0.01*FJ2</f>
        <v>0</v>
      </c>
      <c r="FL30" s="2">
        <f>0.01*FL2</f>
        <v>0</v>
      </c>
      <c r="GA30" s="2">
        <f>0.05*GA2</f>
        <v>0</v>
      </c>
      <c r="GB30" s="2">
        <f>0.05*GB2</f>
        <v>0</v>
      </c>
    </row>
    <row r="31" spans="1:208" ht="17.25" customHeight="1" x14ac:dyDescent="0.25">
      <c r="A31" s="30" t="s">
        <v>214</v>
      </c>
      <c r="B31" s="21" t="s">
        <v>231</v>
      </c>
      <c r="C31" s="30">
        <f>D31*1.05</f>
        <v>0</v>
      </c>
      <c r="D31" s="30">
        <f t="shared" si="1"/>
        <v>0</v>
      </c>
      <c r="AU31" s="3"/>
      <c r="BB31" s="3"/>
      <c r="BC31" s="3"/>
      <c r="BE31" s="3"/>
      <c r="BR31" s="3"/>
      <c r="BS31" s="3"/>
      <c r="BT31" s="3"/>
      <c r="BU31" s="3"/>
      <c r="BV31" s="3"/>
      <c r="BW31" s="3"/>
      <c r="BX31" s="3"/>
      <c r="BY31" s="3"/>
      <c r="EZ31" s="2">
        <f>1.8*EZ2</f>
        <v>0</v>
      </c>
      <c r="FG31" s="2">
        <f>0.29*FG2</f>
        <v>0</v>
      </c>
      <c r="FH31" s="2">
        <f>0.291*FH2</f>
        <v>0</v>
      </c>
      <c r="FI31" s="2">
        <f>0.291*FI2</f>
        <v>0</v>
      </c>
      <c r="FJ31" s="2">
        <f>0.291*FJ2</f>
        <v>0</v>
      </c>
      <c r="FL31" s="2">
        <f>0.291*FL2</f>
        <v>0</v>
      </c>
    </row>
    <row r="32" spans="1:208" x14ac:dyDescent="0.25">
      <c r="A32" s="2" t="s">
        <v>232</v>
      </c>
      <c r="B32" s="30" t="s">
        <v>213</v>
      </c>
      <c r="C32" s="30">
        <f>D32*1.05</f>
        <v>0</v>
      </c>
      <c r="D32" s="30">
        <f t="shared" si="1"/>
        <v>0</v>
      </c>
      <c r="AL32" s="2">
        <f>0.051*AL2</f>
        <v>0</v>
      </c>
      <c r="AQ32" s="2">
        <f>0.36*AQ2</f>
        <v>0</v>
      </c>
      <c r="AU32" s="3"/>
      <c r="BB32" s="3"/>
      <c r="BC32" s="3"/>
      <c r="BE32" s="3"/>
      <c r="BR32" s="5"/>
      <c r="BS32" s="5"/>
      <c r="BT32" s="5"/>
      <c r="BU32" s="5"/>
      <c r="BV32" s="5"/>
      <c r="BW32" s="5"/>
      <c r="BX32" s="5"/>
      <c r="BY32" s="5"/>
      <c r="DV32" s="2">
        <f>0.352*DV2</f>
        <v>0</v>
      </c>
    </row>
    <row r="33" spans="1:214" x14ac:dyDescent="0.25">
      <c r="A33" s="30" t="s">
        <v>214</v>
      </c>
      <c r="B33" s="21" t="s">
        <v>231</v>
      </c>
      <c r="C33" s="30">
        <f>D33*1.05</f>
        <v>0</v>
      </c>
      <c r="D33" s="30">
        <f t="shared" si="1"/>
        <v>0</v>
      </c>
      <c r="AL33" s="2">
        <f>0.95*AL2</f>
        <v>0</v>
      </c>
      <c r="AQ33" s="2">
        <f>0.77*AQ2</f>
        <v>0</v>
      </c>
      <c r="AU33" s="3"/>
      <c r="BB33" s="3"/>
      <c r="BC33" s="3"/>
      <c r="BE33" s="3"/>
      <c r="BR33" s="5"/>
      <c r="BS33" s="5"/>
      <c r="BT33" s="5"/>
      <c r="BU33" s="5"/>
      <c r="BV33" s="5"/>
      <c r="BW33" s="5"/>
      <c r="BX33" s="5"/>
      <c r="BY33" s="5"/>
    </row>
    <row r="34" spans="1:214" x14ac:dyDescent="0.25">
      <c r="A34" s="2" t="s">
        <v>233</v>
      </c>
      <c r="B34" s="30" t="s">
        <v>213</v>
      </c>
      <c r="C34" s="30">
        <f>D34*1.05</f>
        <v>0</v>
      </c>
      <c r="D34" s="30">
        <f t="shared" si="1"/>
        <v>0</v>
      </c>
      <c r="J34" s="2">
        <f>0.003*J2</f>
        <v>0</v>
      </c>
      <c r="K34" s="2">
        <f>0.005*K2</f>
        <v>0</v>
      </c>
      <c r="L34" s="2">
        <f>0.001*L2</f>
        <v>0</v>
      </c>
      <c r="M34" s="2">
        <f>0.001*M2</f>
        <v>0</v>
      </c>
      <c r="O34" s="2">
        <f>0.001*O2</f>
        <v>0</v>
      </c>
      <c r="P34" s="2">
        <f>0.001*P2</f>
        <v>0</v>
      </c>
      <c r="Q34" s="2">
        <f>0.006*Q2</f>
        <v>0</v>
      </c>
      <c r="AU34" s="3">
        <f>0.003*AU2</f>
        <v>0</v>
      </c>
      <c r="BB34" s="3"/>
      <c r="BC34" s="3"/>
      <c r="BE34" s="3">
        <f>0.005*BE2</f>
        <v>0</v>
      </c>
      <c r="BL34" s="2">
        <f>0.003*BL2</f>
        <v>0</v>
      </c>
      <c r="BM34" s="2">
        <f>0.012*BM2</f>
        <v>0</v>
      </c>
      <c r="BR34" s="5"/>
      <c r="BS34" s="5"/>
      <c r="BT34" s="5"/>
      <c r="BU34" s="5"/>
      <c r="BV34" s="5"/>
      <c r="BW34" s="5"/>
      <c r="BX34" s="5"/>
      <c r="BY34" s="5"/>
      <c r="CL34" s="2">
        <f>0.004*CL2</f>
        <v>0</v>
      </c>
      <c r="CN34" s="2">
        <f>0.002*CN2</f>
        <v>0</v>
      </c>
      <c r="CQ34" s="2">
        <f>0.004*CQ2</f>
        <v>0</v>
      </c>
      <c r="CT34" s="2">
        <f>0.003*CT2</f>
        <v>0</v>
      </c>
      <c r="CU34" s="2">
        <f>0.002*CU2</f>
        <v>0</v>
      </c>
      <c r="CV34" s="2">
        <f>0.004*CV2</f>
        <v>0</v>
      </c>
      <c r="DV34" s="2">
        <f>0.003*DV2</f>
        <v>0</v>
      </c>
      <c r="EE34" s="2">
        <f>0.009*EE2</f>
        <v>0</v>
      </c>
      <c r="EG34" s="2">
        <f>0.002*EG2</f>
        <v>0</v>
      </c>
      <c r="EM34" s="2">
        <f>0.002*EM2</f>
        <v>0</v>
      </c>
      <c r="EO34" s="2">
        <f>0.005*EO2</f>
        <v>0</v>
      </c>
      <c r="EP34" s="2">
        <f>0.002*EP2</f>
        <v>0</v>
      </c>
      <c r="ER34" s="2">
        <f>0.004*ER2</f>
        <v>0</v>
      </c>
      <c r="ES34" s="2">
        <f>0.002*ES2</f>
        <v>0</v>
      </c>
      <c r="ET34" s="2">
        <f>0.003*ET2</f>
        <v>0</v>
      </c>
      <c r="EU34" s="2">
        <f>0.001*EU2</f>
        <v>0</v>
      </c>
      <c r="EV34" s="2">
        <f>0.007*EV2</f>
        <v>0</v>
      </c>
      <c r="EX34" s="2">
        <f>0.002*EX2</f>
        <v>0</v>
      </c>
      <c r="EY34" s="2">
        <f>0.006*EY2</f>
        <v>0</v>
      </c>
      <c r="FK34" s="2">
        <f>0.002*FK2</f>
        <v>0</v>
      </c>
      <c r="FM34" s="2">
        <f>0.001*FM2</f>
        <v>0</v>
      </c>
      <c r="FQ34" s="2">
        <f>0.001*FQ2</f>
        <v>0</v>
      </c>
      <c r="FR34" s="2">
        <f>0.056*FR2</f>
        <v>0</v>
      </c>
      <c r="FS34" s="2">
        <f>0.005*FS2</f>
        <v>0</v>
      </c>
      <c r="FT34" s="2">
        <f>0.003*FT2</f>
        <v>0</v>
      </c>
      <c r="FU34" s="2">
        <f>0.001*FU2</f>
        <v>0</v>
      </c>
      <c r="FV34" s="2">
        <f>0.003*FV2</f>
        <v>0</v>
      </c>
      <c r="FY34" s="2">
        <f>0.003*FY2</f>
        <v>0</v>
      </c>
      <c r="FZ34" s="2">
        <f>0.002*FZ2</f>
        <v>0</v>
      </c>
      <c r="GI34" s="2">
        <f>0.001*GI2</f>
        <v>0</v>
      </c>
      <c r="GN34" s="2">
        <f>0.002*GN2</f>
        <v>0</v>
      </c>
      <c r="GO34" s="2">
        <f>0.002*GO2</f>
        <v>0</v>
      </c>
      <c r="GQ34" s="2">
        <f>0.056*GQ2</f>
        <v>0</v>
      </c>
      <c r="GR34" s="2">
        <f>0.019*GR2</f>
        <v>0</v>
      </c>
      <c r="GS34" s="2">
        <f>0.006*GS2</f>
        <v>0</v>
      </c>
      <c r="GT34" s="2">
        <f>0.003*GT2</f>
        <v>0</v>
      </c>
      <c r="GW34" s="2">
        <f>0.003*GW2</f>
        <v>0</v>
      </c>
    </row>
    <row r="35" spans="1:214" x14ac:dyDescent="0.25">
      <c r="A35" s="30" t="s">
        <v>214</v>
      </c>
      <c r="B35" s="21" t="s">
        <v>234</v>
      </c>
      <c r="C35" s="30">
        <f>D35</f>
        <v>0</v>
      </c>
      <c r="D35" s="30">
        <f t="shared" si="1"/>
        <v>0</v>
      </c>
      <c r="J35" s="2">
        <f>0.252*J2</f>
        <v>0</v>
      </c>
      <c r="K35" s="2">
        <f>0.38*K2</f>
        <v>0</v>
      </c>
      <c r="AU35" s="3"/>
      <c r="BB35" s="3"/>
      <c r="BC35" s="3"/>
      <c r="BE35" s="3">
        <f>0.118*BE2</f>
        <v>0</v>
      </c>
      <c r="BL35" s="2">
        <f>0.257*BL2</f>
        <v>0</v>
      </c>
      <c r="BR35" s="5"/>
      <c r="BS35" s="5"/>
      <c r="BT35" s="5"/>
      <c r="BU35" s="5"/>
      <c r="BV35" s="5"/>
      <c r="BW35" s="5"/>
      <c r="BX35" s="5"/>
      <c r="BY35" s="5"/>
      <c r="CL35" s="2">
        <f>0.43*CL2</f>
        <v>0</v>
      </c>
      <c r="CQ35" s="2">
        <f>0.351*CQ2</f>
        <v>0</v>
      </c>
      <c r="EG35" s="2">
        <f>0.25*EG2</f>
        <v>0</v>
      </c>
      <c r="EM35" s="2">
        <f>0.222*EM2</f>
        <v>0</v>
      </c>
      <c r="EO35" s="2">
        <f>0.35*EO2</f>
        <v>0</v>
      </c>
      <c r="ET35" s="2">
        <f>0.3*ET2</f>
        <v>0</v>
      </c>
      <c r="EU35" s="2">
        <f>0.118*EU2</f>
        <v>0</v>
      </c>
      <c r="EV35" s="2">
        <f>0.73*EV2</f>
        <v>0</v>
      </c>
      <c r="EX35" s="2">
        <f>0.225*EX2</f>
        <v>0</v>
      </c>
      <c r="EY35" s="2">
        <f>0.37*EY2</f>
        <v>0</v>
      </c>
      <c r="FK35" s="2">
        <f>0.17*FK2</f>
        <v>0</v>
      </c>
      <c r="FM35" s="2">
        <f>0.162*FM2</f>
        <v>0</v>
      </c>
      <c r="FQ35" s="2">
        <f>0.15*FQ2</f>
        <v>0</v>
      </c>
      <c r="FS35" s="2">
        <f>0.434*FS2</f>
        <v>0</v>
      </c>
      <c r="FT35" s="2">
        <f>0.236*FT2</f>
        <v>0</v>
      </c>
      <c r="FU35" s="2">
        <f>0.132*FU2</f>
        <v>0</v>
      </c>
      <c r="FV35" s="2">
        <f>0.232*FV2</f>
        <v>0</v>
      </c>
      <c r="FY35" s="2">
        <f>0.222*FY2</f>
        <v>0</v>
      </c>
      <c r="FZ35" s="2">
        <f>0.326*FZ2</f>
        <v>0</v>
      </c>
      <c r="GI35" s="2">
        <f>0.172*GI2</f>
        <v>0</v>
      </c>
      <c r="GN35" s="2">
        <f>0.236*GN2</f>
        <v>0</v>
      </c>
      <c r="GO35" s="2">
        <f>0.35*GO2</f>
        <v>0</v>
      </c>
      <c r="GR35" s="2">
        <f>0.57*GR2</f>
        <v>0</v>
      </c>
      <c r="GS35" s="2">
        <f>0.42*GS2</f>
        <v>0</v>
      </c>
      <c r="GT35" s="2">
        <f>0.23*GT2</f>
        <v>0</v>
      </c>
      <c r="GW35" s="2">
        <f>0.26*GW2</f>
        <v>0</v>
      </c>
    </row>
    <row r="36" spans="1:214" s="7" customFormat="1" ht="6.75" customHeight="1" x14ac:dyDescent="0.25">
      <c r="AU36" s="8"/>
      <c r="BB36" s="8"/>
      <c r="BC36" s="8"/>
      <c r="BE36" s="8"/>
      <c r="BR36" s="9"/>
      <c r="BS36" s="9"/>
      <c r="BT36" s="9"/>
      <c r="BU36" s="9"/>
      <c r="BV36" s="9"/>
      <c r="BW36" s="9"/>
      <c r="BX36" s="9"/>
      <c r="BY36" s="9"/>
    </row>
    <row r="37" spans="1:214" x14ac:dyDescent="0.25">
      <c r="A37" s="2" t="s">
        <v>235</v>
      </c>
      <c r="B37" s="30" t="s">
        <v>230</v>
      </c>
      <c r="C37" s="30">
        <f>D37*1.05</f>
        <v>0</v>
      </c>
      <c r="D37" s="30">
        <f>SUM(E37:FKK37)</f>
        <v>0</v>
      </c>
      <c r="E37" s="2">
        <f>1.1*E2</f>
        <v>0</v>
      </c>
      <c r="F37" s="2">
        <f>0.4*F2</f>
        <v>0</v>
      </c>
      <c r="I37" s="2">
        <f>I2*0.3</f>
        <v>0</v>
      </c>
      <c r="L37" s="2">
        <f>0.4*L2</f>
        <v>0</v>
      </c>
      <c r="M37" s="2">
        <f>0.4*M2</f>
        <v>0</v>
      </c>
      <c r="N37" s="2">
        <f>0.5*N2</f>
        <v>0</v>
      </c>
      <c r="O37" s="2">
        <f t="shared" ref="O37:U37" si="2">0.4*O2</f>
        <v>0</v>
      </c>
      <c r="P37" s="2">
        <f t="shared" si="2"/>
        <v>0</v>
      </c>
      <c r="Q37" s="2">
        <f t="shared" si="2"/>
        <v>0</v>
      </c>
      <c r="R37" s="2">
        <f t="shared" si="2"/>
        <v>0</v>
      </c>
      <c r="S37" s="2">
        <f t="shared" si="2"/>
        <v>0</v>
      </c>
      <c r="T37" s="2">
        <f t="shared" si="2"/>
        <v>0</v>
      </c>
      <c r="U37" s="2">
        <f t="shared" si="2"/>
        <v>0</v>
      </c>
      <c r="AD37" s="2">
        <f>1.3*AD2</f>
        <v>0</v>
      </c>
      <c r="AE37" s="2">
        <f>1.3*AE2</f>
        <v>0</v>
      </c>
      <c r="AF37" s="2">
        <f>1*AF2</f>
        <v>0</v>
      </c>
      <c r="AG37" s="2">
        <f>1.5*AG2</f>
        <v>0</v>
      </c>
      <c r="AJ37" s="2">
        <f>1.1*AJ2</f>
        <v>0</v>
      </c>
      <c r="AM37" s="2">
        <f>1.3*AM2</f>
        <v>0</v>
      </c>
      <c r="AN37" s="2">
        <f>0.4*AN2</f>
        <v>0</v>
      </c>
      <c r="AO37" s="2">
        <f>0.4*AO2</f>
        <v>0</v>
      </c>
      <c r="AP37" s="2">
        <f>0.4*AP2</f>
        <v>0</v>
      </c>
      <c r="AR37" s="2">
        <f>0.4*AR2</f>
        <v>0</v>
      </c>
      <c r="AU37" s="3"/>
      <c r="AW37" s="2">
        <f>0.4*AW2</f>
        <v>0</v>
      </c>
      <c r="AX37" s="2">
        <f>0.4*AX2</f>
        <v>0</v>
      </c>
      <c r="AY37" s="2">
        <f>0.4*AY2</f>
        <v>0</v>
      </c>
      <c r="AZ37" s="2">
        <f>0.4*AZ2</f>
        <v>0</v>
      </c>
      <c r="BB37" s="3">
        <f>0.4*BB2</f>
        <v>0</v>
      </c>
      <c r="BC37" s="3">
        <f>0.4*BC2</f>
        <v>0</v>
      </c>
      <c r="BD37" s="2">
        <f>0.4*BD2</f>
        <v>0</v>
      </c>
      <c r="BE37" s="3"/>
      <c r="BF37" s="2">
        <f>0.4*BF2</f>
        <v>0</v>
      </c>
      <c r="BG37" s="2">
        <f>0.4*BG2</f>
        <v>0</v>
      </c>
      <c r="BH37" s="2">
        <f>1.2*BH2</f>
        <v>0</v>
      </c>
      <c r="BI37" s="2">
        <f>0.4*BI2</f>
        <v>0</v>
      </c>
      <c r="BK37" s="2">
        <f>0.4*BK2</f>
        <v>0</v>
      </c>
      <c r="BO37" s="2">
        <f>0.4*BO2</f>
        <v>0</v>
      </c>
      <c r="BP37" s="2">
        <f>0.4*BP2</f>
        <v>0</v>
      </c>
      <c r="BQ37" s="2">
        <f>0.4*BQ2</f>
        <v>0</v>
      </c>
      <c r="BR37" s="3">
        <f>0.4*BR2</f>
        <v>0</v>
      </c>
      <c r="BS37" s="3">
        <f>1.1*BS2</f>
        <v>0</v>
      </c>
      <c r="BT37" s="3">
        <f>0.4*BT2</f>
        <v>0</v>
      </c>
      <c r="BU37" s="3">
        <f>1.3*BU2</f>
        <v>0</v>
      </c>
      <c r="BV37" s="3">
        <f>0.4*BV2</f>
        <v>0</v>
      </c>
      <c r="BW37" s="3">
        <f>1.3*BW2</f>
        <v>0</v>
      </c>
      <c r="BX37" s="3">
        <f>0.4*BX2</f>
        <v>0</v>
      </c>
      <c r="BY37" s="3">
        <f>0.4*BY2</f>
        <v>0</v>
      </c>
      <c r="BZ37" s="2">
        <f>0.6*BZ2</f>
        <v>0</v>
      </c>
      <c r="CC37" s="2">
        <f>0.6*CC2</f>
        <v>0</v>
      </c>
      <c r="CD37" s="2">
        <f>0.6*CD2</f>
        <v>0</v>
      </c>
      <c r="CE37" s="2">
        <f>0.12*CE2</f>
        <v>0</v>
      </c>
      <c r="CF37" s="2">
        <f>0.12*CF2</f>
        <v>0</v>
      </c>
      <c r="CG37" s="2">
        <f>0.6*CG2</f>
        <v>0</v>
      </c>
      <c r="CM37" s="2">
        <f>0.7*CM2</f>
        <v>0</v>
      </c>
      <c r="CS37" s="2">
        <f>0.2*CS2</f>
        <v>0</v>
      </c>
      <c r="CW37" s="2">
        <f>1.2*CW2</f>
        <v>0</v>
      </c>
      <c r="CX37" s="2">
        <f>1*CX2</f>
        <v>0</v>
      </c>
      <c r="CY37" s="2">
        <f>1*CY2</f>
        <v>0</v>
      </c>
      <c r="CZ37" s="2">
        <f>0.94*CZ2</f>
        <v>0</v>
      </c>
      <c r="DA37" s="2">
        <f>0.1*DA2</f>
        <v>0</v>
      </c>
      <c r="DB37" s="2">
        <f>1*DB2</f>
        <v>0</v>
      </c>
      <c r="DC37" s="2">
        <f>1*DC2</f>
        <v>0</v>
      </c>
      <c r="DD37" s="2">
        <f>0.9*DD2</f>
        <v>0</v>
      </c>
      <c r="DE37" s="2">
        <f>1*DE2</f>
        <v>0</v>
      </c>
      <c r="DF37" s="2">
        <f>1*DF2*2*3</f>
        <v>0</v>
      </c>
      <c r="DG37" s="2">
        <f>1*DG2</f>
        <v>0</v>
      </c>
      <c r="DH37" s="2">
        <f>1*DH2*4</f>
        <v>0</v>
      </c>
      <c r="DI37" s="2">
        <f>1*DI2*5</f>
        <v>0</v>
      </c>
      <c r="DJ37" s="2">
        <f>1*DJ2*6</f>
        <v>0</v>
      </c>
      <c r="DK37" s="2">
        <f>1*DK2*7</f>
        <v>0</v>
      </c>
      <c r="DL37" s="2">
        <f>1*DL2</f>
        <v>0</v>
      </c>
      <c r="DM37" s="2">
        <f>0.9*DM2</f>
        <v>0</v>
      </c>
      <c r="DN37" s="2">
        <f>0.9*DN2*2</f>
        <v>0</v>
      </c>
      <c r="DO37" s="2">
        <f>0.9*DO2*3</f>
        <v>0</v>
      </c>
      <c r="DP37" s="2">
        <f>0.9*DP2*4</f>
        <v>0</v>
      </c>
      <c r="DQ37" s="2">
        <f>0.9*DQ2*5</f>
        <v>0</v>
      </c>
      <c r="DR37" s="2">
        <f>0.9*DR2*6</f>
        <v>0</v>
      </c>
      <c r="DS37" s="2">
        <f>0.9*DS2*7</f>
        <v>0</v>
      </c>
      <c r="DT37" s="2">
        <f>1*DT2</f>
        <v>0</v>
      </c>
      <c r="DU37" s="2">
        <f>1*DU2</f>
        <v>0</v>
      </c>
      <c r="DV37" s="2">
        <f>0.2*DV2</f>
        <v>0</v>
      </c>
      <c r="DW37" s="2">
        <f>1*DW2</f>
        <v>0</v>
      </c>
      <c r="DX37" s="2">
        <f>0.5*DX2</f>
        <v>0</v>
      </c>
      <c r="DY37" s="2">
        <f>0.5*DY2</f>
        <v>0</v>
      </c>
      <c r="DZ37" s="2">
        <f>0.5*DZ2</f>
        <v>0</v>
      </c>
      <c r="ED37" s="2">
        <f>0.1*ED2</f>
        <v>0</v>
      </c>
      <c r="EE37" s="2">
        <f>0.6*EE2</f>
        <v>0</v>
      </c>
      <c r="EF37" s="2">
        <f>0.14*EF2</f>
        <v>0</v>
      </c>
      <c r="EG37" s="2">
        <f>0.2*EG2</f>
        <v>0</v>
      </c>
      <c r="EH37" s="2">
        <f>0.2*EH2</f>
        <v>0</v>
      </c>
      <c r="EQ37" s="2">
        <f>0.6*EQ2</f>
        <v>0</v>
      </c>
      <c r="EV37" s="2">
        <f>0.4*EV2</f>
        <v>0</v>
      </c>
      <c r="EW37" s="2">
        <f>0.4*EW2</f>
        <v>0</v>
      </c>
      <c r="EY37" s="2">
        <f>0.4*EY2</f>
        <v>0</v>
      </c>
      <c r="EZ37" s="2">
        <f>0.3*EZ2</f>
        <v>0</v>
      </c>
      <c r="FB37" s="2">
        <f>0.3*FB2</f>
        <v>0</v>
      </c>
      <c r="FC37" s="2">
        <f>0.3*FC2</f>
        <v>0</v>
      </c>
      <c r="FG37" s="2">
        <f>0.4*FG2</f>
        <v>0</v>
      </c>
      <c r="FH37" s="2">
        <f>0.4*FH2</f>
        <v>0</v>
      </c>
      <c r="FI37" s="2">
        <f>0.4*FI2</f>
        <v>0</v>
      </c>
      <c r="FJ37" s="2">
        <f>0.4*FJ2</f>
        <v>0</v>
      </c>
      <c r="FL37" s="2">
        <f>0.4*FL2</f>
        <v>0</v>
      </c>
      <c r="FN37" s="2">
        <f>0.4*FN2</f>
        <v>0</v>
      </c>
      <c r="FO37" s="2">
        <f>0.19*FO2</f>
        <v>0</v>
      </c>
      <c r="FP37" s="2">
        <f>0.15*FP2</f>
        <v>0</v>
      </c>
      <c r="FR37" s="2">
        <f>0.6*FR2</f>
        <v>0</v>
      </c>
      <c r="FU37" s="2">
        <f>0.13*FU2</f>
        <v>0</v>
      </c>
      <c r="FX37" s="2">
        <f>0.5*FX2</f>
        <v>0</v>
      </c>
      <c r="FY37" s="2">
        <f>0.16*FY2</f>
        <v>0</v>
      </c>
      <c r="GA37" s="2">
        <f>0.3*GA2</f>
        <v>0</v>
      </c>
      <c r="GB37" s="2">
        <f>0.3*GB2</f>
        <v>0</v>
      </c>
      <c r="GC37" s="2">
        <f>0.7*GC2</f>
        <v>0</v>
      </c>
      <c r="GL37" s="2">
        <f>0.06*GL2</f>
        <v>0</v>
      </c>
      <c r="GQ37" s="2">
        <f>0.6*GQ2</f>
        <v>0</v>
      </c>
      <c r="GW37" s="2">
        <f>0.06*GW2</f>
        <v>0</v>
      </c>
    </row>
    <row r="38" spans="1:214" x14ac:dyDescent="0.25">
      <c r="A38" s="2" t="s">
        <v>236</v>
      </c>
      <c r="B38" s="30" t="s">
        <v>230</v>
      </c>
      <c r="C38" s="30">
        <f>D38*1.05</f>
        <v>0</v>
      </c>
      <c r="D38" s="30">
        <f>SUM(E38:FKK38)</f>
        <v>0</v>
      </c>
      <c r="AU38" s="3"/>
      <c r="BB38" s="3"/>
      <c r="BC38" s="3"/>
      <c r="BE38" s="3"/>
      <c r="BR38" s="3"/>
      <c r="BS38" s="3"/>
      <c r="BT38" s="3"/>
      <c r="BU38" s="3"/>
      <c r="BV38" s="3"/>
      <c r="BW38" s="3"/>
      <c r="BX38" s="3"/>
      <c r="BY38" s="3"/>
      <c r="GU38" s="2">
        <f>0.11*GU2</f>
        <v>0</v>
      </c>
    </row>
    <row r="39" spans="1:214" x14ac:dyDescent="0.25">
      <c r="A39" s="2" t="s">
        <v>237</v>
      </c>
      <c r="B39" s="30" t="s">
        <v>230</v>
      </c>
      <c r="C39" s="30">
        <f>D39*1.05</f>
        <v>0</v>
      </c>
      <c r="D39" s="30">
        <f>SUM(E39:FKK39)</f>
        <v>0</v>
      </c>
      <c r="AU39" s="3"/>
      <c r="BB39" s="3"/>
      <c r="BC39" s="3"/>
      <c r="BE39" s="3"/>
      <c r="BR39" s="3"/>
      <c r="BS39" s="3"/>
      <c r="BT39" s="3"/>
      <c r="BU39" s="3"/>
      <c r="BV39" s="3"/>
      <c r="BW39" s="3"/>
      <c r="BX39" s="3"/>
      <c r="BY39" s="3"/>
      <c r="GY39" s="2">
        <f>0.95*GY2</f>
        <v>0</v>
      </c>
      <c r="GZ39" s="2">
        <f>0.93*GZ2</f>
        <v>0</v>
      </c>
      <c r="HA39" s="2">
        <f>0.6*HA2</f>
        <v>0</v>
      </c>
      <c r="HB39" s="2">
        <f>0.8*HB2</f>
        <v>0</v>
      </c>
      <c r="HC39" s="2">
        <f>1*HC2</f>
        <v>0</v>
      </c>
      <c r="HD39" s="2">
        <f>1*HD2</f>
        <v>0</v>
      </c>
      <c r="HE39" s="2">
        <f>1.2*HE2</f>
        <v>0</v>
      </c>
    </row>
    <row r="40" spans="1:214" x14ac:dyDescent="0.25">
      <c r="A40" s="2" t="s">
        <v>238</v>
      </c>
      <c r="B40" s="30" t="s">
        <v>213</v>
      </c>
      <c r="C40" s="30">
        <f>D40*1.05</f>
        <v>0</v>
      </c>
      <c r="D40" s="30">
        <f>SUM(E40:FKK40)</f>
        <v>0</v>
      </c>
      <c r="AU40" s="3"/>
      <c r="BB40" s="3"/>
      <c r="BC40" s="3"/>
      <c r="BE40" s="3"/>
      <c r="BR40" s="5"/>
      <c r="BS40" s="5"/>
      <c r="BT40" s="5"/>
      <c r="BU40" s="5"/>
      <c r="BV40" s="5"/>
      <c r="BW40" s="5"/>
      <c r="BX40" s="5"/>
      <c r="BY40" s="5"/>
      <c r="EA40" s="2">
        <f>0.001*EA2</f>
        <v>0</v>
      </c>
      <c r="EB40" s="2">
        <f>0.001*EB2</f>
        <v>0</v>
      </c>
      <c r="EC40" s="2">
        <f>0.001*EC2</f>
        <v>0</v>
      </c>
      <c r="EH40" s="2">
        <f>0.001*EH2</f>
        <v>0</v>
      </c>
      <c r="EJ40" s="2">
        <f>0.002*EJ2</f>
        <v>0</v>
      </c>
      <c r="EK40" s="2">
        <f>0.001*EK2</f>
        <v>0</v>
      </c>
      <c r="GH40" s="2">
        <f>0.002*GH2</f>
        <v>0</v>
      </c>
    </row>
    <row r="41" spans="1:214" s="7" customFormat="1" ht="6.75" customHeight="1" x14ac:dyDescent="0.25">
      <c r="AU41" s="8"/>
      <c r="BB41" s="8"/>
      <c r="BC41" s="8"/>
      <c r="BE41" s="8"/>
      <c r="BR41" s="9"/>
      <c r="BS41" s="9"/>
      <c r="BT41" s="9"/>
      <c r="BU41" s="9"/>
      <c r="BV41" s="9"/>
      <c r="BW41" s="9"/>
      <c r="BX41" s="9"/>
      <c r="BY41" s="9"/>
    </row>
    <row r="42" spans="1:214" ht="30" customHeight="1" x14ac:dyDescent="0.25">
      <c r="A42" s="2" t="s">
        <v>239</v>
      </c>
      <c r="B42" s="30" t="s">
        <v>240</v>
      </c>
      <c r="C42" s="30">
        <f t="shared" ref="C42:C47" si="3">D42</f>
        <v>0</v>
      </c>
      <c r="D42" s="30">
        <f t="shared" ref="D42:D47" si="4">SUM(E42:FKK42)</f>
        <v>0</v>
      </c>
      <c r="L42" s="2">
        <f t="shared" ref="L42:Q42" si="5">2*L2</f>
        <v>0</v>
      </c>
      <c r="M42" s="2">
        <f t="shared" si="5"/>
        <v>0</v>
      </c>
      <c r="N42" s="2">
        <f t="shared" si="5"/>
        <v>0</v>
      </c>
      <c r="O42" s="2">
        <f t="shared" si="5"/>
        <v>0</v>
      </c>
      <c r="P42" s="2">
        <f t="shared" si="5"/>
        <v>0</v>
      </c>
      <c r="Q42" s="2">
        <f t="shared" si="5"/>
        <v>0</v>
      </c>
      <c r="S42" s="2">
        <f>2*S2</f>
        <v>0</v>
      </c>
      <c r="T42" s="2">
        <f>2*T2</f>
        <v>0</v>
      </c>
      <c r="AD42" s="2">
        <f>2*AD2</f>
        <v>0</v>
      </c>
      <c r="AM42" s="2">
        <f>2*AM2</f>
        <v>0</v>
      </c>
      <c r="AN42" s="2">
        <f>2*AN2</f>
        <v>0</v>
      </c>
      <c r="AR42" s="2">
        <f>2*AR2</f>
        <v>0</v>
      </c>
      <c r="AU42" s="3"/>
      <c r="AW42" s="2">
        <f>2*AW2</f>
        <v>0</v>
      </c>
      <c r="AX42" s="2">
        <f>2*AX2</f>
        <v>0</v>
      </c>
      <c r="AY42" s="2">
        <f>2*AY2</f>
        <v>0</v>
      </c>
      <c r="AZ42" s="2">
        <f>2*AZ2</f>
        <v>0</v>
      </c>
      <c r="BB42" s="3">
        <f>2*BB2</f>
        <v>0</v>
      </c>
      <c r="BC42" s="3">
        <f>2*BC2</f>
        <v>0</v>
      </c>
      <c r="BD42" s="2">
        <f>2*BD2</f>
        <v>0</v>
      </c>
      <c r="BE42" s="3"/>
      <c r="BF42" s="2">
        <f>2*BF2</f>
        <v>0</v>
      </c>
      <c r="BH42" s="2">
        <f>2*BH2</f>
        <v>0</v>
      </c>
      <c r="BO42" s="2">
        <f>2*BO2</f>
        <v>0</v>
      </c>
      <c r="BP42" s="2">
        <f>2*BP2</f>
        <v>0</v>
      </c>
      <c r="BQ42" s="2">
        <f>2*BQ2</f>
        <v>0</v>
      </c>
      <c r="BR42" s="3"/>
      <c r="BS42" s="3"/>
      <c r="BT42" s="3"/>
      <c r="BU42" s="3"/>
      <c r="BV42" s="5"/>
      <c r="BW42" s="5"/>
      <c r="BX42" s="3">
        <f>2*BX2</f>
        <v>0</v>
      </c>
      <c r="BY42" s="3">
        <f>2*BY2</f>
        <v>0</v>
      </c>
      <c r="BZ42" s="2">
        <f>2*BZ2</f>
        <v>0</v>
      </c>
      <c r="CA42" s="2">
        <f>3*CA2</f>
        <v>0</v>
      </c>
      <c r="CC42" s="2">
        <f>2*CC2</f>
        <v>0</v>
      </c>
      <c r="CD42" s="2">
        <f>2*CD2</f>
        <v>0</v>
      </c>
      <c r="CG42" s="2">
        <f>2*CG2</f>
        <v>0</v>
      </c>
      <c r="CH42" s="2">
        <f>3*CH2</f>
        <v>0</v>
      </c>
      <c r="CL42" s="2">
        <f>1*CL2</f>
        <v>0</v>
      </c>
      <c r="CM42" s="2">
        <f>2*CM2</f>
        <v>0</v>
      </c>
      <c r="CN42" s="2">
        <f>1*CN2</f>
        <v>0</v>
      </c>
      <c r="CQ42" s="2">
        <f>1*CQ2</f>
        <v>0</v>
      </c>
      <c r="CT42" s="2">
        <f>2*CT2</f>
        <v>0</v>
      </c>
      <c r="DX42" s="2">
        <f>2*DX2</f>
        <v>0</v>
      </c>
      <c r="DY42" s="2">
        <f>2*DY2</f>
        <v>0</v>
      </c>
      <c r="DZ42" s="2">
        <f>2*DZ2</f>
        <v>0</v>
      </c>
      <c r="EV42" s="2">
        <f>2*EV2</f>
        <v>0</v>
      </c>
      <c r="EW42" s="2">
        <f>2*EW2</f>
        <v>0</v>
      </c>
      <c r="EX42" s="2">
        <f>2*EX2</f>
        <v>0</v>
      </c>
      <c r="EY42" s="2">
        <f>2*EY2</f>
        <v>0</v>
      </c>
      <c r="FB42" s="2">
        <f>2*FB2</f>
        <v>0</v>
      </c>
      <c r="FC42" s="2">
        <f>2*FC2</f>
        <v>0</v>
      </c>
      <c r="FM42" s="2">
        <f>2*FM2</f>
        <v>0</v>
      </c>
      <c r="FS42" s="2">
        <f>1*FS2</f>
        <v>0</v>
      </c>
      <c r="FU42" s="2">
        <f>1*FU2</f>
        <v>0</v>
      </c>
      <c r="FW42" s="2">
        <f>2*FW2</f>
        <v>0</v>
      </c>
      <c r="FZ42" s="2">
        <f>1*FZ2</f>
        <v>0</v>
      </c>
      <c r="GC42" s="2">
        <f>2*GC2</f>
        <v>0</v>
      </c>
      <c r="GK42" s="2">
        <f>2*GK2</f>
        <v>0</v>
      </c>
    </row>
    <row r="43" spans="1:214" ht="30" customHeight="1" x14ac:dyDescent="0.25">
      <c r="A43" s="2" t="s">
        <v>241</v>
      </c>
      <c r="B43" s="30" t="s">
        <v>240</v>
      </c>
      <c r="C43" s="30">
        <f t="shared" si="3"/>
        <v>0</v>
      </c>
      <c r="D43" s="30">
        <f t="shared" si="4"/>
        <v>0</v>
      </c>
      <c r="AU43" s="3"/>
      <c r="BB43" s="3"/>
      <c r="BC43" s="3"/>
      <c r="BE43" s="3"/>
      <c r="BR43" s="5"/>
      <c r="BS43" s="5"/>
      <c r="BT43" s="5"/>
      <c r="BU43" s="5"/>
      <c r="BV43" s="5"/>
      <c r="BW43" s="5"/>
      <c r="BX43" s="5"/>
      <c r="BY43" s="5"/>
      <c r="HF43" s="2">
        <f>HF2*1.5</f>
        <v>0</v>
      </c>
    </row>
    <row r="44" spans="1:214" ht="30" customHeight="1" x14ac:dyDescent="0.25">
      <c r="A44" s="2" t="s">
        <v>242</v>
      </c>
      <c r="B44" s="30" t="s">
        <v>240</v>
      </c>
      <c r="C44" s="30">
        <f t="shared" si="3"/>
        <v>0</v>
      </c>
      <c r="D44" s="30">
        <f t="shared" si="4"/>
        <v>0</v>
      </c>
      <c r="AU44" s="3"/>
      <c r="BB44" s="3"/>
      <c r="BC44" s="3"/>
      <c r="BE44" s="3"/>
      <c r="BR44" s="5"/>
      <c r="BS44" s="5"/>
      <c r="BT44" s="5"/>
      <c r="BU44" s="5"/>
      <c r="BV44" s="5"/>
      <c r="BW44" s="5"/>
      <c r="BX44" s="5"/>
      <c r="BY44" s="5"/>
      <c r="EC44" s="2">
        <f>5*EC2</f>
        <v>0</v>
      </c>
      <c r="GH44" s="2">
        <f>14*GH2</f>
        <v>0</v>
      </c>
    </row>
    <row r="45" spans="1:214" ht="30" customHeight="1" x14ac:dyDescent="0.25">
      <c r="A45" s="2" t="s">
        <v>243</v>
      </c>
      <c r="B45" s="30" t="s">
        <v>240</v>
      </c>
      <c r="C45" s="30">
        <f t="shared" si="3"/>
        <v>0</v>
      </c>
      <c r="D45" s="30">
        <f t="shared" si="4"/>
        <v>0</v>
      </c>
      <c r="AU45" s="3"/>
      <c r="BB45" s="3"/>
      <c r="BC45" s="3"/>
      <c r="BE45" s="3"/>
      <c r="BR45" s="5"/>
      <c r="BS45" s="5"/>
      <c r="BT45" s="5"/>
      <c r="BU45" s="5"/>
      <c r="BV45" s="5"/>
      <c r="BW45" s="5"/>
      <c r="BX45" s="5"/>
      <c r="BY45" s="5"/>
      <c r="EB45" s="2">
        <f>5*EB2</f>
        <v>0</v>
      </c>
    </row>
    <row r="46" spans="1:214" ht="30" customHeight="1" x14ac:dyDescent="0.25">
      <c r="A46" s="2" t="s">
        <v>244</v>
      </c>
      <c r="B46" s="30" t="s">
        <v>240</v>
      </c>
      <c r="C46" s="30">
        <f t="shared" si="3"/>
        <v>0</v>
      </c>
      <c r="D46" s="30">
        <f t="shared" si="4"/>
        <v>0</v>
      </c>
      <c r="AU46" s="3"/>
      <c r="BB46" s="3"/>
      <c r="BC46" s="3"/>
      <c r="BE46" s="3"/>
      <c r="BR46" s="5"/>
      <c r="BS46" s="5"/>
      <c r="BT46" s="5"/>
      <c r="BU46" s="5"/>
      <c r="BV46" s="5"/>
      <c r="BW46" s="5"/>
      <c r="BX46" s="5"/>
      <c r="BY46" s="5"/>
      <c r="EA46" s="2">
        <f>8*EA2</f>
        <v>0</v>
      </c>
      <c r="EK46" s="2">
        <f>8*EK2</f>
        <v>0</v>
      </c>
    </row>
    <row r="47" spans="1:214" ht="30" customHeight="1" x14ac:dyDescent="0.25">
      <c r="A47" s="2" t="s">
        <v>245</v>
      </c>
      <c r="B47" s="30" t="s">
        <v>240</v>
      </c>
      <c r="C47" s="30">
        <f t="shared" si="3"/>
        <v>0</v>
      </c>
      <c r="D47" s="30">
        <f t="shared" si="4"/>
        <v>0</v>
      </c>
      <c r="AU47" s="3"/>
      <c r="BB47" s="3"/>
      <c r="BC47" s="3"/>
      <c r="BE47" s="3"/>
      <c r="BR47" s="5"/>
      <c r="BS47" s="5"/>
      <c r="BT47" s="5"/>
      <c r="BU47" s="5"/>
      <c r="BV47" s="5"/>
      <c r="BW47" s="5"/>
      <c r="BX47" s="5"/>
      <c r="BY47" s="5"/>
      <c r="EJ47" s="2">
        <f>16*EJ2</f>
        <v>0</v>
      </c>
    </row>
    <row r="48" spans="1:214" s="7" customFormat="1" ht="7.5" customHeight="1" x14ac:dyDescent="0.25">
      <c r="AU48" s="8"/>
      <c r="BB48" s="8"/>
      <c r="BC48" s="8"/>
      <c r="BE48" s="8"/>
      <c r="BR48" s="9"/>
      <c r="BS48" s="9"/>
      <c r="BT48" s="9"/>
      <c r="BU48" s="9"/>
      <c r="BV48" s="9"/>
      <c r="BW48" s="9"/>
      <c r="BX48" s="9"/>
      <c r="BY48" s="9"/>
    </row>
    <row r="49" spans="1:213" x14ac:dyDescent="0.25">
      <c r="A49" s="2" t="s">
        <v>246</v>
      </c>
      <c r="B49" s="30" t="s">
        <v>247</v>
      </c>
      <c r="C49" s="30">
        <f>D49*1.05</f>
        <v>0</v>
      </c>
      <c r="D49" s="30">
        <f>SUM(E49:FKK49)</f>
        <v>0</v>
      </c>
      <c r="AU49" s="3">
        <f>0.1*AU2</f>
        <v>0</v>
      </c>
      <c r="BB49" s="3"/>
      <c r="BC49" s="3"/>
      <c r="BE49" s="3"/>
      <c r="BR49" s="5"/>
      <c r="BS49" s="5"/>
      <c r="BT49" s="5"/>
      <c r="BU49" s="5"/>
      <c r="BV49" s="5"/>
      <c r="BW49" s="5"/>
      <c r="BX49" s="5"/>
      <c r="BY49" s="5"/>
      <c r="FQ49" s="2">
        <f>0.1*FQ2</f>
        <v>0</v>
      </c>
      <c r="GI49" s="2">
        <f>0.2*GI2</f>
        <v>0</v>
      </c>
      <c r="GO49" s="2">
        <f>0.1*GO2</f>
        <v>0</v>
      </c>
    </row>
    <row r="50" spans="1:213" s="7" customFormat="1" ht="5.25" customHeight="1" x14ac:dyDescent="0.25">
      <c r="AU50" s="8"/>
      <c r="BB50" s="8"/>
      <c r="BC50" s="8"/>
      <c r="BE50" s="8"/>
      <c r="BR50" s="9"/>
      <c r="BS50" s="9"/>
      <c r="BT50" s="9"/>
      <c r="BU50" s="9"/>
      <c r="BV50" s="9"/>
      <c r="BW50" s="9"/>
      <c r="BX50" s="9"/>
      <c r="BY50" s="9"/>
    </row>
    <row r="51" spans="1:213" x14ac:dyDescent="0.25">
      <c r="A51" s="2" t="s">
        <v>248</v>
      </c>
      <c r="B51" s="30" t="s">
        <v>230</v>
      </c>
      <c r="C51" s="30">
        <f>D51*1.05</f>
        <v>0</v>
      </c>
      <c r="D51" s="30">
        <f t="shared" ref="D51:D57" si="6">SUM(E51:FKK51)</f>
        <v>0</v>
      </c>
      <c r="AH51" s="2">
        <f t="shared" ref="AH51:BF51" si="7">0.3*AH2</f>
        <v>0</v>
      </c>
      <c r="AI51" s="2">
        <f t="shared" si="7"/>
        <v>0</v>
      </c>
      <c r="AJ51" s="2">
        <f t="shared" si="7"/>
        <v>0</v>
      </c>
      <c r="AK51" s="2">
        <f t="shared" si="7"/>
        <v>0</v>
      </c>
      <c r="AL51" s="2">
        <f t="shared" si="7"/>
        <v>0</v>
      </c>
      <c r="AM51" s="2">
        <f t="shared" si="7"/>
        <v>0</v>
      </c>
      <c r="AN51" s="2">
        <f t="shared" si="7"/>
        <v>0</v>
      </c>
      <c r="AO51" s="2">
        <f t="shared" si="7"/>
        <v>0</v>
      </c>
      <c r="AP51" s="2">
        <f t="shared" si="7"/>
        <v>0</v>
      </c>
      <c r="AQ51" s="2">
        <f t="shared" si="7"/>
        <v>0</v>
      </c>
      <c r="AR51" s="2">
        <f t="shared" si="7"/>
        <v>0</v>
      </c>
      <c r="AS51" s="2">
        <f t="shared" si="7"/>
        <v>0</v>
      </c>
      <c r="AT51" s="2">
        <f t="shared" si="7"/>
        <v>0</v>
      </c>
      <c r="AU51" s="2">
        <f t="shared" si="7"/>
        <v>0</v>
      </c>
      <c r="AV51" s="2">
        <f t="shared" si="7"/>
        <v>0</v>
      </c>
      <c r="AW51" s="2">
        <f t="shared" si="7"/>
        <v>0</v>
      </c>
      <c r="AX51" s="2">
        <f t="shared" si="7"/>
        <v>0</v>
      </c>
      <c r="AY51" s="2">
        <f t="shared" si="7"/>
        <v>0</v>
      </c>
      <c r="AZ51" s="2">
        <f t="shared" si="7"/>
        <v>0</v>
      </c>
      <c r="BA51" s="2">
        <f t="shared" si="7"/>
        <v>0</v>
      </c>
      <c r="BB51" s="2">
        <f t="shared" si="7"/>
        <v>0</v>
      </c>
      <c r="BC51" s="2">
        <f t="shared" si="7"/>
        <v>0</v>
      </c>
      <c r="BD51" s="2">
        <f t="shared" si="7"/>
        <v>0</v>
      </c>
      <c r="BE51" s="2">
        <f t="shared" si="7"/>
        <v>0</v>
      </c>
      <c r="BF51" s="2">
        <f t="shared" si="7"/>
        <v>0</v>
      </c>
      <c r="BK51" s="2">
        <f t="shared" ref="BK51:CD51" si="8">0.3*BK2</f>
        <v>0</v>
      </c>
      <c r="BL51" s="2">
        <f t="shared" si="8"/>
        <v>0</v>
      </c>
      <c r="BM51" s="2">
        <f t="shared" si="8"/>
        <v>0</v>
      </c>
      <c r="BN51" s="2">
        <f t="shared" si="8"/>
        <v>0</v>
      </c>
      <c r="BO51" s="2">
        <f t="shared" si="8"/>
        <v>0</v>
      </c>
      <c r="BP51" s="2">
        <f t="shared" si="8"/>
        <v>0</v>
      </c>
      <c r="BQ51" s="2">
        <f t="shared" si="8"/>
        <v>0</v>
      </c>
      <c r="BR51" s="2">
        <f t="shared" si="8"/>
        <v>0</v>
      </c>
      <c r="BS51" s="2">
        <f t="shared" si="8"/>
        <v>0</v>
      </c>
      <c r="BT51" s="2">
        <f t="shared" si="8"/>
        <v>0</v>
      </c>
      <c r="BU51" s="2">
        <f t="shared" si="8"/>
        <v>0</v>
      </c>
      <c r="BV51" s="2">
        <f t="shared" si="8"/>
        <v>0</v>
      </c>
      <c r="BW51" s="2">
        <f t="shared" si="8"/>
        <v>0</v>
      </c>
      <c r="BX51" s="2">
        <f t="shared" si="8"/>
        <v>0</v>
      </c>
      <c r="BY51" s="2">
        <f t="shared" si="8"/>
        <v>0</v>
      </c>
      <c r="BZ51" s="2">
        <f t="shared" si="8"/>
        <v>0</v>
      </c>
      <c r="CA51" s="2">
        <f t="shared" si="8"/>
        <v>0</v>
      </c>
      <c r="CB51" s="2">
        <f t="shared" si="8"/>
        <v>0</v>
      </c>
      <c r="CC51" s="2">
        <f t="shared" si="8"/>
        <v>0</v>
      </c>
      <c r="CD51" s="2">
        <f t="shared" si="8"/>
        <v>0</v>
      </c>
      <c r="CE51" s="2">
        <f>0.1*CE2</f>
        <v>0</v>
      </c>
      <c r="CF51" s="2">
        <f>0.1*CF2</f>
        <v>0</v>
      </c>
      <c r="CG51" s="2">
        <f t="shared" ref="CG51:CN51" si="9">0.3*CG2</f>
        <v>0</v>
      </c>
      <c r="CH51" s="2">
        <f t="shared" si="9"/>
        <v>0</v>
      </c>
      <c r="CI51" s="2">
        <f t="shared" si="9"/>
        <v>0</v>
      </c>
      <c r="CJ51" s="2">
        <f t="shared" si="9"/>
        <v>0</v>
      </c>
      <c r="CK51" s="2">
        <f t="shared" si="9"/>
        <v>0</v>
      </c>
      <c r="CL51" s="2">
        <f t="shared" si="9"/>
        <v>0</v>
      </c>
      <c r="CM51" s="2">
        <f t="shared" si="9"/>
        <v>0</v>
      </c>
      <c r="CN51" s="2">
        <f t="shared" si="9"/>
        <v>0</v>
      </c>
      <c r="CQ51" s="2">
        <f>0.3*CQ2</f>
        <v>0</v>
      </c>
      <c r="CR51" s="2">
        <f>0.2*CR2</f>
        <v>0</v>
      </c>
      <c r="CS51" s="2">
        <f>0.2*CS2</f>
        <v>0</v>
      </c>
      <c r="CT51" s="2">
        <f>0.2*CT2</f>
        <v>0</v>
      </c>
      <c r="CU51" s="2">
        <f>0.2*CU2</f>
        <v>0</v>
      </c>
      <c r="CV51" s="2">
        <f>0.2*CV2</f>
        <v>0</v>
      </c>
      <c r="CW51" s="2">
        <f t="shared" ref="CW51:DD51" si="10">0.4*CW2</f>
        <v>0</v>
      </c>
      <c r="CX51" s="2">
        <f t="shared" si="10"/>
        <v>0</v>
      </c>
      <c r="CY51" s="2">
        <f t="shared" si="10"/>
        <v>0</v>
      </c>
      <c r="CZ51" s="2">
        <f t="shared" si="10"/>
        <v>0</v>
      </c>
      <c r="DA51" s="2">
        <f t="shared" si="10"/>
        <v>0</v>
      </c>
      <c r="DB51" s="2">
        <f t="shared" si="10"/>
        <v>0</v>
      </c>
      <c r="DC51" s="2">
        <f t="shared" si="10"/>
        <v>0</v>
      </c>
      <c r="DD51" s="2">
        <f t="shared" si="10"/>
        <v>0</v>
      </c>
      <c r="DX51" s="2">
        <f t="shared" ref="DX51:EE51" si="11">0.2*DX2</f>
        <v>0</v>
      </c>
      <c r="DY51" s="2">
        <f t="shared" si="11"/>
        <v>0</v>
      </c>
      <c r="DZ51" s="2">
        <f t="shared" si="11"/>
        <v>0</v>
      </c>
      <c r="EA51" s="2">
        <f t="shared" si="11"/>
        <v>0</v>
      </c>
      <c r="EB51" s="2">
        <f t="shared" si="11"/>
        <v>0</v>
      </c>
      <c r="EC51" s="2">
        <f t="shared" si="11"/>
        <v>0</v>
      </c>
      <c r="ED51" s="2">
        <f t="shared" si="11"/>
        <v>0</v>
      </c>
      <c r="EE51" s="2">
        <f t="shared" si="11"/>
        <v>0</v>
      </c>
      <c r="EF51" s="2">
        <f>0.02*EF2</f>
        <v>0</v>
      </c>
      <c r="EG51" s="2">
        <f>0.02*EG2</f>
        <v>0</v>
      </c>
      <c r="EH51" s="2">
        <f>0.02*EH2</f>
        <v>0</v>
      </c>
      <c r="EI51" s="2">
        <f>0.04*EI2</f>
        <v>0</v>
      </c>
      <c r="EJ51" s="2">
        <f>0.02*EJ2</f>
        <v>0</v>
      </c>
      <c r="EK51" s="2">
        <f t="shared" ref="EK51:FF51" si="12">0.2*EK2</f>
        <v>0</v>
      </c>
      <c r="EL51" s="2">
        <f t="shared" si="12"/>
        <v>0</v>
      </c>
      <c r="EM51" s="2">
        <f t="shared" si="12"/>
        <v>0</v>
      </c>
      <c r="EN51" s="2">
        <f t="shared" si="12"/>
        <v>0</v>
      </c>
      <c r="EO51" s="2">
        <f t="shared" si="12"/>
        <v>0</v>
      </c>
      <c r="EP51" s="2">
        <f t="shared" si="12"/>
        <v>0</v>
      </c>
      <c r="EQ51" s="2">
        <f t="shared" si="12"/>
        <v>0</v>
      </c>
      <c r="ER51" s="2">
        <f t="shared" si="12"/>
        <v>0</v>
      </c>
      <c r="ES51" s="2">
        <f t="shared" si="12"/>
        <v>0</v>
      </c>
      <c r="ET51" s="2">
        <f t="shared" si="12"/>
        <v>0</v>
      </c>
      <c r="EU51" s="2">
        <f t="shared" si="12"/>
        <v>0</v>
      </c>
      <c r="EV51" s="2">
        <f t="shared" si="12"/>
        <v>0</v>
      </c>
      <c r="EW51" s="2">
        <f t="shared" si="12"/>
        <v>0</v>
      </c>
      <c r="EX51" s="2">
        <f t="shared" si="12"/>
        <v>0</v>
      </c>
      <c r="EY51" s="2">
        <f t="shared" si="12"/>
        <v>0</v>
      </c>
      <c r="EZ51" s="2">
        <f t="shared" si="12"/>
        <v>0</v>
      </c>
      <c r="FA51" s="2">
        <f t="shared" si="12"/>
        <v>0</v>
      </c>
      <c r="FB51" s="2">
        <f t="shared" si="12"/>
        <v>0</v>
      </c>
      <c r="FC51" s="2">
        <f t="shared" si="12"/>
        <v>0</v>
      </c>
      <c r="FD51" s="2">
        <f t="shared" si="12"/>
        <v>0</v>
      </c>
      <c r="FE51" s="2">
        <f t="shared" si="12"/>
        <v>0</v>
      </c>
      <c r="FF51" s="2">
        <f t="shared" si="12"/>
        <v>0</v>
      </c>
      <c r="FG51" s="2">
        <f>0.42*FG2</f>
        <v>0</v>
      </c>
      <c r="FH51" s="2">
        <f>0.42*FH2</f>
        <v>0</v>
      </c>
      <c r="FI51" s="2">
        <f>0.42*FI2</f>
        <v>0</v>
      </c>
      <c r="FK51" s="2">
        <f>0.1*FK2</f>
        <v>0</v>
      </c>
      <c r="FS51" s="2">
        <f>0.05*FS2</f>
        <v>0</v>
      </c>
      <c r="FT51" s="2">
        <f>0.05*FT2</f>
        <v>0</v>
      </c>
      <c r="FU51" s="2">
        <f>0.03*FU2</f>
        <v>0</v>
      </c>
      <c r="FX51" s="2">
        <f>0.2*FX2</f>
        <v>0</v>
      </c>
      <c r="GC51" s="2">
        <f>0.1*GC2</f>
        <v>0</v>
      </c>
      <c r="GI51" s="2">
        <f>0.2*GI2</f>
        <v>0</v>
      </c>
      <c r="GM51" s="2">
        <f>0.2*GM2</f>
        <v>0</v>
      </c>
      <c r="GP51" s="2">
        <f>0.1*GP2</f>
        <v>0</v>
      </c>
      <c r="GS51" s="2">
        <f>0.1*GS2</f>
        <v>0</v>
      </c>
      <c r="GT51" s="2">
        <f>0.1*GT2</f>
        <v>0</v>
      </c>
      <c r="GV51" s="2">
        <f>0.1*GV2</f>
        <v>0</v>
      </c>
    </row>
    <row r="52" spans="1:213" ht="30" customHeight="1" x14ac:dyDescent="0.25">
      <c r="A52" s="2" t="s">
        <v>249</v>
      </c>
      <c r="B52" s="30" t="s">
        <v>240</v>
      </c>
      <c r="C52" s="30">
        <f>D52</f>
        <v>0</v>
      </c>
      <c r="D52" s="30">
        <f t="shared" si="6"/>
        <v>0</v>
      </c>
      <c r="AU52" s="3"/>
      <c r="BB52" s="3"/>
      <c r="BC52" s="3"/>
      <c r="BE52" s="3"/>
      <c r="BR52" s="5"/>
      <c r="BS52" s="5"/>
      <c r="BT52" s="5"/>
      <c r="BU52" s="5"/>
      <c r="BV52" s="5"/>
      <c r="BW52" s="5"/>
      <c r="BX52" s="5"/>
      <c r="BY52" s="5"/>
      <c r="FO52" s="2">
        <f>1*FO2</f>
        <v>0</v>
      </c>
      <c r="GJ52" s="2">
        <f>1*GJ2</f>
        <v>0</v>
      </c>
    </row>
    <row r="53" spans="1:213" ht="30" customHeight="1" x14ac:dyDescent="0.25">
      <c r="A53" s="2" t="s">
        <v>250</v>
      </c>
      <c r="B53" s="30" t="s">
        <v>240</v>
      </c>
      <c r="C53" s="30">
        <f>D53</f>
        <v>0</v>
      </c>
      <c r="D53" s="30">
        <f t="shared" si="6"/>
        <v>0</v>
      </c>
      <c r="AU53" s="3"/>
      <c r="BB53" s="3"/>
      <c r="BC53" s="3"/>
      <c r="BE53" s="3"/>
      <c r="BR53" s="5"/>
      <c r="BS53" s="5"/>
      <c r="BT53" s="5"/>
      <c r="BU53" s="5"/>
      <c r="BV53" s="5"/>
      <c r="BW53" s="5"/>
      <c r="BX53" s="5"/>
      <c r="BY53" s="5"/>
      <c r="GU53" s="2">
        <f>1*GU39</f>
        <v>0</v>
      </c>
    </row>
    <row r="54" spans="1:213" ht="30" customHeight="1" x14ac:dyDescent="0.25">
      <c r="A54" s="2" t="s">
        <v>251</v>
      </c>
      <c r="B54" s="30" t="s">
        <v>240</v>
      </c>
      <c r="C54" s="30">
        <f>D54*1</f>
        <v>0</v>
      </c>
      <c r="D54" s="30">
        <f t="shared" si="6"/>
        <v>0</v>
      </c>
      <c r="AU54" s="3"/>
      <c r="BB54" s="3"/>
      <c r="BC54" s="3"/>
      <c r="BE54" s="3"/>
      <c r="BR54" s="5"/>
      <c r="BS54" s="5"/>
      <c r="BT54" s="5"/>
      <c r="BU54" s="5"/>
      <c r="BV54" s="5"/>
      <c r="BW54" s="5"/>
      <c r="BX54" s="5"/>
      <c r="BY54" s="5"/>
      <c r="FP54" s="2">
        <f>1*FP2</f>
        <v>0</v>
      </c>
    </row>
    <row r="55" spans="1:213" x14ac:dyDescent="0.25">
      <c r="A55" s="2" t="s">
        <v>252</v>
      </c>
      <c r="B55" s="30" t="s">
        <v>240</v>
      </c>
      <c r="C55" s="30">
        <f>D55*1</f>
        <v>0</v>
      </c>
      <c r="D55" s="30">
        <f t="shared" si="6"/>
        <v>0</v>
      </c>
      <c r="AU55" s="3"/>
      <c r="BB55" s="3"/>
      <c r="BC55" s="3"/>
      <c r="BE55" s="3"/>
      <c r="BR55" s="5"/>
      <c r="BS55" s="5"/>
      <c r="BT55" s="5"/>
      <c r="BU55" s="5"/>
      <c r="BV55" s="5"/>
      <c r="BW55" s="5"/>
      <c r="BX55" s="5"/>
      <c r="BY55" s="5"/>
      <c r="FA55" s="2">
        <f>1*FA2</f>
        <v>0</v>
      </c>
    </row>
    <row r="56" spans="1:213" ht="30" customHeight="1" x14ac:dyDescent="0.25">
      <c r="A56" s="2" t="s">
        <v>253</v>
      </c>
      <c r="B56" s="30" t="s">
        <v>240</v>
      </c>
      <c r="C56" s="30">
        <f>D56*1</f>
        <v>0</v>
      </c>
      <c r="D56" s="30">
        <f t="shared" si="6"/>
        <v>0</v>
      </c>
      <c r="AU56" s="3"/>
      <c r="BB56" s="3"/>
      <c r="BC56" s="3"/>
      <c r="BE56" s="3"/>
      <c r="BR56" s="5"/>
      <c r="BS56" s="5"/>
      <c r="BT56" s="5"/>
      <c r="BU56" s="5"/>
      <c r="BV56" s="5"/>
      <c r="BW56" s="5"/>
      <c r="BX56" s="5"/>
      <c r="BY56" s="5"/>
      <c r="GL56" s="2">
        <f>1*GL2</f>
        <v>0</v>
      </c>
    </row>
    <row r="57" spans="1:213" ht="30" customHeight="1" x14ac:dyDescent="0.25">
      <c r="A57" s="2" t="s">
        <v>254</v>
      </c>
      <c r="B57" s="30" t="s">
        <v>240</v>
      </c>
      <c r="C57" s="30">
        <f>D57*1</f>
        <v>0</v>
      </c>
      <c r="D57" s="30">
        <f t="shared" si="6"/>
        <v>0</v>
      </c>
      <c r="AU57" s="3"/>
      <c r="BB57" s="3"/>
      <c r="BC57" s="3"/>
      <c r="BE57" s="3"/>
      <c r="BR57" s="5"/>
      <c r="BS57" s="5"/>
      <c r="BT57" s="5"/>
      <c r="BU57" s="5"/>
      <c r="BV57" s="5"/>
      <c r="BW57" s="5"/>
      <c r="BX57" s="5"/>
      <c r="BY57" s="5"/>
      <c r="FR57" s="2">
        <f>1*FR2</f>
        <v>0</v>
      </c>
      <c r="GQ57" s="2">
        <f>1*GQ2</f>
        <v>0</v>
      </c>
    </row>
    <row r="58" spans="1:213" s="7" customFormat="1" ht="5.25" customHeight="1" x14ac:dyDescent="0.25">
      <c r="AU58" s="8"/>
      <c r="BB58" s="8"/>
      <c r="BC58" s="8"/>
      <c r="BE58" s="8"/>
      <c r="BR58" s="9"/>
      <c r="BS58" s="9"/>
      <c r="BT58" s="9"/>
      <c r="BU58" s="9"/>
      <c r="BV58" s="9"/>
      <c r="BW58" s="9"/>
      <c r="BX58" s="9"/>
      <c r="BY58" s="9"/>
    </row>
    <row r="59" spans="1:213" x14ac:dyDescent="0.25">
      <c r="A59" s="6" t="s">
        <v>255</v>
      </c>
      <c r="B59" s="22" t="s">
        <v>256</v>
      </c>
      <c r="C59" s="31">
        <f>MAX(E59:FKK59)</f>
        <v>0</v>
      </c>
      <c r="D59" s="32"/>
      <c r="G59" s="2">
        <f>IF(G$2&gt;0,197,0)</f>
        <v>0</v>
      </c>
      <c r="H59" s="2">
        <f>IF(H$2&gt;0,274,0)</f>
        <v>0</v>
      </c>
      <c r="I59" s="2">
        <f>IF(I$2&gt;0,401,0)</f>
        <v>0</v>
      </c>
      <c r="J59" s="2">
        <f>IF(J$2&gt;0,91,0)</f>
        <v>0</v>
      </c>
      <c r="K59" s="2">
        <f>IF(K$2&gt;0,165,0)</f>
        <v>0</v>
      </c>
      <c r="L59" s="2">
        <f>IF(L$2&gt;0,238,0)</f>
        <v>0</v>
      </c>
      <c r="M59" s="2">
        <f>IF(M$2&gt;0,218,0)</f>
        <v>0</v>
      </c>
      <c r="O59" s="2">
        <f>IF(O$2&gt;0,238,0)</f>
        <v>0</v>
      </c>
      <c r="P59" s="2">
        <f>IF(P$2&gt;0,162,0)</f>
        <v>0</v>
      </c>
      <c r="Q59" s="2">
        <f>IF(Q$2&gt;0,320,0)</f>
        <v>0</v>
      </c>
      <c r="R59" s="2">
        <f>IF(R$2&gt;0,75,0)</f>
        <v>0</v>
      </c>
      <c r="S59" s="2">
        <f>IF(S$2&gt;0,196,0)</f>
        <v>0</v>
      </c>
      <c r="T59" s="2">
        <f>IF(T$2&gt;0,207,0)</f>
        <v>0</v>
      </c>
      <c r="U59" s="2">
        <f>IF(U$2&gt;0,190,0)</f>
        <v>0</v>
      </c>
      <c r="V59" s="2">
        <f>IF(V$2&gt;0,190,0)</f>
        <v>0</v>
      </c>
      <c r="W59" s="2">
        <f>IF(W$2&gt;0,24,0)</f>
        <v>0</v>
      </c>
      <c r="X59" s="2">
        <f>IF(X$2&gt;0,24,0)</f>
        <v>0</v>
      </c>
      <c r="Y59" s="2">
        <f>IF(Y$2&gt;0,200,0)</f>
        <v>0</v>
      </c>
      <c r="Z59" s="2">
        <f>IF(Z$2&gt;0,102,0)</f>
        <v>0</v>
      </c>
      <c r="AA59" s="2">
        <f>IF(AA$2&gt;0,85,0)</f>
        <v>0</v>
      </c>
      <c r="AB59" s="2">
        <f>IF(AB$2&gt;0,197,0)</f>
        <v>0</v>
      </c>
      <c r="AC59" s="2">
        <f>IF(AC$2&gt;0,200,0)</f>
        <v>0</v>
      </c>
      <c r="AH59" s="2">
        <f>IF(AH$2&gt;0,475,0)</f>
        <v>0</v>
      </c>
      <c r="AI59" s="2">
        <f>IF(AI$2&gt;0,407,0)</f>
        <v>0</v>
      </c>
      <c r="AK59" s="2">
        <f>IF(AK$2&gt;0,197,0)</f>
        <v>0</v>
      </c>
      <c r="AL59" s="2">
        <f>IF(AL$2&gt;0,280,0)</f>
        <v>0</v>
      </c>
      <c r="AQ59" s="2">
        <f>IF(AQ$2&gt;0,190,0)</f>
        <v>0</v>
      </c>
      <c r="AS59" s="2">
        <f>IF(AS$2&gt;0,197,0)</f>
        <v>0</v>
      </c>
      <c r="AT59" s="2">
        <f>IF(AT$2&gt;0,200,0)</f>
        <v>0</v>
      </c>
      <c r="AU59" s="2">
        <f>IF(AU$2&gt;0,101,0)</f>
        <v>0</v>
      </c>
      <c r="AV59" s="2">
        <f>IF(AV$2&gt;0,198,0)</f>
        <v>0</v>
      </c>
      <c r="AW59" s="2">
        <f>IF(AW$2&gt;0,200,0)</f>
        <v>0</v>
      </c>
      <c r="AX59" s="2">
        <f>IF(AX$2&gt;0,102,0)</f>
        <v>0</v>
      </c>
      <c r="AY59" s="2">
        <f>IF(AY$2&gt;0,200,0)</f>
        <v>0</v>
      </c>
      <c r="AZ59" s="2">
        <f>IF(AZ$2&gt;0,200,0)</f>
        <v>0</v>
      </c>
      <c r="BA59" s="2">
        <f>IF(BA$2&gt;0,197,0)</f>
        <v>0</v>
      </c>
      <c r="BB59" s="2">
        <f>IF(BB$2&gt;0,200,0)</f>
        <v>0</v>
      </c>
      <c r="BD59" s="2">
        <f>IF(BD$2&gt;0,200,0)</f>
        <v>0</v>
      </c>
      <c r="BE59" s="2">
        <f>IF(BE$2&gt;0,204,0)</f>
        <v>0</v>
      </c>
      <c r="BF59" s="2">
        <f>IF(BF$2&gt;0,200,0)</f>
        <v>0</v>
      </c>
      <c r="BK59" s="2">
        <f>IF(BK$2&gt;0,194,0)</f>
        <v>0</v>
      </c>
      <c r="BL59" s="2">
        <f>IF(BL$2&gt;0,101,0)</f>
        <v>0</v>
      </c>
      <c r="BM59" s="2">
        <f>IF(BM$2&gt;0,78,0)</f>
        <v>0</v>
      </c>
      <c r="BN59" s="2">
        <f>IF(BN$2&gt;0,198,0)</f>
        <v>0</v>
      </c>
      <c r="BO59" s="2">
        <f>IF(BO$2&gt;0,152,0)</f>
        <v>0</v>
      </c>
      <c r="BP59" s="2">
        <f>IF(BP$2&gt;0,102,0)</f>
        <v>0</v>
      </c>
      <c r="BQ59" s="2">
        <f>IF(BQ$2&gt;0,106,0)</f>
        <v>0</v>
      </c>
      <c r="BX59" s="2">
        <f>IF(BX$2&gt;0,200,0)</f>
        <v>0</v>
      </c>
      <c r="BY59" s="2">
        <f>IF(BY$2&gt;0,207,0)</f>
        <v>0</v>
      </c>
      <c r="BZ59" s="2">
        <f>IF(BZ$2&gt;0,85,0)</f>
        <v>0</v>
      </c>
      <c r="CA59" s="2">
        <f>IF(CA$2&gt;0,100,0)</f>
        <v>0</v>
      </c>
      <c r="CB59" s="2">
        <f>IF(CB$2&gt;0,91,0)</f>
        <v>0</v>
      </c>
      <c r="CC59" s="2">
        <f>IF(CC$2&gt;0,91,0)</f>
        <v>0</v>
      </c>
      <c r="CD59" s="2">
        <f>IF(CD$2&gt;0,102,0)</f>
        <v>0</v>
      </c>
      <c r="CE59" s="2">
        <f>IF(CE$2&gt;0,158,0)</f>
        <v>0</v>
      </c>
      <c r="CF59" s="2">
        <f>IF(CF$2&gt;0,161,0)</f>
        <v>0</v>
      </c>
      <c r="CG59" s="2">
        <f>IF(CG$2&gt;0,129,0)</f>
        <v>0</v>
      </c>
      <c r="CH59" s="2">
        <f>IF(CH$2&gt;0,100,0)</f>
        <v>0</v>
      </c>
      <c r="CI59" s="2">
        <f>IF(CI$2&gt;0,90,0)</f>
        <v>0</v>
      </c>
      <c r="CJ59" s="2">
        <f>IF(CJ$2&gt;0,198,0)</f>
        <v>0</v>
      </c>
      <c r="CK59" s="2">
        <f>IF(CK$2&gt;0,100,0)</f>
        <v>0</v>
      </c>
      <c r="CL59" s="2">
        <f>IF(CL$2&gt;0,200,0)</f>
        <v>0</v>
      </c>
      <c r="CM59" s="2">
        <f>IF(CM$2&gt;0,200,0)</f>
        <v>0</v>
      </c>
      <c r="CN59" s="2">
        <f>IF(CN$2&gt;0,110,0)</f>
        <v>0</v>
      </c>
      <c r="CQ59" s="2">
        <f>IF(CQ$2&gt;0,160,0)</f>
        <v>0</v>
      </c>
      <c r="CR59" s="2">
        <f>IF(CR$2&gt;0,91,0)</f>
        <v>0</v>
      </c>
      <c r="CS59" s="2">
        <f>IF(CS$2&gt;0,96,0)</f>
        <v>0</v>
      </c>
      <c r="CT59" s="2">
        <f>IF(CT$2&gt;0,200,0)</f>
        <v>0</v>
      </c>
      <c r="CU59" s="2">
        <f>IF(CU$2&gt;0,197,0)</f>
        <v>0</v>
      </c>
      <c r="CV59" s="2">
        <f>IF(CV$2&gt;0,197,0)</f>
        <v>0</v>
      </c>
      <c r="CW59" s="2">
        <f>IF(CW$2&gt;0,1200,0)</f>
        <v>0</v>
      </c>
      <c r="CX59" s="2">
        <f>IF(CX$2&gt;0,1005,0)</f>
        <v>0</v>
      </c>
      <c r="CY59" s="2">
        <f>IF(CY$2&gt;0,990,0)</f>
        <v>0</v>
      </c>
      <c r="CZ59" s="2">
        <f>IF(CZ$2&gt;0,940,0)</f>
        <v>0</v>
      </c>
      <c r="DA59" s="2">
        <f>IF(DA$2&gt;0,1010,0)</f>
        <v>0</v>
      </c>
      <c r="DB59" s="2">
        <f>IF(DB$2&gt;0,920,0)</f>
        <v>0</v>
      </c>
      <c r="DC59" s="2">
        <f>IF(DC$2&gt;0,890,0)</f>
        <v>0</v>
      </c>
      <c r="DD59" s="2">
        <f>IF(DD$2&gt;0,880,0)</f>
        <v>0</v>
      </c>
      <c r="DL59" s="2">
        <f>IF(DL$2&gt;0,900,0)</f>
        <v>0</v>
      </c>
      <c r="DV59" s="2">
        <f>IF(DV$2&gt;0,100,0)</f>
        <v>0</v>
      </c>
      <c r="DX59" s="2">
        <f>IF(DX$2&gt;0,160,0)</f>
        <v>0</v>
      </c>
      <c r="DY59" s="2">
        <f>IF(DY$2&gt;0,80,0)</f>
        <v>0</v>
      </c>
      <c r="DZ59" s="2">
        <f>IF(DZ$2&gt;0,80,0)</f>
        <v>0</v>
      </c>
      <c r="EA59" s="2">
        <f>IF(EA$2&gt;0,156,0)</f>
        <v>0</v>
      </c>
      <c r="EB59" s="2">
        <f>IF(EB$2&gt;0,113,0)</f>
        <v>0</v>
      </c>
      <c r="EC59" s="2">
        <f>IF(EC$2&gt;0,113,0)</f>
        <v>0</v>
      </c>
      <c r="ED59" s="2">
        <f>IF(ED$2&gt;0,33,0)</f>
        <v>0</v>
      </c>
      <c r="EE59" s="2">
        <f>IF(EE$2&gt;0,194,0)</f>
        <v>0</v>
      </c>
      <c r="EF59" s="2">
        <f>IF(EF$2&gt;0,78,0)</f>
        <v>0</v>
      </c>
      <c r="EG59" s="2">
        <f>IF(EG$2&gt;0,112,0)</f>
        <v>0</v>
      </c>
      <c r="EH59" s="2">
        <f>IF(EH$2&gt;0,26,0)</f>
        <v>0</v>
      </c>
      <c r="EI59" s="2">
        <f>IF(EI$2&gt;0,198,0)</f>
        <v>0</v>
      </c>
      <c r="EJ59" s="2">
        <f>IF(EJ$2&gt;0,312,0)</f>
        <v>0</v>
      </c>
      <c r="EK59" s="2">
        <f>IF(EK$2&gt;0,156,0)</f>
        <v>0</v>
      </c>
      <c r="EL59" s="2">
        <f>IF(EL$2&gt;0,274,0)</f>
        <v>0</v>
      </c>
      <c r="EM59" s="2">
        <f>IF(EM$2&gt;0,92,0)</f>
        <v>0</v>
      </c>
      <c r="EN59" s="2">
        <f>IF(EN$2&gt;0,200,0)</f>
        <v>0</v>
      </c>
      <c r="EO59" s="2">
        <f>IF(EO$2&gt;0,149,0)</f>
        <v>0</v>
      </c>
      <c r="EP59" s="2">
        <f>IF(EP$2&gt;0,56,0)</f>
        <v>0</v>
      </c>
      <c r="EQ59" s="2">
        <f>IF(EQ$2&gt;0,198,0)</f>
        <v>0</v>
      </c>
      <c r="ER59" s="2">
        <f>IF(ER$2&gt;0,198,0)</f>
        <v>0</v>
      </c>
      <c r="ES59" s="2">
        <f>IF(ES$2&gt;0,75,0)</f>
        <v>0</v>
      </c>
      <c r="ET59" s="2">
        <f>IF(ET$2&gt;0,108,0)</f>
        <v>0</v>
      </c>
      <c r="EU59" s="2">
        <f>IF(EU$2&gt;0,42,0)</f>
        <v>0</v>
      </c>
      <c r="EV59" s="2">
        <f>IF(EV$2&gt;0,198,0)</f>
        <v>0</v>
      </c>
      <c r="EW59" s="2">
        <f>IF(EW$2&gt;0,100,0)</f>
        <v>0</v>
      </c>
      <c r="EX59" s="2">
        <f>IF(EX$2&gt;0,91,0)</f>
        <v>0</v>
      </c>
      <c r="EY59" s="2">
        <f>IF(EY$2&gt;0,164,0)</f>
        <v>0</v>
      </c>
      <c r="EZ59" s="2">
        <f>IF(EZ$2&gt;0,261,0)</f>
        <v>0</v>
      </c>
      <c r="FA59" s="2">
        <f>IF(FA$2&gt;0,170,0)</f>
        <v>0</v>
      </c>
      <c r="FB59" s="2">
        <f>IF(FB$2&gt;0,98,0)</f>
        <v>0</v>
      </c>
      <c r="FC59" s="2">
        <f>IF(FC$2&gt;0,55,0)</f>
        <v>0</v>
      </c>
      <c r="FD59" s="2">
        <f>IF(FD$2&gt;0,158,0)</f>
        <v>0</v>
      </c>
      <c r="FE59" s="2">
        <f>IF(FE$2&gt;0,143,0)</f>
        <v>0</v>
      </c>
      <c r="FF59" s="2">
        <f>IF(FF$2&gt;0,113,0)</f>
        <v>0</v>
      </c>
      <c r="FG59" s="2">
        <f>IF(FG$2&gt;0,400,0)</f>
        <v>0</v>
      </c>
      <c r="FH59" s="2">
        <f>IF(FH$2&gt;0,400,0)</f>
        <v>0</v>
      </c>
      <c r="FI59" s="2">
        <f>IF(FI$2&gt;0,400,0)</f>
        <v>0</v>
      </c>
      <c r="FJ59" s="2">
        <f>IF(FJ$2&gt;0,400,0)</f>
        <v>0</v>
      </c>
      <c r="FK59" s="2">
        <f>IF(FK2&gt;0,58,0)</f>
        <v>0</v>
      </c>
      <c r="FL59" s="2">
        <f>IF(FL$2&gt;0,400,0)</f>
        <v>0</v>
      </c>
      <c r="FM59" s="2">
        <f>IF(FM2&gt;0,67,0)</f>
        <v>0</v>
      </c>
      <c r="FQ59" s="2">
        <f>IF(FQ2&gt;0,58,0)</f>
        <v>0</v>
      </c>
      <c r="FS59" s="2">
        <f>IF(FS2&gt;0,210,0)</f>
        <v>0</v>
      </c>
      <c r="FT59" s="2">
        <f>IF(FT2&gt;0,100,0)</f>
        <v>0</v>
      </c>
      <c r="FU59" s="2">
        <f>IF(FU$2&gt;0,42,0)</f>
        <v>0</v>
      </c>
      <c r="FV59" s="2">
        <f>IF(FV$2&gt;0,98,0)</f>
        <v>0</v>
      </c>
      <c r="FW59" s="2">
        <f>IF(FW$2&gt;0,100,0)</f>
        <v>0</v>
      </c>
      <c r="FX59" s="2">
        <f>IF(FX$2&gt;0,120,0)</f>
        <v>0</v>
      </c>
      <c r="FY59" s="2">
        <f>IF(FY$2&gt;0,78,0)</f>
        <v>0</v>
      </c>
      <c r="FZ59" s="2">
        <f>IF(FZ$2&gt;0,156,0)</f>
        <v>0</v>
      </c>
      <c r="GA59" s="2">
        <f>IF(GA$2&gt;0,400,0)</f>
        <v>0</v>
      </c>
      <c r="GB59" s="2">
        <f>IF(GB$2&gt;0,248,0)</f>
        <v>0</v>
      </c>
      <c r="GC59" s="2">
        <f>IF(GC$2&gt;0,234,0)</f>
        <v>0</v>
      </c>
      <c r="GD59" s="2">
        <f>IF(GD$2&gt;0,103,0)</f>
        <v>0</v>
      </c>
      <c r="GE59" s="2">
        <f>IF(GE$2&gt;0,126,0)</f>
        <v>0</v>
      </c>
      <c r="GF59" s="2">
        <f>IF(GF$2&gt;0,126,0)</f>
        <v>0</v>
      </c>
      <c r="GG59" s="2">
        <f>IF(GG$2&gt;0,81,0)</f>
        <v>0</v>
      </c>
      <c r="GH59" s="2">
        <f>IF(GH$2&gt;0,270,0)</f>
        <v>0</v>
      </c>
      <c r="GI59" s="2">
        <f>IF(GI$2&gt;0,70,0)</f>
        <v>0</v>
      </c>
      <c r="GJ59" s="2">
        <f>IF(GJ$2&gt;0,22,0)</f>
        <v>0</v>
      </c>
      <c r="GK59" s="2">
        <f>IF(GK$2&gt;0,100,0)</f>
        <v>0</v>
      </c>
      <c r="GL59" s="2">
        <f>IF(GL$2&gt;0,69,0)</f>
        <v>0</v>
      </c>
      <c r="GM59" s="2">
        <f>IF(GM$2&gt;0,144,0)</f>
        <v>0</v>
      </c>
      <c r="GN59" s="2">
        <f>IF(GN$2&gt;0,100,0)</f>
        <v>0</v>
      </c>
      <c r="GO59" s="2">
        <f>IF(GO$2&gt;0,101,0)</f>
        <v>0</v>
      </c>
      <c r="GP59" s="2">
        <f>IF(GP$2&gt;0,90,0)</f>
        <v>0</v>
      </c>
      <c r="GQ59" s="2">
        <f>IF(GQ$2&gt;0,200,0)</f>
        <v>0</v>
      </c>
      <c r="GR59" s="2">
        <f>IF(GR$2&gt;0,100,0)</f>
        <v>0</v>
      </c>
      <c r="GS59" s="2">
        <f>IF(GS$2&gt;0,194,0)</f>
        <v>0</v>
      </c>
      <c r="GT59" s="2">
        <f>IF(GT$2&gt;0,98,0)</f>
        <v>0</v>
      </c>
      <c r="GU59" s="2">
        <f>IF(GU$2&gt;0,113,0)</f>
        <v>0</v>
      </c>
      <c r="GV59" s="2">
        <f>IF(GV$2&gt;0,102,0)</f>
        <v>0</v>
      </c>
      <c r="GW59" s="2">
        <f>IF(GW$2&gt;0,78,0)</f>
        <v>0</v>
      </c>
      <c r="GX59" s="2">
        <f>IF(GX$2&gt;0,108,0)</f>
        <v>0</v>
      </c>
      <c r="GY59" s="2">
        <f>IF(GY$2&gt;0,930,0)</f>
        <v>0</v>
      </c>
      <c r="GZ59" s="2">
        <f>IF(GZ$2&gt;0,930,0)</f>
        <v>0</v>
      </c>
      <c r="HA59" s="2">
        <f>IF(HA$2&gt;0,602,0)</f>
        <v>0</v>
      </c>
      <c r="HB59" s="2">
        <f>IF(HB$2&gt;0,800,0)</f>
        <v>0</v>
      </c>
      <c r="HC59" s="2">
        <f>IF(HC$2&gt;0,1000,0)</f>
        <v>0</v>
      </c>
      <c r="HD59" s="2">
        <f>IF(HD$2&gt;0,1005,0)</f>
        <v>0</v>
      </c>
      <c r="HE59" s="2">
        <f>IF(HE$2&gt;0,1200,0)</f>
        <v>0</v>
      </c>
    </row>
    <row r="60" spans="1:213" x14ac:dyDescent="0.25">
      <c r="A60" s="6" t="s">
        <v>257</v>
      </c>
      <c r="B60" s="22" t="s">
        <v>256</v>
      </c>
      <c r="C60" s="31">
        <f>MAX(E60:FKK60)</f>
        <v>0</v>
      </c>
      <c r="D60" s="32"/>
      <c r="G60" s="2">
        <f>IF(G$2&gt;0,212,0)</f>
        <v>0</v>
      </c>
      <c r="H60" s="2">
        <f>IF(H$2&gt;0,210,0)</f>
        <v>0</v>
      </c>
      <c r="I60" s="2">
        <f>IF(I$2&gt;0,180,0)</f>
        <v>0</v>
      </c>
      <c r="J60" s="2">
        <f>IF(J$2&gt;0,205,0)</f>
        <v>0</v>
      </c>
      <c r="K60" s="2">
        <f>IF(K$2&gt;0,208,0)</f>
        <v>0</v>
      </c>
      <c r="L60" s="2">
        <f>IF(L$2&gt;0,230,0)</f>
        <v>0</v>
      </c>
      <c r="M60" s="2">
        <f>IF(M$2&gt;0,230,0)</f>
        <v>0</v>
      </c>
      <c r="O60" s="2">
        <f>IF(O$2&gt;0,230,0)</f>
        <v>0</v>
      </c>
      <c r="P60" s="2">
        <f>IF(P$2&gt;0,230,0)</f>
        <v>0</v>
      </c>
      <c r="Q60" s="2">
        <f>IF(Q$2&gt;0,208,0)</f>
        <v>0</v>
      </c>
      <c r="R60" s="2">
        <f>IF(R$2&gt;0,208,0)</f>
        <v>0</v>
      </c>
      <c r="S60" s="2">
        <f>IF(S$2&gt;0,208,0)</f>
        <v>0</v>
      </c>
      <c r="T60" s="2">
        <f>IF(T$2&gt;0,230,0)</f>
        <v>0</v>
      </c>
      <c r="U60" s="2">
        <f>IF(U$2&gt;0,205,0)</f>
        <v>0</v>
      </c>
      <c r="V60" s="2">
        <f>IF(V$2&gt;0,205,0)</f>
        <v>0</v>
      </c>
      <c r="W60" s="2">
        <f>IF(W$2&gt;0,225,0)</f>
        <v>0</v>
      </c>
      <c r="X60" s="2">
        <f>IF(X$2&gt;0,225,0)</f>
        <v>0</v>
      </c>
      <c r="Y60" s="2">
        <f>IF(Y$2&gt;0,210,0)</f>
        <v>0</v>
      </c>
      <c r="Z60" s="2">
        <f>IF(Z$2&gt;0,210,0)</f>
        <v>0</v>
      </c>
      <c r="AA60" s="2">
        <f>IF(AA$2&gt;0,210,0)</f>
        <v>0</v>
      </c>
      <c r="AB60" s="2">
        <f>IF(AB$2&gt;0,210,0)</f>
        <v>0</v>
      </c>
      <c r="AC60" s="2">
        <f>IF(AC$2&gt;0,206,0)</f>
        <v>0</v>
      </c>
      <c r="AH60" s="2">
        <f>IF(AH$2&gt;0,180,0)</f>
        <v>0</v>
      </c>
      <c r="AI60" s="2">
        <f>IF(AI$2&gt;0,180,0)</f>
        <v>0</v>
      </c>
      <c r="AK60" s="2">
        <f>IF(AK$2&gt;0,208,0)</f>
        <v>0</v>
      </c>
      <c r="AL60" s="2">
        <f>IF(AL$2&gt;0,208,0)</f>
        <v>0</v>
      </c>
      <c r="AQ60" s="2">
        <f>IF(AQ$2&gt;0,208,0)</f>
        <v>0</v>
      </c>
      <c r="AS60" s="2">
        <f>IF(AS$2&gt;0,210,0)</f>
        <v>0</v>
      </c>
      <c r="AT60" s="2">
        <f>IF(AT$2&gt;0,208,0)</f>
        <v>0</v>
      </c>
      <c r="AU60" s="2">
        <f>IF(AU$2&gt;0,202,0)</f>
        <v>0</v>
      </c>
      <c r="AV60" s="2">
        <f>IF(AV$2&gt;0,208,0)</f>
        <v>0</v>
      </c>
      <c r="AW60" s="2">
        <f>IF(AW$2&gt;0,230,0)</f>
        <v>0</v>
      </c>
      <c r="AX60" s="2">
        <f>IF(AX$2&gt;0,230,0)</f>
        <v>0</v>
      </c>
      <c r="AY60" s="2">
        <f>IF(AY$2&gt;0,230,0)</f>
        <v>0</v>
      </c>
      <c r="AZ60" s="2">
        <f>IF(AZ$2&gt;0,230,0)</f>
        <v>0</v>
      </c>
      <c r="BA60" s="2">
        <f>IF(BA$2&gt;0,205,0)</f>
        <v>0</v>
      </c>
      <c r="BB60" s="2">
        <f>IF(BB$2&gt;0,230,0)</f>
        <v>0</v>
      </c>
      <c r="BD60" s="2">
        <f>IF(BD$2&gt;0,230,0)</f>
        <v>0</v>
      </c>
      <c r="BE60" s="2">
        <f>IF(BE$2&gt;0,205,0)</f>
        <v>0</v>
      </c>
      <c r="BF60" s="2">
        <f>IF(BF$2&gt;0,230,0)</f>
        <v>0</v>
      </c>
      <c r="BK60" s="2">
        <f>IF(BK$2&gt;0,245,0)</f>
        <v>0</v>
      </c>
      <c r="BL60" s="2">
        <f>IF(BL$2&gt;0,206,0)</f>
        <v>0</v>
      </c>
      <c r="BM60" s="2">
        <f>IF(BM$2&gt;0,95,0)</f>
        <v>0</v>
      </c>
      <c r="BN60" s="2">
        <f>IF(BN$2&gt;0,208,0)</f>
        <v>0</v>
      </c>
      <c r="BO60" s="2">
        <f>IF(BO$2&gt;0,230,0)</f>
        <v>0</v>
      </c>
      <c r="BP60" s="2">
        <f>IF(BP$2&gt;0,230,0)</f>
        <v>0</v>
      </c>
      <c r="BQ60" s="2">
        <f>IF(BQ$2&gt;0,230,0)</f>
        <v>0</v>
      </c>
      <c r="BX60" s="2">
        <f>IF(BX$2&gt;0,230,0)</f>
        <v>0</v>
      </c>
      <c r="BY60" s="2">
        <f>IF(BY$2&gt;0,230,0)</f>
        <v>0</v>
      </c>
      <c r="BZ60" s="2">
        <f>IF(BZ$2&gt;0,230,0)</f>
        <v>0</v>
      </c>
      <c r="CA60" s="2">
        <f>IF(CA$2&gt;0,208,0)</f>
        <v>0</v>
      </c>
      <c r="CB60" s="2">
        <f>IF(CB$2&gt;0,205,0)</f>
        <v>0</v>
      </c>
      <c r="CC60" s="2">
        <f>IF(CC$2&gt;0,205,0)</f>
        <v>0</v>
      </c>
      <c r="CD60" s="2">
        <f>IF(CD$2&gt;0,230,0)</f>
        <v>0</v>
      </c>
      <c r="CE60" s="2">
        <f>IF(CE$2&gt;0,108,0)</f>
        <v>0</v>
      </c>
      <c r="CF60" s="2">
        <f>IF(CF$2&gt;0,110,0)</f>
        <v>0</v>
      </c>
      <c r="CG60" s="2">
        <f>IF(CG$2&gt;0,230,0)</f>
        <v>0</v>
      </c>
      <c r="CH60" s="2">
        <f>IF(CH$2&gt;0,208,0)</f>
        <v>0</v>
      </c>
      <c r="CI60" s="2">
        <f>IF(CI$2&gt;0,205,0)</f>
        <v>0</v>
      </c>
      <c r="CJ60" s="2">
        <f>IF(CJ$2&gt;0,210,0)</f>
        <v>0</v>
      </c>
      <c r="CK60" s="2">
        <f>IF(CK$2&gt;0,210,0)</f>
        <v>0</v>
      </c>
      <c r="CL60" s="2">
        <f>IF(CL$2&gt;0,208,0)</f>
        <v>0</v>
      </c>
      <c r="CM60" s="2">
        <f>IF(CM$2&gt;0,230,0)</f>
        <v>0</v>
      </c>
      <c r="CN60" s="2">
        <f>IF(CN$2&gt;0,208,0)</f>
        <v>0</v>
      </c>
      <c r="CQ60" s="2">
        <f>IF(CQ$2&gt;0,208,0)</f>
        <v>0</v>
      </c>
      <c r="CR60" s="2">
        <f>IF(CR$2&gt;0,80,0)</f>
        <v>0</v>
      </c>
      <c r="CS60" s="2">
        <f>IF(CS$2&gt;0,210,0)</f>
        <v>0</v>
      </c>
      <c r="CT60" s="2">
        <f>IF(CT$2&gt;0,210,0)</f>
        <v>0</v>
      </c>
      <c r="CU60" s="2">
        <f>IF(CU$2&gt;0,210,0)</f>
        <v>0</v>
      </c>
      <c r="CV60" s="2">
        <f>IF(CV$2&gt;0,210,0)</f>
        <v>0</v>
      </c>
      <c r="CW60" s="2">
        <f t="shared" ref="CW60:DD60" si="13">IF(CW$2&gt;0,235,0)</f>
        <v>0</v>
      </c>
      <c r="CX60" s="2">
        <f t="shared" si="13"/>
        <v>0</v>
      </c>
      <c r="CY60" s="2">
        <f t="shared" si="13"/>
        <v>0</v>
      </c>
      <c r="CZ60" s="2">
        <f t="shared" si="13"/>
        <v>0</v>
      </c>
      <c r="DA60" s="2">
        <f t="shared" si="13"/>
        <v>0</v>
      </c>
      <c r="DB60" s="2">
        <f t="shared" si="13"/>
        <v>0</v>
      </c>
      <c r="DC60" s="2">
        <f t="shared" si="13"/>
        <v>0</v>
      </c>
      <c r="DD60" s="2">
        <f t="shared" si="13"/>
        <v>0</v>
      </c>
      <c r="DL60" s="2">
        <f>IF(DL$2&gt;0,235,0)</f>
        <v>0</v>
      </c>
      <c r="DV60" s="2">
        <f>IF(DV$2&gt;0,208,0)</f>
        <v>0</v>
      </c>
      <c r="DX60" s="2">
        <f>IF(DX$2&gt;0,230,0)</f>
        <v>0</v>
      </c>
      <c r="DY60" s="2">
        <f>IF(DY$2&gt;0,230,0)</f>
        <v>0</v>
      </c>
      <c r="DZ60" s="2">
        <f>IF(DZ$2&gt;0,230,0)</f>
        <v>0</v>
      </c>
      <c r="EA60" s="2">
        <f>IF(EA$2&gt;0,208,0)</f>
        <v>0</v>
      </c>
      <c r="EB60" s="2">
        <f>IF(EB$2&gt;0,208,0)</f>
        <v>0</v>
      </c>
      <c r="EC60" s="2">
        <f>IF(EC$2&gt;0,208,0)</f>
        <v>0</v>
      </c>
      <c r="ED60" s="2">
        <f>IF(ED$2&gt;0,118,0)</f>
        <v>0</v>
      </c>
      <c r="EE60" s="2">
        <f>IF(EE$2&gt;0,112,0)</f>
        <v>0</v>
      </c>
      <c r="EF60" s="2">
        <f>IF(EF$2&gt;0,208,0)</f>
        <v>0</v>
      </c>
      <c r="EG60" s="2">
        <f>IF(EG$2&gt;0,210,0)</f>
        <v>0</v>
      </c>
      <c r="EH60" s="2">
        <f>IF(EH$2&gt;0,152,0)</f>
        <v>0</v>
      </c>
      <c r="EI60" s="2">
        <f>IF(EI$2&gt;0,208,0)</f>
        <v>0</v>
      </c>
      <c r="EJ60" s="2">
        <f>IF(EJ$2&gt;0,208,0)</f>
        <v>0</v>
      </c>
      <c r="EK60" s="2">
        <f>IF(EK$2&gt;0,208,0)</f>
        <v>0</v>
      </c>
      <c r="EL60" s="2">
        <f>IF(EL$2&gt;0,208,0)</f>
        <v>0</v>
      </c>
      <c r="EM60" s="2">
        <f>IF(EM$2&gt;0,208,0)</f>
        <v>0</v>
      </c>
      <c r="EN60" s="2">
        <f>IF(EN$2&gt;0,66,0)</f>
        <v>0</v>
      </c>
      <c r="EO60" s="2">
        <f>IF(EO$2&gt;0,208,0)</f>
        <v>0</v>
      </c>
      <c r="EP60" s="2">
        <f>IF(EP$2&gt;0,208,0)</f>
        <v>0</v>
      </c>
      <c r="EQ60" s="2">
        <f>IF(EQ$2&gt;0,230,0)</f>
        <v>0</v>
      </c>
      <c r="ER60" s="2">
        <f>IF(ER$2&gt;0,208,0)</f>
        <v>0</v>
      </c>
      <c r="ES60" s="2">
        <f>IF(ES$2&gt;0,208,0)</f>
        <v>0</v>
      </c>
      <c r="ET60" s="2">
        <f>IF(ET$2&gt;0,208,0)</f>
        <v>0</v>
      </c>
      <c r="EU60" s="2">
        <f>IF(EU$2&gt;0,208,0)</f>
        <v>0</v>
      </c>
      <c r="EV60" s="2">
        <f>IF(EV$2&gt;0,208,0)</f>
        <v>0</v>
      </c>
      <c r="EW60" s="2">
        <f>IF(EW$2&gt;0,230,0)</f>
        <v>0</v>
      </c>
      <c r="EX60" s="2">
        <f>IF(EX$2&gt;0,208,0)</f>
        <v>0</v>
      </c>
      <c r="EY60" s="2">
        <f>IF(EY$2&gt;0,230,0)</f>
        <v>0</v>
      </c>
      <c r="EZ60" s="2">
        <f>IF(EZ$2&gt;0,208,0)</f>
        <v>0</v>
      </c>
      <c r="FA60" s="2">
        <f>IF(FA$2&gt;0,20,0)</f>
        <v>0</v>
      </c>
      <c r="FB60" s="2">
        <f>IF(FB$2&gt;0,230,0)</f>
        <v>0</v>
      </c>
      <c r="FC60" s="2">
        <f>IF(FC$2&gt;0,230,0)</f>
        <v>0</v>
      </c>
      <c r="FD60" s="2">
        <f>IF(FD$2&gt;0,208,0)</f>
        <v>0</v>
      </c>
      <c r="FE60" s="2">
        <f>IF(FE$2&gt;0,208,0)</f>
        <v>0</v>
      </c>
      <c r="FF60" s="2">
        <f>IF(FF$2&gt;0,208,0)</f>
        <v>0</v>
      </c>
      <c r="FG60" s="2">
        <f>IF(FG$2&gt;0,200,0)</f>
        <v>0</v>
      </c>
      <c r="FH60" s="2">
        <f>IF(FH$2&gt;0,200,0)</f>
        <v>0</v>
      </c>
      <c r="FI60" s="2">
        <f>IF(FI$2&gt;0,200,0)</f>
        <v>0</v>
      </c>
      <c r="FJ60" s="2">
        <f>IF(FJ$2&gt;0,200,0)</f>
        <v>0</v>
      </c>
      <c r="FK60" s="2">
        <f>IF(FK2&gt;0,208,0)</f>
        <v>0</v>
      </c>
      <c r="FL60" s="2">
        <f>IF(FL$2&gt;0,200,0)</f>
        <v>0</v>
      </c>
      <c r="FM60" s="2">
        <f>IF(FM2&gt;0,208,0)</f>
        <v>0</v>
      </c>
      <c r="FQ60" s="2">
        <f>IF(FQ2&gt;0,208,0)</f>
        <v>0</v>
      </c>
      <c r="FS60" s="2">
        <f>IF(FS2&gt;0,208,0)</f>
        <v>0</v>
      </c>
      <c r="FT60" s="2">
        <f>IF(FT2&gt;0,208,0)</f>
        <v>0</v>
      </c>
      <c r="FU60" s="2">
        <f>IF(FU$2&gt;0,208,0)</f>
        <v>0</v>
      </c>
      <c r="FV60" s="2">
        <f>IF(FV$2&gt;0,208,0)</f>
        <v>0</v>
      </c>
      <c r="FW60" s="2">
        <f>IF(FW$2&gt;0,209,0)</f>
        <v>0</v>
      </c>
      <c r="FX60" s="2">
        <f>IF(FX$2&gt;0,230,0)</f>
        <v>0</v>
      </c>
      <c r="FY60" s="2">
        <f>IF(FY$2&gt;0,208,0)</f>
        <v>0</v>
      </c>
      <c r="FZ60" s="2">
        <f>IF(FZ$2&gt;0,210,0)</f>
        <v>0</v>
      </c>
      <c r="GA60" s="2">
        <f>IF(GA$2&gt;0,204,0)</f>
        <v>0</v>
      </c>
      <c r="GB60" s="2">
        <f>IF(GB$2&gt;0,204,0)</f>
        <v>0</v>
      </c>
      <c r="GC60" s="2">
        <f>IF(GC$2&gt;0,230,0)</f>
        <v>0</v>
      </c>
      <c r="GD60" s="2">
        <f>IF(GD$2&gt;0,95,0)</f>
        <v>0</v>
      </c>
      <c r="GE60" s="2">
        <f>IF(GE$2&gt;0,95,0)</f>
        <v>0</v>
      </c>
      <c r="GF60" s="2">
        <f>IF(GF$2&gt;0,95,0)</f>
        <v>0</v>
      </c>
      <c r="GG60" s="2">
        <f>IF(GG$2&gt;0,97,0)</f>
        <v>0</v>
      </c>
      <c r="GH60" s="2">
        <f>IF(GH$2&gt;0,208,0)</f>
        <v>0</v>
      </c>
      <c r="GI60" s="2">
        <f>IF(GI$2&gt;0,208,0)</f>
        <v>0</v>
      </c>
      <c r="GJ60" s="2">
        <f>IF(GJ$2&gt;0,170,0)</f>
        <v>0</v>
      </c>
      <c r="GK60" s="2">
        <f>IF(GK$2&gt;0,233,0)</f>
        <v>0</v>
      </c>
      <c r="GL60" s="2">
        <f>IF(GL$2&gt;0,20,0)</f>
        <v>0</v>
      </c>
      <c r="GM60" s="2">
        <f>IF(GM$2&gt;0,208,0)</f>
        <v>0</v>
      </c>
      <c r="GN60" s="2">
        <f>IF(GN$2&gt;0,208,0)</f>
        <v>0</v>
      </c>
      <c r="GO60" s="2">
        <f>IF(GO$2&gt;0,210,0)</f>
        <v>0</v>
      </c>
      <c r="GP60" s="2">
        <f>IF(GP$2&gt;0,208,0)</f>
        <v>0</v>
      </c>
      <c r="GQ60" s="2">
        <f>IF(GQ$2&gt;0,280,0)</f>
        <v>0</v>
      </c>
      <c r="GR60" s="2">
        <f>IF(GR$2&gt;0,208,0)</f>
        <v>0</v>
      </c>
      <c r="GS60" s="2">
        <f>IF(GS$2&gt;0,208,0)</f>
        <v>0</v>
      </c>
      <c r="GT60" s="2">
        <f>IF(GT$2&gt;0,208,0)</f>
        <v>0</v>
      </c>
      <c r="GU60" s="2">
        <f>IF(GU$2&gt;0,30,0)</f>
        <v>0</v>
      </c>
      <c r="GV60" s="2">
        <f>IF(GV$2&gt;0,208,0)</f>
        <v>0</v>
      </c>
      <c r="GW60" s="2">
        <f>IF(GW$2&gt;0,208,0)</f>
        <v>0</v>
      </c>
      <c r="GX60" s="2">
        <f>IF(GX$2&gt;0,208,0)</f>
        <v>0</v>
      </c>
      <c r="GY60" s="2">
        <f t="shared" ref="GY60:HE60" si="14">IF(GY$2&gt;0,235,0)</f>
        <v>0</v>
      </c>
      <c r="GZ60" s="2">
        <f t="shared" si="14"/>
        <v>0</v>
      </c>
      <c r="HA60" s="2">
        <f t="shared" si="14"/>
        <v>0</v>
      </c>
      <c r="HB60" s="2">
        <f t="shared" si="14"/>
        <v>0</v>
      </c>
      <c r="HC60" s="2">
        <f t="shared" si="14"/>
        <v>0</v>
      </c>
      <c r="HD60" s="2">
        <f t="shared" si="14"/>
        <v>0</v>
      </c>
      <c r="HE60" s="2">
        <f t="shared" si="14"/>
        <v>0</v>
      </c>
    </row>
    <row r="61" spans="1:213" x14ac:dyDescent="0.25">
      <c r="A61" s="6" t="s">
        <v>258</v>
      </c>
      <c r="B61" s="22" t="s">
        <v>256</v>
      </c>
      <c r="C61" s="31">
        <f>MAX(E61:FKK61)</f>
        <v>0</v>
      </c>
      <c r="D61" s="32"/>
      <c r="G61" s="2">
        <f>IF(G$2&gt;0,193,0)</f>
        <v>0</v>
      </c>
      <c r="H61" s="2">
        <f>IF(H$2&gt;0,193,0)</f>
        <v>0</v>
      </c>
      <c r="I61" s="2">
        <f>IF(I$2&gt;0,50,0)</f>
        <v>0</v>
      </c>
      <c r="J61" s="2">
        <f>IF(J$2&gt;0,47,0)</f>
        <v>0</v>
      </c>
      <c r="K61" s="2">
        <f>IF(K$2&gt;0,188,0)</f>
        <v>0</v>
      </c>
      <c r="L61" s="2">
        <f>IF(L$2&gt;0,130,0)</f>
        <v>0</v>
      </c>
      <c r="M61" s="2">
        <f>IF(M$2&gt;0,130,0)</f>
        <v>0</v>
      </c>
      <c r="O61" s="2">
        <f t="shared" ref="O61:T61" si="15">IF(O$2&gt;0,130,0)</f>
        <v>0</v>
      </c>
      <c r="P61" s="2">
        <f t="shared" si="15"/>
        <v>0</v>
      </c>
      <c r="Q61" s="2">
        <f t="shared" si="15"/>
        <v>0</v>
      </c>
      <c r="R61" s="2">
        <f t="shared" si="15"/>
        <v>0</v>
      </c>
      <c r="S61" s="2">
        <f t="shared" si="15"/>
        <v>0</v>
      </c>
      <c r="T61" s="2">
        <f t="shared" si="15"/>
        <v>0</v>
      </c>
      <c r="U61" s="2">
        <f>IF(U$2&gt;0,112,0)</f>
        <v>0</v>
      </c>
      <c r="V61" s="2">
        <f>IF(V$2&gt;0,130,0)</f>
        <v>0</v>
      </c>
      <c r="W61" s="2">
        <f>IF(W$2&gt;0,200,0)</f>
        <v>0</v>
      </c>
      <c r="X61" s="2">
        <f>IF(X$2&gt;0,200,0)</f>
        <v>0</v>
      </c>
      <c r="Y61" s="2">
        <f>IF(Y$2&gt;0,193,0)</f>
        <v>0</v>
      </c>
      <c r="Z61" s="2">
        <f>IF(Z$2&gt;0,193,0)</f>
        <v>0</v>
      </c>
      <c r="AA61" s="2">
        <f>IF(AA$2&gt;0,193,0)</f>
        <v>0</v>
      </c>
      <c r="AB61" s="2">
        <f>IF(AB$2&gt;0,193,0)</f>
        <v>0</v>
      </c>
      <c r="AC61" s="2">
        <f>IF(AC$2&gt;0,113,0)</f>
        <v>0</v>
      </c>
      <c r="AH61" s="2">
        <f>IF(AH$2&gt;0,52,0)</f>
        <v>0</v>
      </c>
      <c r="AI61" s="2">
        <f>IF(AI$2&gt;0,52,0)</f>
        <v>0</v>
      </c>
      <c r="AK61" s="2">
        <f>IF(AK$2&gt;0,116,0)</f>
        <v>0</v>
      </c>
      <c r="AL61" s="2">
        <f>IF(AL$2&gt;0,193,0)</f>
        <v>0</v>
      </c>
      <c r="AQ61" s="2">
        <f>IF(AQ$2&gt;0,193,0)</f>
        <v>0</v>
      </c>
      <c r="AS61" s="2">
        <f>IF(AS$2&gt;0,193,0)</f>
        <v>0</v>
      </c>
      <c r="AT61" s="2">
        <f>IF(AT$2&gt;0,193,0)</f>
        <v>0</v>
      </c>
      <c r="AU61" s="2">
        <f>IF(AU$2&gt;0,47,0)</f>
        <v>0</v>
      </c>
      <c r="AV61" s="2">
        <f>IF(AV$2&gt;0,193,0)</f>
        <v>0</v>
      </c>
      <c r="AW61" s="2">
        <f>IF(AW$2&gt;0,130,0)</f>
        <v>0</v>
      </c>
      <c r="AX61" s="2">
        <f>IF(AX$2&gt;0,130,0)</f>
        <v>0</v>
      </c>
      <c r="AY61" s="2">
        <f>IF(AY$2&gt;0,130,0)</f>
        <v>0</v>
      </c>
      <c r="AZ61" s="2">
        <f>IF(AZ$2&gt;0,130,0)</f>
        <v>0</v>
      </c>
      <c r="BA61" s="2">
        <f>IF(BA$2&gt;0,47,0)</f>
        <v>0</v>
      </c>
      <c r="BB61" s="2">
        <f>IF(BB$2&gt;0,130,0)</f>
        <v>0</v>
      </c>
      <c r="BD61" s="2">
        <f>IF(BD$2&gt;0,130,0)</f>
        <v>0</v>
      </c>
      <c r="BE61" s="2">
        <f>IF(BE$2&gt;0,47,0)</f>
        <v>0</v>
      </c>
      <c r="BF61" s="2">
        <f>IF(BF$2&gt;0,130,0)</f>
        <v>0</v>
      </c>
      <c r="BK61" s="2">
        <f>IF(BK$2&gt;0,160,0)</f>
        <v>0</v>
      </c>
      <c r="BL61" s="2">
        <f>IF(BL$2&gt;0,48,0)</f>
        <v>0</v>
      </c>
      <c r="BM61" s="2">
        <f>IF(BM$2&gt;0,160,0)</f>
        <v>0</v>
      </c>
      <c r="BN61" s="2">
        <f>IF(BN$2&gt;0,193,0)</f>
        <v>0</v>
      </c>
      <c r="BO61" s="2">
        <f>IF(BO$2&gt;0,130,0)</f>
        <v>0</v>
      </c>
      <c r="BP61" s="2">
        <f>IF(BP$2&gt;0,130,0)</f>
        <v>0</v>
      </c>
      <c r="BQ61" s="2">
        <f>IF(BQ$2&gt;0,130,0)</f>
        <v>0</v>
      </c>
      <c r="BX61" s="2">
        <f>IF(BX$2&gt;0,130,0)</f>
        <v>0</v>
      </c>
      <c r="BY61" s="2">
        <f>IF(BY$2&gt;0,130,0)</f>
        <v>0</v>
      </c>
      <c r="BZ61" s="2">
        <f>IF(BZ$2&gt;0,130,0)</f>
        <v>0</v>
      </c>
      <c r="CA61" s="2">
        <f>IF(CA$2&gt;0,130,0)</f>
        <v>0</v>
      </c>
      <c r="CB61" s="2">
        <f>IF(CB$2&gt;0,47,0)</f>
        <v>0</v>
      </c>
      <c r="CC61" s="2">
        <f>IF(CC$2&gt;0,47,0)</f>
        <v>0</v>
      </c>
      <c r="CD61" s="2">
        <f>IF(CD$2&gt;0,130,0)</f>
        <v>0</v>
      </c>
      <c r="CE61" s="2">
        <f>IF(CE$2&gt;0,7,0)</f>
        <v>0</v>
      </c>
      <c r="CF61" s="2">
        <f>IF(CF$2&gt;0,7,0)</f>
        <v>0</v>
      </c>
      <c r="CG61" s="2">
        <f>IF(CG$2&gt;0,130,0)</f>
        <v>0</v>
      </c>
      <c r="CH61" s="2">
        <f>IF(CH$2&gt;0,130,0)</f>
        <v>0</v>
      </c>
      <c r="CI61" s="2">
        <f>IF(CI$2&gt;0,197,0)</f>
        <v>0</v>
      </c>
      <c r="CJ61" s="2">
        <f>IF(CJ$2&gt;0,193,0)</f>
        <v>0</v>
      </c>
      <c r="CK61" s="2">
        <f>IF(CK$2&gt;0,197,0)</f>
        <v>0</v>
      </c>
      <c r="CL61" s="2">
        <f>IF(CL$2&gt;0,129,0)</f>
        <v>0</v>
      </c>
      <c r="CM61" s="2">
        <f>IF(CM$2&gt;0,130,0)</f>
        <v>0</v>
      </c>
      <c r="CN61" s="2">
        <f>IF(CN$2&gt;0,130,0)</f>
        <v>0</v>
      </c>
      <c r="CQ61" s="2">
        <f t="shared" ref="CQ61:CV61" si="16">IF(CQ$2&gt;0,130,0)</f>
        <v>0</v>
      </c>
      <c r="CR61" s="2">
        <f t="shared" si="16"/>
        <v>0</v>
      </c>
      <c r="CS61" s="2">
        <f t="shared" si="16"/>
        <v>0</v>
      </c>
      <c r="CT61" s="2">
        <f t="shared" si="16"/>
        <v>0</v>
      </c>
      <c r="CU61" s="2">
        <f t="shared" si="16"/>
        <v>0</v>
      </c>
      <c r="CV61" s="2">
        <f t="shared" si="16"/>
        <v>0</v>
      </c>
      <c r="CW61" s="2">
        <f t="shared" ref="CW61:DD61" si="17">IF(CW$2&gt;0,33,0)</f>
        <v>0</v>
      </c>
      <c r="CX61" s="2">
        <f t="shared" si="17"/>
        <v>0</v>
      </c>
      <c r="CY61" s="2">
        <f t="shared" si="17"/>
        <v>0</v>
      </c>
      <c r="CZ61" s="2">
        <f t="shared" si="17"/>
        <v>0</v>
      </c>
      <c r="DA61" s="2">
        <f t="shared" si="17"/>
        <v>0</v>
      </c>
      <c r="DB61" s="2">
        <f t="shared" si="17"/>
        <v>0</v>
      </c>
      <c r="DC61" s="2">
        <f t="shared" si="17"/>
        <v>0</v>
      </c>
      <c r="DD61" s="2">
        <f t="shared" si="17"/>
        <v>0</v>
      </c>
      <c r="DL61" s="2">
        <f>IF(DL$2&gt;0,33,0)</f>
        <v>0</v>
      </c>
      <c r="DV61" s="2">
        <f>IF(DV$2&gt;0,47,0)</f>
        <v>0</v>
      </c>
      <c r="DX61" s="2">
        <f>IF(DX$2&gt;0,130,0)</f>
        <v>0</v>
      </c>
      <c r="DY61" s="2">
        <f>IF(DY$2&gt;0,130,0)</f>
        <v>0</v>
      </c>
      <c r="DZ61" s="2">
        <f>IF(DZ$2&gt;0,130,0)</f>
        <v>0</v>
      </c>
      <c r="EA61" s="2">
        <f>IF(EA$2&gt;0,198,0)</f>
        <v>0</v>
      </c>
      <c r="EB61" s="2">
        <f>IF(EB$2&gt;0,198,0)</f>
        <v>0</v>
      </c>
      <c r="EC61" s="2">
        <f>IF(EC$2&gt;0,198,0)</f>
        <v>0</v>
      </c>
      <c r="ED61" s="2">
        <f>IF(ED$2&gt;0,109,0)</f>
        <v>0</v>
      </c>
      <c r="EE61" s="2">
        <f>IF(EE$2&gt;0,210,0)</f>
        <v>0</v>
      </c>
      <c r="EF61" s="2">
        <f>IF(EF$2&gt;0,190,0)</f>
        <v>0</v>
      </c>
      <c r="EG61" s="2">
        <f>IF(EG$2&gt;0,130,0)</f>
        <v>0</v>
      </c>
      <c r="EH61" s="2">
        <f>IF(EH$2&gt;0,112,0)</f>
        <v>0</v>
      </c>
      <c r="EI61" s="2">
        <f>IF(EI$2&gt;0,193,0)</f>
        <v>0</v>
      </c>
      <c r="EJ61" s="2">
        <f>IF(EJ$2&gt;0,198,0)</f>
        <v>0</v>
      </c>
      <c r="EK61" s="2">
        <f>IF(EK$2&gt;0,198,0)</f>
        <v>0</v>
      </c>
      <c r="EL61" s="2">
        <f>IF(EL$2&gt;0,193,0)</f>
        <v>0</v>
      </c>
      <c r="EM61" s="2">
        <f>IF(EM$2&gt;0,130,0)</f>
        <v>0</v>
      </c>
      <c r="EN61" s="2">
        <f>IF(EN$2&gt;0,111,0)</f>
        <v>0</v>
      </c>
      <c r="EO61" s="2">
        <f>IF(EO$2&gt;0,49,0)</f>
        <v>0</v>
      </c>
      <c r="EP61" s="2">
        <f>IF(EP$2&gt;0,49,0)</f>
        <v>0</v>
      </c>
      <c r="EQ61" s="2">
        <f>IF(EQ$2&gt;0,130,0)</f>
        <v>0</v>
      </c>
      <c r="ER61" s="2">
        <f>IF(ER$2&gt;0,130,0)</f>
        <v>0</v>
      </c>
      <c r="ES61" s="2">
        <f>IF(ES$2&gt;0,130,0)</f>
        <v>0</v>
      </c>
      <c r="ET61" s="2">
        <f>IF(ET$2&gt;0,48,0)</f>
        <v>0</v>
      </c>
      <c r="EU61" s="2">
        <f>IF(EU$2&gt;0,69,0)</f>
        <v>0</v>
      </c>
      <c r="EV61" s="2">
        <f>IF(EV$2&gt;0,200,0)</f>
        <v>0</v>
      </c>
      <c r="EW61" s="2">
        <f>IF(EW$2&gt;0,175,0)</f>
        <v>0</v>
      </c>
      <c r="EX61" s="2">
        <f>IF(EX$2&gt;0,70,0)</f>
        <v>0</v>
      </c>
      <c r="EY61" s="2">
        <f>IF(EY$2&gt;0,130,0)</f>
        <v>0</v>
      </c>
      <c r="EZ61" s="2">
        <f>IF(EZ$2&gt;0,86,0)</f>
        <v>0</v>
      </c>
      <c r="FA61" s="2">
        <f>IF(FA$2&gt;0,25,0)</f>
        <v>0</v>
      </c>
      <c r="FB61" s="2">
        <f>IF(FB$2&gt;0,194,0)</f>
        <v>0</v>
      </c>
      <c r="FC61" s="2">
        <f>IF(FC$2&gt;0,130,0)</f>
        <v>0</v>
      </c>
      <c r="FD61" s="2">
        <f>IF(FD$2&gt;0,54,0)</f>
        <v>0</v>
      </c>
      <c r="FE61" s="2">
        <f>IF(FE$2&gt;0,193,0)</f>
        <v>0</v>
      </c>
      <c r="FF61" s="2">
        <f>IF(FF$2&gt;0,193,0)</f>
        <v>0</v>
      </c>
      <c r="FG61" s="2">
        <f>IF(FG$2&gt;0,170,0)</f>
        <v>0</v>
      </c>
      <c r="FH61" s="2">
        <f>IF(FH$2&gt;0,170,0)</f>
        <v>0</v>
      </c>
      <c r="FI61" s="2">
        <f>IF(FI$2&gt;0,170,0)</f>
        <v>0</v>
      </c>
      <c r="FJ61" s="2">
        <f>IF(FJ$2&gt;0,170,0)</f>
        <v>0</v>
      </c>
      <c r="FK61" s="2">
        <f>IF(FK2&gt;0,48,0)</f>
        <v>0</v>
      </c>
      <c r="FL61" s="2">
        <f>IF(FL$2&gt;0,170,0)</f>
        <v>0</v>
      </c>
      <c r="FM61" s="2">
        <f>IF(FM2&gt;0,70,0)</f>
        <v>0</v>
      </c>
      <c r="FQ61" s="2">
        <f>IF(FQ2&gt;0,52,0)</f>
        <v>0</v>
      </c>
      <c r="FS61" s="2">
        <f>IF(FS2&gt;0,130,0)</f>
        <v>0</v>
      </c>
      <c r="FT61" s="2">
        <f>IF(FT2&gt;0,130,0)</f>
        <v>0</v>
      </c>
      <c r="FU61" s="2">
        <f>IF(FU$2&gt;0,154,0)</f>
        <v>0</v>
      </c>
      <c r="FV61" s="2">
        <f>IF(FV$2&gt;0,130,0)</f>
        <v>0</v>
      </c>
      <c r="FW61" s="2">
        <f>IF(FW$2&gt;0,109,0)</f>
        <v>0</v>
      </c>
      <c r="FX61" s="2">
        <f>IF(FX$2&gt;0,147,0)</f>
        <v>0</v>
      </c>
      <c r="FY61" s="2">
        <f>IF(FY$2&gt;0,81,0)</f>
        <v>0</v>
      </c>
      <c r="FZ61" s="2">
        <f>IF(FZ$2&gt;0,130,0)</f>
        <v>0</v>
      </c>
      <c r="GA61" s="2">
        <f>IF(GA$2&gt;0,170,0)</f>
        <v>0</v>
      </c>
      <c r="GB61" s="2">
        <f>IF(GB$2&gt;0,170,0)</f>
        <v>0</v>
      </c>
      <c r="GC61" s="2">
        <f>IF(GC$2&gt;0,130,0)</f>
        <v>0</v>
      </c>
      <c r="GD61" s="2">
        <f>IF(GD$2&gt;0,82,0)</f>
        <v>0</v>
      </c>
      <c r="GE61" s="2">
        <f>IF(GE$2&gt;0,32,0)</f>
        <v>0</v>
      </c>
      <c r="GF61" s="2">
        <f>IF(GF$2&gt;0,32,0)</f>
        <v>0</v>
      </c>
      <c r="GG61" s="2">
        <f>IF(GG$2&gt;0,50,0)</f>
        <v>0</v>
      </c>
      <c r="GH61" s="2">
        <f>IF(GH$2&gt;0,194,0)</f>
        <v>0</v>
      </c>
      <c r="GI61" s="2">
        <f>IF(GI$2&gt;0,53,0)</f>
        <v>0</v>
      </c>
      <c r="GJ61" s="2">
        <f>IF(GJ$2&gt;0,25,0)</f>
        <v>0</v>
      </c>
      <c r="GK61" s="2">
        <f>IF(GK$2&gt;0,130,0)</f>
        <v>0</v>
      </c>
      <c r="GL61" s="2">
        <f>IF(GL$2&gt;0,1,0)</f>
        <v>0</v>
      </c>
      <c r="GM61" s="2">
        <f>IF(GM$2&gt;0,193,0)</f>
        <v>0</v>
      </c>
      <c r="GN61" s="2">
        <f>IF(GN$2&gt;0,130,0)</f>
        <v>0</v>
      </c>
      <c r="GO61" s="2">
        <f>IF(GO$2&gt;0,52,0)</f>
        <v>0</v>
      </c>
      <c r="GP61" s="2">
        <f>IF(GP$2&gt;0,89,0)</f>
        <v>0</v>
      </c>
      <c r="GQ61" s="2">
        <f>IF(GQ$2&gt;0,1,0)</f>
        <v>0</v>
      </c>
      <c r="GR61" s="2">
        <f>IF(GR$2&gt;0,193,0)</f>
        <v>0</v>
      </c>
      <c r="GS61" s="2">
        <f>IF(GS$2&gt;0,130,0)</f>
        <v>0</v>
      </c>
      <c r="GT61" s="2">
        <f>IF(GT$2&gt;0,130,0)</f>
        <v>0</v>
      </c>
      <c r="GU61" s="2">
        <f>IF(GU$2&gt;0,1,0)</f>
        <v>0</v>
      </c>
      <c r="GV61" s="2">
        <f>IF(GV$2&gt;0,89,0)</f>
        <v>0</v>
      </c>
      <c r="GW61" s="2">
        <f>IF(GW$2&gt;0,81,0)</f>
        <v>0</v>
      </c>
      <c r="GX61" s="2">
        <f>IF(GX$2&gt;0,89,0)</f>
        <v>0</v>
      </c>
      <c r="GY61" s="2">
        <f t="shared" ref="GY61:HE61" si="18">IF(GY$2&gt;0,33,0)</f>
        <v>0</v>
      </c>
      <c r="GZ61" s="2">
        <f t="shared" si="18"/>
        <v>0</v>
      </c>
      <c r="HA61" s="2">
        <f t="shared" si="18"/>
        <v>0</v>
      </c>
      <c r="HB61" s="2">
        <f t="shared" si="18"/>
        <v>0</v>
      </c>
      <c r="HC61" s="2">
        <f t="shared" si="18"/>
        <v>0</v>
      </c>
      <c r="HD61" s="2">
        <f t="shared" si="18"/>
        <v>0</v>
      </c>
      <c r="HE61" s="2">
        <f t="shared" si="18"/>
        <v>0</v>
      </c>
    </row>
    <row r="62" spans="1:213" s="7" customFormat="1" ht="6" customHeight="1" x14ac:dyDescent="0.25">
      <c r="A62" s="18"/>
      <c r="B62" s="18"/>
    </row>
    <row r="63" spans="1:213" x14ac:dyDescent="0.25">
      <c r="A63" s="6" t="s">
        <v>259</v>
      </c>
      <c r="B63" s="22" t="s">
        <v>260</v>
      </c>
      <c r="C63" s="30">
        <f>D63*1</f>
        <v>0</v>
      </c>
      <c r="D63" s="30">
        <f>SUM(E63:FKK63)</f>
        <v>0</v>
      </c>
      <c r="BP63" s="2">
        <f>0.005*BP2</f>
        <v>0</v>
      </c>
      <c r="BX63" s="2">
        <f>0.002*BX2</f>
        <v>0</v>
      </c>
      <c r="BY63" s="2">
        <f>0.01*BY2</f>
        <v>0</v>
      </c>
      <c r="BZ63" s="2">
        <f>0.001*BZ2</f>
        <v>0</v>
      </c>
      <c r="CG63" s="2">
        <f>0.005*CG2</f>
        <v>0</v>
      </c>
      <c r="CM63" s="2">
        <f>0.007*CM2</f>
        <v>0</v>
      </c>
      <c r="CW63" s="2">
        <f>0.042*CW2</f>
        <v>0</v>
      </c>
      <c r="CX63" s="2">
        <f>0.035*CX2</f>
        <v>0</v>
      </c>
      <c r="CY63" s="2">
        <f>0.035*CY2</f>
        <v>0</v>
      </c>
      <c r="DB63" s="2">
        <f>0.032*DB2</f>
        <v>0</v>
      </c>
      <c r="DC63" s="2">
        <f>0.032*DC2</f>
        <v>0</v>
      </c>
      <c r="DD63" s="2">
        <f>0.035*DD2</f>
        <v>0</v>
      </c>
      <c r="DL63" s="2">
        <f>0.028*DL2</f>
        <v>0</v>
      </c>
      <c r="DX63" s="2">
        <f>0.004*DX2</f>
        <v>0</v>
      </c>
      <c r="DY63" s="2">
        <f>0.001*DY2</f>
        <v>0</v>
      </c>
      <c r="DZ63" s="2">
        <f>0.001*DZ2</f>
        <v>0</v>
      </c>
      <c r="EA63" s="2">
        <f>0.005*EA2</f>
        <v>0</v>
      </c>
      <c r="EB63" s="2">
        <f>0.003*EB2</f>
        <v>0</v>
      </c>
      <c r="EC63" s="2">
        <f>0.003*EC2</f>
        <v>0</v>
      </c>
      <c r="EK63" s="2">
        <f>0.005*EK2</f>
        <v>0</v>
      </c>
      <c r="EV63" s="2">
        <f>0.001*EV2</f>
        <v>0</v>
      </c>
      <c r="EW63" s="2">
        <f>0.001*EW2</f>
        <v>0</v>
      </c>
      <c r="EY63" s="2">
        <f>0.001*EY2</f>
        <v>0</v>
      </c>
      <c r="EZ63" s="2">
        <f>0.047*EZ2</f>
        <v>0</v>
      </c>
      <c r="FB63" s="2">
        <f>0.001*FB2</f>
        <v>0</v>
      </c>
      <c r="FC63" s="2">
        <f>0.002*FC2</f>
        <v>0</v>
      </c>
      <c r="FG63" s="2">
        <f>0.213*FG2</f>
        <v>0</v>
      </c>
      <c r="FH63" s="2">
        <f>0.213*FH2</f>
        <v>0</v>
      </c>
      <c r="FI63" s="2">
        <f>0.213*FI2</f>
        <v>0</v>
      </c>
      <c r="FJ63" s="2">
        <f>0.213*FJ2</f>
        <v>0</v>
      </c>
      <c r="FL63" s="2">
        <f>0.213*FL2</f>
        <v>0</v>
      </c>
      <c r="FX63" s="2">
        <f>0.001*FX2</f>
        <v>0</v>
      </c>
      <c r="GA63" s="2">
        <f>0.21*GA2</f>
        <v>0</v>
      </c>
      <c r="GB63" s="2">
        <f>0.159*GB2</f>
        <v>0</v>
      </c>
      <c r="GC63" s="2">
        <f>0.001*GC2</f>
        <v>0</v>
      </c>
      <c r="GH63" s="2">
        <f>0.028*GH2</f>
        <v>0</v>
      </c>
      <c r="GK63" s="2">
        <f>0.003*GK2</f>
        <v>0</v>
      </c>
      <c r="GQ63" s="2">
        <f>0.056*GQ2</f>
        <v>0</v>
      </c>
      <c r="GU63" s="2">
        <f>0.003*GU2</f>
        <v>0</v>
      </c>
      <c r="GY63" s="2">
        <f>0.032*GY2</f>
        <v>0</v>
      </c>
      <c r="GZ63" s="2">
        <f>0.037*GZ2</f>
        <v>0</v>
      </c>
      <c r="HA63" s="2">
        <f>0.021*HA2</f>
        <v>0</v>
      </c>
      <c r="HB63" s="2">
        <f>0.028*HB2</f>
        <v>0</v>
      </c>
      <c r="HC63" s="2">
        <f>0.035*HC2</f>
        <v>0</v>
      </c>
      <c r="HD63" s="2">
        <f>0.035*HD2</f>
        <v>0</v>
      </c>
      <c r="HE63" s="2">
        <f>0.042*HE2</f>
        <v>0</v>
      </c>
    </row>
    <row r="64" spans="1:213" x14ac:dyDescent="0.25">
      <c r="A64" s="6" t="s">
        <v>259</v>
      </c>
      <c r="B64" s="22" t="s">
        <v>234</v>
      </c>
      <c r="C64" s="30">
        <f>D64*1</f>
        <v>0</v>
      </c>
      <c r="D64" s="30">
        <f>SUM(E64:FKK64)</f>
        <v>0</v>
      </c>
      <c r="J64" s="2">
        <f>0.003*J2</f>
        <v>0</v>
      </c>
      <c r="K64" s="2">
        <f>0.005*K2</f>
        <v>0</v>
      </c>
      <c r="AL64" s="2">
        <f>0.051*AL2</f>
        <v>0</v>
      </c>
      <c r="AQ64" s="2">
        <f>0.035*AQ2</f>
        <v>0</v>
      </c>
      <c r="AU64" s="2">
        <f>0.003*AU2</f>
        <v>0</v>
      </c>
      <c r="BE64" s="2">
        <f>0.005*BE2</f>
        <v>0</v>
      </c>
      <c r="BL64" s="2">
        <f>0.006*BL2</f>
        <v>0</v>
      </c>
      <c r="CL64" s="2">
        <f>0.004*CL2</f>
        <v>0</v>
      </c>
      <c r="CQ64" s="2">
        <f>0.004*CQ2</f>
        <v>0</v>
      </c>
      <c r="DV64" s="2">
        <f>0.003*DV2</f>
        <v>0</v>
      </c>
      <c r="EG64" s="2">
        <f>0.0025*EG2</f>
        <v>0</v>
      </c>
      <c r="EM64" s="2">
        <f>0.002*EM2</f>
        <v>0</v>
      </c>
      <c r="EO64" s="2">
        <f>0.005*EO2</f>
        <v>0</v>
      </c>
      <c r="ER64" s="2">
        <f>0.004*ER2</f>
        <v>0</v>
      </c>
      <c r="ES64" s="2">
        <f>0.002*ES2</f>
        <v>0</v>
      </c>
      <c r="ET64" s="2">
        <f>0.003*ET2</f>
        <v>0</v>
      </c>
      <c r="EU64" s="2">
        <f>0.001*EU2</f>
        <v>0</v>
      </c>
      <c r="EV64" s="2">
        <f>0.007*EV2</f>
        <v>0</v>
      </c>
      <c r="EX64" s="2">
        <f>0.002*EX2</f>
        <v>0</v>
      </c>
      <c r="EY64" s="2">
        <f>0.006*EY2</f>
        <v>0</v>
      </c>
      <c r="FK64" s="2">
        <f>0.002*FK2</f>
        <v>0</v>
      </c>
      <c r="FM64" s="2">
        <f>0.001*FM2</f>
        <v>0</v>
      </c>
      <c r="FQ64" s="2">
        <f>0.001*FQ2</f>
        <v>0</v>
      </c>
      <c r="FS64" s="2">
        <f>0.005*FS2</f>
        <v>0</v>
      </c>
      <c r="FT64" s="2">
        <f>0.002*FT2</f>
        <v>0</v>
      </c>
      <c r="FU64" s="2">
        <f>0.001*FU2</f>
        <v>0</v>
      </c>
      <c r="FV64" s="2">
        <f>0.003*FV2</f>
        <v>0</v>
      </c>
      <c r="FY64" s="2">
        <f>0.03*FY2</f>
        <v>0</v>
      </c>
      <c r="FZ64" s="2">
        <f>0.002*FZ2</f>
        <v>0</v>
      </c>
      <c r="GI64" s="2">
        <f>0.001*GI2</f>
        <v>0</v>
      </c>
      <c r="GN64" s="2">
        <f>0.002*GN2</f>
        <v>0</v>
      </c>
      <c r="GO64" s="2">
        <f>0.001*GO2</f>
        <v>0</v>
      </c>
      <c r="GR64" s="2">
        <f>0.019*GR2</f>
        <v>0</v>
      </c>
      <c r="GS64" s="2">
        <f>0.006*GS2</f>
        <v>0</v>
      </c>
      <c r="GW64" s="2">
        <f>0.003*GW2</f>
        <v>0</v>
      </c>
    </row>
    <row r="65" spans="1:213" x14ac:dyDescent="0.25">
      <c r="A65" s="6" t="s">
        <v>259</v>
      </c>
      <c r="B65" s="22" t="s">
        <v>261</v>
      </c>
      <c r="C65" s="30">
        <f>D65*1</f>
        <v>0</v>
      </c>
      <c r="D65" s="30">
        <f>SUM(E65:FKK65)</f>
        <v>0</v>
      </c>
      <c r="EZ65" s="2">
        <f>0.047*EZ2</f>
        <v>0</v>
      </c>
      <c r="GQ65" s="2">
        <f>0.056*GQ2</f>
        <v>0</v>
      </c>
    </row>
    <row r="66" spans="1:213" x14ac:dyDescent="0.25">
      <c r="A66" s="6" t="s">
        <v>259</v>
      </c>
      <c r="B66" s="22" t="s">
        <v>262</v>
      </c>
      <c r="C66" s="30">
        <f>D66*1</f>
        <v>0</v>
      </c>
      <c r="D66" s="30">
        <f>SUM(E66:FKK66)</f>
        <v>0</v>
      </c>
      <c r="CW66" s="2">
        <f>0.042*CW2</f>
        <v>0</v>
      </c>
      <c r="CX66" s="2">
        <f>0.035*CX2</f>
        <v>0</v>
      </c>
      <c r="CY66" s="2">
        <f>0.035*CY2</f>
        <v>0</v>
      </c>
      <c r="DB66" s="2">
        <f>0.032*DB2</f>
        <v>0</v>
      </c>
      <c r="DC66" s="2">
        <f>0.032*DC2</f>
        <v>0</v>
      </c>
      <c r="DD66" s="2">
        <f>0.035*DD2</f>
        <v>0</v>
      </c>
      <c r="FG66" s="2">
        <f>0.038*FG2</f>
        <v>0</v>
      </c>
      <c r="FH66" s="2">
        <f>0.038*FH2</f>
        <v>0</v>
      </c>
      <c r="FI66" s="2">
        <f>0.038*FI2</f>
        <v>0</v>
      </c>
      <c r="FJ66" s="2">
        <f>0.038*FJ2</f>
        <v>0</v>
      </c>
      <c r="FL66" s="2">
        <f>0.038*FL2</f>
        <v>0</v>
      </c>
      <c r="GA66" s="2">
        <f>0.038*GA2</f>
        <v>0</v>
      </c>
      <c r="GB66" s="2">
        <f>0.024*GB2</f>
        <v>0</v>
      </c>
      <c r="GY66" s="2">
        <f>0.032*GY2</f>
        <v>0</v>
      </c>
      <c r="GZ66" s="2">
        <f>0.037*GZ2</f>
        <v>0</v>
      </c>
      <c r="HA66" s="2">
        <f>0.021*HA2</f>
        <v>0</v>
      </c>
    </row>
    <row r="67" spans="1:213" s="7" customFormat="1" ht="8.25" customHeight="1" x14ac:dyDescent="0.25">
      <c r="A67" s="18"/>
      <c r="B67" s="18"/>
    </row>
    <row r="68" spans="1:213" ht="30" customHeight="1" x14ac:dyDescent="0.25">
      <c r="A68" s="6" t="s">
        <v>263</v>
      </c>
      <c r="B68" s="22" t="s">
        <v>263</v>
      </c>
      <c r="C68" s="30">
        <f>D68*1</f>
        <v>0</v>
      </c>
      <c r="D68" s="30">
        <f>SUM(E68:FKK68)</f>
        <v>0</v>
      </c>
      <c r="G68" s="2">
        <f>15*G2</f>
        <v>0</v>
      </c>
      <c r="I68" s="2">
        <f>18*I2</f>
        <v>0</v>
      </c>
      <c r="J68" s="2">
        <f>7*J2</f>
        <v>0</v>
      </c>
      <c r="K68" s="2">
        <f>24*K2</f>
        <v>0</v>
      </c>
      <c r="Y68" s="2">
        <f>12*Y2</f>
        <v>0</v>
      </c>
      <c r="Z68" s="2">
        <f>9*Z2</f>
        <v>0</v>
      </c>
      <c r="AA68" s="2">
        <f>9*AA2</f>
        <v>0</v>
      </c>
      <c r="AB68" s="2">
        <f>13*AB2</f>
        <v>0</v>
      </c>
      <c r="AK68" s="2">
        <f>13*AK2</f>
        <v>0</v>
      </c>
      <c r="AL68" s="2">
        <f>1*AL2</f>
        <v>0</v>
      </c>
      <c r="AQ68" s="2">
        <f>1*AQ2</f>
        <v>0</v>
      </c>
      <c r="AV68" s="2">
        <f>18*AV2</f>
        <v>0</v>
      </c>
      <c r="BE68" s="2">
        <f>7*BE2</f>
        <v>0</v>
      </c>
      <c r="BL68" s="2">
        <f>13*BL2</f>
        <v>0</v>
      </c>
      <c r="BP68" s="2">
        <f>19*BP2</f>
        <v>0</v>
      </c>
      <c r="BX68" s="2">
        <f>17*BX2</f>
        <v>0</v>
      </c>
      <c r="BY68" s="2">
        <f>20*BY2</f>
        <v>0</v>
      </c>
      <c r="CG68" s="2">
        <f>17*CG2</f>
        <v>0</v>
      </c>
      <c r="CI68" s="2">
        <f>4*CI2</f>
        <v>0</v>
      </c>
      <c r="CJ68" s="2">
        <f>13*CJ2</f>
        <v>0</v>
      </c>
      <c r="CK68" s="2">
        <f>10*CK2</f>
        <v>0</v>
      </c>
      <c r="CL68" s="2">
        <f>9*CL2</f>
        <v>0</v>
      </c>
      <c r="CQ68" s="2">
        <f>8*CQ2</f>
        <v>0</v>
      </c>
      <c r="CW68" s="2">
        <f>2*CW2</f>
        <v>0</v>
      </c>
      <c r="CX68" s="2">
        <f>2*CX2</f>
        <v>0</v>
      </c>
      <c r="CY68" s="2">
        <f>2*CY2</f>
        <v>0</v>
      </c>
      <c r="DB68" s="2">
        <f>2*DB2</f>
        <v>0</v>
      </c>
      <c r="DC68" s="2">
        <f>2*DC2</f>
        <v>0</v>
      </c>
      <c r="DD68" s="2">
        <f>2*DD2</f>
        <v>0</v>
      </c>
      <c r="DL68" s="2">
        <f>2*DL2</f>
        <v>0</v>
      </c>
      <c r="DV68" s="2">
        <f>8*DV2</f>
        <v>0</v>
      </c>
      <c r="DX68" s="2">
        <f>17*DX2</f>
        <v>0</v>
      </c>
      <c r="DY68" s="2">
        <f>15*DY2</f>
        <v>0</v>
      </c>
      <c r="DZ68" s="2">
        <f>15*DZ2</f>
        <v>0</v>
      </c>
      <c r="EA68" s="2">
        <f>12*EA2</f>
        <v>0</v>
      </c>
      <c r="EB68" s="2">
        <f>9*EB2</f>
        <v>0</v>
      </c>
      <c r="EC68" s="2">
        <f>9*EC2</f>
        <v>0</v>
      </c>
      <c r="EG68" s="2">
        <f>7*EG2</f>
        <v>0</v>
      </c>
      <c r="EI68" s="2">
        <f>12*EI2</f>
        <v>0</v>
      </c>
      <c r="EK68" s="2">
        <f>12*EK2</f>
        <v>0</v>
      </c>
      <c r="EL68" s="2">
        <f>15*EL2</f>
        <v>0</v>
      </c>
      <c r="EM68" s="2">
        <f>7*EM2</f>
        <v>0</v>
      </c>
      <c r="EO68" s="2">
        <f>6*EO2</f>
        <v>0</v>
      </c>
      <c r="ER68" s="2">
        <f>11*ER2</f>
        <v>0</v>
      </c>
      <c r="ET68" s="2">
        <f>6*ET2</f>
        <v>0</v>
      </c>
      <c r="EU68" s="2">
        <f>7*EU2</f>
        <v>0</v>
      </c>
      <c r="EV68" s="2">
        <f>42*EV2</f>
        <v>0</v>
      </c>
      <c r="EW68" s="2">
        <f>25*EW2</f>
        <v>0</v>
      </c>
      <c r="EX68" s="2">
        <f>6*EX2</f>
        <v>0</v>
      </c>
      <c r="EY68" s="2">
        <f>21*EY2</f>
        <v>0</v>
      </c>
      <c r="EZ68" s="2">
        <f>13*EZ2</f>
        <v>0</v>
      </c>
      <c r="FB68" s="2">
        <f>10*FB2</f>
        <v>0</v>
      </c>
      <c r="FC68" s="2">
        <f>16*FC2</f>
        <v>0</v>
      </c>
      <c r="FF68" s="2">
        <f>8*FF2</f>
        <v>0</v>
      </c>
      <c r="FH68" s="2">
        <f>25*FH2</f>
        <v>0</v>
      </c>
      <c r="FI68" s="2">
        <f>52*FI2</f>
        <v>0</v>
      </c>
      <c r="FJ68" s="2">
        <f>38*FJ2</f>
        <v>0</v>
      </c>
      <c r="FK68" s="2">
        <f>5*FK2</f>
        <v>0</v>
      </c>
      <c r="FL68" s="2">
        <f>39*FL2</f>
        <v>0</v>
      </c>
      <c r="FM68" s="2">
        <f>11*FM2</f>
        <v>0</v>
      </c>
      <c r="FQ68" s="2">
        <f>6*FQ2</f>
        <v>0</v>
      </c>
      <c r="FS68" s="2">
        <f>9*FS2</f>
        <v>0</v>
      </c>
      <c r="FT68" s="2">
        <f>9*FT2</f>
        <v>0</v>
      </c>
      <c r="FU68" s="2">
        <f>14*FU2</f>
        <v>0</v>
      </c>
      <c r="FV68" s="2">
        <f>7*FV2</f>
        <v>0</v>
      </c>
      <c r="FW68" s="2">
        <f>2*FW2</f>
        <v>0</v>
      </c>
      <c r="FX68" s="2">
        <f>8*FX2</f>
        <v>0</v>
      </c>
      <c r="FY68" s="2">
        <f>11*FY2</f>
        <v>0</v>
      </c>
      <c r="FZ68" s="2">
        <f>4*FZ2</f>
        <v>0</v>
      </c>
      <c r="GA68" s="2">
        <f>52*GA2</f>
        <v>0</v>
      </c>
      <c r="GB68" s="2">
        <f>38*GB2</f>
        <v>0</v>
      </c>
      <c r="GC68" s="2">
        <f>14*GC2</f>
        <v>0</v>
      </c>
      <c r="GD68" s="2">
        <f>3*GD2</f>
        <v>0</v>
      </c>
      <c r="GE68" s="2">
        <f>3*GE2</f>
        <v>0</v>
      </c>
      <c r="GF68" s="2">
        <f>3*GF2</f>
        <v>0</v>
      </c>
      <c r="GG68" s="2">
        <f>8*GG2</f>
        <v>0</v>
      </c>
      <c r="GH68" s="2">
        <f>18*GH2</f>
        <v>0</v>
      </c>
      <c r="GI68" s="2">
        <f>6*GI2</f>
        <v>0</v>
      </c>
      <c r="GJ68" s="2">
        <f>11*GJ2</f>
        <v>0</v>
      </c>
      <c r="GK68" s="2">
        <f>8*GK2</f>
        <v>0</v>
      </c>
      <c r="GL68" s="2">
        <f>1*GL2</f>
        <v>0</v>
      </c>
      <c r="GM68" s="2">
        <f>12*GM2</f>
        <v>0</v>
      </c>
      <c r="GN68" s="2">
        <f>5*GN2</f>
        <v>0</v>
      </c>
      <c r="GO68" s="2">
        <f>6*GO2</f>
        <v>0</v>
      </c>
      <c r="GP68" s="2">
        <f>14*GP2</f>
        <v>0</v>
      </c>
      <c r="GQ68" s="2">
        <f>1*GQ2</f>
        <v>0</v>
      </c>
      <c r="GR68" s="2">
        <f>1*GR2</f>
        <v>0</v>
      </c>
      <c r="GS68" s="2">
        <f>13*GS2</f>
        <v>0</v>
      </c>
      <c r="GT68" s="2">
        <f>9*GT2</f>
        <v>0</v>
      </c>
      <c r="GU68" s="2">
        <f>1*GU2</f>
        <v>0</v>
      </c>
      <c r="GV68" s="2">
        <f>16*GV2</f>
        <v>0</v>
      </c>
      <c r="GW68" s="2">
        <f>11*GW2</f>
        <v>0</v>
      </c>
      <c r="GX68" s="2">
        <f>17*GX2</f>
        <v>0</v>
      </c>
      <c r="GY68" s="2">
        <f t="shared" ref="GY68:HE68" si="19">2*GY2</f>
        <v>0</v>
      </c>
      <c r="GZ68" s="2">
        <f t="shared" si="19"/>
        <v>0</v>
      </c>
      <c r="HA68" s="2">
        <f t="shared" si="19"/>
        <v>0</v>
      </c>
      <c r="HB68" s="2">
        <f t="shared" si="19"/>
        <v>0</v>
      </c>
      <c r="HC68" s="2">
        <f t="shared" si="19"/>
        <v>0</v>
      </c>
      <c r="HD68" s="2">
        <f t="shared" si="19"/>
        <v>0</v>
      </c>
      <c r="HE68" s="2">
        <f t="shared" si="19"/>
        <v>0</v>
      </c>
    </row>
    <row r="69" spans="1:213" x14ac:dyDescent="0.25">
      <c r="A69" s="6" t="s">
        <v>264</v>
      </c>
      <c r="B69" s="22" t="s">
        <v>265</v>
      </c>
      <c r="C69" s="30">
        <f>D69*1</f>
        <v>0</v>
      </c>
      <c r="D69" s="30">
        <f>SUM(E69:FKK69)</f>
        <v>0</v>
      </c>
      <c r="G69" s="2">
        <f>6*G2</f>
        <v>0</v>
      </c>
      <c r="I69" s="2">
        <f>2*I2</f>
        <v>0</v>
      </c>
      <c r="J69" s="2">
        <f>5*J2</f>
        <v>0</v>
      </c>
      <c r="K69" s="2">
        <f>5*K2</f>
        <v>0</v>
      </c>
      <c r="Y69" s="2">
        <f>6*Y2</f>
        <v>0</v>
      </c>
      <c r="Z69" s="2">
        <f>5*Z2</f>
        <v>0</v>
      </c>
      <c r="AA69" s="2">
        <f>6*AA2</f>
        <v>0</v>
      </c>
      <c r="AB69" s="2">
        <f>6*AB2</f>
        <v>0</v>
      </c>
      <c r="AK69" s="2">
        <f>4*AK2</f>
        <v>0</v>
      </c>
      <c r="AL69" s="2">
        <f>2*AL2</f>
        <v>0</v>
      </c>
      <c r="AQ69" s="2">
        <f>2*AQ2</f>
        <v>0</v>
      </c>
      <c r="AU69" s="2">
        <f>5*AU2</f>
        <v>0</v>
      </c>
      <c r="AV69" s="2">
        <f>6*AV2</f>
        <v>0</v>
      </c>
      <c r="BE69" s="2">
        <f>5*BE2</f>
        <v>0</v>
      </c>
      <c r="BL69" s="2">
        <f>5*BL2</f>
        <v>0</v>
      </c>
      <c r="BP69" s="2">
        <f>5*BP2</f>
        <v>0</v>
      </c>
      <c r="BX69" s="2">
        <f>2*BX2</f>
        <v>0</v>
      </c>
      <c r="BY69" s="2">
        <f>2*BY2</f>
        <v>0</v>
      </c>
      <c r="BZ69" s="2">
        <f>7*BZ2</f>
        <v>0</v>
      </c>
      <c r="CD69" s="2">
        <f>7*CD2</f>
        <v>0</v>
      </c>
      <c r="CG69" s="2">
        <f>7*CG2</f>
        <v>0</v>
      </c>
      <c r="CI69" s="2">
        <f>4*CI2</f>
        <v>0</v>
      </c>
      <c r="CJ69" s="2">
        <f>6*CJ2</f>
        <v>0</v>
      </c>
      <c r="CK69" s="2">
        <f>6*CK2</f>
        <v>0</v>
      </c>
      <c r="CL69" s="2">
        <f>5*CL2</f>
        <v>0</v>
      </c>
      <c r="CQ69" s="2">
        <f>6*CQ2</f>
        <v>0</v>
      </c>
      <c r="CW69" s="2">
        <f>4*CW2</f>
        <v>0</v>
      </c>
      <c r="CX69" s="2">
        <f>4*CX2</f>
        <v>0</v>
      </c>
      <c r="CY69" s="2">
        <f>4*CY2</f>
        <v>0</v>
      </c>
      <c r="DB69" s="2">
        <f>4*DB2</f>
        <v>0</v>
      </c>
      <c r="DC69" s="2">
        <f>4*DC2</f>
        <v>0</v>
      </c>
      <c r="DD69" s="2">
        <f>5*DD2</f>
        <v>0</v>
      </c>
      <c r="DL69" s="2">
        <f>4*DL2</f>
        <v>0</v>
      </c>
      <c r="DV69" s="2">
        <f>3*DV2</f>
        <v>0</v>
      </c>
      <c r="DX69" s="2">
        <f>6*DX2</f>
        <v>0</v>
      </c>
      <c r="DY69" s="2">
        <f>4*DY2</f>
        <v>0</v>
      </c>
      <c r="DZ69" s="2">
        <f>6*DZ2</f>
        <v>0</v>
      </c>
      <c r="EA69" s="2">
        <f>7*EA2</f>
        <v>0</v>
      </c>
      <c r="EB69" s="2">
        <f>6*EB2</f>
        <v>0</v>
      </c>
      <c r="EC69" s="2">
        <f>6*EC2</f>
        <v>0</v>
      </c>
      <c r="EG69" s="2">
        <f>4*EG2</f>
        <v>0</v>
      </c>
      <c r="EI69" s="2">
        <f>5*EI2</f>
        <v>0</v>
      </c>
      <c r="EJ69" s="2">
        <f>12*EJ2</f>
        <v>0</v>
      </c>
      <c r="EK69" s="2">
        <f>8*EK2</f>
        <v>0</v>
      </c>
      <c r="EL69" s="2">
        <f>6*EL2</f>
        <v>0</v>
      </c>
      <c r="EM69" s="2">
        <f>6*EM2</f>
        <v>0</v>
      </c>
      <c r="EO69" s="2">
        <f>4*EO2</f>
        <v>0</v>
      </c>
      <c r="ER69" s="2">
        <f>5*ER2</f>
        <v>0</v>
      </c>
      <c r="ES69" s="2">
        <f>5*ES2</f>
        <v>0</v>
      </c>
      <c r="ET69" s="2">
        <f>4*ET2</f>
        <v>0</v>
      </c>
      <c r="EU69" s="2">
        <f>4*EU2</f>
        <v>0</v>
      </c>
      <c r="EV69" s="2">
        <f>12*EV2</f>
        <v>0</v>
      </c>
      <c r="EW69" s="2">
        <f>4*EW2</f>
        <v>0</v>
      </c>
      <c r="EX69" s="2">
        <f>3*EX2</f>
        <v>0</v>
      </c>
      <c r="EY69" s="2">
        <f>4*EY2</f>
        <v>0</v>
      </c>
      <c r="EZ69" s="2">
        <f>6*EZ2</f>
        <v>0</v>
      </c>
      <c r="FB69" s="2">
        <f>5*FB2</f>
        <v>0</v>
      </c>
      <c r="FC69" s="2">
        <f>7*FC2</f>
        <v>0</v>
      </c>
      <c r="FF69" s="2">
        <f>5*FF2</f>
        <v>0</v>
      </c>
      <c r="FH69" s="2">
        <f>15*FH2</f>
        <v>0</v>
      </c>
      <c r="FI69" s="2">
        <f>21*FI2</f>
        <v>0</v>
      </c>
      <c r="FJ69" s="2">
        <f>19*FJ2</f>
        <v>0</v>
      </c>
      <c r="FK69" s="2">
        <f>3*FK2</f>
        <v>0</v>
      </c>
      <c r="FL69" s="2">
        <f>20*FL2</f>
        <v>0</v>
      </c>
      <c r="FM69" s="2">
        <f>6*FM2</f>
        <v>0</v>
      </c>
      <c r="FQ69" s="2">
        <f>4*FQ2</f>
        <v>0</v>
      </c>
      <c r="FS69" s="2">
        <f>4*FS2</f>
        <v>0</v>
      </c>
      <c r="FT69" s="2">
        <f>5*FT2</f>
        <v>0</v>
      </c>
      <c r="FU69" s="2">
        <f>9*FU2</f>
        <v>0</v>
      </c>
      <c r="FV69" s="2">
        <f>5*FV2</f>
        <v>0</v>
      </c>
      <c r="FW69" s="2">
        <f>5*FW2</f>
        <v>0</v>
      </c>
      <c r="FX69" s="2">
        <f>4*FX2</f>
        <v>0</v>
      </c>
      <c r="FY69" s="2">
        <f>3*FY2</f>
        <v>0</v>
      </c>
      <c r="FZ69" s="2">
        <f>5*FZ2</f>
        <v>0</v>
      </c>
      <c r="GA69" s="2">
        <f>16*GA2</f>
        <v>0</v>
      </c>
      <c r="GB69" s="2">
        <f>12*GB2</f>
        <v>0</v>
      </c>
      <c r="GC69" s="2">
        <f>5*GC2</f>
        <v>0</v>
      </c>
      <c r="GD69" s="2">
        <f>1*GD2</f>
        <v>0</v>
      </c>
      <c r="GE69" s="2">
        <f>1*GE2</f>
        <v>0</v>
      </c>
      <c r="GF69" s="2">
        <f>1*GF2</f>
        <v>0</v>
      </c>
      <c r="GG69" s="2">
        <f>1*GG2</f>
        <v>0</v>
      </c>
      <c r="GH69" s="2">
        <f>7*GH2</f>
        <v>0</v>
      </c>
      <c r="GI69" s="2">
        <f>3*GI2</f>
        <v>0</v>
      </c>
      <c r="GK69" s="2">
        <f>6*GK2</f>
        <v>0</v>
      </c>
      <c r="GL69" s="2">
        <f>0*GL2</f>
        <v>0</v>
      </c>
      <c r="GM69" s="2">
        <f>5*GM2</f>
        <v>0</v>
      </c>
      <c r="GN69" s="2">
        <f>5*GN2</f>
        <v>0</v>
      </c>
      <c r="GO69" s="2">
        <f>3*GO2</f>
        <v>0</v>
      </c>
      <c r="GP69" s="2">
        <f>5*GP2</f>
        <v>0</v>
      </c>
      <c r="GQ69" s="2">
        <f>0*GQ2</f>
        <v>0</v>
      </c>
      <c r="GR69" s="2">
        <f>2*GR2</f>
        <v>0</v>
      </c>
      <c r="GS69" s="2">
        <f>6*GS2</f>
        <v>0</v>
      </c>
      <c r="GT69" s="2">
        <f>6*GT2</f>
        <v>0</v>
      </c>
      <c r="GU69" s="2">
        <f>0*GU2</f>
        <v>0</v>
      </c>
      <c r="GV69" s="2">
        <f>3*GV2</f>
        <v>0</v>
      </c>
      <c r="GW69" s="2">
        <f>3*GW2</f>
        <v>0</v>
      </c>
      <c r="GX69" s="2">
        <f>5*GX2</f>
        <v>0</v>
      </c>
      <c r="GY69" s="2">
        <f>4*GY2</f>
        <v>0</v>
      </c>
      <c r="GZ69" s="2">
        <f>5*GZ2</f>
        <v>0</v>
      </c>
      <c r="HA69" s="2">
        <f>4*HA2</f>
        <v>0</v>
      </c>
      <c r="HB69" s="2">
        <f>4*HB2</f>
        <v>0</v>
      </c>
      <c r="HC69" s="2">
        <f>4*HC2</f>
        <v>0</v>
      </c>
      <c r="HD69" s="2">
        <f>4*HD2</f>
        <v>0</v>
      </c>
      <c r="HE69" s="2">
        <f>4*HE2</f>
        <v>0</v>
      </c>
    </row>
    <row r="70" spans="1:213" x14ac:dyDescent="0.25">
      <c r="A70" s="6" t="s">
        <v>266</v>
      </c>
      <c r="B70" s="22" t="s">
        <v>265</v>
      </c>
      <c r="C70" s="30">
        <f>D70*1</f>
        <v>0</v>
      </c>
      <c r="D70" s="30">
        <f>SUM(E70:FKK70)</f>
        <v>0</v>
      </c>
      <c r="GJ70" s="2">
        <f>21*GJ2</f>
        <v>0</v>
      </c>
    </row>
    <row r="71" spans="1:213" s="27" customFormat="1" ht="22.5" customHeight="1" x14ac:dyDescent="0.25">
      <c r="AU71" s="28"/>
      <c r="BB71" s="28"/>
      <c r="BC71" s="28"/>
      <c r="BE71" s="28"/>
      <c r="BR71" s="29"/>
      <c r="BS71" s="29"/>
      <c r="BT71" s="29"/>
      <c r="BU71" s="29"/>
      <c r="BV71" s="29"/>
      <c r="BW71" s="29"/>
      <c r="BX71" s="29"/>
      <c r="BY71" s="29"/>
    </row>
    <row r="72" spans="1:213" x14ac:dyDescent="0.25">
      <c r="A72" s="4" t="s">
        <v>267</v>
      </c>
      <c r="B72" s="30" t="s">
        <v>240</v>
      </c>
      <c r="C72" s="30">
        <f t="shared" ref="C72:C103" si="20">D72</f>
        <v>0</v>
      </c>
      <c r="D72" s="30">
        <f t="shared" ref="D72:D103" si="21">SUM(E72:FKK72)</f>
        <v>0</v>
      </c>
      <c r="AU72" s="3"/>
      <c r="BB72" s="3"/>
      <c r="BC72" s="3"/>
      <c r="BE72" s="3"/>
      <c r="BR72" s="5"/>
      <c r="BS72" s="5"/>
      <c r="BT72" s="5"/>
      <c r="BU72" s="5"/>
      <c r="BV72" s="5"/>
      <c r="BW72" s="5"/>
      <c r="BX72" s="5"/>
      <c r="BY72" s="5"/>
      <c r="EG72" s="2">
        <f>1*EG2</f>
        <v>0</v>
      </c>
    </row>
    <row r="73" spans="1:213" ht="30" customHeight="1" x14ac:dyDescent="0.25">
      <c r="A73" s="4" t="s">
        <v>268</v>
      </c>
      <c r="B73" s="30" t="s">
        <v>240</v>
      </c>
      <c r="C73" s="30">
        <f t="shared" si="20"/>
        <v>0</v>
      </c>
      <c r="D73" s="30">
        <f t="shared" si="21"/>
        <v>0</v>
      </c>
      <c r="AU73" s="3"/>
      <c r="BB73" s="3"/>
      <c r="BC73" s="3"/>
      <c r="BE73" s="3"/>
      <c r="BR73" s="5"/>
      <c r="BS73" s="5"/>
      <c r="BT73" s="5"/>
      <c r="BU73" s="5"/>
      <c r="BV73" s="5"/>
      <c r="BW73" s="5"/>
      <c r="BX73" s="5"/>
      <c r="BY73" s="5"/>
      <c r="DX73" s="2">
        <f>1*DX2</f>
        <v>0</v>
      </c>
    </row>
    <row r="74" spans="1:213" ht="30" customHeight="1" x14ac:dyDescent="0.25">
      <c r="A74" s="4" t="s">
        <v>269</v>
      </c>
      <c r="B74" s="30" t="s">
        <v>240</v>
      </c>
      <c r="C74" s="30">
        <f t="shared" si="20"/>
        <v>0</v>
      </c>
      <c r="D74" s="30">
        <f t="shared" si="21"/>
        <v>0</v>
      </c>
      <c r="AU74" s="3"/>
      <c r="BB74" s="3"/>
      <c r="BC74" s="3"/>
      <c r="BE74" s="3"/>
      <c r="BR74" s="5"/>
      <c r="BS74" s="5"/>
      <c r="BT74" s="5"/>
      <c r="BU74" s="5"/>
      <c r="BV74" s="5"/>
      <c r="BW74" s="5"/>
      <c r="BX74" s="5"/>
      <c r="BY74" s="5"/>
      <c r="GZ74" s="2">
        <f>1*GZ2</f>
        <v>0</v>
      </c>
    </row>
    <row r="75" spans="1:213" ht="30" customHeight="1" x14ac:dyDescent="0.25">
      <c r="A75" s="4" t="s">
        <v>270</v>
      </c>
      <c r="B75" s="30" t="s">
        <v>240</v>
      </c>
      <c r="C75" s="30">
        <f t="shared" si="20"/>
        <v>0</v>
      </c>
      <c r="D75" s="30">
        <f t="shared" si="21"/>
        <v>0</v>
      </c>
      <c r="AU75" s="3"/>
      <c r="BB75" s="3"/>
      <c r="BC75" s="3"/>
      <c r="BE75" s="3"/>
      <c r="BR75" s="5"/>
      <c r="BS75" s="5"/>
      <c r="BT75" s="5"/>
      <c r="BU75" s="5"/>
      <c r="BV75" s="5"/>
      <c r="BW75" s="5"/>
      <c r="BX75" s="5"/>
      <c r="BY75" s="5"/>
    </row>
    <row r="76" spans="1:213" ht="30" customHeight="1" x14ac:dyDescent="0.25">
      <c r="A76" s="4" t="s">
        <v>271</v>
      </c>
      <c r="B76" s="30" t="s">
        <v>240</v>
      </c>
      <c r="C76" s="30">
        <f t="shared" si="20"/>
        <v>0</v>
      </c>
      <c r="D76" s="30">
        <f t="shared" si="21"/>
        <v>0</v>
      </c>
      <c r="AU76" s="3"/>
      <c r="BB76" s="3"/>
      <c r="BC76" s="3"/>
      <c r="BE76" s="3"/>
      <c r="BR76" s="5"/>
      <c r="BS76" s="5"/>
      <c r="BT76" s="5"/>
      <c r="BU76" s="5"/>
      <c r="BV76" s="5"/>
      <c r="BW76" s="5"/>
      <c r="BX76" s="5"/>
      <c r="BY76" s="5"/>
      <c r="DD76" s="2">
        <f>1*DD2</f>
        <v>0</v>
      </c>
    </row>
    <row r="77" spans="1:213" x14ac:dyDescent="0.25">
      <c r="A77" s="2" t="s">
        <v>272</v>
      </c>
      <c r="B77" s="30" t="s">
        <v>240</v>
      </c>
      <c r="C77" s="30">
        <f t="shared" si="20"/>
        <v>0</v>
      </c>
      <c r="D77" s="30">
        <f t="shared" si="21"/>
        <v>0</v>
      </c>
      <c r="AU77" s="3"/>
      <c r="BB77" s="3"/>
      <c r="BC77" s="3"/>
      <c r="BE77" s="3"/>
      <c r="BR77" s="5"/>
      <c r="BS77" s="5"/>
      <c r="BT77" s="5"/>
      <c r="BU77" s="5"/>
      <c r="BV77" s="5"/>
      <c r="BW77" s="5"/>
      <c r="BX77" s="5"/>
      <c r="BY77" s="5"/>
      <c r="DY77" s="2">
        <f>1*DY2</f>
        <v>0</v>
      </c>
    </row>
    <row r="78" spans="1:213" x14ac:dyDescent="0.25">
      <c r="A78" s="2" t="s">
        <v>273</v>
      </c>
      <c r="B78" s="30" t="s">
        <v>240</v>
      </c>
      <c r="C78" s="30">
        <f t="shared" si="20"/>
        <v>0</v>
      </c>
      <c r="D78" s="30">
        <f t="shared" si="21"/>
        <v>0</v>
      </c>
      <c r="AU78" s="3"/>
      <c r="BB78" s="3"/>
      <c r="BC78" s="3"/>
      <c r="BE78" s="3"/>
      <c r="BR78" s="5"/>
      <c r="BS78" s="5"/>
      <c r="BT78" s="5"/>
      <c r="BU78" s="5"/>
      <c r="BV78" s="5"/>
      <c r="BW78" s="5"/>
      <c r="BX78" s="5"/>
      <c r="BY78" s="5"/>
      <c r="GX78" s="2">
        <f>1*GX2</f>
        <v>0</v>
      </c>
    </row>
    <row r="79" spans="1:213" x14ac:dyDescent="0.25">
      <c r="A79" s="2" t="s">
        <v>274</v>
      </c>
      <c r="B79" s="30" t="s">
        <v>240</v>
      </c>
      <c r="C79" s="30">
        <f t="shared" si="20"/>
        <v>0</v>
      </c>
      <c r="D79" s="30">
        <f t="shared" si="21"/>
        <v>0</v>
      </c>
      <c r="AU79" s="3"/>
      <c r="BB79" s="3"/>
      <c r="BC79" s="3"/>
      <c r="BE79" s="3"/>
      <c r="BR79" s="5"/>
      <c r="BS79" s="5"/>
      <c r="BT79" s="5"/>
      <c r="BU79" s="5"/>
      <c r="BV79" s="5"/>
      <c r="BW79" s="5"/>
      <c r="BX79" s="5"/>
      <c r="BY79" s="5"/>
      <c r="GW79" s="2">
        <f>1*GW2</f>
        <v>0</v>
      </c>
    </row>
    <row r="80" spans="1:213" x14ac:dyDescent="0.25">
      <c r="A80" s="2" t="s">
        <v>275</v>
      </c>
      <c r="B80" s="30" t="s">
        <v>240</v>
      </c>
      <c r="C80" s="30">
        <f t="shared" si="20"/>
        <v>0</v>
      </c>
      <c r="D80" s="30">
        <f t="shared" si="21"/>
        <v>0</v>
      </c>
      <c r="AU80" s="3"/>
      <c r="BB80" s="3"/>
      <c r="BC80" s="3"/>
      <c r="BE80" s="3"/>
      <c r="BR80" s="5"/>
      <c r="BS80" s="5"/>
      <c r="BT80" s="5"/>
      <c r="BU80" s="5"/>
      <c r="BV80" s="5"/>
      <c r="BW80" s="5"/>
      <c r="BX80" s="5"/>
      <c r="BY80" s="5"/>
      <c r="GS80" s="2">
        <f>1*GS2</f>
        <v>0</v>
      </c>
    </row>
    <row r="81" spans="1:203" x14ac:dyDescent="0.25">
      <c r="A81" s="2" t="s">
        <v>276</v>
      </c>
      <c r="B81" s="30" t="s">
        <v>240</v>
      </c>
      <c r="C81" s="30">
        <f t="shared" si="20"/>
        <v>0</v>
      </c>
      <c r="D81" s="30">
        <f t="shared" si="21"/>
        <v>0</v>
      </c>
      <c r="AU81" s="3"/>
      <c r="BB81" s="3"/>
      <c r="BC81" s="3"/>
      <c r="BE81" s="3"/>
      <c r="BR81" s="5"/>
      <c r="BS81" s="5"/>
      <c r="BT81" s="5"/>
      <c r="BU81" s="5"/>
      <c r="BV81" s="5"/>
      <c r="BW81" s="5"/>
      <c r="BX81" s="5"/>
      <c r="BY81" s="5"/>
      <c r="GT81" s="2">
        <f>1*GT2</f>
        <v>0</v>
      </c>
    </row>
    <row r="82" spans="1:203" x14ac:dyDescent="0.25">
      <c r="A82" s="2" t="s">
        <v>277</v>
      </c>
      <c r="B82" s="30" t="s">
        <v>240</v>
      </c>
      <c r="C82" s="30">
        <f t="shared" si="20"/>
        <v>0</v>
      </c>
      <c r="D82" s="30">
        <f t="shared" si="21"/>
        <v>0</v>
      </c>
      <c r="L82" s="2">
        <f>1*L2</f>
        <v>0</v>
      </c>
      <c r="O82" s="2">
        <f>1*O2</f>
        <v>0</v>
      </c>
      <c r="AU82" s="3"/>
      <c r="BB82" s="3"/>
      <c r="BC82" s="3"/>
      <c r="BE82" s="3"/>
      <c r="BR82" s="5"/>
      <c r="BS82" s="5"/>
      <c r="BT82" s="5"/>
      <c r="BU82" s="5"/>
      <c r="BV82" s="5"/>
      <c r="BW82" s="5"/>
      <c r="BX82" s="5"/>
      <c r="BY82" s="5"/>
    </row>
    <row r="83" spans="1:203" x14ac:dyDescent="0.25">
      <c r="A83" s="2" t="s">
        <v>278</v>
      </c>
      <c r="B83" s="30" t="s">
        <v>240</v>
      </c>
      <c r="C83" s="30">
        <f t="shared" si="20"/>
        <v>0</v>
      </c>
      <c r="D83" s="30">
        <f t="shared" si="21"/>
        <v>0</v>
      </c>
      <c r="E83" s="30"/>
      <c r="F83" s="30"/>
      <c r="G83" s="30"/>
      <c r="H83" s="30"/>
      <c r="I83" s="30"/>
      <c r="J83" s="30"/>
      <c r="K83" s="30"/>
      <c r="L83" s="30"/>
      <c r="M83" s="30"/>
      <c r="N83" s="30"/>
      <c r="AU83" s="3"/>
      <c r="BB83" s="3"/>
      <c r="BC83" s="3"/>
      <c r="BE83" s="3"/>
      <c r="BR83" s="5"/>
      <c r="BS83" s="5"/>
      <c r="BT83" s="5"/>
      <c r="BU83" s="5"/>
      <c r="BV83" s="5"/>
      <c r="BW83" s="5"/>
      <c r="BX83" s="5"/>
      <c r="BY83" s="5"/>
    </row>
    <row r="84" spans="1:203" x14ac:dyDescent="0.25">
      <c r="A84" s="2" t="s">
        <v>279</v>
      </c>
      <c r="B84" s="30" t="s">
        <v>240</v>
      </c>
      <c r="C84" s="30">
        <f t="shared" si="20"/>
        <v>0</v>
      </c>
      <c r="D84" s="30">
        <f t="shared" si="21"/>
        <v>0</v>
      </c>
      <c r="P84" s="2">
        <f>1*P2</f>
        <v>0</v>
      </c>
      <c r="AU84" s="3"/>
      <c r="BB84" s="3"/>
      <c r="BC84" s="3"/>
      <c r="BE84" s="3"/>
      <c r="BR84" s="5"/>
      <c r="BS84" s="5"/>
      <c r="BT84" s="5"/>
      <c r="BU84" s="5"/>
      <c r="BV84" s="5"/>
      <c r="BW84" s="5"/>
      <c r="BX84" s="5"/>
      <c r="BY84" s="5"/>
    </row>
    <row r="85" spans="1:203" x14ac:dyDescent="0.25">
      <c r="A85" s="2" t="s">
        <v>280</v>
      </c>
      <c r="B85" s="30" t="s">
        <v>240</v>
      </c>
      <c r="C85" s="30">
        <f t="shared" si="20"/>
        <v>0</v>
      </c>
      <c r="D85" s="30">
        <f t="shared" si="21"/>
        <v>0</v>
      </c>
      <c r="AU85" s="3"/>
      <c r="BB85" s="3"/>
      <c r="BC85" s="3"/>
      <c r="BE85" s="3"/>
      <c r="BR85" s="5"/>
      <c r="BS85" s="5"/>
      <c r="BT85" s="5"/>
      <c r="BU85" s="5"/>
      <c r="BV85" s="5"/>
      <c r="BW85" s="5"/>
      <c r="BX85" s="5"/>
      <c r="BY85" s="5"/>
    </row>
    <row r="86" spans="1:203" x14ac:dyDescent="0.25">
      <c r="A86" s="2" t="s">
        <v>281</v>
      </c>
      <c r="B86" s="30" t="s">
        <v>240</v>
      </c>
      <c r="C86" s="30">
        <f t="shared" si="20"/>
        <v>0</v>
      </c>
      <c r="D86" s="30">
        <f t="shared" si="21"/>
        <v>0</v>
      </c>
      <c r="T86" s="2">
        <f>1*T2</f>
        <v>0</v>
      </c>
      <c r="AU86" s="3"/>
      <c r="BB86" s="3"/>
      <c r="BC86" s="3"/>
      <c r="BE86" s="3"/>
      <c r="BR86" s="5"/>
      <c r="BS86" s="5"/>
      <c r="BT86" s="5"/>
      <c r="BU86" s="5"/>
      <c r="BV86" s="5"/>
      <c r="BW86" s="5"/>
      <c r="BX86" s="5"/>
      <c r="BY86" s="5"/>
    </row>
    <row r="87" spans="1:203" x14ac:dyDescent="0.25">
      <c r="A87" s="2" t="s">
        <v>282</v>
      </c>
      <c r="B87" s="30" t="s">
        <v>240</v>
      </c>
      <c r="C87" s="30">
        <f t="shared" si="20"/>
        <v>0</v>
      </c>
      <c r="D87" s="30">
        <f t="shared" si="21"/>
        <v>0</v>
      </c>
      <c r="AH87" s="2">
        <f>1*AH2</f>
        <v>0</v>
      </c>
      <c r="AU87" s="3"/>
      <c r="BB87" s="3"/>
      <c r="BC87" s="3"/>
      <c r="BE87" s="3"/>
      <c r="BR87" s="5"/>
      <c r="BS87" s="5"/>
      <c r="BT87" s="5"/>
      <c r="BU87" s="5"/>
      <c r="BV87" s="5"/>
      <c r="BW87" s="5"/>
      <c r="BX87" s="5"/>
      <c r="BY87" s="5"/>
    </row>
    <row r="88" spans="1:203" x14ac:dyDescent="0.25">
      <c r="A88" s="2" t="s">
        <v>283</v>
      </c>
      <c r="B88" s="30" t="s">
        <v>240</v>
      </c>
      <c r="C88" s="30">
        <f t="shared" si="20"/>
        <v>0</v>
      </c>
      <c r="D88" s="30">
        <f t="shared" si="21"/>
        <v>0</v>
      </c>
      <c r="AI88" s="2">
        <f>1*AI2</f>
        <v>0</v>
      </c>
      <c r="AU88" s="3"/>
      <c r="BB88" s="3"/>
      <c r="BC88" s="3"/>
      <c r="BE88" s="3"/>
      <c r="BR88" s="5"/>
      <c r="BS88" s="5"/>
      <c r="BT88" s="5"/>
      <c r="BU88" s="5"/>
      <c r="BV88" s="5"/>
      <c r="BW88" s="5"/>
      <c r="BX88" s="5"/>
      <c r="BY88" s="5"/>
    </row>
    <row r="89" spans="1:203" x14ac:dyDescent="0.25">
      <c r="A89" s="2" t="s">
        <v>284</v>
      </c>
      <c r="B89" s="30" t="s">
        <v>240</v>
      </c>
      <c r="C89" s="30">
        <f t="shared" si="20"/>
        <v>0</v>
      </c>
      <c r="D89" s="30">
        <f t="shared" si="21"/>
        <v>0</v>
      </c>
      <c r="AK89" s="2">
        <f>1*AK2</f>
        <v>0</v>
      </c>
      <c r="AU89" s="3"/>
      <c r="BB89" s="3"/>
      <c r="BC89" s="3"/>
      <c r="BE89" s="3"/>
      <c r="BR89" s="5"/>
      <c r="BS89" s="5"/>
      <c r="BT89" s="5"/>
      <c r="BU89" s="5"/>
      <c r="BV89" s="5"/>
      <c r="BW89" s="5"/>
      <c r="BX89" s="5"/>
      <c r="BY89" s="5"/>
    </row>
    <row r="90" spans="1:203" x14ac:dyDescent="0.25">
      <c r="A90" s="2" t="s">
        <v>285</v>
      </c>
      <c r="B90" s="30" t="s">
        <v>240</v>
      </c>
      <c r="C90" s="30">
        <f t="shared" si="20"/>
        <v>0</v>
      </c>
      <c r="D90" s="30">
        <f t="shared" si="21"/>
        <v>0</v>
      </c>
      <c r="AU90" s="3"/>
      <c r="BB90" s="3"/>
      <c r="BC90" s="3"/>
      <c r="BE90" s="3"/>
      <c r="BR90" s="5"/>
      <c r="BS90" s="5"/>
      <c r="BT90" s="5"/>
      <c r="BU90" s="5"/>
      <c r="BV90" s="5"/>
      <c r="BW90" s="5"/>
      <c r="BX90" s="5"/>
      <c r="BY90" s="5"/>
    </row>
    <row r="91" spans="1:203" x14ac:dyDescent="0.25">
      <c r="A91" s="2" t="s">
        <v>286</v>
      </c>
      <c r="B91" s="30" t="s">
        <v>240</v>
      </c>
      <c r="C91" s="30">
        <f t="shared" si="20"/>
        <v>0</v>
      </c>
      <c r="D91" s="30">
        <f t="shared" si="21"/>
        <v>0</v>
      </c>
      <c r="AU91" s="3"/>
      <c r="BB91" s="3"/>
      <c r="BC91" s="3"/>
      <c r="BE91" s="3"/>
      <c r="BO91" s="2">
        <f>1*BO2</f>
        <v>0</v>
      </c>
      <c r="BR91" s="5"/>
      <c r="BS91" s="5"/>
      <c r="BT91" s="5"/>
      <c r="BU91" s="5"/>
      <c r="BV91" s="5"/>
      <c r="BW91" s="5"/>
      <c r="BX91" s="5"/>
      <c r="BY91" s="5"/>
    </row>
    <row r="92" spans="1:203" x14ac:dyDescent="0.25">
      <c r="A92" s="2" t="s">
        <v>287</v>
      </c>
      <c r="B92" s="30" t="s">
        <v>240</v>
      </c>
      <c r="C92" s="30">
        <f t="shared" si="20"/>
        <v>0</v>
      </c>
      <c r="D92" s="30">
        <f t="shared" si="21"/>
        <v>0</v>
      </c>
      <c r="AU92" s="3"/>
      <c r="BB92" s="3"/>
      <c r="BC92" s="3"/>
      <c r="BE92" s="3"/>
      <c r="BR92" s="5"/>
      <c r="BS92" s="5"/>
      <c r="BT92" s="5"/>
      <c r="BU92" s="5"/>
      <c r="BV92" s="5"/>
      <c r="BW92" s="5"/>
      <c r="BX92" s="5"/>
      <c r="BY92" s="5"/>
      <c r="GU92" s="2">
        <f>1*GU2</f>
        <v>0</v>
      </c>
    </row>
    <row r="93" spans="1:203" x14ac:dyDescent="0.25">
      <c r="A93" s="2" t="s">
        <v>288</v>
      </c>
      <c r="B93" s="30" t="s">
        <v>240</v>
      </c>
      <c r="C93" s="30">
        <f t="shared" si="20"/>
        <v>0</v>
      </c>
      <c r="D93" s="30">
        <f t="shared" si="21"/>
        <v>0</v>
      </c>
      <c r="AU93" s="3"/>
      <c r="BB93" s="3"/>
      <c r="BC93" s="3"/>
      <c r="BE93" s="3"/>
      <c r="BN93" s="2">
        <f>1*BN2</f>
        <v>0</v>
      </c>
      <c r="BR93" s="5"/>
      <c r="BS93" s="5"/>
      <c r="BT93" s="5"/>
      <c r="BU93" s="5"/>
      <c r="BV93" s="5"/>
      <c r="BW93" s="5"/>
      <c r="BX93" s="5"/>
      <c r="BY93" s="5"/>
    </row>
    <row r="94" spans="1:203" x14ac:dyDescent="0.25">
      <c r="A94" s="2" t="s">
        <v>288</v>
      </c>
      <c r="B94" s="30" t="s">
        <v>240</v>
      </c>
      <c r="C94" s="30">
        <f t="shared" si="20"/>
        <v>0</v>
      </c>
      <c r="D94" s="30">
        <f t="shared" si="21"/>
        <v>0</v>
      </c>
      <c r="AT94" s="2">
        <f>1*AT2</f>
        <v>0</v>
      </c>
      <c r="AU94" s="3"/>
      <c r="BB94" s="3"/>
      <c r="BC94" s="3"/>
      <c r="BE94" s="3"/>
      <c r="BR94" s="5"/>
      <c r="BS94" s="5"/>
      <c r="BT94" s="5"/>
      <c r="BU94" s="5"/>
      <c r="BV94" s="5"/>
      <c r="BW94" s="5"/>
      <c r="BX94" s="5"/>
      <c r="BY94" s="5"/>
    </row>
    <row r="95" spans="1:203" ht="30" customHeight="1" x14ac:dyDescent="0.25">
      <c r="A95" s="2" t="s">
        <v>289</v>
      </c>
      <c r="B95" s="30" t="s">
        <v>240</v>
      </c>
      <c r="C95" s="30">
        <f t="shared" si="20"/>
        <v>0</v>
      </c>
      <c r="D95" s="30">
        <f t="shared" si="21"/>
        <v>0</v>
      </c>
      <c r="AU95" s="3"/>
      <c r="AX95" s="2">
        <f>1*AX2</f>
        <v>0</v>
      </c>
      <c r="BB95" s="3"/>
      <c r="BC95" s="3"/>
      <c r="BE95" s="3"/>
      <c r="BR95" s="5"/>
      <c r="BS95" s="5"/>
      <c r="BT95" s="5"/>
      <c r="BU95" s="5"/>
      <c r="BV95" s="5"/>
      <c r="BW95" s="5"/>
      <c r="BX95" s="5"/>
      <c r="BY95" s="5"/>
    </row>
    <row r="96" spans="1:203" x14ac:dyDescent="0.25">
      <c r="A96" s="4" t="s">
        <v>290</v>
      </c>
      <c r="B96" s="30" t="s">
        <v>240</v>
      </c>
      <c r="C96" s="30">
        <f t="shared" si="20"/>
        <v>0</v>
      </c>
      <c r="D96" s="30">
        <f t="shared" si="21"/>
        <v>0</v>
      </c>
      <c r="AU96" s="3"/>
      <c r="BB96" s="3"/>
      <c r="BC96" s="3"/>
      <c r="BE96" s="3"/>
      <c r="BR96" s="5"/>
      <c r="BS96" s="5"/>
      <c r="BT96" s="5"/>
      <c r="BU96" s="5"/>
      <c r="BV96" s="5"/>
      <c r="BW96" s="5"/>
      <c r="BX96" s="5"/>
      <c r="BY96" s="5"/>
      <c r="CB96" s="2">
        <f>1*CB2</f>
        <v>0</v>
      </c>
    </row>
    <row r="97" spans="1:82" x14ac:dyDescent="0.25">
      <c r="A97" s="4" t="s">
        <v>291</v>
      </c>
      <c r="B97" s="30" t="s">
        <v>240</v>
      </c>
      <c r="C97" s="30">
        <f t="shared" si="20"/>
        <v>0</v>
      </c>
      <c r="D97" s="30">
        <f t="shared" si="21"/>
        <v>0</v>
      </c>
      <c r="G97" s="2">
        <f>1*G2</f>
        <v>0</v>
      </c>
      <c r="AU97" s="3"/>
      <c r="BB97" s="3"/>
      <c r="BC97" s="3"/>
      <c r="BE97" s="3"/>
      <c r="BR97" s="5"/>
      <c r="BS97" s="5"/>
      <c r="BT97" s="5"/>
      <c r="BU97" s="5"/>
      <c r="BV97" s="5"/>
      <c r="BW97" s="5"/>
      <c r="BX97" s="5"/>
      <c r="BY97" s="5"/>
    </row>
    <row r="98" spans="1:82" x14ac:dyDescent="0.25">
      <c r="A98" s="2" t="s">
        <v>292</v>
      </c>
      <c r="B98" s="2" t="s">
        <v>240</v>
      </c>
      <c r="C98" s="2">
        <f t="shared" si="20"/>
        <v>0</v>
      </c>
      <c r="D98" s="30">
        <f t="shared" si="21"/>
        <v>0</v>
      </c>
      <c r="AU98" s="3"/>
      <c r="BB98" s="3"/>
      <c r="BC98" s="3"/>
      <c r="BE98" s="3"/>
      <c r="BR98" s="5"/>
      <c r="BS98" s="5"/>
      <c r="BT98" s="5"/>
      <c r="BU98" s="5"/>
      <c r="BV98" s="5"/>
      <c r="BW98" s="5"/>
      <c r="BX98" s="5"/>
      <c r="BY98" s="5"/>
    </row>
    <row r="99" spans="1:82" x14ac:dyDescent="0.25">
      <c r="A99" s="2" t="s">
        <v>293</v>
      </c>
      <c r="B99" s="2" t="s">
        <v>240</v>
      </c>
      <c r="C99" s="2">
        <f t="shared" si="20"/>
        <v>0</v>
      </c>
      <c r="D99" s="30">
        <f t="shared" si="21"/>
        <v>0</v>
      </c>
      <c r="H99" s="2">
        <f>1*H2</f>
        <v>0</v>
      </c>
      <c r="AU99" s="3"/>
      <c r="BB99" s="3"/>
      <c r="BC99" s="3"/>
      <c r="BE99" s="3"/>
      <c r="BR99" s="5"/>
      <c r="BS99" s="5"/>
      <c r="BT99" s="5"/>
      <c r="BU99" s="5"/>
      <c r="BV99" s="5"/>
      <c r="BW99" s="5"/>
      <c r="BX99" s="5"/>
      <c r="BY99" s="5"/>
    </row>
    <row r="100" spans="1:82" x14ac:dyDescent="0.25">
      <c r="A100" s="2" t="s">
        <v>294</v>
      </c>
      <c r="B100" s="2" t="s">
        <v>240</v>
      </c>
      <c r="C100" s="2">
        <f t="shared" si="20"/>
        <v>0</v>
      </c>
      <c r="D100" s="30">
        <f t="shared" si="21"/>
        <v>0</v>
      </c>
      <c r="U100" s="2">
        <f>1*U2</f>
        <v>0</v>
      </c>
      <c r="AW100" s="2">
        <f>1*AW2</f>
        <v>0</v>
      </c>
      <c r="AY100" s="2">
        <f>1*AY2</f>
        <v>0</v>
      </c>
      <c r="AZ100" s="2">
        <f>AZ2*1</f>
        <v>0</v>
      </c>
      <c r="BB100" s="2">
        <f>1*BB2</f>
        <v>0</v>
      </c>
      <c r="BC100" s="2">
        <f>BC2*1</f>
        <v>0</v>
      </c>
      <c r="BD100" s="2">
        <f>1*BD2</f>
        <v>0</v>
      </c>
      <c r="BF100" s="2">
        <f>1*BF2</f>
        <v>0</v>
      </c>
    </row>
    <row r="101" spans="1:82" x14ac:dyDescent="0.25">
      <c r="A101" s="2" t="s">
        <v>295</v>
      </c>
      <c r="B101" s="2" t="s">
        <v>240</v>
      </c>
      <c r="C101" s="2">
        <f t="shared" si="20"/>
        <v>0</v>
      </c>
      <c r="D101" s="30">
        <f t="shared" si="21"/>
        <v>0</v>
      </c>
    </row>
    <row r="102" spans="1:82" x14ac:dyDescent="0.25">
      <c r="A102" s="4" t="s">
        <v>296</v>
      </c>
      <c r="B102" s="30" t="s">
        <v>240</v>
      </c>
      <c r="C102" s="30">
        <f t="shared" si="20"/>
        <v>0</v>
      </c>
      <c r="D102" s="30">
        <f t="shared" si="21"/>
        <v>0</v>
      </c>
      <c r="Y102" s="2">
        <f>1*Y2</f>
        <v>0</v>
      </c>
      <c r="AB102" s="2">
        <f>AB2*1</f>
        <v>0</v>
      </c>
      <c r="AS102" s="2">
        <f>1*AS2</f>
        <v>0</v>
      </c>
      <c r="AV102" s="2">
        <f>1*AV2</f>
        <v>0</v>
      </c>
    </row>
    <row r="103" spans="1:82" x14ac:dyDescent="0.25">
      <c r="A103" s="2" t="s">
        <v>297</v>
      </c>
      <c r="B103" s="2" t="s">
        <v>240</v>
      </c>
      <c r="C103" s="2">
        <f t="shared" si="20"/>
        <v>0</v>
      </c>
      <c r="D103" s="30">
        <f t="shared" si="21"/>
        <v>0</v>
      </c>
      <c r="CC103" s="2">
        <f>1*CC2</f>
        <v>0</v>
      </c>
    </row>
    <row r="104" spans="1:82" x14ac:dyDescent="0.25">
      <c r="A104" s="4" t="s">
        <v>298</v>
      </c>
      <c r="B104" s="30" t="s">
        <v>240</v>
      </c>
      <c r="C104" s="30">
        <f t="shared" ref="C104:C135" si="22">D104</f>
        <v>0</v>
      </c>
      <c r="D104" s="30">
        <f t="shared" ref="D104:D135" si="23">SUM(E104:FKK104)</f>
        <v>0</v>
      </c>
      <c r="BP104" s="2">
        <f>1*BP2</f>
        <v>0</v>
      </c>
      <c r="BQ104" s="2">
        <f>1*BQ2</f>
        <v>0</v>
      </c>
      <c r="CD104" s="2">
        <f>1*CD2</f>
        <v>0</v>
      </c>
    </row>
    <row r="105" spans="1:82" x14ac:dyDescent="0.25">
      <c r="A105" s="2" t="s">
        <v>299</v>
      </c>
      <c r="B105" s="2" t="s">
        <v>240</v>
      </c>
      <c r="C105" s="2">
        <f t="shared" si="22"/>
        <v>0</v>
      </c>
      <c r="D105" s="30">
        <f t="shared" si="23"/>
        <v>0</v>
      </c>
    </row>
    <row r="106" spans="1:82" x14ac:dyDescent="0.25">
      <c r="A106" s="2" t="s">
        <v>294</v>
      </c>
      <c r="B106" s="2" t="s">
        <v>240</v>
      </c>
      <c r="C106" s="2">
        <f t="shared" si="22"/>
        <v>0</v>
      </c>
      <c r="D106" s="30">
        <f t="shared" si="23"/>
        <v>0</v>
      </c>
      <c r="BE106" s="2">
        <f>1*BE2</f>
        <v>0</v>
      </c>
    </row>
    <row r="107" spans="1:82" x14ac:dyDescent="0.25">
      <c r="A107" s="2" t="s">
        <v>300</v>
      </c>
      <c r="B107" s="2" t="s">
        <v>240</v>
      </c>
      <c r="C107" s="2">
        <f t="shared" si="22"/>
        <v>0</v>
      </c>
      <c r="D107" s="30">
        <f t="shared" si="23"/>
        <v>0</v>
      </c>
      <c r="BA107" s="2">
        <f>1*BA2</f>
        <v>0</v>
      </c>
    </row>
    <row r="108" spans="1:82" x14ac:dyDescent="0.25">
      <c r="A108" s="2" t="s">
        <v>301</v>
      </c>
      <c r="B108" s="2" t="s">
        <v>240</v>
      </c>
      <c r="C108" s="2">
        <f t="shared" si="22"/>
        <v>0</v>
      </c>
      <c r="D108" s="30">
        <f t="shared" si="23"/>
        <v>0</v>
      </c>
      <c r="BM108" s="2">
        <f>1*BM2</f>
        <v>0</v>
      </c>
    </row>
    <row r="109" spans="1:82" x14ac:dyDescent="0.25">
      <c r="A109" s="4" t="s">
        <v>302</v>
      </c>
      <c r="B109" s="30" t="s">
        <v>240</v>
      </c>
      <c r="C109" s="30">
        <f t="shared" si="22"/>
        <v>0</v>
      </c>
      <c r="D109" s="30">
        <f t="shared" si="23"/>
        <v>0</v>
      </c>
      <c r="Z109" s="2">
        <f>1*Z2</f>
        <v>0</v>
      </c>
    </row>
    <row r="110" spans="1:82" x14ac:dyDescent="0.25">
      <c r="A110" s="4" t="s">
        <v>303</v>
      </c>
      <c r="B110" s="30" t="s">
        <v>240</v>
      </c>
      <c r="C110" s="30">
        <f t="shared" si="22"/>
        <v>0</v>
      </c>
      <c r="D110" s="30">
        <f t="shared" si="23"/>
        <v>0</v>
      </c>
      <c r="AU110" s="2">
        <f>1*AU2</f>
        <v>0</v>
      </c>
      <c r="BL110" s="2">
        <f>1*BL2</f>
        <v>0</v>
      </c>
    </row>
    <row r="111" spans="1:82" x14ac:dyDescent="0.25">
      <c r="A111" s="4" t="s">
        <v>290</v>
      </c>
      <c r="B111" s="30" t="s">
        <v>240</v>
      </c>
      <c r="C111" s="30">
        <f t="shared" si="22"/>
        <v>0</v>
      </c>
      <c r="D111" s="30">
        <f t="shared" si="23"/>
        <v>0</v>
      </c>
      <c r="J111" s="2">
        <f>1*J2</f>
        <v>0</v>
      </c>
    </row>
    <row r="112" spans="1:82" x14ac:dyDescent="0.25">
      <c r="A112" s="4" t="s">
        <v>304</v>
      </c>
      <c r="B112" s="30" t="s">
        <v>240</v>
      </c>
      <c r="C112" s="30">
        <f t="shared" si="22"/>
        <v>0</v>
      </c>
      <c r="D112" s="30">
        <f t="shared" si="23"/>
        <v>0</v>
      </c>
    </row>
    <row r="113" spans="1:100" x14ac:dyDescent="0.25">
      <c r="A113" s="2" t="s">
        <v>305</v>
      </c>
      <c r="B113" s="2" t="s">
        <v>240</v>
      </c>
      <c r="C113" s="2">
        <f t="shared" si="22"/>
        <v>0</v>
      </c>
      <c r="D113" s="30">
        <f t="shared" si="23"/>
        <v>0</v>
      </c>
      <c r="AC113" s="2">
        <f>1*AC2</f>
        <v>0</v>
      </c>
    </row>
    <row r="114" spans="1:100" x14ac:dyDescent="0.25">
      <c r="A114" s="4" t="s">
        <v>306</v>
      </c>
      <c r="B114" s="30" t="s">
        <v>240</v>
      </c>
      <c r="C114" s="30">
        <f t="shared" si="22"/>
        <v>0</v>
      </c>
      <c r="D114" s="30">
        <f t="shared" si="23"/>
        <v>0</v>
      </c>
      <c r="BX114" s="2">
        <f>1*BX2</f>
        <v>0</v>
      </c>
      <c r="CM114" s="2">
        <f>1*CM2</f>
        <v>0</v>
      </c>
    </row>
    <row r="115" spans="1:100" x14ac:dyDescent="0.25">
      <c r="A115" s="2" t="s">
        <v>307</v>
      </c>
      <c r="B115" s="2" t="s">
        <v>240</v>
      </c>
      <c r="C115" s="2">
        <f t="shared" si="22"/>
        <v>0</v>
      </c>
      <c r="D115" s="30">
        <f t="shared" si="23"/>
        <v>0</v>
      </c>
      <c r="CO115" s="2">
        <f>1*CO2</f>
        <v>0</v>
      </c>
    </row>
    <row r="116" spans="1:100" x14ac:dyDescent="0.25">
      <c r="A116" s="2" t="s">
        <v>308</v>
      </c>
      <c r="B116" s="2" t="s">
        <v>240</v>
      </c>
      <c r="C116" s="2">
        <f t="shared" si="22"/>
        <v>0</v>
      </c>
      <c r="D116" s="30">
        <f t="shared" si="23"/>
        <v>0</v>
      </c>
      <c r="I116" s="2">
        <f>I2*1</f>
        <v>0</v>
      </c>
      <c r="CP116" s="2">
        <f>1*CP2</f>
        <v>0</v>
      </c>
    </row>
    <row r="117" spans="1:100" x14ac:dyDescent="0.25">
      <c r="A117" s="4" t="s">
        <v>309</v>
      </c>
      <c r="B117" s="30" t="s">
        <v>240</v>
      </c>
      <c r="C117" s="30">
        <f t="shared" si="22"/>
        <v>0</v>
      </c>
      <c r="D117" s="30">
        <f t="shared" si="23"/>
        <v>0</v>
      </c>
      <c r="BZ117" s="2">
        <f>1*BZ2</f>
        <v>0</v>
      </c>
    </row>
    <row r="118" spans="1:100" x14ac:dyDescent="0.25">
      <c r="A118" s="2" t="s">
        <v>276</v>
      </c>
      <c r="B118" s="2" t="s">
        <v>240</v>
      </c>
      <c r="C118" s="2">
        <f t="shared" si="22"/>
        <v>0</v>
      </c>
      <c r="D118" s="30">
        <f t="shared" si="23"/>
        <v>0</v>
      </c>
      <c r="CA118" s="2">
        <f>1*CA2</f>
        <v>0</v>
      </c>
    </row>
    <row r="119" spans="1:100" x14ac:dyDescent="0.25">
      <c r="A119" s="4" t="s">
        <v>276</v>
      </c>
      <c r="B119" s="30" t="s">
        <v>240</v>
      </c>
      <c r="C119" s="30">
        <f t="shared" si="22"/>
        <v>0</v>
      </c>
      <c r="D119" s="30">
        <f t="shared" si="23"/>
        <v>0</v>
      </c>
      <c r="CH119" s="2">
        <f>1*CH2</f>
        <v>0</v>
      </c>
    </row>
    <row r="120" spans="1:100" x14ac:dyDescent="0.25">
      <c r="A120" s="4" t="s">
        <v>310</v>
      </c>
      <c r="B120" s="30" t="s">
        <v>240</v>
      </c>
      <c r="C120" s="30">
        <f t="shared" si="22"/>
        <v>0</v>
      </c>
      <c r="D120" s="30">
        <f t="shared" si="23"/>
        <v>0</v>
      </c>
      <c r="CG120" s="2">
        <f>1*CG2</f>
        <v>0</v>
      </c>
    </row>
    <row r="121" spans="1:100" x14ac:dyDescent="0.25">
      <c r="A121" s="4" t="s">
        <v>311</v>
      </c>
      <c r="B121" s="30" t="s">
        <v>240</v>
      </c>
      <c r="C121" s="30">
        <f t="shared" si="22"/>
        <v>0</v>
      </c>
      <c r="D121" s="30">
        <f t="shared" si="23"/>
        <v>0</v>
      </c>
      <c r="K121" s="2">
        <f>1*K2</f>
        <v>0</v>
      </c>
    </row>
    <row r="122" spans="1:100" x14ac:dyDescent="0.25">
      <c r="A122" s="4" t="s">
        <v>312</v>
      </c>
      <c r="B122" s="30" t="s">
        <v>240</v>
      </c>
      <c r="C122" s="30">
        <f t="shared" si="22"/>
        <v>0</v>
      </c>
      <c r="D122" s="30">
        <f t="shared" si="23"/>
        <v>0</v>
      </c>
    </row>
    <row r="123" spans="1:100" x14ac:dyDescent="0.25">
      <c r="A123" s="4" t="s">
        <v>313</v>
      </c>
      <c r="B123" s="30" t="s">
        <v>240</v>
      </c>
      <c r="C123" s="30">
        <f t="shared" si="22"/>
        <v>0</v>
      </c>
      <c r="D123" s="30">
        <f t="shared" si="23"/>
        <v>0</v>
      </c>
      <c r="CI123" s="2">
        <f>1*CI2</f>
        <v>0</v>
      </c>
    </row>
    <row r="124" spans="1:100" x14ac:dyDescent="0.25">
      <c r="A124" s="4" t="s">
        <v>314</v>
      </c>
      <c r="B124" s="30" t="s">
        <v>240</v>
      </c>
      <c r="C124" s="30">
        <f t="shared" si="22"/>
        <v>0</v>
      </c>
      <c r="D124" s="30">
        <f t="shared" si="23"/>
        <v>0</v>
      </c>
      <c r="S124" s="2">
        <f>1*S2</f>
        <v>0</v>
      </c>
      <c r="V124" s="2">
        <f>1*V2</f>
        <v>0</v>
      </c>
      <c r="CT124" s="2">
        <f>1*CT2</f>
        <v>0</v>
      </c>
      <c r="CU124" s="2">
        <f>1*CU2</f>
        <v>0</v>
      </c>
      <c r="CV124" s="2">
        <f>1*CV2</f>
        <v>0</v>
      </c>
    </row>
    <row r="125" spans="1:100" x14ac:dyDescent="0.25">
      <c r="A125" s="2" t="s">
        <v>315</v>
      </c>
      <c r="B125" s="2" t="s">
        <v>240</v>
      </c>
      <c r="C125" s="2">
        <f t="shared" si="22"/>
        <v>0</v>
      </c>
      <c r="D125" s="30">
        <f t="shared" si="23"/>
        <v>0</v>
      </c>
      <c r="BK125" s="2">
        <f>BK2*1</f>
        <v>0</v>
      </c>
    </row>
    <row r="126" spans="1:100" x14ac:dyDescent="0.25">
      <c r="A126" s="2" t="s">
        <v>316</v>
      </c>
      <c r="B126" s="2" t="s">
        <v>240</v>
      </c>
      <c r="C126" s="2">
        <f t="shared" si="22"/>
        <v>0</v>
      </c>
      <c r="D126" s="30">
        <f t="shared" si="23"/>
        <v>0</v>
      </c>
      <c r="BI126" s="2">
        <f>BI2*1</f>
        <v>0</v>
      </c>
    </row>
    <row r="127" spans="1:100" x14ac:dyDescent="0.25">
      <c r="A127" s="2" t="s">
        <v>317</v>
      </c>
      <c r="B127" s="2" t="s">
        <v>240</v>
      </c>
      <c r="C127" s="2">
        <f t="shared" si="22"/>
        <v>0</v>
      </c>
      <c r="D127" s="30">
        <f t="shared" si="23"/>
        <v>0</v>
      </c>
      <c r="W127" s="2">
        <f>W2*1</f>
        <v>0</v>
      </c>
      <c r="X127" s="2">
        <f>X2*1</f>
        <v>0</v>
      </c>
    </row>
    <row r="128" spans="1:100" x14ac:dyDescent="0.25">
      <c r="A128" s="2" t="s">
        <v>318</v>
      </c>
      <c r="B128" s="2" t="s">
        <v>240</v>
      </c>
      <c r="C128" s="2">
        <f t="shared" si="22"/>
        <v>0</v>
      </c>
      <c r="D128" s="30">
        <f t="shared" si="23"/>
        <v>0</v>
      </c>
      <c r="BH128" s="2">
        <f>BH2*1</f>
        <v>0</v>
      </c>
    </row>
    <row r="129" spans="1:196" x14ac:dyDescent="0.25">
      <c r="A129" s="2" t="s">
        <v>319</v>
      </c>
      <c r="B129" s="2" t="s">
        <v>240</v>
      </c>
      <c r="C129" s="2">
        <f t="shared" si="22"/>
        <v>0</v>
      </c>
      <c r="D129" s="30">
        <f t="shared" si="23"/>
        <v>0</v>
      </c>
      <c r="CN129" s="2">
        <f>1*CN2</f>
        <v>0</v>
      </c>
    </row>
    <row r="130" spans="1:196" x14ac:dyDescent="0.25">
      <c r="A130" s="4" t="s">
        <v>320</v>
      </c>
      <c r="B130" s="30" t="s">
        <v>240</v>
      </c>
      <c r="C130" s="30">
        <f t="shared" si="22"/>
        <v>0</v>
      </c>
      <c r="D130" s="30">
        <f t="shared" si="23"/>
        <v>0</v>
      </c>
      <c r="CK130" s="2">
        <f>1*CK2</f>
        <v>0</v>
      </c>
    </row>
    <row r="131" spans="1:196" x14ac:dyDescent="0.25">
      <c r="A131" s="4" t="s">
        <v>314</v>
      </c>
      <c r="B131" s="30" t="s">
        <v>240</v>
      </c>
      <c r="C131" s="30">
        <f t="shared" si="22"/>
        <v>0</v>
      </c>
      <c r="D131" s="30">
        <f t="shared" si="23"/>
        <v>0</v>
      </c>
      <c r="CL131" s="2">
        <f>1*CL2</f>
        <v>0</v>
      </c>
    </row>
    <row r="132" spans="1:196" x14ac:dyDescent="0.25">
      <c r="A132" s="4" t="s">
        <v>321</v>
      </c>
      <c r="B132" s="30" t="s">
        <v>240</v>
      </c>
      <c r="C132" s="30">
        <f t="shared" si="22"/>
        <v>0</v>
      </c>
      <c r="D132" s="30">
        <f t="shared" si="23"/>
        <v>0</v>
      </c>
      <c r="CQ132" s="2">
        <f>1*CQ2</f>
        <v>0</v>
      </c>
    </row>
    <row r="133" spans="1:196" x14ac:dyDescent="0.25">
      <c r="A133" s="4" t="s">
        <v>322</v>
      </c>
      <c r="B133" s="30" t="s">
        <v>240</v>
      </c>
      <c r="C133" s="30">
        <f t="shared" si="22"/>
        <v>0</v>
      </c>
      <c r="D133" s="30">
        <f t="shared" si="23"/>
        <v>0</v>
      </c>
      <c r="CR133" s="2">
        <f>1*CR2</f>
        <v>0</v>
      </c>
    </row>
    <row r="134" spans="1:196" x14ac:dyDescent="0.25">
      <c r="A134" s="4" t="s">
        <v>323</v>
      </c>
      <c r="B134" s="30" t="s">
        <v>240</v>
      </c>
      <c r="C134" s="30">
        <f t="shared" si="22"/>
        <v>0</v>
      </c>
      <c r="D134" s="30">
        <f t="shared" si="23"/>
        <v>0</v>
      </c>
      <c r="DV134" s="2">
        <f>1*DV2</f>
        <v>0</v>
      </c>
    </row>
    <row r="135" spans="1:196" x14ac:dyDescent="0.25">
      <c r="A135" s="4" t="s">
        <v>324</v>
      </c>
      <c r="B135" s="30" t="s">
        <v>240</v>
      </c>
      <c r="C135" s="30">
        <f t="shared" si="22"/>
        <v>0</v>
      </c>
      <c r="D135" s="30">
        <f t="shared" si="23"/>
        <v>0</v>
      </c>
      <c r="R135" s="2">
        <f>1*R2</f>
        <v>0</v>
      </c>
    </row>
    <row r="136" spans="1:196" x14ac:dyDescent="0.25">
      <c r="A136" s="2" t="s">
        <v>325</v>
      </c>
      <c r="B136" s="2" t="s">
        <v>240</v>
      </c>
      <c r="C136" s="2">
        <f t="shared" ref="C136:C167" si="24">D136</f>
        <v>0</v>
      </c>
      <c r="D136" s="30">
        <f t="shared" ref="D136:D167" si="25">SUM(E136:FKK136)</f>
        <v>0</v>
      </c>
    </row>
    <row r="137" spans="1:196" x14ac:dyDescent="0.25">
      <c r="A137" s="2" t="s">
        <v>326</v>
      </c>
      <c r="B137" s="2" t="s">
        <v>240</v>
      </c>
      <c r="C137" s="2">
        <f t="shared" si="24"/>
        <v>0</v>
      </c>
      <c r="D137" s="30">
        <f t="shared" si="25"/>
        <v>0</v>
      </c>
    </row>
    <row r="138" spans="1:196" x14ac:dyDescent="0.25">
      <c r="A138" s="3" t="s">
        <v>327</v>
      </c>
      <c r="B138" s="3" t="s">
        <v>240</v>
      </c>
      <c r="C138" s="2">
        <f t="shared" si="24"/>
        <v>0</v>
      </c>
      <c r="D138" s="30">
        <f t="shared" si="25"/>
        <v>0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Y138" s="3"/>
      <c r="DA138" s="3"/>
      <c r="DB138" s="3"/>
      <c r="DC138" s="3"/>
      <c r="DD138" s="3"/>
      <c r="DL138" s="3"/>
      <c r="DT138" s="3"/>
      <c r="DU138" s="3"/>
      <c r="DV138" s="3"/>
      <c r="DX138" s="3"/>
      <c r="DY138" s="3"/>
      <c r="DZ138" s="3"/>
      <c r="EA138" s="3"/>
      <c r="EB138" s="3"/>
      <c r="EC138" s="3"/>
      <c r="ED138" s="3"/>
      <c r="EE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G138" s="3"/>
      <c r="FH138" s="3"/>
      <c r="FI138" s="3"/>
      <c r="FJ138" s="3"/>
      <c r="FL138" s="3"/>
      <c r="FX138" s="3"/>
      <c r="GC138" s="3"/>
      <c r="GH138" s="3"/>
      <c r="GJ138" s="3"/>
      <c r="GL138" s="3"/>
      <c r="GN138" s="3"/>
    </row>
    <row r="139" spans="1:196" x14ac:dyDescent="0.25">
      <c r="A139" s="2" t="s">
        <v>328</v>
      </c>
      <c r="B139" s="2" t="s">
        <v>240</v>
      </c>
      <c r="C139" s="2">
        <f t="shared" si="24"/>
        <v>0</v>
      </c>
      <c r="D139" s="30">
        <f t="shared" si="25"/>
        <v>0</v>
      </c>
    </row>
    <row r="140" spans="1:196" x14ac:dyDescent="0.25">
      <c r="A140" s="2" t="s">
        <v>329</v>
      </c>
      <c r="B140" s="2" t="s">
        <v>240</v>
      </c>
      <c r="C140" s="2">
        <f t="shared" si="24"/>
        <v>0</v>
      </c>
      <c r="D140" s="30">
        <f t="shared" si="25"/>
        <v>0</v>
      </c>
      <c r="DA140" s="2">
        <f>1*DA2</f>
        <v>0</v>
      </c>
    </row>
    <row r="141" spans="1:196" x14ac:dyDescent="0.25">
      <c r="A141" s="2" t="s">
        <v>330</v>
      </c>
      <c r="B141" s="2" t="s">
        <v>240</v>
      </c>
      <c r="C141" s="2">
        <f t="shared" si="24"/>
        <v>0</v>
      </c>
      <c r="D141" s="30">
        <f t="shared" si="25"/>
        <v>0</v>
      </c>
      <c r="DB141" s="2">
        <f>1*DB2</f>
        <v>0</v>
      </c>
    </row>
    <row r="142" spans="1:196" x14ac:dyDescent="0.25">
      <c r="A142" s="2" t="s">
        <v>331</v>
      </c>
      <c r="B142" s="2" t="s">
        <v>240</v>
      </c>
      <c r="C142" s="2">
        <f t="shared" si="24"/>
        <v>0</v>
      </c>
      <c r="D142" s="30">
        <f t="shared" si="25"/>
        <v>0</v>
      </c>
      <c r="DC142" s="2">
        <f>1*DC2</f>
        <v>0</v>
      </c>
    </row>
    <row r="143" spans="1:196" x14ac:dyDescent="0.25">
      <c r="A143" s="2" t="s">
        <v>332</v>
      </c>
      <c r="B143" s="2" t="s">
        <v>240</v>
      </c>
      <c r="C143" s="2">
        <f t="shared" si="24"/>
        <v>0</v>
      </c>
      <c r="D143" s="30">
        <f t="shared" si="25"/>
        <v>0</v>
      </c>
    </row>
    <row r="144" spans="1:196" x14ac:dyDescent="0.25">
      <c r="A144" s="2" t="s">
        <v>333</v>
      </c>
      <c r="B144" s="2" t="s">
        <v>240</v>
      </c>
      <c r="C144" s="2">
        <f t="shared" si="24"/>
        <v>0</v>
      </c>
      <c r="D144" s="30">
        <f t="shared" si="25"/>
        <v>0</v>
      </c>
    </row>
    <row r="145" spans="1:196" x14ac:dyDescent="0.25">
      <c r="A145" s="3" t="s">
        <v>334</v>
      </c>
      <c r="B145" s="3" t="s">
        <v>240</v>
      </c>
      <c r="C145" s="2">
        <f t="shared" si="24"/>
        <v>0</v>
      </c>
      <c r="D145" s="30">
        <f t="shared" si="25"/>
        <v>0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Y145" s="3"/>
      <c r="DA145" s="3"/>
      <c r="DB145" s="3"/>
      <c r="DC145" s="3"/>
      <c r="DD145" s="3"/>
      <c r="DL145" s="3"/>
      <c r="DT145" s="3"/>
      <c r="DU145" s="3"/>
      <c r="DV145" s="3"/>
      <c r="DX145" s="3"/>
      <c r="DY145" s="3"/>
      <c r="DZ145" s="3"/>
      <c r="EA145" s="3"/>
      <c r="EB145" s="3"/>
      <c r="EC145" s="3"/>
      <c r="ED145" s="3"/>
      <c r="EE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G145" s="3"/>
      <c r="FH145" s="3"/>
      <c r="FI145" s="3"/>
      <c r="FJ145" s="3"/>
      <c r="FL145" s="3"/>
      <c r="FX145" s="3"/>
      <c r="GC145" s="3"/>
      <c r="GH145" s="3"/>
      <c r="GJ145" s="3"/>
      <c r="GL145" s="3"/>
      <c r="GN145" s="3"/>
    </row>
    <row r="146" spans="1:196" x14ac:dyDescent="0.25">
      <c r="A146" s="3" t="s">
        <v>335</v>
      </c>
      <c r="B146" s="3" t="s">
        <v>240</v>
      </c>
      <c r="C146" s="2">
        <f t="shared" si="24"/>
        <v>0</v>
      </c>
      <c r="D146" s="30">
        <f t="shared" si="25"/>
        <v>0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Y146" s="3"/>
      <c r="DA146" s="3"/>
      <c r="DB146" s="3"/>
      <c r="DC146" s="3"/>
      <c r="DD146" s="3"/>
      <c r="DL146" s="3"/>
      <c r="DT146" s="3"/>
      <c r="DU146" s="3"/>
      <c r="DV146" s="3"/>
      <c r="DX146" s="3"/>
      <c r="DY146" s="3"/>
      <c r="DZ146" s="3"/>
      <c r="EA146" s="3"/>
      <c r="EB146" s="3"/>
      <c r="EC146" s="3"/>
      <c r="ED146" s="3"/>
      <c r="EE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G146" s="3"/>
      <c r="FH146" s="3"/>
      <c r="FI146" s="3"/>
      <c r="FJ146" s="3"/>
      <c r="FL146" s="3"/>
      <c r="FX146" s="3"/>
      <c r="GC146" s="3"/>
      <c r="GH146" s="3"/>
      <c r="GJ146" s="3"/>
      <c r="GL146" s="3"/>
      <c r="GN146" s="3"/>
    </row>
    <row r="147" spans="1:196" x14ac:dyDescent="0.25">
      <c r="A147" s="2" t="s">
        <v>336</v>
      </c>
      <c r="B147" s="2" t="s">
        <v>240</v>
      </c>
      <c r="C147" s="2">
        <f t="shared" si="24"/>
        <v>0</v>
      </c>
      <c r="D147" s="30">
        <f t="shared" si="25"/>
        <v>0</v>
      </c>
      <c r="ED147" s="2">
        <f>1*ED2</f>
        <v>0</v>
      </c>
    </row>
    <row r="148" spans="1:196" x14ac:dyDescent="0.25">
      <c r="A148" s="2" t="s">
        <v>337</v>
      </c>
      <c r="B148" s="2" t="s">
        <v>240</v>
      </c>
      <c r="C148" s="2">
        <f t="shared" si="24"/>
        <v>0</v>
      </c>
      <c r="D148" s="30">
        <f t="shared" si="25"/>
        <v>0</v>
      </c>
      <c r="CS148" s="2">
        <f>1*CS2</f>
        <v>0</v>
      </c>
    </row>
    <row r="149" spans="1:196" x14ac:dyDescent="0.25">
      <c r="A149" s="4" t="s">
        <v>338</v>
      </c>
      <c r="B149" s="30" t="s">
        <v>240</v>
      </c>
      <c r="C149" s="30">
        <f t="shared" si="24"/>
        <v>0</v>
      </c>
      <c r="D149" s="30">
        <f t="shared" si="25"/>
        <v>0</v>
      </c>
      <c r="EB149" s="2">
        <f>1*EB2</f>
        <v>0</v>
      </c>
      <c r="EC149" s="2">
        <f>1*EC2</f>
        <v>0</v>
      </c>
    </row>
    <row r="150" spans="1:196" x14ac:dyDescent="0.25">
      <c r="A150" s="2" t="s">
        <v>339</v>
      </c>
      <c r="B150" s="2" t="s">
        <v>240</v>
      </c>
      <c r="C150" s="2">
        <f t="shared" si="24"/>
        <v>0</v>
      </c>
      <c r="D150" s="30">
        <f t="shared" si="25"/>
        <v>0</v>
      </c>
    </row>
    <row r="151" spans="1:196" x14ac:dyDescent="0.25">
      <c r="A151" s="2" t="s">
        <v>340</v>
      </c>
      <c r="B151" s="2" t="s">
        <v>240</v>
      </c>
      <c r="C151" s="2">
        <f t="shared" si="24"/>
        <v>0</v>
      </c>
      <c r="D151" s="30">
        <f t="shared" si="25"/>
        <v>0</v>
      </c>
    </row>
    <row r="152" spans="1:196" x14ac:dyDescent="0.25">
      <c r="A152" s="2" t="s">
        <v>341</v>
      </c>
      <c r="B152" s="2" t="s">
        <v>240</v>
      </c>
      <c r="C152" s="2">
        <f t="shared" si="24"/>
        <v>0</v>
      </c>
      <c r="D152" s="30">
        <f t="shared" si="25"/>
        <v>0</v>
      </c>
      <c r="EE152" s="2">
        <f>1*EE2</f>
        <v>0</v>
      </c>
    </row>
    <row r="153" spans="1:196" x14ac:dyDescent="0.25">
      <c r="A153" s="2" t="s">
        <v>342</v>
      </c>
      <c r="B153" s="2" t="s">
        <v>240</v>
      </c>
      <c r="C153" s="2">
        <f t="shared" si="24"/>
        <v>0</v>
      </c>
      <c r="D153" s="30">
        <f t="shared" si="25"/>
        <v>0</v>
      </c>
      <c r="EA153" s="2">
        <f>1*EA2</f>
        <v>0</v>
      </c>
      <c r="EK153" s="2">
        <f>1*EK2</f>
        <v>0</v>
      </c>
    </row>
    <row r="154" spans="1:196" x14ac:dyDescent="0.25">
      <c r="A154" s="2" t="s">
        <v>343</v>
      </c>
      <c r="B154" s="2" t="s">
        <v>240</v>
      </c>
      <c r="C154" s="2">
        <f t="shared" si="24"/>
        <v>0</v>
      </c>
      <c r="D154" s="30">
        <f t="shared" si="25"/>
        <v>0</v>
      </c>
      <c r="EJ154" s="2">
        <f>1*EJ2</f>
        <v>0</v>
      </c>
    </row>
    <row r="155" spans="1:196" x14ac:dyDescent="0.25">
      <c r="A155" s="2" t="s">
        <v>344</v>
      </c>
      <c r="B155" s="2" t="s">
        <v>240</v>
      </c>
      <c r="C155" s="2">
        <f t="shared" si="24"/>
        <v>0</v>
      </c>
      <c r="D155" s="30">
        <f t="shared" si="25"/>
        <v>0</v>
      </c>
      <c r="EU155" s="2">
        <f>1*EU2</f>
        <v>0</v>
      </c>
    </row>
    <row r="156" spans="1:196" x14ac:dyDescent="0.25">
      <c r="A156" s="4" t="s">
        <v>345</v>
      </c>
      <c r="B156" s="30" t="s">
        <v>240</v>
      </c>
      <c r="C156" s="30">
        <f t="shared" si="24"/>
        <v>0</v>
      </c>
      <c r="D156" s="30">
        <f t="shared" si="25"/>
        <v>0</v>
      </c>
      <c r="EI156" s="2">
        <f>1*EI2</f>
        <v>0</v>
      </c>
    </row>
    <row r="157" spans="1:196" x14ac:dyDescent="0.25">
      <c r="A157" s="4" t="s">
        <v>346</v>
      </c>
      <c r="B157" s="30" t="s">
        <v>240</v>
      </c>
      <c r="C157" s="30">
        <f t="shared" si="24"/>
        <v>0</v>
      </c>
      <c r="D157" s="30">
        <f t="shared" si="25"/>
        <v>0</v>
      </c>
      <c r="EH157" s="2">
        <f>1*EH2</f>
        <v>0</v>
      </c>
    </row>
    <row r="158" spans="1:196" x14ac:dyDescent="0.25">
      <c r="A158" s="4" t="s">
        <v>347</v>
      </c>
      <c r="B158" s="30" t="s">
        <v>240</v>
      </c>
      <c r="C158" s="30">
        <f t="shared" si="24"/>
        <v>0</v>
      </c>
      <c r="D158" s="30">
        <f t="shared" si="25"/>
        <v>0</v>
      </c>
      <c r="EM158" s="2">
        <f>1*EM2</f>
        <v>0</v>
      </c>
    </row>
    <row r="159" spans="1:196" x14ac:dyDescent="0.25">
      <c r="A159" s="2" t="s">
        <v>348</v>
      </c>
      <c r="B159" s="2" t="s">
        <v>240</v>
      </c>
      <c r="C159" s="2">
        <f t="shared" si="24"/>
        <v>0</v>
      </c>
      <c r="D159" s="30">
        <f t="shared" si="25"/>
        <v>0</v>
      </c>
    </row>
    <row r="160" spans="1:196" x14ac:dyDescent="0.25">
      <c r="A160" s="4" t="s">
        <v>349</v>
      </c>
      <c r="B160" s="30" t="s">
        <v>240</v>
      </c>
      <c r="C160" s="30">
        <f t="shared" si="24"/>
        <v>0</v>
      </c>
      <c r="D160" s="30">
        <f t="shared" si="25"/>
        <v>0</v>
      </c>
      <c r="EP160" s="2">
        <f>1*EP2</f>
        <v>0</v>
      </c>
    </row>
    <row r="161" spans="1:161" x14ac:dyDescent="0.25">
      <c r="A161" s="4" t="s">
        <v>350</v>
      </c>
      <c r="B161" s="30" t="s">
        <v>240</v>
      </c>
      <c r="C161" s="30">
        <f t="shared" si="24"/>
        <v>0</v>
      </c>
      <c r="D161" s="30">
        <f t="shared" si="25"/>
        <v>0</v>
      </c>
      <c r="ER161" s="2">
        <f>1*ER2</f>
        <v>0</v>
      </c>
    </row>
    <row r="162" spans="1:161" x14ac:dyDescent="0.25">
      <c r="A162" s="2" t="s">
        <v>324</v>
      </c>
      <c r="B162" s="2" t="s">
        <v>240</v>
      </c>
      <c r="C162" s="2">
        <f t="shared" si="24"/>
        <v>0</v>
      </c>
      <c r="D162" s="30">
        <f t="shared" si="25"/>
        <v>0</v>
      </c>
      <c r="ES162" s="2">
        <f>1*ES2</f>
        <v>0</v>
      </c>
    </row>
    <row r="163" spans="1:161" x14ac:dyDescent="0.25">
      <c r="A163" s="2" t="s">
        <v>351</v>
      </c>
      <c r="B163" s="2" t="s">
        <v>240</v>
      </c>
      <c r="C163" s="2">
        <f t="shared" si="24"/>
        <v>0</v>
      </c>
      <c r="D163" s="30">
        <f t="shared" si="25"/>
        <v>0</v>
      </c>
      <c r="EQ163" s="2">
        <f>1*EQ2</f>
        <v>0</v>
      </c>
    </row>
    <row r="164" spans="1:161" x14ac:dyDescent="0.25">
      <c r="A164" s="4" t="s">
        <v>293</v>
      </c>
      <c r="B164" s="30" t="s">
        <v>240</v>
      </c>
      <c r="C164" s="30">
        <f t="shared" si="24"/>
        <v>0</v>
      </c>
      <c r="D164" s="30">
        <f t="shared" si="25"/>
        <v>0</v>
      </c>
      <c r="EL164" s="2">
        <f>1*EL2</f>
        <v>0</v>
      </c>
    </row>
    <row r="165" spans="1:161" x14ac:dyDescent="0.25">
      <c r="A165" s="2" t="s">
        <v>352</v>
      </c>
      <c r="B165" s="2" t="s">
        <v>240</v>
      </c>
      <c r="C165" s="2">
        <f t="shared" si="24"/>
        <v>0</v>
      </c>
      <c r="D165" s="30">
        <f t="shared" si="25"/>
        <v>0</v>
      </c>
      <c r="FD165" s="2">
        <f>1*FD2</f>
        <v>0</v>
      </c>
    </row>
    <row r="166" spans="1:161" x14ac:dyDescent="0.25">
      <c r="A166" s="2" t="s">
        <v>353</v>
      </c>
      <c r="B166" s="30" t="s">
        <v>240</v>
      </c>
      <c r="C166" s="30">
        <f t="shared" si="24"/>
        <v>0</v>
      </c>
      <c r="D166" s="30">
        <f t="shared" si="25"/>
        <v>0</v>
      </c>
      <c r="FB166" s="2">
        <f>1*FB2</f>
        <v>0</v>
      </c>
    </row>
    <row r="167" spans="1:161" x14ac:dyDescent="0.25">
      <c r="A167" s="2" t="s">
        <v>354</v>
      </c>
      <c r="B167" s="30" t="s">
        <v>240</v>
      </c>
      <c r="C167" s="30">
        <f t="shared" si="24"/>
        <v>0</v>
      </c>
      <c r="D167" s="30">
        <f t="shared" si="25"/>
        <v>0</v>
      </c>
      <c r="FC167" s="2">
        <f>1*FC2</f>
        <v>0</v>
      </c>
    </row>
    <row r="168" spans="1:161" x14ac:dyDescent="0.25">
      <c r="A168" s="4" t="s">
        <v>272</v>
      </c>
      <c r="B168" s="30" t="s">
        <v>240</v>
      </c>
      <c r="C168" s="30">
        <f t="shared" ref="C168:C199" si="26">D168</f>
        <v>0</v>
      </c>
      <c r="D168" s="30">
        <f t="shared" ref="D168:D199" si="27">SUM(E168:FKK168)</f>
        <v>0</v>
      </c>
      <c r="DZ168" s="2">
        <f>1*DZ2</f>
        <v>0</v>
      </c>
    </row>
    <row r="169" spans="1:161" x14ac:dyDescent="0.25">
      <c r="A169" s="2" t="s">
        <v>355</v>
      </c>
      <c r="B169" s="30" t="s">
        <v>240</v>
      </c>
      <c r="C169" s="30">
        <f t="shared" si="26"/>
        <v>0</v>
      </c>
      <c r="D169" s="30">
        <f t="shared" si="27"/>
        <v>0</v>
      </c>
    </row>
    <row r="170" spans="1:161" x14ac:dyDescent="0.25">
      <c r="A170" s="4" t="s">
        <v>279</v>
      </c>
      <c r="B170" s="30" t="s">
        <v>240</v>
      </c>
      <c r="C170" s="30">
        <f t="shared" si="26"/>
        <v>0</v>
      </c>
      <c r="D170" s="30">
        <f t="shared" si="27"/>
        <v>0</v>
      </c>
      <c r="EY170" s="2">
        <f>1*EY2</f>
        <v>0</v>
      </c>
    </row>
    <row r="171" spans="1:161" x14ac:dyDescent="0.25">
      <c r="A171" s="4" t="s">
        <v>356</v>
      </c>
      <c r="B171" s="30" t="s">
        <v>240</v>
      </c>
      <c r="C171" s="30">
        <f t="shared" si="26"/>
        <v>0</v>
      </c>
      <c r="D171" s="30">
        <f t="shared" si="27"/>
        <v>0</v>
      </c>
      <c r="EZ171" s="2">
        <f>1*EZ2</f>
        <v>0</v>
      </c>
    </row>
    <row r="172" spans="1:161" x14ac:dyDescent="0.25">
      <c r="A172" s="4" t="s">
        <v>357</v>
      </c>
      <c r="B172" s="30" t="s">
        <v>240</v>
      </c>
      <c r="C172" s="30">
        <f t="shared" si="26"/>
        <v>0</v>
      </c>
      <c r="D172" s="30">
        <f t="shared" si="27"/>
        <v>0</v>
      </c>
      <c r="EX172" s="2">
        <f>1*EX2</f>
        <v>0</v>
      </c>
    </row>
    <row r="173" spans="1:161" x14ac:dyDescent="0.25">
      <c r="A173" s="2" t="s">
        <v>358</v>
      </c>
      <c r="B173" s="30" t="s">
        <v>240</v>
      </c>
      <c r="C173" s="30">
        <f t="shared" si="26"/>
        <v>0</v>
      </c>
      <c r="D173" s="30">
        <f t="shared" si="27"/>
        <v>0</v>
      </c>
      <c r="FE173" s="2">
        <f>1*FE2</f>
        <v>0</v>
      </c>
    </row>
    <row r="174" spans="1:161" x14ac:dyDescent="0.25">
      <c r="A174" s="2" t="s">
        <v>359</v>
      </c>
      <c r="B174" s="30" t="s">
        <v>240</v>
      </c>
      <c r="C174" s="30">
        <f t="shared" si="26"/>
        <v>0</v>
      </c>
      <c r="D174" s="30">
        <f t="shared" si="27"/>
        <v>0</v>
      </c>
    </row>
    <row r="175" spans="1:161" x14ac:dyDescent="0.25">
      <c r="A175" s="4" t="s">
        <v>360</v>
      </c>
      <c r="B175" s="30" t="s">
        <v>240</v>
      </c>
      <c r="C175" s="30">
        <f t="shared" si="26"/>
        <v>0</v>
      </c>
      <c r="D175" s="30">
        <f t="shared" si="27"/>
        <v>0</v>
      </c>
      <c r="CY175" s="2">
        <f>1*CY2</f>
        <v>0</v>
      </c>
    </row>
    <row r="176" spans="1:161" x14ac:dyDescent="0.25">
      <c r="A176" s="4" t="s">
        <v>361</v>
      </c>
      <c r="B176" s="30" t="s">
        <v>240</v>
      </c>
      <c r="C176" s="30">
        <f t="shared" si="26"/>
        <v>0</v>
      </c>
      <c r="D176" s="30">
        <f t="shared" si="27"/>
        <v>0</v>
      </c>
    </row>
    <row r="177" spans="1:168" x14ac:dyDescent="0.25">
      <c r="A177" s="2" t="s">
        <v>362</v>
      </c>
      <c r="B177" s="30" t="s">
        <v>240</v>
      </c>
      <c r="C177" s="30">
        <f t="shared" si="26"/>
        <v>0</v>
      </c>
      <c r="D177" s="30">
        <f t="shared" si="27"/>
        <v>0</v>
      </c>
      <c r="ET177" s="2">
        <f>1*ET2</f>
        <v>0</v>
      </c>
    </row>
    <row r="178" spans="1:168" x14ac:dyDescent="0.25">
      <c r="A178" s="2" t="s">
        <v>363</v>
      </c>
      <c r="B178" s="30" t="s">
        <v>240</v>
      </c>
      <c r="C178" s="30">
        <f t="shared" si="26"/>
        <v>0</v>
      </c>
      <c r="D178" s="30">
        <f t="shared" si="27"/>
        <v>0</v>
      </c>
      <c r="EV178" s="2">
        <f>1*EV2</f>
        <v>0</v>
      </c>
    </row>
    <row r="179" spans="1:168" x14ac:dyDescent="0.25">
      <c r="A179" s="4" t="s">
        <v>364</v>
      </c>
      <c r="B179" s="30" t="s">
        <v>240</v>
      </c>
      <c r="C179" s="30">
        <f t="shared" si="26"/>
        <v>0</v>
      </c>
      <c r="D179" s="30">
        <f t="shared" si="27"/>
        <v>0</v>
      </c>
      <c r="FG179" s="2">
        <f>1*FG2</f>
        <v>0</v>
      </c>
      <c r="FH179" s="2">
        <f>1*FH2</f>
        <v>0</v>
      </c>
      <c r="FI179" s="2">
        <f>1*FI2</f>
        <v>0</v>
      </c>
      <c r="FJ179" s="2">
        <f>1*FJ2</f>
        <v>0</v>
      </c>
      <c r="FL179" s="2">
        <f>1*FL2</f>
        <v>0</v>
      </c>
    </row>
    <row r="180" spans="1:168" x14ac:dyDescent="0.25">
      <c r="A180" s="4" t="s">
        <v>365</v>
      </c>
      <c r="B180" s="30" t="s">
        <v>240</v>
      </c>
      <c r="C180" s="30">
        <f t="shared" si="26"/>
        <v>0</v>
      </c>
      <c r="D180" s="30">
        <f t="shared" si="27"/>
        <v>0</v>
      </c>
      <c r="DT180" s="2">
        <f>1*DT2</f>
        <v>0</v>
      </c>
      <c r="DU180" s="2">
        <f>1*DU2</f>
        <v>0</v>
      </c>
    </row>
    <row r="181" spans="1:168" x14ac:dyDescent="0.25">
      <c r="A181" s="4" t="s">
        <v>366</v>
      </c>
      <c r="B181" s="30" t="s">
        <v>240</v>
      </c>
      <c r="C181" s="30">
        <f t="shared" si="26"/>
        <v>0</v>
      </c>
      <c r="D181" s="30">
        <f t="shared" si="27"/>
        <v>0</v>
      </c>
      <c r="DL181" s="2">
        <f>1*DL2</f>
        <v>0</v>
      </c>
    </row>
    <row r="182" spans="1:168" x14ac:dyDescent="0.25">
      <c r="A182" s="4" t="s">
        <v>367</v>
      </c>
      <c r="B182" s="30" t="s">
        <v>240</v>
      </c>
      <c r="C182" s="30">
        <f t="shared" si="26"/>
        <v>0</v>
      </c>
      <c r="D182" s="30">
        <f t="shared" si="27"/>
        <v>0</v>
      </c>
    </row>
    <row r="183" spans="1:168" x14ac:dyDescent="0.25">
      <c r="A183" s="4" t="s">
        <v>368</v>
      </c>
      <c r="B183" s="30" t="s">
        <v>240</v>
      </c>
      <c r="C183" s="30">
        <f t="shared" si="26"/>
        <v>0</v>
      </c>
      <c r="D183" s="30">
        <f t="shared" si="27"/>
        <v>0</v>
      </c>
    </row>
    <row r="184" spans="1:168" x14ac:dyDescent="0.25">
      <c r="A184" s="4" t="s">
        <v>369</v>
      </c>
      <c r="B184" s="30" t="s">
        <v>240</v>
      </c>
      <c r="C184" s="30">
        <f t="shared" si="26"/>
        <v>0</v>
      </c>
      <c r="D184" s="30">
        <f t="shared" si="27"/>
        <v>0</v>
      </c>
    </row>
    <row r="185" spans="1:168" x14ac:dyDescent="0.25">
      <c r="A185" s="2" t="s">
        <v>370</v>
      </c>
      <c r="B185" s="30" t="s">
        <v>240</v>
      </c>
      <c r="C185" s="30">
        <f t="shared" si="26"/>
        <v>0</v>
      </c>
      <c r="D185" s="30">
        <f t="shared" si="27"/>
        <v>0</v>
      </c>
      <c r="EW185" s="2">
        <f>1*EW2</f>
        <v>0</v>
      </c>
    </row>
    <row r="186" spans="1:168" x14ac:dyDescent="0.25">
      <c r="A186" s="4" t="s">
        <v>371</v>
      </c>
      <c r="B186" s="30" t="s">
        <v>240</v>
      </c>
      <c r="C186" s="30">
        <f t="shared" si="26"/>
        <v>0</v>
      </c>
      <c r="D186" s="30">
        <f t="shared" si="27"/>
        <v>0</v>
      </c>
    </row>
    <row r="187" spans="1:168" x14ac:dyDescent="0.25">
      <c r="A187" s="2" t="s">
        <v>288</v>
      </c>
      <c r="B187" s="30" t="s">
        <v>240</v>
      </c>
      <c r="C187" s="30">
        <f t="shared" si="26"/>
        <v>0</v>
      </c>
      <c r="D187" s="30">
        <f t="shared" si="27"/>
        <v>0</v>
      </c>
      <c r="CJ187" s="2">
        <f>1*CJ2</f>
        <v>0</v>
      </c>
    </row>
    <row r="188" spans="1:168" x14ac:dyDescent="0.25">
      <c r="A188" s="2" t="s">
        <v>280</v>
      </c>
      <c r="B188" s="30" t="s">
        <v>240</v>
      </c>
      <c r="C188" s="30">
        <f t="shared" si="26"/>
        <v>0</v>
      </c>
      <c r="D188" s="30">
        <f t="shared" si="27"/>
        <v>0</v>
      </c>
      <c r="Q188" s="2">
        <f>1*Q2</f>
        <v>0</v>
      </c>
    </row>
    <row r="189" spans="1:168" x14ac:dyDescent="0.25">
      <c r="A189" s="2" t="s">
        <v>281</v>
      </c>
      <c r="B189" s="30" t="s">
        <v>240</v>
      </c>
      <c r="C189" s="30">
        <f t="shared" si="26"/>
        <v>0</v>
      </c>
      <c r="D189" s="30">
        <f t="shared" si="27"/>
        <v>0</v>
      </c>
      <c r="BY189" s="2">
        <f>1*BY2</f>
        <v>0</v>
      </c>
    </row>
    <row r="190" spans="1:168" x14ac:dyDescent="0.25">
      <c r="A190" s="2" t="s">
        <v>372</v>
      </c>
      <c r="B190" s="30" t="s">
        <v>240</v>
      </c>
      <c r="C190" s="30">
        <f t="shared" si="26"/>
        <v>0</v>
      </c>
      <c r="D190" s="30">
        <f t="shared" si="27"/>
        <v>0</v>
      </c>
      <c r="AA190" s="2">
        <f>1*AA2</f>
        <v>0</v>
      </c>
    </row>
    <row r="191" spans="1:168" x14ac:dyDescent="0.25">
      <c r="A191" s="2" t="s">
        <v>373</v>
      </c>
      <c r="B191" s="30" t="s">
        <v>240</v>
      </c>
      <c r="C191" s="30">
        <f t="shared" si="26"/>
        <v>0</v>
      </c>
      <c r="D191" s="30">
        <f t="shared" si="27"/>
        <v>0</v>
      </c>
    </row>
    <row r="192" spans="1:168" x14ac:dyDescent="0.25">
      <c r="A192" s="30" t="s">
        <v>374</v>
      </c>
      <c r="B192" s="30" t="s">
        <v>240</v>
      </c>
      <c r="C192" s="30">
        <f t="shared" si="26"/>
        <v>0</v>
      </c>
      <c r="D192" s="30">
        <f t="shared" si="27"/>
        <v>0</v>
      </c>
    </row>
    <row r="193" spans="1:179" x14ac:dyDescent="0.25">
      <c r="A193" s="30" t="s">
        <v>375</v>
      </c>
      <c r="B193" s="30" t="s">
        <v>240</v>
      </c>
      <c r="C193" s="30">
        <f t="shared" si="26"/>
        <v>0</v>
      </c>
      <c r="D193" s="30">
        <f t="shared" si="27"/>
        <v>0</v>
      </c>
    </row>
    <row r="194" spans="1:179" x14ac:dyDescent="0.25">
      <c r="A194" s="30" t="s">
        <v>376</v>
      </c>
      <c r="B194" s="30" t="s">
        <v>240</v>
      </c>
      <c r="C194" s="30">
        <f t="shared" si="26"/>
        <v>0</v>
      </c>
      <c r="D194" s="30">
        <f t="shared" si="27"/>
        <v>0</v>
      </c>
    </row>
    <row r="195" spans="1:179" x14ac:dyDescent="0.25">
      <c r="A195" s="2" t="s">
        <v>377</v>
      </c>
      <c r="B195" s="30" t="s">
        <v>240</v>
      </c>
      <c r="C195" s="30">
        <f t="shared" si="26"/>
        <v>0</v>
      </c>
      <c r="D195" s="30">
        <f t="shared" si="27"/>
        <v>0</v>
      </c>
    </row>
    <row r="196" spans="1:179" x14ac:dyDescent="0.25">
      <c r="A196" s="2" t="s">
        <v>378</v>
      </c>
      <c r="B196" s="30" t="s">
        <v>240</v>
      </c>
      <c r="C196" s="30">
        <f t="shared" si="26"/>
        <v>0</v>
      </c>
      <c r="D196" s="30">
        <f t="shared" si="27"/>
        <v>0</v>
      </c>
      <c r="AH196" s="2">
        <f>1*AH2</f>
        <v>0</v>
      </c>
    </row>
    <row r="197" spans="1:179" x14ac:dyDescent="0.25">
      <c r="A197" s="2" t="s">
        <v>379</v>
      </c>
      <c r="B197" s="30" t="s">
        <v>240</v>
      </c>
      <c r="C197" s="30">
        <f t="shared" si="26"/>
        <v>0</v>
      </c>
      <c r="D197" s="30">
        <f t="shared" si="27"/>
        <v>0</v>
      </c>
      <c r="AI197" s="2">
        <f>1*AI2</f>
        <v>0</v>
      </c>
    </row>
    <row r="198" spans="1:179" x14ac:dyDescent="0.25">
      <c r="A198" s="2" t="s">
        <v>380</v>
      </c>
      <c r="B198" s="30" t="s">
        <v>240</v>
      </c>
      <c r="C198" s="30">
        <f t="shared" si="26"/>
        <v>0</v>
      </c>
      <c r="D198" s="30">
        <f t="shared" si="27"/>
        <v>0</v>
      </c>
      <c r="FW198" s="2">
        <f>1*FW2</f>
        <v>0</v>
      </c>
    </row>
    <row r="199" spans="1:179" x14ac:dyDescent="0.25">
      <c r="A199" s="30" t="s">
        <v>381</v>
      </c>
      <c r="B199" s="30" t="s">
        <v>240</v>
      </c>
      <c r="C199" s="30">
        <f t="shared" si="26"/>
        <v>0</v>
      </c>
      <c r="D199" s="30">
        <f t="shared" si="27"/>
        <v>0</v>
      </c>
      <c r="CZ199" s="2">
        <f>1*CZ2</f>
        <v>0</v>
      </c>
    </row>
    <row r="200" spans="1:179" x14ac:dyDescent="0.25">
      <c r="A200" s="30" t="s">
        <v>382</v>
      </c>
      <c r="B200" s="30" t="s">
        <v>240</v>
      </c>
      <c r="C200" s="30">
        <f t="shared" ref="C200:C231" si="28">D200</f>
        <v>0</v>
      </c>
      <c r="D200" s="30">
        <f t="shared" ref="D200:D231" si="29">SUM(E200:FKK200)</f>
        <v>0</v>
      </c>
    </row>
    <row r="201" spans="1:179" x14ac:dyDescent="0.25">
      <c r="A201" s="30" t="s">
        <v>383</v>
      </c>
      <c r="B201" s="30" t="s">
        <v>240</v>
      </c>
      <c r="C201" s="30">
        <f t="shared" si="28"/>
        <v>0</v>
      </c>
      <c r="D201" s="30">
        <f t="shared" si="29"/>
        <v>0</v>
      </c>
      <c r="FN201" s="2">
        <f>1*FN2</f>
        <v>0</v>
      </c>
    </row>
    <row r="202" spans="1:179" x14ac:dyDescent="0.25">
      <c r="A202" s="30" t="s">
        <v>384</v>
      </c>
      <c r="B202" s="30" t="s">
        <v>240</v>
      </c>
      <c r="C202" s="30">
        <f t="shared" si="28"/>
        <v>0</v>
      </c>
      <c r="D202" s="30">
        <f t="shared" si="29"/>
        <v>0</v>
      </c>
      <c r="FM202" s="2">
        <f>1*FM2</f>
        <v>0</v>
      </c>
    </row>
    <row r="203" spans="1:179" x14ac:dyDescent="0.25">
      <c r="A203" s="30" t="s">
        <v>385</v>
      </c>
      <c r="B203" s="30" t="s">
        <v>240</v>
      </c>
      <c r="C203" s="30">
        <f t="shared" si="28"/>
        <v>0</v>
      </c>
      <c r="D203" s="30">
        <f t="shared" si="29"/>
        <v>0</v>
      </c>
      <c r="FK203" s="2">
        <f>1*FK2</f>
        <v>0</v>
      </c>
    </row>
    <row r="204" spans="1:179" x14ac:dyDescent="0.25">
      <c r="A204" s="30" t="s">
        <v>386</v>
      </c>
      <c r="B204" s="30" t="s">
        <v>240</v>
      </c>
      <c r="C204" s="30">
        <f t="shared" si="28"/>
        <v>0</v>
      </c>
      <c r="D204" s="30">
        <f t="shared" si="29"/>
        <v>0</v>
      </c>
    </row>
    <row r="205" spans="1:179" x14ac:dyDescent="0.25">
      <c r="A205" s="30" t="s">
        <v>387</v>
      </c>
      <c r="B205" s="30" t="s">
        <v>240</v>
      </c>
      <c r="C205" s="30">
        <f t="shared" si="28"/>
        <v>0</v>
      </c>
      <c r="D205" s="30">
        <f t="shared" si="29"/>
        <v>0</v>
      </c>
      <c r="FF205" s="2">
        <f>1*FF2</f>
        <v>0</v>
      </c>
    </row>
    <row r="206" spans="1:179" x14ac:dyDescent="0.25">
      <c r="A206" s="30" t="s">
        <v>388</v>
      </c>
      <c r="B206" s="30" t="s">
        <v>240</v>
      </c>
      <c r="C206" s="30">
        <f t="shared" si="28"/>
        <v>0</v>
      </c>
      <c r="D206" s="30">
        <f t="shared" si="29"/>
        <v>0</v>
      </c>
      <c r="FQ206" s="2">
        <f>1*FQ2</f>
        <v>0</v>
      </c>
    </row>
    <row r="207" spans="1:179" x14ac:dyDescent="0.25">
      <c r="A207" s="30" t="s">
        <v>389</v>
      </c>
      <c r="B207" s="30" t="s">
        <v>240</v>
      </c>
      <c r="C207" s="30">
        <f t="shared" si="28"/>
        <v>0</v>
      </c>
      <c r="D207" s="30">
        <f t="shared" si="29"/>
        <v>0</v>
      </c>
      <c r="EF207" s="2">
        <f>1*EF2</f>
        <v>0</v>
      </c>
    </row>
    <row r="208" spans="1:179" x14ac:dyDescent="0.25">
      <c r="A208" s="30" t="s">
        <v>276</v>
      </c>
      <c r="B208" s="30" t="s">
        <v>240</v>
      </c>
      <c r="C208" s="30">
        <f t="shared" si="28"/>
        <v>0</v>
      </c>
      <c r="D208" s="30">
        <f t="shared" si="29"/>
        <v>0</v>
      </c>
      <c r="FT208" s="2">
        <f>1*FT2</f>
        <v>0</v>
      </c>
    </row>
    <row r="209" spans="1:196" x14ac:dyDescent="0.25">
      <c r="A209" s="30" t="s">
        <v>390</v>
      </c>
      <c r="B209" s="30" t="s">
        <v>240</v>
      </c>
      <c r="C209" s="30">
        <f t="shared" si="28"/>
        <v>0</v>
      </c>
      <c r="D209" s="30">
        <f t="shared" si="29"/>
        <v>0</v>
      </c>
      <c r="FU209" s="2">
        <f>1*FU2</f>
        <v>0</v>
      </c>
    </row>
    <row r="210" spans="1:196" x14ac:dyDescent="0.25">
      <c r="A210" s="30" t="s">
        <v>391</v>
      </c>
      <c r="B210" s="30" t="s">
        <v>240</v>
      </c>
      <c r="C210" s="30">
        <f t="shared" si="28"/>
        <v>0</v>
      </c>
      <c r="D210" s="30">
        <f t="shared" si="29"/>
        <v>0</v>
      </c>
    </row>
    <row r="211" spans="1:196" x14ac:dyDescent="0.25">
      <c r="A211" s="30" t="s">
        <v>392</v>
      </c>
      <c r="B211" s="30" t="s">
        <v>240</v>
      </c>
      <c r="C211" s="30">
        <f t="shared" si="28"/>
        <v>0</v>
      </c>
      <c r="D211" s="30">
        <f t="shared" si="29"/>
        <v>0</v>
      </c>
    </row>
    <row r="212" spans="1:196" x14ac:dyDescent="0.25">
      <c r="A212" s="30" t="s">
        <v>393</v>
      </c>
      <c r="B212" s="30" t="s">
        <v>240</v>
      </c>
      <c r="C212" s="30">
        <f t="shared" si="28"/>
        <v>0</v>
      </c>
      <c r="D212" s="30">
        <f t="shared" si="29"/>
        <v>0</v>
      </c>
      <c r="GB212" s="2">
        <f>1*GB2</f>
        <v>0</v>
      </c>
    </row>
    <row r="213" spans="1:196" x14ac:dyDescent="0.25">
      <c r="A213" s="30" t="s">
        <v>394</v>
      </c>
      <c r="B213" s="30" t="s">
        <v>240</v>
      </c>
      <c r="C213" s="30">
        <f t="shared" si="28"/>
        <v>0</v>
      </c>
      <c r="D213" s="30">
        <f t="shared" si="29"/>
        <v>0</v>
      </c>
      <c r="FV213" s="2">
        <f>1*FV2</f>
        <v>0</v>
      </c>
    </row>
    <row r="214" spans="1:196" x14ac:dyDescent="0.25">
      <c r="A214" s="30" t="s">
        <v>321</v>
      </c>
      <c r="B214" s="30" t="s">
        <v>240</v>
      </c>
      <c r="C214" s="30">
        <f t="shared" si="28"/>
        <v>0</v>
      </c>
      <c r="D214" s="30">
        <f t="shared" si="29"/>
        <v>0</v>
      </c>
      <c r="FZ214" s="2">
        <f>1*FZ2</f>
        <v>0</v>
      </c>
    </row>
    <row r="215" spans="1:196" x14ac:dyDescent="0.25">
      <c r="A215" s="30" t="s">
        <v>395</v>
      </c>
      <c r="B215" s="30" t="s">
        <v>240</v>
      </c>
      <c r="C215" s="30">
        <f t="shared" si="28"/>
        <v>0</v>
      </c>
      <c r="D215" s="30">
        <f t="shared" si="29"/>
        <v>0</v>
      </c>
      <c r="DW215" s="2">
        <f>1*DW2</f>
        <v>0</v>
      </c>
    </row>
    <row r="216" spans="1:196" x14ac:dyDescent="0.25">
      <c r="A216" s="30" t="s">
        <v>396</v>
      </c>
      <c r="B216" s="30" t="s">
        <v>240</v>
      </c>
      <c r="C216" s="30">
        <f t="shared" si="28"/>
        <v>0</v>
      </c>
      <c r="D216" s="30">
        <f t="shared" si="29"/>
        <v>0</v>
      </c>
    </row>
    <row r="217" spans="1:196" x14ac:dyDescent="0.25">
      <c r="A217" s="30" t="s">
        <v>397</v>
      </c>
      <c r="B217" s="30" t="s">
        <v>240</v>
      </c>
      <c r="C217" s="30">
        <f t="shared" si="28"/>
        <v>0</v>
      </c>
      <c r="D217" s="30">
        <f t="shared" si="29"/>
        <v>0</v>
      </c>
    </row>
    <row r="218" spans="1:196" x14ac:dyDescent="0.25">
      <c r="A218" s="2" t="s">
        <v>394</v>
      </c>
      <c r="B218" s="30" t="s">
        <v>240</v>
      </c>
      <c r="C218" s="30">
        <f t="shared" si="28"/>
        <v>0</v>
      </c>
      <c r="D218" s="30">
        <f t="shared" si="29"/>
        <v>0</v>
      </c>
    </row>
    <row r="219" spans="1:196" x14ac:dyDescent="0.25">
      <c r="A219" s="2" t="s">
        <v>398</v>
      </c>
      <c r="B219" s="30" t="s">
        <v>240</v>
      </c>
      <c r="C219" s="30">
        <f t="shared" si="28"/>
        <v>0</v>
      </c>
      <c r="D219" s="30">
        <f t="shared" si="29"/>
        <v>0</v>
      </c>
      <c r="FY219" s="2">
        <f>1*FY2</f>
        <v>0</v>
      </c>
    </row>
    <row r="220" spans="1:196" x14ac:dyDescent="0.25">
      <c r="A220" s="2" t="s">
        <v>399</v>
      </c>
      <c r="B220" s="30" t="s">
        <v>240</v>
      </c>
      <c r="C220" s="30">
        <f t="shared" si="28"/>
        <v>0</v>
      </c>
      <c r="D220" s="30">
        <f t="shared" si="29"/>
        <v>0</v>
      </c>
      <c r="GD220" s="2">
        <f>1*GD2</f>
        <v>0</v>
      </c>
    </row>
    <row r="221" spans="1:196" x14ac:dyDescent="0.25">
      <c r="A221" s="2" t="s">
        <v>400</v>
      </c>
      <c r="B221" s="30" t="s">
        <v>240</v>
      </c>
      <c r="C221" s="30">
        <f t="shared" si="28"/>
        <v>0</v>
      </c>
      <c r="D221" s="30">
        <f t="shared" si="29"/>
        <v>0</v>
      </c>
      <c r="GE221" s="2">
        <f>1*GE2</f>
        <v>0</v>
      </c>
    </row>
    <row r="222" spans="1:196" x14ac:dyDescent="0.25">
      <c r="A222" s="2" t="s">
        <v>394</v>
      </c>
      <c r="B222" s="30" t="s">
        <v>240</v>
      </c>
      <c r="C222" s="30">
        <f t="shared" si="28"/>
        <v>0</v>
      </c>
      <c r="D222" s="30">
        <f t="shared" si="29"/>
        <v>0</v>
      </c>
      <c r="GN222" s="2">
        <f>1*GN2</f>
        <v>0</v>
      </c>
    </row>
    <row r="223" spans="1:196" x14ac:dyDescent="0.25">
      <c r="A223" s="2" t="s">
        <v>401</v>
      </c>
      <c r="B223" s="30" t="s">
        <v>240</v>
      </c>
      <c r="C223" s="30">
        <f t="shared" si="28"/>
        <v>0</v>
      </c>
      <c r="D223" s="30">
        <f t="shared" si="29"/>
        <v>0</v>
      </c>
      <c r="GF223" s="2">
        <f>1*GF2</f>
        <v>0</v>
      </c>
    </row>
    <row r="224" spans="1:196" x14ac:dyDescent="0.25">
      <c r="A224" s="2" t="s">
        <v>402</v>
      </c>
      <c r="B224" s="30" t="s">
        <v>240</v>
      </c>
      <c r="C224" s="30">
        <f t="shared" si="28"/>
        <v>0</v>
      </c>
      <c r="D224" s="30">
        <f t="shared" si="29"/>
        <v>0</v>
      </c>
      <c r="GI224" s="2">
        <f>1*GI2</f>
        <v>0</v>
      </c>
    </row>
    <row r="225" spans="1:204" x14ac:dyDescent="0.25">
      <c r="A225" s="2" t="s">
        <v>403</v>
      </c>
      <c r="B225" s="30" t="s">
        <v>240</v>
      </c>
      <c r="C225" s="30">
        <f t="shared" si="28"/>
        <v>0</v>
      </c>
      <c r="D225" s="30">
        <f t="shared" si="29"/>
        <v>0</v>
      </c>
      <c r="FX225" s="2">
        <f>1*FX2</f>
        <v>0</v>
      </c>
    </row>
    <row r="226" spans="1:204" x14ac:dyDescent="0.25">
      <c r="A226" s="2" t="s">
        <v>404</v>
      </c>
      <c r="B226" s="30" t="s">
        <v>240</v>
      </c>
      <c r="C226" s="30">
        <f t="shared" si="28"/>
        <v>0</v>
      </c>
      <c r="D226" s="30">
        <f t="shared" si="29"/>
        <v>0</v>
      </c>
      <c r="GC226" s="2">
        <f>1*GC2</f>
        <v>0</v>
      </c>
    </row>
    <row r="227" spans="1:204" x14ac:dyDescent="0.25">
      <c r="A227" s="2" t="s">
        <v>405</v>
      </c>
      <c r="B227" s="30" t="s">
        <v>240</v>
      </c>
      <c r="C227" s="30">
        <f t="shared" si="28"/>
        <v>0</v>
      </c>
      <c r="D227" s="30">
        <f t="shared" si="29"/>
        <v>0</v>
      </c>
      <c r="GG227" s="2">
        <f>1*GG2</f>
        <v>0</v>
      </c>
    </row>
    <row r="228" spans="1:204" x14ac:dyDescent="0.25">
      <c r="A228" s="2" t="s">
        <v>406</v>
      </c>
      <c r="B228" s="30" t="s">
        <v>240</v>
      </c>
      <c r="C228" s="30">
        <f t="shared" si="28"/>
        <v>0</v>
      </c>
      <c r="D228" s="30">
        <f t="shared" si="29"/>
        <v>0</v>
      </c>
      <c r="GH228" s="2">
        <f>1*GH2</f>
        <v>0</v>
      </c>
    </row>
    <row r="229" spans="1:204" x14ac:dyDescent="0.25">
      <c r="A229" s="2" t="s">
        <v>407</v>
      </c>
      <c r="B229" s="30" t="s">
        <v>240</v>
      </c>
      <c r="C229" s="30">
        <f t="shared" si="28"/>
        <v>0</v>
      </c>
      <c r="D229" s="30">
        <f t="shared" si="29"/>
        <v>0</v>
      </c>
    </row>
    <row r="230" spans="1:204" x14ac:dyDescent="0.25">
      <c r="A230" s="2" t="s">
        <v>408</v>
      </c>
      <c r="B230" s="30" t="s">
        <v>240</v>
      </c>
      <c r="C230" s="30">
        <f t="shared" si="28"/>
        <v>0</v>
      </c>
      <c r="D230" s="30">
        <f t="shared" si="29"/>
        <v>0</v>
      </c>
      <c r="GV230" s="2">
        <f>1*GV2</f>
        <v>0</v>
      </c>
    </row>
    <row r="231" spans="1:204" x14ac:dyDescent="0.25">
      <c r="A231" s="3" t="s">
        <v>409</v>
      </c>
      <c r="B231" s="30" t="s">
        <v>240</v>
      </c>
      <c r="C231" s="30">
        <f t="shared" si="28"/>
        <v>0</v>
      </c>
      <c r="D231" s="30">
        <f t="shared" si="29"/>
        <v>0</v>
      </c>
      <c r="CX231" s="2">
        <f>1*CX2</f>
        <v>0</v>
      </c>
    </row>
    <row r="232" spans="1:204" x14ac:dyDescent="0.25">
      <c r="A232" s="3" t="s">
        <v>410</v>
      </c>
      <c r="B232" s="30" t="s">
        <v>240</v>
      </c>
      <c r="C232" s="30">
        <f t="shared" ref="C232:C263" si="30">D232</f>
        <v>0</v>
      </c>
      <c r="D232" s="30">
        <f t="shared" ref="D232:D263" si="31">SUM(E232:FKK232)</f>
        <v>0</v>
      </c>
    </row>
    <row r="233" spans="1:204" x14ac:dyDescent="0.25">
      <c r="A233" s="3" t="s">
        <v>411</v>
      </c>
      <c r="B233" s="30" t="s">
        <v>240</v>
      </c>
      <c r="C233" s="30">
        <f t="shared" si="30"/>
        <v>0</v>
      </c>
      <c r="D233" s="30">
        <f t="shared" si="31"/>
        <v>0</v>
      </c>
    </row>
    <row r="234" spans="1:204" x14ac:dyDescent="0.25">
      <c r="A234" s="3" t="s">
        <v>412</v>
      </c>
      <c r="B234" s="30" t="s">
        <v>240</v>
      </c>
      <c r="C234" s="30">
        <f t="shared" si="30"/>
        <v>0</v>
      </c>
      <c r="D234" s="30">
        <f t="shared" si="31"/>
        <v>0</v>
      </c>
    </row>
    <row r="235" spans="1:204" x14ac:dyDescent="0.25">
      <c r="A235" s="3" t="s">
        <v>413</v>
      </c>
      <c r="B235" s="30" t="s">
        <v>240</v>
      </c>
      <c r="C235" s="30">
        <f t="shared" si="30"/>
        <v>0</v>
      </c>
      <c r="D235" s="30">
        <f t="shared" si="31"/>
        <v>0</v>
      </c>
    </row>
    <row r="236" spans="1:204" x14ac:dyDescent="0.25">
      <c r="A236" s="3" t="s">
        <v>414</v>
      </c>
      <c r="B236" s="30" t="s">
        <v>240</v>
      </c>
      <c r="C236" s="30">
        <f t="shared" si="30"/>
        <v>0</v>
      </c>
      <c r="D236" s="30">
        <f t="shared" si="31"/>
        <v>0</v>
      </c>
    </row>
    <row r="237" spans="1:204" x14ac:dyDescent="0.25">
      <c r="A237" s="3" t="s">
        <v>415</v>
      </c>
      <c r="B237" s="30" t="s">
        <v>240</v>
      </c>
      <c r="C237" s="30">
        <f t="shared" si="30"/>
        <v>0</v>
      </c>
      <c r="D237" s="30">
        <f t="shared" si="31"/>
        <v>0</v>
      </c>
    </row>
    <row r="238" spans="1:204" x14ac:dyDescent="0.25">
      <c r="A238" s="3" t="s">
        <v>416</v>
      </c>
      <c r="B238" s="30" t="s">
        <v>240</v>
      </c>
      <c r="C238" s="30">
        <f t="shared" si="30"/>
        <v>0</v>
      </c>
      <c r="D238" s="30">
        <f t="shared" si="31"/>
        <v>0</v>
      </c>
      <c r="GA238" s="2">
        <f>1*GA2</f>
        <v>0</v>
      </c>
    </row>
    <row r="239" spans="1:204" x14ac:dyDescent="0.25">
      <c r="A239" s="3" t="s">
        <v>365</v>
      </c>
      <c r="B239" s="30" t="s">
        <v>240</v>
      </c>
      <c r="C239" s="30">
        <f t="shared" si="30"/>
        <v>0</v>
      </c>
      <c r="D239" s="30">
        <f t="shared" si="31"/>
        <v>0</v>
      </c>
      <c r="DE239" s="2">
        <f>1*DE2</f>
        <v>0</v>
      </c>
    </row>
    <row r="240" spans="1:204" x14ac:dyDescent="0.25">
      <c r="A240" s="3" t="s">
        <v>417</v>
      </c>
      <c r="B240" s="30" t="s">
        <v>240</v>
      </c>
      <c r="C240" s="30">
        <f t="shared" si="30"/>
        <v>0</v>
      </c>
      <c r="D240" s="30">
        <f t="shared" si="31"/>
        <v>0</v>
      </c>
      <c r="DF240" s="2">
        <f>1*DF2</f>
        <v>0</v>
      </c>
    </row>
    <row r="241" spans="1:123" x14ac:dyDescent="0.25">
      <c r="A241" s="3" t="s">
        <v>418</v>
      </c>
      <c r="B241" s="30" t="s">
        <v>240</v>
      </c>
      <c r="C241" s="30">
        <f t="shared" si="30"/>
        <v>0</v>
      </c>
      <c r="D241" s="30">
        <f t="shared" si="31"/>
        <v>0</v>
      </c>
      <c r="DG241" s="2">
        <f>1*DG2</f>
        <v>0</v>
      </c>
    </row>
    <row r="242" spans="1:123" x14ac:dyDescent="0.25">
      <c r="A242" s="3" t="s">
        <v>419</v>
      </c>
      <c r="B242" s="30" t="s">
        <v>240</v>
      </c>
      <c r="C242" s="30">
        <f t="shared" si="30"/>
        <v>0</v>
      </c>
      <c r="D242" s="30">
        <f t="shared" si="31"/>
        <v>0</v>
      </c>
      <c r="DH242" s="2">
        <f>1*DH2</f>
        <v>0</v>
      </c>
    </row>
    <row r="243" spans="1:123" x14ac:dyDescent="0.25">
      <c r="A243" s="3" t="s">
        <v>420</v>
      </c>
      <c r="B243" s="30" t="s">
        <v>240</v>
      </c>
      <c r="C243" s="30">
        <f t="shared" si="30"/>
        <v>0</v>
      </c>
      <c r="D243" s="30">
        <f t="shared" si="31"/>
        <v>0</v>
      </c>
      <c r="DI243" s="2">
        <f>1*DI2</f>
        <v>0</v>
      </c>
    </row>
    <row r="244" spans="1:123" x14ac:dyDescent="0.25">
      <c r="A244" s="3" t="s">
        <v>421</v>
      </c>
      <c r="B244" s="30" t="s">
        <v>240</v>
      </c>
      <c r="C244" s="30">
        <f t="shared" si="30"/>
        <v>0</v>
      </c>
      <c r="D244" s="30">
        <f t="shared" si="31"/>
        <v>0</v>
      </c>
      <c r="DJ244" s="2">
        <f>1*DJ2</f>
        <v>0</v>
      </c>
    </row>
    <row r="245" spans="1:123" x14ac:dyDescent="0.25">
      <c r="A245" s="3" t="s">
        <v>422</v>
      </c>
      <c r="B245" s="30" t="s">
        <v>240</v>
      </c>
      <c r="C245" s="30">
        <f t="shared" si="30"/>
        <v>0</v>
      </c>
      <c r="D245" s="30">
        <f t="shared" si="31"/>
        <v>0</v>
      </c>
      <c r="DK245" s="2">
        <f>1*DK2</f>
        <v>0</v>
      </c>
    </row>
    <row r="246" spans="1:123" x14ac:dyDescent="0.25">
      <c r="A246" s="3" t="s">
        <v>423</v>
      </c>
      <c r="B246" s="30" t="s">
        <v>240</v>
      </c>
      <c r="C246" s="30">
        <f t="shared" si="30"/>
        <v>0</v>
      </c>
      <c r="D246" s="30">
        <f t="shared" si="31"/>
        <v>0</v>
      </c>
    </row>
    <row r="247" spans="1:123" x14ac:dyDescent="0.25">
      <c r="A247" s="3" t="s">
        <v>424</v>
      </c>
      <c r="B247" s="30" t="s">
        <v>240</v>
      </c>
      <c r="C247" s="30">
        <f t="shared" si="30"/>
        <v>0</v>
      </c>
      <c r="D247" s="30">
        <f t="shared" si="31"/>
        <v>0</v>
      </c>
      <c r="DM247" s="2">
        <f>1*DM2</f>
        <v>0</v>
      </c>
    </row>
    <row r="248" spans="1:123" x14ac:dyDescent="0.25">
      <c r="A248" s="3" t="s">
        <v>425</v>
      </c>
      <c r="B248" s="30" t="s">
        <v>240</v>
      </c>
      <c r="C248" s="30">
        <f t="shared" si="30"/>
        <v>0</v>
      </c>
      <c r="D248" s="30">
        <f t="shared" si="31"/>
        <v>0</v>
      </c>
      <c r="DN248" s="2">
        <f>1*DN2</f>
        <v>0</v>
      </c>
    </row>
    <row r="249" spans="1:123" x14ac:dyDescent="0.25">
      <c r="A249" s="3" t="s">
        <v>426</v>
      </c>
      <c r="B249" s="30" t="s">
        <v>240</v>
      </c>
      <c r="C249" s="30">
        <f t="shared" si="30"/>
        <v>0</v>
      </c>
      <c r="D249" s="30">
        <f t="shared" si="31"/>
        <v>0</v>
      </c>
      <c r="DO249" s="2">
        <f>1*DO2</f>
        <v>0</v>
      </c>
    </row>
    <row r="250" spans="1:123" x14ac:dyDescent="0.25">
      <c r="A250" s="3" t="s">
        <v>427</v>
      </c>
      <c r="B250" s="30" t="s">
        <v>240</v>
      </c>
      <c r="C250" s="30">
        <f t="shared" si="30"/>
        <v>0</v>
      </c>
      <c r="D250" s="30">
        <f t="shared" si="31"/>
        <v>0</v>
      </c>
      <c r="DP250" s="2">
        <f>1*DP2</f>
        <v>0</v>
      </c>
    </row>
    <row r="251" spans="1:123" x14ac:dyDescent="0.25">
      <c r="A251" s="3" t="s">
        <v>428</v>
      </c>
      <c r="B251" s="30" t="s">
        <v>240</v>
      </c>
      <c r="C251" s="30">
        <f t="shared" si="30"/>
        <v>0</v>
      </c>
      <c r="D251" s="30">
        <f t="shared" si="31"/>
        <v>0</v>
      </c>
      <c r="DQ251" s="2">
        <f>1*DQ2</f>
        <v>0</v>
      </c>
    </row>
    <row r="252" spans="1:123" x14ac:dyDescent="0.25">
      <c r="A252" s="3" t="s">
        <v>429</v>
      </c>
      <c r="B252" s="30" t="s">
        <v>240</v>
      </c>
      <c r="C252" s="30">
        <f t="shared" si="30"/>
        <v>0</v>
      </c>
      <c r="D252" s="30">
        <f t="shared" si="31"/>
        <v>0</v>
      </c>
      <c r="DR252" s="2">
        <f>1*DR2</f>
        <v>0</v>
      </c>
    </row>
    <row r="253" spans="1:123" x14ac:dyDescent="0.25">
      <c r="A253" s="3" t="s">
        <v>430</v>
      </c>
      <c r="B253" s="30" t="s">
        <v>240</v>
      </c>
      <c r="C253" s="30">
        <f t="shared" si="30"/>
        <v>0</v>
      </c>
      <c r="D253" s="30">
        <f t="shared" si="31"/>
        <v>0</v>
      </c>
      <c r="DS253" s="2">
        <f>1*DS2</f>
        <v>0</v>
      </c>
    </row>
    <row r="254" spans="1:123" x14ac:dyDescent="0.25">
      <c r="A254" s="3"/>
      <c r="D254" s="30">
        <f t="shared" si="31"/>
        <v>0</v>
      </c>
    </row>
    <row r="255" spans="1:123" x14ac:dyDescent="0.25">
      <c r="A255" s="3" t="s">
        <v>431</v>
      </c>
      <c r="B255" s="30" t="s">
        <v>240</v>
      </c>
      <c r="C255" s="30">
        <f t="shared" ref="C255:C263" si="32">D255</f>
        <v>0</v>
      </c>
      <c r="D255" s="30">
        <f t="shared" si="31"/>
        <v>0</v>
      </c>
      <c r="CW255" s="2">
        <f>1*CW2</f>
        <v>0</v>
      </c>
    </row>
    <row r="256" spans="1:123" x14ac:dyDescent="0.25">
      <c r="A256" s="3" t="s">
        <v>432</v>
      </c>
      <c r="B256" s="30" t="s">
        <v>240</v>
      </c>
      <c r="C256" s="30">
        <f t="shared" si="32"/>
        <v>0</v>
      </c>
      <c r="D256" s="30">
        <f t="shared" si="31"/>
        <v>0</v>
      </c>
    </row>
    <row r="257" spans="1:198" x14ac:dyDescent="0.25">
      <c r="A257" s="3" t="s">
        <v>433</v>
      </c>
      <c r="B257" s="30" t="s">
        <v>240</v>
      </c>
      <c r="C257" s="30">
        <f t="shared" si="32"/>
        <v>0</v>
      </c>
      <c r="D257" s="30">
        <f t="shared" si="31"/>
        <v>0</v>
      </c>
    </row>
    <row r="258" spans="1:198" x14ac:dyDescent="0.25">
      <c r="A258" s="3" t="s">
        <v>434</v>
      </c>
      <c r="B258" s="30" t="s">
        <v>240</v>
      </c>
      <c r="C258" s="30">
        <f t="shared" si="32"/>
        <v>0</v>
      </c>
      <c r="D258" s="30">
        <f t="shared" si="31"/>
        <v>0</v>
      </c>
    </row>
    <row r="259" spans="1:198" x14ac:dyDescent="0.25">
      <c r="A259" s="3" t="s">
        <v>435</v>
      </c>
      <c r="B259" s="30" t="s">
        <v>240</v>
      </c>
      <c r="C259" s="30">
        <f t="shared" si="32"/>
        <v>0</v>
      </c>
      <c r="D259" s="30">
        <f t="shared" si="31"/>
        <v>0</v>
      </c>
    </row>
    <row r="260" spans="1:198" x14ac:dyDescent="0.25">
      <c r="A260" s="3" t="s">
        <v>436</v>
      </c>
      <c r="B260" s="30" t="s">
        <v>240</v>
      </c>
      <c r="C260" s="30">
        <f t="shared" si="32"/>
        <v>0</v>
      </c>
      <c r="D260" s="30">
        <f t="shared" si="31"/>
        <v>0</v>
      </c>
    </row>
    <row r="261" spans="1:198" x14ac:dyDescent="0.25">
      <c r="A261" s="3" t="s">
        <v>437</v>
      </c>
      <c r="B261" s="30" t="s">
        <v>240</v>
      </c>
      <c r="C261" s="30">
        <f t="shared" si="32"/>
        <v>0</v>
      </c>
      <c r="D261" s="30">
        <f t="shared" si="31"/>
        <v>0</v>
      </c>
    </row>
    <row r="262" spans="1:198" x14ac:dyDescent="0.25">
      <c r="A262" s="3"/>
      <c r="C262" s="30">
        <f t="shared" si="32"/>
        <v>0</v>
      </c>
      <c r="D262" s="30">
        <f t="shared" si="31"/>
        <v>0</v>
      </c>
    </row>
    <row r="263" spans="1:198" x14ac:dyDescent="0.25">
      <c r="A263" s="3" t="s">
        <v>438</v>
      </c>
      <c r="B263" s="30" t="s">
        <v>240</v>
      </c>
      <c r="C263" s="30">
        <f t="shared" si="32"/>
        <v>0</v>
      </c>
      <c r="D263" s="30">
        <f t="shared" si="31"/>
        <v>0</v>
      </c>
      <c r="GK263" s="2">
        <f>1*GK2</f>
        <v>0</v>
      </c>
    </row>
    <row r="264" spans="1:198" x14ac:dyDescent="0.25">
      <c r="A264" s="3"/>
      <c r="D264" s="30">
        <f t="shared" ref="D264:D295" si="33">SUM(E264:FKK264)</f>
        <v>0</v>
      </c>
    </row>
    <row r="265" spans="1:198" x14ac:dyDescent="0.25">
      <c r="A265" s="3" t="s">
        <v>439</v>
      </c>
      <c r="B265" s="30" t="s">
        <v>240</v>
      </c>
      <c r="C265" s="30">
        <f>D265</f>
        <v>0</v>
      </c>
      <c r="D265" s="30">
        <f t="shared" si="33"/>
        <v>0</v>
      </c>
      <c r="GP265" s="2">
        <f>1*GP2</f>
        <v>0</v>
      </c>
    </row>
    <row r="266" spans="1:198" x14ac:dyDescent="0.25">
      <c r="A266" s="3"/>
      <c r="D266" s="30">
        <f t="shared" si="33"/>
        <v>0</v>
      </c>
    </row>
    <row r="267" spans="1:198" x14ac:dyDescent="0.25">
      <c r="A267" s="3" t="s">
        <v>440</v>
      </c>
      <c r="B267" s="30" t="s">
        <v>240</v>
      </c>
      <c r="C267" s="30">
        <f>D267</f>
        <v>0</v>
      </c>
      <c r="D267" s="30">
        <f t="shared" si="33"/>
        <v>0</v>
      </c>
      <c r="GM267" s="2">
        <f>1*GM2</f>
        <v>0</v>
      </c>
    </row>
    <row r="268" spans="1:198" x14ac:dyDescent="0.25">
      <c r="A268" s="3"/>
      <c r="D268" s="30">
        <f t="shared" si="33"/>
        <v>0</v>
      </c>
    </row>
    <row r="269" spans="1:198" x14ac:dyDescent="0.25">
      <c r="A269" s="3" t="s">
        <v>441</v>
      </c>
      <c r="B269" s="30" t="s">
        <v>240</v>
      </c>
      <c r="C269" s="30">
        <f>D269</f>
        <v>0</v>
      </c>
      <c r="D269" s="30">
        <f t="shared" si="33"/>
        <v>0</v>
      </c>
      <c r="GO269" s="2">
        <f>1*GO2</f>
        <v>0</v>
      </c>
    </row>
    <row r="270" spans="1:198" x14ac:dyDescent="0.25">
      <c r="A270" s="3"/>
      <c r="D270" s="30">
        <f t="shared" si="33"/>
        <v>0</v>
      </c>
    </row>
    <row r="271" spans="1:198" x14ac:dyDescent="0.25">
      <c r="A271" s="2" t="s">
        <v>442</v>
      </c>
      <c r="B271" s="30" t="s">
        <v>240</v>
      </c>
      <c r="C271" s="30">
        <f>D271</f>
        <v>0</v>
      </c>
      <c r="D271" s="30">
        <f t="shared" si="33"/>
        <v>0</v>
      </c>
      <c r="FS271" s="2">
        <f>1*FS2</f>
        <v>0</v>
      </c>
    </row>
  </sheetData>
  <autoFilter ref="B1:B271"/>
  <mergeCells count="3">
    <mergeCell ref="C59:D59"/>
    <mergeCell ref="C60:D60"/>
    <mergeCell ref="C61:D61"/>
  </mergeCells>
  <conditionalFormatting sqref="C1:D1 C39:D52 C36:D37 C3:D30 C54:D71 C325:D1048576 C32:D34">
    <cfRule type="cellIs" dxfId="12" priority="111" operator="between">
      <formula>0.00001</formula>
      <formula>999999999</formula>
    </cfRule>
  </conditionalFormatting>
  <conditionalFormatting sqref="C53:D53">
    <cfRule type="cellIs" dxfId="11" priority="101" operator="between">
      <formula>0.00001</formula>
      <formula>999999999</formula>
    </cfRule>
  </conditionalFormatting>
  <conditionalFormatting sqref="KJ53:PG5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J53:KM53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D38">
    <cfRule type="cellIs" dxfId="10" priority="97" operator="between">
      <formula>0.00001</formula>
      <formula>999999999</formula>
    </cfRule>
  </conditionalFormatting>
  <conditionalFormatting sqref="C35:D35">
    <cfRule type="cellIs" dxfId="9" priority="96" operator="between">
      <formula>0.00001</formula>
      <formula>999999999</formula>
    </cfRule>
  </conditionalFormatting>
  <conditionalFormatting sqref="KJ33:PG3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J33:KM3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J71:PG71 KJ3:PG32 KJ54:PG58 KJ34:PG52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J71:KM71 KJ3:KM32 KJ54:KM58 KJ34:KM52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2:D175 C72:D73 C177:D324 C77:D80">
    <cfRule type="cellIs" dxfId="8" priority="69" operator="between">
      <formula>0.00001</formula>
      <formula>999999999</formula>
    </cfRule>
  </conditionalFormatting>
  <conditionalFormatting sqref="C81:D81">
    <cfRule type="cellIs" dxfId="7" priority="65" operator="between">
      <formula>0.00001</formula>
      <formula>999999999</formula>
    </cfRule>
  </conditionalFormatting>
  <conditionalFormatting sqref="KJ72:PG20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J72:KM20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KI1166">
    <cfRule type="cellIs" dxfId="6" priority="6" operator="between">
      <formula>0.00001</formula>
      <formula>999999999</formula>
    </cfRule>
    <cfRule type="notContainsBlanks" dxfId="5" priority="7">
      <formula>LEN(TRIM(E3))&gt;0</formula>
    </cfRule>
  </conditionalFormatting>
  <conditionalFormatting sqref="C31:D31">
    <cfRule type="cellIs" dxfId="4" priority="5" operator="between">
      <formula>0.00001</formula>
      <formula>999999999</formula>
    </cfRule>
  </conditionalFormatting>
  <conditionalFormatting sqref="C176:D176">
    <cfRule type="cellIs" dxfId="3" priority="4" operator="between">
      <formula>0.00001</formula>
      <formula>999999999</formula>
    </cfRule>
  </conditionalFormatting>
  <conditionalFormatting sqref="C74:D74">
    <cfRule type="cellIs" dxfId="2" priority="3" operator="between">
      <formula>0.00001</formula>
      <formula>999999999</formula>
    </cfRule>
  </conditionalFormatting>
  <conditionalFormatting sqref="C76:D76">
    <cfRule type="cellIs" dxfId="1" priority="2" operator="between">
      <formula>0.00001</formula>
      <formula>999999999</formula>
    </cfRule>
  </conditionalFormatting>
  <conditionalFormatting sqref="C75:D75">
    <cfRule type="cellIs" dxfId="0" priority="1" operator="between">
      <formula>0.00001</formula>
      <formula>999999999</formula>
    </cfRule>
  </conditionalFormatting>
  <hyperlinks>
    <hyperlink ref="AL1" r:id="rId1"/>
    <hyperlink ref="AQ1" r:id="rId2"/>
    <hyperlink ref="AS1" r:id="rId3"/>
    <hyperlink ref="AT1" r:id="rId4"/>
    <hyperlink ref="AU1" r:id="rId5"/>
    <hyperlink ref="AV1" r:id="rId6"/>
    <hyperlink ref="AW1" r:id="rId7"/>
    <hyperlink ref="AX1" r:id="rId8"/>
    <hyperlink ref="AY1" r:id="rId9"/>
    <hyperlink ref="AZ1" r:id="rId10"/>
    <hyperlink ref="BA1" r:id="rId11"/>
    <hyperlink ref="BB1" r:id="rId12"/>
    <hyperlink ref="BD1" r:id="rId13"/>
    <hyperlink ref="BE1" r:id="rId14"/>
    <hyperlink ref="BF1" r:id="rId15"/>
    <hyperlink ref="BK1" r:id="rId16"/>
    <hyperlink ref="BL1" r:id="rId17"/>
    <hyperlink ref="BM1" r:id="rId18"/>
    <hyperlink ref="BN1" r:id="rId19"/>
    <hyperlink ref="BO1" r:id="rId20"/>
    <hyperlink ref="BP1" r:id="rId21"/>
    <hyperlink ref="BQ1" r:id="rId22"/>
    <hyperlink ref="BX1" r:id="rId23"/>
    <hyperlink ref="BY1" r:id="rId24"/>
    <hyperlink ref="BZ1" r:id="rId25"/>
    <hyperlink ref="CA1" r:id="rId26"/>
    <hyperlink ref="CB1" r:id="rId27"/>
    <hyperlink ref="CD1" r:id="rId28"/>
    <hyperlink ref="CG1" r:id="rId29"/>
    <hyperlink ref="CH1" r:id="rId30"/>
    <hyperlink ref="CI1" r:id="rId31"/>
    <hyperlink ref="CJ1" r:id="rId32"/>
    <hyperlink ref="CK1" r:id="rId33"/>
    <hyperlink ref="CL1" r:id="rId34"/>
    <hyperlink ref="CM1" r:id="rId35"/>
    <hyperlink ref="CN1" r:id="rId36"/>
    <hyperlink ref="CQ1" r:id="rId37"/>
    <hyperlink ref="CS1" r:id="rId38"/>
    <hyperlink ref="CT1" r:id="rId39"/>
    <hyperlink ref="CU1" r:id="rId40"/>
    <hyperlink ref="CV1" r:id="rId41"/>
    <hyperlink ref="DX1" r:id="rId42"/>
    <hyperlink ref="DY1" r:id="rId43"/>
    <hyperlink ref="DZ1" r:id="rId44"/>
    <hyperlink ref="EA1" r:id="rId45"/>
    <hyperlink ref="EB1" r:id="rId46"/>
    <hyperlink ref="EC1" r:id="rId47"/>
    <hyperlink ref="ED1" r:id="rId48"/>
    <hyperlink ref="EE1" r:id="rId49"/>
    <hyperlink ref="EF1" r:id="rId50"/>
    <hyperlink ref="EG1" r:id="rId51"/>
    <hyperlink ref="EH1" r:id="rId52"/>
    <hyperlink ref="EI1" r:id="rId53"/>
    <hyperlink ref="EJ1" r:id="rId54"/>
    <hyperlink ref="EK1" r:id="rId55"/>
    <hyperlink ref="EL1" r:id="rId56"/>
    <hyperlink ref="EM1" r:id="rId57"/>
    <hyperlink ref="EO1" r:id="rId58"/>
    <hyperlink ref="EP1" r:id="rId59"/>
    <hyperlink ref="EQ1" r:id="rId60"/>
    <hyperlink ref="ER1" r:id="rId61"/>
    <hyperlink ref="ES1" r:id="rId62"/>
    <hyperlink ref="ET1" r:id="rId63"/>
    <hyperlink ref="EU1" r:id="rId64"/>
    <hyperlink ref="EV1" r:id="rId65"/>
    <hyperlink ref="EW1" r:id="rId66"/>
    <hyperlink ref="EX1" r:id="rId67"/>
    <hyperlink ref="EY1" r:id="rId68"/>
    <hyperlink ref="EZ1" r:id="rId69"/>
    <hyperlink ref="FA1" r:id="rId70"/>
    <hyperlink ref="FB1" r:id="rId71" display="Внешний вид дисплеев\D215920374.pdf"/>
    <hyperlink ref="FC1" r:id="rId72"/>
    <hyperlink ref="FD1" r:id="rId73"/>
    <hyperlink ref="FE1" r:id="rId74"/>
    <hyperlink ref="FF1" r:id="rId75"/>
    <hyperlink ref="FG1" r:id="rId76"/>
    <hyperlink ref="FH1" r:id="rId77"/>
    <hyperlink ref="FI1" r:id="rId78"/>
    <hyperlink ref="FJ1" r:id="rId79"/>
    <hyperlink ref="FL1" r:id="rId80"/>
    <hyperlink ref="FM1" r:id="rId81"/>
    <hyperlink ref="FT1" r:id="rId82"/>
    <hyperlink ref="FV1" r:id="rId83" display="d215920960"/>
    <hyperlink ref="FX1" r:id="rId84"/>
    <hyperlink ref="FY1" r:id="rId85"/>
    <hyperlink ref="FZ1" r:id="rId86"/>
    <hyperlink ref="GA1" r:id="rId87"/>
    <hyperlink ref="GC1" r:id="rId88"/>
    <hyperlink ref="GH1" r:id="rId89"/>
    <hyperlink ref="GI1" r:id="rId90"/>
    <hyperlink ref="GJ1" r:id="rId91"/>
    <hyperlink ref="GK1" r:id="rId92"/>
    <hyperlink ref="GL1" r:id="rId93"/>
    <hyperlink ref="GM1" r:id="rId94"/>
    <hyperlink ref="GN1" r:id="rId95"/>
    <hyperlink ref="GO1" r:id="rId96"/>
    <hyperlink ref="GP1" r:id="rId97"/>
    <hyperlink ref="GQ1" r:id="rId98"/>
    <hyperlink ref="GR1" r:id="rId99" display="D215921490 "/>
    <hyperlink ref="GS1" r:id="rId100"/>
    <hyperlink ref="GT1" r:id="rId101"/>
    <hyperlink ref="GV1" r:id="rId102" display="D215921605 "/>
    <hyperlink ref="GW1" r:id="rId103"/>
    <hyperlink ref="GX1" r:id="rId104"/>
  </hyperlinks>
  <pageMargins left="0.7" right="0.7" top="0.75" bottom="0.75" header="0.3" footer="0.3"/>
  <pageSetup paperSize="9" orientation="portrait" r:id="rId105"/>
  <legacyDrawing r:id="rId1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Таблица транспонированая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kiselev</dc:creator>
  <cp:lastModifiedBy>Киселев Антон Викторович</cp:lastModifiedBy>
  <dcterms:created xsi:type="dcterms:W3CDTF">2019-03-19T07:34:54Z</dcterms:created>
  <dcterms:modified xsi:type="dcterms:W3CDTF">2024-02-05T14:17:44Z</dcterms:modified>
</cp:coreProperties>
</file>