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3\#материалы в производство\006 ГРАДИЕНТ\# INFLUENCE\INFLUENCE\Справочная информация\"/>
    </mc:Choice>
  </mc:AlternateContent>
  <bookViews>
    <workbookView xWindow="20805" yWindow="315" windowWidth="17895" windowHeight="11070"/>
  </bookViews>
  <sheets>
    <sheet name="Лист3" sheetId="1" r:id="rId1"/>
  </sheets>
  <definedNames>
    <definedName name="_xlnm._FilterDatabase" localSheetId="0" hidden="1">Лист3!$B$1:$B$174</definedName>
  </definedNames>
  <calcPr calcId="162913" iterate="1"/>
</workbook>
</file>

<file path=xl/calcChain.xml><?xml version="1.0" encoding="utf-8"?>
<calcChain xmlns="http://schemas.openxmlformats.org/spreadsheetml/2006/main">
  <c r="FI27" i="1" l="1"/>
  <c r="FJ46" i="1"/>
  <c r="FJ45" i="1"/>
  <c r="FJ44" i="1"/>
  <c r="FL46" i="1"/>
  <c r="FL45" i="1"/>
  <c r="FL44" i="1"/>
  <c r="FK46" i="1"/>
  <c r="FK45" i="1"/>
  <c r="FK44" i="1"/>
  <c r="FI46" i="1"/>
  <c r="FI45" i="1"/>
  <c r="FI44" i="1"/>
  <c r="FL48" i="1"/>
  <c r="FL49" i="1"/>
  <c r="FL50" i="1"/>
  <c r="FL52" i="1"/>
  <c r="FL53" i="1"/>
  <c r="FL54" i="1"/>
  <c r="FL28" i="1"/>
  <c r="FL27" i="1" s="1"/>
  <c r="FL29" i="1"/>
  <c r="FK28" i="1"/>
  <c r="FK27" i="1" s="1"/>
  <c r="FK52" i="1"/>
  <c r="FK53" i="1"/>
  <c r="FK54" i="1"/>
  <c r="FK29" i="1"/>
  <c r="FK48" i="1"/>
  <c r="FK49" i="1"/>
  <c r="FK50" i="1"/>
  <c r="FJ52" i="1"/>
  <c r="FJ53" i="1"/>
  <c r="FJ54" i="1"/>
  <c r="FJ48" i="1"/>
  <c r="FJ49" i="1"/>
  <c r="FJ50" i="1"/>
  <c r="FJ29" i="1"/>
  <c r="FJ28" i="1"/>
  <c r="FJ27" i="1" s="1"/>
  <c r="FI29" i="1"/>
  <c r="FI50" i="1"/>
  <c r="FI49" i="1"/>
  <c r="FI48" i="1"/>
  <c r="FI54" i="1"/>
  <c r="FI53" i="1"/>
  <c r="FI52" i="1"/>
  <c r="FI28" i="1"/>
  <c r="FH58" i="1"/>
  <c r="C58" i="1"/>
  <c r="FG56" i="1"/>
  <c r="FH56" i="1"/>
  <c r="FG57" i="1"/>
  <c r="C57" i="1"/>
  <c r="C29" i="1" l="1"/>
  <c r="FH54" i="1"/>
  <c r="FH53" i="1"/>
  <c r="FH52" i="1"/>
  <c r="FG54" i="1"/>
  <c r="FG53" i="1"/>
  <c r="FG52" i="1"/>
  <c r="FG23" i="1"/>
  <c r="FG3" i="1"/>
  <c r="FG50" i="1"/>
  <c r="FG49" i="1"/>
  <c r="FG48" i="1"/>
  <c r="FG4" i="1"/>
  <c r="FH15" i="1"/>
  <c r="FH16" i="1"/>
  <c r="FH23" i="1"/>
  <c r="FH48" i="1"/>
  <c r="FH50" i="1"/>
  <c r="FH49" i="1"/>
  <c r="C49" i="1" l="1"/>
  <c r="C23" i="1"/>
  <c r="FE56" i="1"/>
  <c r="FF56" i="1"/>
  <c r="FF11" i="1"/>
  <c r="FE11" i="1"/>
  <c r="FF12" i="1"/>
  <c r="FE12" i="1"/>
  <c r="FF25" i="1"/>
  <c r="FF28" i="1"/>
  <c r="FF27" i="1"/>
  <c r="FF38" i="1"/>
  <c r="FF44" i="1"/>
  <c r="FF45" i="1" s="1"/>
  <c r="FE44" i="1"/>
  <c r="FE45" i="1" s="1"/>
  <c r="FE27" i="1"/>
  <c r="FE28" i="1"/>
  <c r="FF3" i="1"/>
  <c r="FF50" i="1"/>
  <c r="FF48" i="1"/>
  <c r="FF4" i="1"/>
  <c r="FE3" i="1"/>
  <c r="FE4" i="1"/>
  <c r="FF139" i="1"/>
  <c r="C139" i="1"/>
  <c r="FF54" i="1"/>
  <c r="FF52" i="1"/>
  <c r="FF53" i="1"/>
  <c r="FE138" i="1"/>
  <c r="C138" i="1"/>
  <c r="FE52" i="1"/>
  <c r="FE53" i="1"/>
  <c r="FE54" i="1"/>
  <c r="FE38" i="1"/>
  <c r="FE25" i="1"/>
  <c r="FE48" i="1"/>
  <c r="FE50" i="1"/>
  <c r="FD27" i="1" l="1"/>
  <c r="FD25" i="1"/>
  <c r="FD11" i="1"/>
  <c r="FD28" i="1" s="1"/>
  <c r="FD3" i="1"/>
  <c r="FD38" i="1"/>
  <c r="C38" i="1" s="1"/>
  <c r="FD4" i="1"/>
  <c r="FD12" i="1"/>
  <c r="FD54" i="1"/>
  <c r="FD62" i="1"/>
  <c r="C62" i="1"/>
  <c r="FD56" i="1"/>
  <c r="FD52" i="1"/>
  <c r="FD53" i="1"/>
  <c r="FD45" i="1"/>
  <c r="FD44" i="1"/>
  <c r="FD50" i="1"/>
  <c r="FD48" i="1"/>
  <c r="FC11" i="1"/>
  <c r="FC3" i="1"/>
  <c r="FC4" i="1"/>
  <c r="FC12" i="1"/>
  <c r="FC61" i="1"/>
  <c r="C61" i="1"/>
  <c r="FC56" i="1"/>
  <c r="FC52" i="1"/>
  <c r="FC53" i="1"/>
  <c r="FC54" i="1"/>
  <c r="FC28" i="1"/>
  <c r="FC27" i="1"/>
  <c r="FC25" i="1"/>
  <c r="FC45" i="1"/>
  <c r="FC44" i="1"/>
  <c r="FC50" i="1"/>
  <c r="FC48" i="1"/>
  <c r="FB60" i="1"/>
  <c r="C60" i="1"/>
  <c r="FA56" i="1"/>
  <c r="FB56" i="1"/>
  <c r="FB25" i="1"/>
  <c r="FB11" i="1"/>
  <c r="FB3" i="1"/>
  <c r="FB12" i="1"/>
  <c r="FB4" i="1"/>
  <c r="FB28" i="1"/>
  <c r="FB27" i="1"/>
  <c r="FB45" i="1"/>
  <c r="FB44" i="1"/>
  <c r="FB53" i="1"/>
  <c r="FB52" i="1"/>
  <c r="FB50" i="1"/>
  <c r="FB48" i="1"/>
  <c r="CP52" i="1" l="1"/>
  <c r="CP53" i="1"/>
  <c r="CP54" i="1"/>
  <c r="EX50" i="1"/>
  <c r="EX48" i="1"/>
  <c r="EX54" i="1"/>
  <c r="EX53" i="1"/>
  <c r="EX52" i="1"/>
  <c r="EX45" i="1"/>
  <c r="EX44" i="1"/>
  <c r="EX34" i="1"/>
  <c r="EX31" i="1"/>
  <c r="EX30" i="1"/>
  <c r="EZ3" i="1"/>
  <c r="CP9" i="1"/>
  <c r="CP34" i="1"/>
  <c r="CP45" i="1"/>
  <c r="CP44" i="1"/>
  <c r="CP50" i="1"/>
  <c r="CP48" i="1"/>
  <c r="CP10" i="1"/>
  <c r="C174" i="1"/>
  <c r="C173" i="1"/>
  <c r="C170" i="1"/>
  <c r="C169" i="1"/>
  <c r="C166" i="1"/>
  <c r="C165" i="1"/>
  <c r="C164" i="1"/>
  <c r="C161" i="1"/>
  <c r="C160" i="1"/>
  <c r="C159" i="1"/>
  <c r="C156" i="1"/>
  <c r="C155" i="1"/>
  <c r="C154" i="1"/>
  <c r="C151" i="1"/>
  <c r="C150" i="1"/>
  <c r="C147" i="1"/>
  <c r="C146" i="1"/>
  <c r="C145" i="1"/>
  <c r="CY140" i="1"/>
  <c r="C140" i="1" s="1"/>
  <c r="EE137" i="1"/>
  <c r="C137" i="1" s="1"/>
  <c r="EC136" i="1"/>
  <c r="C136" i="1" s="1"/>
  <c r="CZ135" i="1"/>
  <c r="C135" i="1" s="1"/>
  <c r="EG134" i="1"/>
  <c r="C134" i="1" s="1"/>
  <c r="ED133" i="1"/>
  <c r="C133" i="1" s="1"/>
  <c r="EB132" i="1"/>
  <c r="C132" i="1" s="1"/>
  <c r="CM131" i="1"/>
  <c r="C131" i="1" s="1"/>
  <c r="EA130" i="1"/>
  <c r="C130" i="1" s="1"/>
  <c r="DZ129" i="1"/>
  <c r="DR129" i="1"/>
  <c r="ER128" i="1"/>
  <c r="EQ128" i="1"/>
  <c r="EP128" i="1"/>
  <c r="EO128" i="1"/>
  <c r="EN128" i="1"/>
  <c r="EM128" i="1"/>
  <c r="DY128" i="1"/>
  <c r="DX128" i="1"/>
  <c r="DQ128" i="1"/>
  <c r="DE128" i="1"/>
  <c r="DW127" i="1"/>
  <c r="DD127" i="1"/>
  <c r="DV126" i="1"/>
  <c r="C126" i="1" s="1"/>
  <c r="DU125" i="1"/>
  <c r="DT125" i="1"/>
  <c r="DS124" i="1"/>
  <c r="C124" i="1" s="1"/>
  <c r="CU123" i="1"/>
  <c r="C123" i="1" s="1"/>
  <c r="CT122" i="1"/>
  <c r="C122" i="1" s="1"/>
  <c r="CS121" i="1"/>
  <c r="C121" i="1" s="1"/>
  <c r="CO120" i="1"/>
  <c r="C120" i="1" s="1"/>
  <c r="CR119" i="1"/>
  <c r="C119" i="1" s="1"/>
  <c r="CQ118" i="1"/>
  <c r="C118" i="1" s="1"/>
  <c r="AU117" i="1"/>
  <c r="C117" i="1" s="1"/>
  <c r="DA116" i="1"/>
  <c r="C116" i="1" s="1"/>
  <c r="DB115" i="1"/>
  <c r="C115" i="1" s="1"/>
  <c r="DC114" i="1"/>
  <c r="C114" i="1" s="1"/>
  <c r="CD113" i="1"/>
  <c r="C113" i="1" s="1"/>
  <c r="AB112" i="1"/>
  <c r="AA112" i="1"/>
  <c r="Z112" i="1"/>
  <c r="C111" i="1"/>
  <c r="AS110" i="1"/>
  <c r="C110" i="1" s="1"/>
  <c r="EJ109" i="1"/>
  <c r="EI109" i="1"/>
  <c r="EH109" i="1"/>
  <c r="EF109" i="1"/>
  <c r="AN109" i="1"/>
  <c r="AR108" i="1"/>
  <c r="C108" i="1" s="1"/>
  <c r="AO107" i="1"/>
  <c r="C107" i="1"/>
  <c r="BC106" i="1"/>
  <c r="C106" i="1" s="1"/>
  <c r="BB105" i="1"/>
  <c r="AM105" i="1"/>
  <c r="CB104" i="1"/>
  <c r="C104" i="1" s="1"/>
  <c r="AF103" i="1"/>
  <c r="C103" i="1" s="1"/>
  <c r="BL102" i="1"/>
  <c r="C102" i="1" s="1"/>
  <c r="BZ101" i="1"/>
  <c r="C101" i="1" s="1"/>
  <c r="X100" i="1"/>
  <c r="C100" i="1" s="1"/>
  <c r="Y99" i="1"/>
  <c r="C99" i="1" s="1"/>
  <c r="BK98" i="1"/>
  <c r="C98" i="1" s="1"/>
  <c r="Q97" i="1"/>
  <c r="C97" i="1" s="1"/>
  <c r="K96" i="1"/>
  <c r="C96" i="1" s="1"/>
  <c r="EL95" i="1"/>
  <c r="EK95" i="1"/>
  <c r="CA95" i="1"/>
  <c r="BU94" i="1"/>
  <c r="C94" i="1" s="1"/>
  <c r="R93" i="1"/>
  <c r="C93" i="1" s="1"/>
  <c r="G92" i="1"/>
  <c r="C92" i="1" s="1"/>
  <c r="S91" i="1"/>
  <c r="C91" i="1" s="1"/>
  <c r="AP90" i="1"/>
  <c r="J90" i="1"/>
  <c r="BH89" i="1"/>
  <c r="C89" i="1" s="1"/>
  <c r="BO88" i="1"/>
  <c r="C88" i="1" s="1"/>
  <c r="BG87" i="1"/>
  <c r="C87" i="1" s="1"/>
  <c r="EU86" i="1"/>
  <c r="L86" i="1"/>
  <c r="I85" i="1"/>
  <c r="F85" i="1"/>
  <c r="BS84" i="1"/>
  <c r="C84" i="1" s="1"/>
  <c r="ET83" i="1"/>
  <c r="AG83" i="1"/>
  <c r="BI82" i="1"/>
  <c r="C82" i="1" s="1"/>
  <c r="BF81" i="1"/>
  <c r="C81" i="1" s="1"/>
  <c r="ES80" i="1"/>
  <c r="BQ80" i="1"/>
  <c r="BP80" i="1"/>
  <c r="BA80" i="1"/>
  <c r="N80" i="1"/>
  <c r="BN79" i="1"/>
  <c r="AQ79" i="1"/>
  <c r="AZ78" i="1"/>
  <c r="C78" i="1" s="1"/>
  <c r="AY77" i="1"/>
  <c r="C77" i="1" s="1"/>
  <c r="AX76" i="1"/>
  <c r="C76" i="1" s="1"/>
  <c r="AW75" i="1"/>
  <c r="C75" i="1" s="1"/>
  <c r="AV74" i="1"/>
  <c r="C74" i="1" s="1"/>
  <c r="AT73" i="1"/>
  <c r="C73" i="1" s="1"/>
  <c r="AE72" i="1"/>
  <c r="AD72" i="1"/>
  <c r="AC72" i="1"/>
  <c r="BR71" i="1"/>
  <c r="C71" i="1" s="1"/>
  <c r="H70" i="1"/>
  <c r="C70" i="1" s="1"/>
  <c r="BT69" i="1"/>
  <c r="C69" i="1" s="1"/>
  <c r="CH68" i="1"/>
  <c r="C68" i="1" s="1"/>
  <c r="EY67" i="1"/>
  <c r="EV67" i="1"/>
  <c r="AJ67" i="1"/>
  <c r="AI67" i="1"/>
  <c r="AH67" i="1"/>
  <c r="BJ66" i="1"/>
  <c r="C66" i="1" s="1"/>
  <c r="P65" i="1"/>
  <c r="C65" i="1" s="1"/>
  <c r="M64" i="1"/>
  <c r="C64" i="1" s="1"/>
  <c r="BY63" i="1"/>
  <c r="BX63" i="1"/>
  <c r="BW63" i="1"/>
  <c r="BV63" i="1"/>
  <c r="EZ59" i="1"/>
  <c r="EW59" i="1"/>
  <c r="BM59" i="1"/>
  <c r="V59" i="1"/>
  <c r="O59" i="1"/>
  <c r="EZ56" i="1"/>
  <c r="EY56" i="1"/>
  <c r="EW56" i="1"/>
  <c r="EV56" i="1"/>
  <c r="EU56" i="1"/>
  <c r="ET56" i="1"/>
  <c r="ES56" i="1"/>
  <c r="DE56" i="1"/>
  <c r="DD56" i="1"/>
  <c r="DC56" i="1"/>
  <c r="DB56" i="1"/>
  <c r="DA56" i="1"/>
  <c r="CU56" i="1"/>
  <c r="CT56" i="1"/>
  <c r="CS56" i="1"/>
  <c r="CR56" i="1"/>
  <c r="CQ56" i="1"/>
  <c r="CO56" i="1"/>
  <c r="CN56" i="1"/>
  <c r="CM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FB54" i="1"/>
  <c r="FA54" i="1"/>
  <c r="EZ54" i="1"/>
  <c r="EY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A54" i="1"/>
  <c r="CZ54" i="1"/>
  <c r="CY54" i="1"/>
  <c r="CX54" i="1"/>
  <c r="CW54" i="1"/>
  <c r="CV54" i="1"/>
  <c r="CU54" i="1"/>
  <c r="CT54" i="1"/>
  <c r="CS54" i="1"/>
  <c r="CR54" i="1"/>
  <c r="CQ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ED54" i="1" s="1"/>
  <c r="BT54" i="1"/>
  <c r="BS54" i="1"/>
  <c r="BR54" i="1"/>
  <c r="DB54" i="1" s="1"/>
  <c r="BQ54" i="1"/>
  <c r="BP54" i="1"/>
  <c r="BO54" i="1"/>
  <c r="BN54" i="1"/>
  <c r="BM54" i="1"/>
  <c r="DC54" i="1" s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FA53" i="1"/>
  <c r="EZ53" i="1"/>
  <c r="EY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FA52" i="1"/>
  <c r="EZ52" i="1"/>
  <c r="EY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EP50" i="1"/>
  <c r="EM50" i="1"/>
  <c r="EH50" i="1"/>
  <c r="EE50" i="1"/>
  <c r="ED50" i="1"/>
  <c r="EB50" i="1"/>
  <c r="EA50" i="1"/>
  <c r="DR50" i="1"/>
  <c r="DE50" i="1"/>
  <c r="DC50" i="1"/>
  <c r="DB50" i="1"/>
  <c r="CN50" i="1"/>
  <c r="CD50" i="1"/>
  <c r="BW50" i="1"/>
  <c r="BV50" i="1"/>
  <c r="BR50" i="1"/>
  <c r="BA50" i="1"/>
  <c r="AL50" i="1"/>
  <c r="AH50" i="1"/>
  <c r="AG50" i="1"/>
  <c r="Y50" i="1"/>
  <c r="V50" i="1"/>
  <c r="R50" i="1"/>
  <c r="P50" i="1"/>
  <c r="O50" i="1"/>
  <c r="M50" i="1"/>
  <c r="J50" i="1"/>
  <c r="I50" i="1"/>
  <c r="H50" i="1"/>
  <c r="EP48" i="1"/>
  <c r="EM48" i="1"/>
  <c r="EH48" i="1"/>
  <c r="EE48" i="1"/>
  <c r="ED48" i="1"/>
  <c r="EB48" i="1"/>
  <c r="EA48" i="1"/>
  <c r="DR48" i="1"/>
  <c r="DE48" i="1"/>
  <c r="DC48" i="1"/>
  <c r="DB48" i="1"/>
  <c r="CN48" i="1"/>
  <c r="CD48" i="1"/>
  <c r="BW48" i="1"/>
  <c r="BV48" i="1"/>
  <c r="BR48" i="1"/>
  <c r="BM48" i="1"/>
  <c r="BA48" i="1"/>
  <c r="AL48" i="1"/>
  <c r="AH48" i="1"/>
  <c r="AG48" i="1"/>
  <c r="Y48" i="1"/>
  <c r="V48" i="1"/>
  <c r="R48" i="1"/>
  <c r="P48" i="1"/>
  <c r="O48" i="1"/>
  <c r="M48" i="1"/>
  <c r="J48" i="1"/>
  <c r="I48" i="1"/>
  <c r="H48" i="1"/>
  <c r="C46" i="1"/>
  <c r="EP45" i="1"/>
  <c r="EM45" i="1"/>
  <c r="EE45" i="1"/>
  <c r="EB45" i="1"/>
  <c r="DR45" i="1"/>
  <c r="DE45" i="1"/>
  <c r="BW45" i="1"/>
  <c r="BV45" i="1"/>
  <c r="BR45" i="1"/>
  <c r="BM45" i="1"/>
  <c r="BA45" i="1"/>
  <c r="AL45" i="1"/>
  <c r="AH45" i="1"/>
  <c r="AG45" i="1"/>
  <c r="Y45" i="1"/>
  <c r="V45" i="1"/>
  <c r="R45" i="1"/>
  <c r="P45" i="1"/>
  <c r="O45" i="1"/>
  <c r="M45" i="1"/>
  <c r="J45" i="1"/>
  <c r="I45" i="1"/>
  <c r="H45" i="1"/>
  <c r="FA44" i="1"/>
  <c r="EP44" i="1"/>
  <c r="EM44" i="1"/>
  <c r="EH44" i="1"/>
  <c r="EE44" i="1"/>
  <c r="EB44" i="1"/>
  <c r="DR44" i="1"/>
  <c r="DE44" i="1"/>
  <c r="CD44" i="1"/>
  <c r="BW44" i="1"/>
  <c r="BV44" i="1"/>
  <c r="BR44" i="1"/>
  <c r="BM44" i="1"/>
  <c r="BA44" i="1"/>
  <c r="AL44" i="1"/>
  <c r="AH44" i="1"/>
  <c r="AG44" i="1"/>
  <c r="Y44" i="1"/>
  <c r="V44" i="1"/>
  <c r="R44" i="1"/>
  <c r="P44" i="1"/>
  <c r="O44" i="1"/>
  <c r="M44" i="1"/>
  <c r="J44" i="1"/>
  <c r="I44" i="1"/>
  <c r="H44" i="1"/>
  <c r="CX42" i="1"/>
  <c r="C42" i="1" s="1"/>
  <c r="CX41" i="1"/>
  <c r="C41" i="1" s="1"/>
  <c r="DN39" i="1"/>
  <c r="CB39" i="1"/>
  <c r="DA37" i="1"/>
  <c r="C37" i="1" s="1"/>
  <c r="DN36" i="1"/>
  <c r="CB36" i="1"/>
  <c r="FA34" i="1"/>
  <c r="DP34" i="1"/>
  <c r="DA34" i="1"/>
  <c r="CX34" i="1"/>
  <c r="CV34" i="1"/>
  <c r="CN34" i="1"/>
  <c r="CL34" i="1"/>
  <c r="CC34" i="1"/>
  <c r="AL34" i="1"/>
  <c r="FA33" i="1"/>
  <c r="J33" i="1"/>
  <c r="J32" i="1"/>
  <c r="C32" i="1" s="1"/>
  <c r="FA31" i="1"/>
  <c r="C31" i="1" s="1"/>
  <c r="FA30" i="1"/>
  <c r="EZ28" i="1"/>
  <c r="EY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B28" i="1"/>
  <c r="DR28" i="1"/>
  <c r="DG28" i="1"/>
  <c r="DE28" i="1"/>
  <c r="DE27" i="1" s="1"/>
  <c r="CX28" i="1"/>
  <c r="CM28" i="1"/>
  <c r="CK28" i="1"/>
  <c r="CJ28" i="1"/>
  <c r="CI28" i="1"/>
  <c r="CH28" i="1"/>
  <c r="CG28" i="1"/>
  <c r="CF28" i="1"/>
  <c r="CD28" i="1"/>
  <c r="CB28" i="1"/>
  <c r="CA28" i="1"/>
  <c r="BZ28" i="1"/>
  <c r="BY28" i="1"/>
  <c r="BW28" i="1"/>
  <c r="BV28" i="1"/>
  <c r="BU28" i="1"/>
  <c r="BT28" i="1"/>
  <c r="BS28" i="1"/>
  <c r="BR28" i="1"/>
  <c r="BQ28" i="1"/>
  <c r="BP28" i="1"/>
  <c r="BO28" i="1"/>
  <c r="BN28" i="1"/>
  <c r="BL28" i="1"/>
  <c r="BK28" i="1"/>
  <c r="BJ28" i="1"/>
  <c r="BI28" i="1"/>
  <c r="BH28" i="1"/>
  <c r="BG28" i="1"/>
  <c r="BF28" i="1"/>
  <c r="BE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V28" i="1"/>
  <c r="S28" i="1"/>
  <c r="R28" i="1"/>
  <c r="Q28" i="1"/>
  <c r="P28" i="1"/>
  <c r="O28" i="1"/>
  <c r="N28" i="1"/>
  <c r="M28" i="1"/>
  <c r="L28" i="1"/>
  <c r="K28" i="1"/>
  <c r="I28" i="1"/>
  <c r="H28" i="1"/>
  <c r="G28" i="1"/>
  <c r="F28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B27" i="1"/>
  <c r="DR27" i="1"/>
  <c r="CM27" i="1"/>
  <c r="BY27" i="1"/>
  <c r="BW27" i="1"/>
  <c r="BT27" i="1"/>
  <c r="BS27" i="1"/>
  <c r="BR27" i="1"/>
  <c r="BQ27" i="1"/>
  <c r="BP27" i="1"/>
  <c r="BN27" i="1"/>
  <c r="BJ27" i="1"/>
  <c r="BI27" i="1"/>
  <c r="BF27" i="1"/>
  <c r="BD27" i="1"/>
  <c r="BA27" i="1"/>
  <c r="AJ27" i="1"/>
  <c r="AG27" i="1"/>
  <c r="R27" i="1"/>
  <c r="P27" i="1"/>
  <c r="N27" i="1"/>
  <c r="M27" i="1"/>
  <c r="K27" i="1"/>
  <c r="H27" i="1"/>
  <c r="F27" i="1"/>
  <c r="EZ25" i="1"/>
  <c r="EY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B25" i="1"/>
  <c r="DZ25" i="1"/>
  <c r="DY25" i="1"/>
  <c r="DX25" i="1"/>
  <c r="DW25" i="1"/>
  <c r="DV25" i="1"/>
  <c r="DU25" i="1"/>
  <c r="DT25" i="1"/>
  <c r="DS25" i="1"/>
  <c r="DR25" i="1"/>
  <c r="DQ25" i="1"/>
  <c r="DM25" i="1"/>
  <c r="DL25" i="1"/>
  <c r="DK25" i="1"/>
  <c r="DJ25" i="1"/>
  <c r="DI25" i="1"/>
  <c r="DH25" i="1"/>
  <c r="DF25" i="1"/>
  <c r="DE25" i="1"/>
  <c r="DD25" i="1"/>
  <c r="CM25" i="1"/>
  <c r="CK25" i="1"/>
  <c r="CJ25" i="1"/>
  <c r="CI25" i="1"/>
  <c r="CH25" i="1"/>
  <c r="CD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O25" i="1"/>
  <c r="AN25" i="1"/>
  <c r="AM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V25" i="1"/>
  <c r="S25" i="1"/>
  <c r="R25" i="1"/>
  <c r="Q25" i="1"/>
  <c r="P25" i="1"/>
  <c r="O25" i="1"/>
  <c r="N25" i="1"/>
  <c r="M25" i="1"/>
  <c r="L25" i="1"/>
  <c r="I25" i="1"/>
  <c r="H25" i="1"/>
  <c r="G25" i="1"/>
  <c r="F25" i="1"/>
  <c r="EB24" i="1"/>
  <c r="DG24" i="1"/>
  <c r="CW24" i="1"/>
  <c r="CU24" i="1"/>
  <c r="CT24" i="1"/>
  <c r="CS24" i="1"/>
  <c r="CR24" i="1"/>
  <c r="CQ24" i="1"/>
  <c r="CO24" i="1"/>
  <c r="CK24" i="1"/>
  <c r="CC24" i="1"/>
  <c r="BS24" i="1"/>
  <c r="BO24" i="1"/>
  <c r="BL24" i="1"/>
  <c r="BK24" i="1"/>
  <c r="BI24" i="1"/>
  <c r="BH24" i="1"/>
  <c r="AY24" i="1"/>
  <c r="AX24" i="1"/>
  <c r="AV24" i="1"/>
  <c r="AU24" i="1"/>
  <c r="AT24" i="1"/>
  <c r="AL24" i="1"/>
  <c r="Y24" i="1"/>
  <c r="S24" i="1"/>
  <c r="R24" i="1"/>
  <c r="Q24" i="1"/>
  <c r="P24" i="1"/>
  <c r="M24" i="1"/>
  <c r="EA22" i="1"/>
  <c r="DC22" i="1"/>
  <c r="DB22" i="1"/>
  <c r="AL20" i="1"/>
  <c r="C20" i="1" s="1"/>
  <c r="CC19" i="1"/>
  <c r="AL19" i="1"/>
  <c r="C18" i="1"/>
  <c r="DN17" i="1"/>
  <c r="DA17" i="1"/>
  <c r="CB17" i="1"/>
  <c r="J16" i="1"/>
  <c r="C16" i="1" s="1"/>
  <c r="DO15" i="1"/>
  <c r="BE15" i="1"/>
  <c r="AP15" i="1"/>
  <c r="K15" i="1"/>
  <c r="J15" i="1"/>
  <c r="C14" i="1"/>
  <c r="CX13" i="1"/>
  <c r="C13" i="1" s="1"/>
  <c r="EP12" i="1"/>
  <c r="EM12" i="1"/>
  <c r="EH12" i="1"/>
  <c r="EE12" i="1"/>
  <c r="EB12" i="1"/>
  <c r="DR12" i="1"/>
  <c r="DE12" i="1"/>
  <c r="CD12" i="1"/>
  <c r="BW12" i="1"/>
  <c r="BV12" i="1"/>
  <c r="BM12" i="1"/>
  <c r="BA12" i="1"/>
  <c r="AH12" i="1"/>
  <c r="AG12" i="1"/>
  <c r="Y12" i="1"/>
  <c r="V12" i="1"/>
  <c r="R12" i="1"/>
  <c r="P12" i="1"/>
  <c r="O12" i="1"/>
  <c r="M12" i="1"/>
  <c r="I12" i="1"/>
  <c r="H12" i="1"/>
  <c r="EZ11" i="1"/>
  <c r="EZ27" i="1" s="1"/>
  <c r="EY11" i="1"/>
  <c r="EY27" i="1" s="1"/>
  <c r="EW11" i="1"/>
  <c r="EW27" i="1" s="1"/>
  <c r="EV11" i="1"/>
  <c r="EV27" i="1" s="1"/>
  <c r="EU11" i="1"/>
  <c r="EU27" i="1" s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B11" i="1"/>
  <c r="DZ11" i="1"/>
  <c r="DZ34" i="1" s="1"/>
  <c r="DY11" i="1"/>
  <c r="DY34" i="1" s="1"/>
  <c r="DX11" i="1"/>
  <c r="DX34" i="1" s="1"/>
  <c r="DW11" i="1"/>
  <c r="DW34" i="1" s="1"/>
  <c r="DV11" i="1"/>
  <c r="DV34" i="1" s="1"/>
  <c r="DU11" i="1"/>
  <c r="DU34" i="1" s="1"/>
  <c r="DT11" i="1"/>
  <c r="DT34" i="1" s="1"/>
  <c r="DS11" i="1"/>
  <c r="DS34" i="1" s="1"/>
  <c r="DR11" i="1"/>
  <c r="DQ11" i="1"/>
  <c r="DQ27" i="1" s="1"/>
  <c r="DN11" i="1"/>
  <c r="DN28" i="1" s="1"/>
  <c r="DM11" i="1"/>
  <c r="DM28" i="1" s="1"/>
  <c r="DL11" i="1"/>
  <c r="DL28" i="1" s="1"/>
  <c r="DK11" i="1"/>
  <c r="DK28" i="1" s="1"/>
  <c r="DJ11" i="1"/>
  <c r="DJ28" i="1" s="1"/>
  <c r="DI11" i="1"/>
  <c r="DI28" i="1" s="1"/>
  <c r="DH11" i="1"/>
  <c r="DH28" i="1" s="1"/>
  <c r="DG11" i="1"/>
  <c r="DF11" i="1"/>
  <c r="DF28" i="1" s="1"/>
  <c r="DE11" i="1"/>
  <c r="DD11" i="1"/>
  <c r="DD28" i="1" s="1"/>
  <c r="CW11" i="1"/>
  <c r="CW34" i="1" s="1"/>
  <c r="CU11" i="1"/>
  <c r="CU34" i="1" s="1"/>
  <c r="CT11" i="1"/>
  <c r="CT34" i="1" s="1"/>
  <c r="CS11" i="1"/>
  <c r="CS34" i="1" s="1"/>
  <c r="CR11" i="1"/>
  <c r="CR34" i="1" s="1"/>
  <c r="CQ11" i="1"/>
  <c r="CQ34" i="1" s="1"/>
  <c r="CO11" i="1"/>
  <c r="CO34" i="1" s="1"/>
  <c r="CM11" i="1"/>
  <c r="CK11" i="1"/>
  <c r="CK27" i="1" s="1"/>
  <c r="CJ11" i="1"/>
  <c r="CJ27" i="1" s="1"/>
  <c r="CI11" i="1"/>
  <c r="CI27" i="1" s="1"/>
  <c r="CH11" i="1"/>
  <c r="CH27" i="1" s="1"/>
  <c r="CD11" i="1"/>
  <c r="CD27" i="1" s="1"/>
  <c r="CB11" i="1"/>
  <c r="CB27" i="1" s="1"/>
  <c r="CA11" i="1"/>
  <c r="CA27" i="1" s="1"/>
  <c r="BZ11" i="1"/>
  <c r="BZ27" i="1" s="1"/>
  <c r="BY11" i="1"/>
  <c r="BX11" i="1"/>
  <c r="BX27" i="1" s="1"/>
  <c r="BW11" i="1"/>
  <c r="BV11" i="1"/>
  <c r="BV27" i="1" s="1"/>
  <c r="BU11" i="1"/>
  <c r="BU27" i="1" s="1"/>
  <c r="BT11" i="1"/>
  <c r="BS11" i="1"/>
  <c r="BR11" i="1"/>
  <c r="BQ11" i="1"/>
  <c r="BP11" i="1"/>
  <c r="BO11" i="1"/>
  <c r="BO27" i="1" s="1"/>
  <c r="BN11" i="1"/>
  <c r="BM11" i="1"/>
  <c r="BM27" i="1" s="1"/>
  <c r="BL11" i="1"/>
  <c r="BL27" i="1" s="1"/>
  <c r="BK11" i="1"/>
  <c r="BK27" i="1" s="1"/>
  <c r="BJ11" i="1"/>
  <c r="BI11" i="1"/>
  <c r="BH11" i="1"/>
  <c r="BH27" i="1" s="1"/>
  <c r="BG11" i="1"/>
  <c r="BG27" i="1" s="1"/>
  <c r="BF11" i="1"/>
  <c r="BC11" i="1"/>
  <c r="BC27" i="1" s="1"/>
  <c r="BB11" i="1"/>
  <c r="BB27" i="1" s="1"/>
  <c r="BA11" i="1"/>
  <c r="AZ11" i="1"/>
  <c r="AZ27" i="1" s="1"/>
  <c r="AY11" i="1"/>
  <c r="AY27" i="1" s="1"/>
  <c r="AX11" i="1"/>
  <c r="AX27" i="1" s="1"/>
  <c r="AW11" i="1"/>
  <c r="AW27" i="1" s="1"/>
  <c r="AV11" i="1"/>
  <c r="AV27" i="1" s="1"/>
  <c r="AU11" i="1"/>
  <c r="AU27" i="1" s="1"/>
  <c r="AT11" i="1"/>
  <c r="AT27" i="1" s="1"/>
  <c r="AS11" i="1"/>
  <c r="AS27" i="1" s="1"/>
  <c r="AR11" i="1"/>
  <c r="AR27" i="1" s="1"/>
  <c r="AQ11" i="1"/>
  <c r="AQ27" i="1" s="1"/>
  <c r="AO11" i="1"/>
  <c r="AO27" i="1" s="1"/>
  <c r="AN11" i="1"/>
  <c r="AN27" i="1" s="1"/>
  <c r="AM11" i="1"/>
  <c r="AM27" i="1" s="1"/>
  <c r="AJ11" i="1"/>
  <c r="AI11" i="1"/>
  <c r="AI27" i="1" s="1"/>
  <c r="AH11" i="1"/>
  <c r="AH27" i="1" s="1"/>
  <c r="AG11" i="1"/>
  <c r="AF11" i="1"/>
  <c r="AF27" i="1" s="1"/>
  <c r="AE11" i="1"/>
  <c r="AE27" i="1" s="1"/>
  <c r="AD11" i="1"/>
  <c r="AD27" i="1" s="1"/>
  <c r="AC11" i="1"/>
  <c r="AC27" i="1" s="1"/>
  <c r="AB11" i="1"/>
  <c r="AB27" i="1" s="1"/>
  <c r="AA11" i="1"/>
  <c r="AA27" i="1" s="1"/>
  <c r="Z11" i="1"/>
  <c r="Z27" i="1" s="1"/>
  <c r="Y11" i="1"/>
  <c r="Y27" i="1" s="1"/>
  <c r="X11" i="1"/>
  <c r="X27" i="1" s="1"/>
  <c r="V11" i="1"/>
  <c r="V27" i="1" s="1"/>
  <c r="S11" i="1"/>
  <c r="S27" i="1" s="1"/>
  <c r="R11" i="1"/>
  <c r="Q11" i="1"/>
  <c r="Q27" i="1" s="1"/>
  <c r="P11" i="1"/>
  <c r="O11" i="1"/>
  <c r="O27" i="1" s="1"/>
  <c r="N11" i="1"/>
  <c r="M11" i="1"/>
  <c r="L11" i="1"/>
  <c r="L27" i="1" s="1"/>
  <c r="I11" i="1"/>
  <c r="I27" i="1" s="1"/>
  <c r="H11" i="1"/>
  <c r="G11" i="1"/>
  <c r="G27" i="1" s="1"/>
  <c r="F11" i="1"/>
  <c r="CN10" i="1"/>
  <c r="AL10" i="1"/>
  <c r="DP9" i="1"/>
  <c r="CZ9" i="1"/>
  <c r="CY9" i="1"/>
  <c r="CW9" i="1"/>
  <c r="CV9" i="1"/>
  <c r="CU9" i="1"/>
  <c r="CT9" i="1"/>
  <c r="CS9" i="1"/>
  <c r="CR9" i="1"/>
  <c r="CQ9" i="1"/>
  <c r="CO9" i="1"/>
  <c r="CN9" i="1"/>
  <c r="CL9" i="1"/>
  <c r="CG9" i="1"/>
  <c r="CF9" i="1"/>
  <c r="CE9" i="1"/>
  <c r="CC9" i="1"/>
  <c r="BD9" i="1"/>
  <c r="AL9" i="1"/>
  <c r="AK9" i="1"/>
  <c r="W9" i="1"/>
  <c r="U9" i="1"/>
  <c r="T9" i="1"/>
  <c r="E9" i="1"/>
  <c r="EB8" i="1"/>
  <c r="Y8" i="1"/>
  <c r="R8" i="1"/>
  <c r="P8" i="1"/>
  <c r="M8" i="1"/>
  <c r="EL7" i="1"/>
  <c r="EK7" i="1"/>
  <c r="EB7" i="1"/>
  <c r="DG7" i="1"/>
  <c r="BS7" i="1"/>
  <c r="BO7" i="1"/>
  <c r="BL7" i="1"/>
  <c r="BK7" i="1"/>
  <c r="BI7" i="1"/>
  <c r="BH7" i="1"/>
  <c r="AY7" i="1"/>
  <c r="AX7" i="1"/>
  <c r="AV7" i="1"/>
  <c r="AU7" i="1"/>
  <c r="AT7" i="1"/>
  <c r="Y7" i="1"/>
  <c r="S7" i="1"/>
  <c r="R7" i="1"/>
  <c r="Q7" i="1"/>
  <c r="P7" i="1"/>
  <c r="M7" i="1"/>
  <c r="EB6" i="1"/>
  <c r="Y6" i="1"/>
  <c r="R6" i="1"/>
  <c r="P6" i="1"/>
  <c r="M6" i="1"/>
  <c r="EL5" i="1"/>
  <c r="EK5" i="1"/>
  <c r="EB5" i="1"/>
  <c r="DG5" i="1"/>
  <c r="BS5" i="1"/>
  <c r="BO5" i="1"/>
  <c r="BL5" i="1"/>
  <c r="BK5" i="1"/>
  <c r="BI5" i="1"/>
  <c r="BH5" i="1"/>
  <c r="AY5" i="1"/>
  <c r="AX5" i="1"/>
  <c r="AV5" i="1"/>
  <c r="AU5" i="1"/>
  <c r="AT5" i="1"/>
  <c r="Y5" i="1"/>
  <c r="S5" i="1"/>
  <c r="R5" i="1"/>
  <c r="Q5" i="1"/>
  <c r="P5" i="1"/>
  <c r="M5" i="1"/>
  <c r="EP4" i="1"/>
  <c r="EM4" i="1"/>
  <c r="EH4" i="1"/>
  <c r="EE4" i="1"/>
  <c r="ED4" i="1"/>
  <c r="EB4" i="1"/>
  <c r="EA4" i="1"/>
  <c r="DR4" i="1"/>
  <c r="DE4" i="1"/>
  <c r="DC4" i="1"/>
  <c r="DB4" i="1"/>
  <c r="CD4" i="1"/>
  <c r="BW4" i="1"/>
  <c r="BV4" i="1"/>
  <c r="BR4" i="1"/>
  <c r="BM4" i="1"/>
  <c r="BA4" i="1"/>
  <c r="AH4" i="1"/>
  <c r="AG4" i="1"/>
  <c r="Y4" i="1"/>
  <c r="V4" i="1"/>
  <c r="R4" i="1"/>
  <c r="P4" i="1"/>
  <c r="O4" i="1"/>
  <c r="M4" i="1"/>
  <c r="I4" i="1"/>
  <c r="H4" i="1"/>
  <c r="EY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M3" i="1"/>
  <c r="CK3" i="1"/>
  <c r="CJ3" i="1"/>
  <c r="CI3" i="1"/>
  <c r="CH3" i="1"/>
  <c r="CD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O3" i="1"/>
  <c r="AN3" i="1"/>
  <c r="AM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V3" i="1"/>
  <c r="S3" i="1"/>
  <c r="R3" i="1"/>
  <c r="Q3" i="1"/>
  <c r="P3" i="1"/>
  <c r="O3" i="1"/>
  <c r="N3" i="1"/>
  <c r="M3" i="1"/>
  <c r="L3" i="1"/>
  <c r="I3" i="1"/>
  <c r="H3" i="1"/>
  <c r="G3" i="1"/>
  <c r="F3" i="1"/>
  <c r="D3" i="1"/>
  <c r="C19" i="1" l="1"/>
  <c r="C30" i="1"/>
  <c r="C36" i="1"/>
  <c r="C127" i="1"/>
  <c r="DQ28" i="1"/>
  <c r="C83" i="1"/>
  <c r="C129" i="1"/>
  <c r="C125" i="1"/>
  <c r="C85" i="1"/>
  <c r="C6" i="1"/>
  <c r="C33" i="1"/>
  <c r="C39" i="1"/>
  <c r="C67" i="1"/>
  <c r="C86" i="1"/>
  <c r="C128" i="1"/>
  <c r="C44" i="1"/>
  <c r="C10" i="1"/>
  <c r="C45" i="1"/>
  <c r="C3" i="1"/>
  <c r="C5" i="1"/>
  <c r="C8" i="1"/>
  <c r="C9" i="1"/>
  <c r="C22" i="1"/>
  <c r="C15" i="1"/>
  <c r="C25" i="1"/>
  <c r="BX28" i="1"/>
  <c r="C90" i="1"/>
  <c r="C109" i="1"/>
  <c r="C4" i="1"/>
  <c r="C59" i="1"/>
  <c r="C50" i="1"/>
  <c r="C48" i="1"/>
  <c r="C24" i="1"/>
  <c r="C112" i="1"/>
  <c r="C17" i="1"/>
  <c r="C53" i="1"/>
  <c r="C63" i="1"/>
  <c r="C79" i="1"/>
  <c r="C95" i="1"/>
  <c r="C105" i="1"/>
  <c r="C7" i="1"/>
  <c r="C52" i="1"/>
  <c r="C56" i="1"/>
  <c r="C80" i="1"/>
  <c r="C12" i="1"/>
  <c r="C72" i="1"/>
  <c r="C34" i="1"/>
  <c r="C54" i="1"/>
  <c r="BM28" i="1"/>
  <c r="DD27" i="1"/>
  <c r="C27" i="1" s="1"/>
  <c r="C11" i="1"/>
  <c r="C28" i="1" l="1"/>
</calcChain>
</file>

<file path=xl/sharedStrings.xml><?xml version="1.0" encoding="utf-8"?>
<sst xmlns="http://schemas.openxmlformats.org/spreadsheetml/2006/main" count="473" uniqueCount="318">
  <si>
    <t xml:space="preserve"> INF97010185 (Расчет на 1 шт)</t>
  </si>
  <si>
    <t>INF97010012 (Расчет на комплект 5 шт)</t>
  </si>
  <si>
    <t>INF97010014</t>
  </si>
  <si>
    <t>INF97010016</t>
  </si>
  <si>
    <t>INF97010018 INF97010159 INF97010403</t>
  </si>
  <si>
    <t>INF97010019</t>
  </si>
  <si>
    <t>INF97010020</t>
  </si>
  <si>
    <t>INF97010021</t>
  </si>
  <si>
    <t>INF97010028</t>
  </si>
  <si>
    <t>INF97010029 INF97010342 INF97010412</t>
  </si>
  <si>
    <t>INF97010030</t>
  </si>
  <si>
    <t>INF97010031 INF97010338 INF97010409</t>
  </si>
  <si>
    <t>INF97010032 INF97010343 INF97010413</t>
  </si>
  <si>
    <t>INF97010033</t>
  </si>
  <si>
    <t>INF97010034 INF97010341 INF97010411</t>
  </si>
  <si>
    <t>INF97010035</t>
  </si>
  <si>
    <t>INF97010038 (Расчет на комплект 3 шт)</t>
  </si>
  <si>
    <t>INF97010039 (Расчет на комплект 5 шт)</t>
  </si>
  <si>
    <t>INF97010040 INF97010344 INF97010416</t>
  </si>
  <si>
    <t>INF97010042  (Расчет на комплект 3 шт)</t>
  </si>
  <si>
    <t>INF97010043</t>
  </si>
  <si>
    <t>INF97010088</t>
  </si>
  <si>
    <t>INF97010090</t>
  </si>
  <si>
    <t>INF97010091</t>
  </si>
  <si>
    <t>INF97010092</t>
  </si>
  <si>
    <t>INF97010098</t>
  </si>
  <si>
    <t>INF97010099</t>
  </si>
  <si>
    <t>INF97010100</t>
  </si>
  <si>
    <t xml:space="preserve">INF97010105 </t>
  </si>
  <si>
    <t xml:space="preserve">INF97010106 </t>
  </si>
  <si>
    <t>INF97010107 INF97010337 INF97010408</t>
  </si>
  <si>
    <t>INF97010108</t>
  </si>
  <si>
    <t>INF97010109 INF97010340 INF97010410</t>
  </si>
  <si>
    <t>INF97010111 (Расчет на комплект 1 шт)</t>
  </si>
  <si>
    <t>INF97010112 (Расчет на 1 шт )</t>
  </si>
  <si>
    <t>INF97010113</t>
  </si>
  <si>
    <t>INF97010114</t>
  </si>
  <si>
    <t>INF97010117</t>
  </si>
  <si>
    <t>INF97010118</t>
  </si>
  <si>
    <t>INF97010119</t>
  </si>
  <si>
    <t>INF97010120</t>
  </si>
  <si>
    <t>INF97010121</t>
  </si>
  <si>
    <t>INF97010122</t>
  </si>
  <si>
    <t>INF97010123</t>
  </si>
  <si>
    <t>INF97010124</t>
  </si>
  <si>
    <t>INF97010125</t>
  </si>
  <si>
    <t>INF97010126</t>
  </si>
  <si>
    <t>INF97010127</t>
  </si>
  <si>
    <t>INF97010128</t>
  </si>
  <si>
    <t>INF97010129 INF97010334 INF97010405</t>
  </si>
  <si>
    <t>INF97010130</t>
  </si>
  <si>
    <t>INF97010131</t>
  </si>
  <si>
    <t>INF97010136  (Расчет на комплект 5 шт)</t>
  </si>
  <si>
    <t>INF97010137</t>
  </si>
  <si>
    <t>INF97010144, INF97010001</t>
  </si>
  <si>
    <t>INF97010145, INF97010002</t>
  </si>
  <si>
    <t>INF97010146, INF97010003</t>
  </si>
  <si>
    <t>INF97010147, INF97010004</t>
  </si>
  <si>
    <t xml:space="preserve">INF97010148, INF97010094 </t>
  </si>
  <si>
    <t>INF97010149, INF97010005</t>
  </si>
  <si>
    <t>INF97010150 INF97010097</t>
  </si>
  <si>
    <t>INF97010151 INF97010006 INF97010407</t>
  </si>
  <si>
    <t>INF97010152, INF97010095</t>
  </si>
  <si>
    <t>INF97010153, INF97010007</t>
  </si>
  <si>
    <t>INF97010154, INF97010008</t>
  </si>
  <si>
    <t>INF97010155, INF97010022</t>
  </si>
  <si>
    <t>INF97010156 INF97010009 INF97010406</t>
  </si>
  <si>
    <t>INF97010157 INF97010017</t>
  </si>
  <si>
    <t>INF97010158 INF97010010 INF97010404</t>
  </si>
  <si>
    <t>INF97010159 INF97010093</t>
  </si>
  <si>
    <t>INF97010160 INF97010023 INF97010414</t>
  </si>
  <si>
    <t>INF97010161, INF97010024 INF97010415</t>
  </si>
  <si>
    <t>INF97010162, INF97010025</t>
  </si>
  <si>
    <t>INF97010163, INF97010011</t>
  </si>
  <si>
    <t>INF97010164, INF97010096</t>
  </si>
  <si>
    <t>INF97010165, INF97010086</t>
  </si>
  <si>
    <t>INF97010166 INF97010087</t>
  </si>
  <si>
    <t>INF97010171 (Расчет на комплект 5 шт)</t>
  </si>
  <si>
    <t>INF97010172</t>
  </si>
  <si>
    <t>INF97010184</t>
  </si>
  <si>
    <t>INF97010186</t>
  </si>
  <si>
    <t>INF97010187</t>
  </si>
  <si>
    <t xml:space="preserve">INF97010188 </t>
  </si>
  <si>
    <t>INF97010189</t>
  </si>
  <si>
    <t>INF97010190</t>
  </si>
  <si>
    <t>INF97010191</t>
  </si>
  <si>
    <t>INF97010198</t>
  </si>
  <si>
    <t>INF97010200</t>
  </si>
  <si>
    <t>INF97010203</t>
  </si>
  <si>
    <t>INF97010204</t>
  </si>
  <si>
    <t>INF97010206 (Расчет на комплект 2 шт)</t>
  </si>
  <si>
    <t>INF97010207 (Расчет на комплект 5 шт)</t>
  </si>
  <si>
    <t>INF97010208 (Расчет на комплект 5 шт)</t>
  </si>
  <si>
    <t>INF97010209 (Расчет на комплект 3 шт)</t>
  </si>
  <si>
    <t>INF97010210 (Расчет на комплект 3 шт)</t>
  </si>
  <si>
    <t>INF97010212</t>
  </si>
  <si>
    <t>INF97010213 (Расчет на комплект 6 шт)</t>
  </si>
  <si>
    <t>INF97010216</t>
  </si>
  <si>
    <t xml:space="preserve">INF97010223 </t>
  </si>
  <si>
    <t>INF97010224</t>
  </si>
  <si>
    <t>INF97010225
Устанавливается на дисплей 158 010 404</t>
  </si>
  <si>
    <t>INF97010227
Устанавливается на дисплей 156 009 406</t>
  </si>
  <si>
    <t>INF97010229
Устанавливается на дисплей 151 006 407</t>
  </si>
  <si>
    <t>INF97010231 INF97010295</t>
  </si>
  <si>
    <t>INF97010232 INF97010296 INF97010417</t>
  </si>
  <si>
    <t>INF97010235</t>
  </si>
  <si>
    <t>INF97010236</t>
  </si>
  <si>
    <t>INF97010237</t>
  </si>
  <si>
    <t>INF97010238</t>
  </si>
  <si>
    <t>INF97010239</t>
  </si>
  <si>
    <t>INF97010240</t>
  </si>
  <si>
    <t>INF97010241</t>
  </si>
  <si>
    <t>INF97010242</t>
  </si>
  <si>
    <t>INF97010243</t>
  </si>
  <si>
    <t>INF97010244</t>
  </si>
  <si>
    <t>INF97010249</t>
  </si>
  <si>
    <t>INF97010252 INF97010297</t>
  </si>
  <si>
    <t>INF97010261 INF97010298 INF97010418</t>
  </si>
  <si>
    <t>INF97010278</t>
  </si>
  <si>
    <t>INF97010279</t>
  </si>
  <si>
    <t xml:space="preserve">INF97010280 </t>
  </si>
  <si>
    <t>INF97010281</t>
  </si>
  <si>
    <t>INF97010295</t>
  </si>
  <si>
    <t>INF97010296</t>
  </si>
  <si>
    <t xml:space="preserve">INF97010297 </t>
  </si>
  <si>
    <t>INF97010298</t>
  </si>
  <si>
    <t>INF97010305 INF97010419 INF97010315</t>
  </si>
  <si>
    <t>INF97010306</t>
  </si>
  <si>
    <t>INF97010307
Устанавливается на дисплей 159 093</t>
  </si>
  <si>
    <t>INF97010308 INF97010420 INF97010309</t>
  </si>
  <si>
    <t>INF97010309</t>
  </si>
  <si>
    <t>INF97010310</t>
  </si>
  <si>
    <t>INF97010311 INF97010312</t>
  </si>
  <si>
    <t>INF97010312</t>
  </si>
  <si>
    <t>INF97010313</t>
  </si>
  <si>
    <t>INF97010314</t>
  </si>
  <si>
    <t>INF97010315</t>
  </si>
  <si>
    <t>INF97010324 INF97010326 INF97010422</t>
  </si>
  <si>
    <t>INF97010325</t>
  </si>
  <si>
    <t>INF97010326 INF97010422</t>
  </si>
  <si>
    <t>INF97010327 INF97010421 INF97010329</t>
  </si>
  <si>
    <t>INF97010328</t>
  </si>
  <si>
    <t>INF97010329</t>
  </si>
  <si>
    <t>INF97010334</t>
  </si>
  <si>
    <t>INF97010335</t>
  </si>
  <si>
    <t>INF97010336</t>
  </si>
  <si>
    <t>INF97010337</t>
  </si>
  <si>
    <t>INF97010338</t>
  </si>
  <si>
    <t>INF97010339</t>
  </si>
  <si>
    <t>INF97010344</t>
  </si>
  <si>
    <t>INF97010196</t>
  </si>
  <si>
    <t>Материал</t>
  </si>
  <si>
    <t>Ед. изм.</t>
  </si>
  <si>
    <t>ИТОГО +5%</t>
  </si>
  <si>
    <t>Монолитный поликарбонат 2 мм (ЭКОВИС)</t>
  </si>
  <si>
    <t>м2</t>
  </si>
  <si>
    <t>Обработка</t>
  </si>
  <si>
    <t>Фрезер</t>
  </si>
  <si>
    <t>Полистирол белый 5 мм</t>
  </si>
  <si>
    <t>Полистирол белый 6 мм</t>
  </si>
  <si>
    <t>ПЭТ 2 мм</t>
  </si>
  <si>
    <t>Лазер</t>
  </si>
  <si>
    <t>ПЭТ 0,7 мм</t>
  </si>
  <si>
    <t>Оргстекло 3 мм</t>
  </si>
  <si>
    <t>Оргстекло 2 мм</t>
  </si>
  <si>
    <t>ПЭТ 1 мм</t>
  </si>
  <si>
    <t>ПЭТ 0,5 мм</t>
  </si>
  <si>
    <t>Двусторонний скотч 3M-VHB 4918F, прозрачный вспененный акрил 2 мм (ширина 6 мм)</t>
  </si>
  <si>
    <t>мп</t>
  </si>
  <si>
    <t>Скотч 9 мм 3М</t>
  </si>
  <si>
    <t>Скотч DIZA 62932/04 с желтым лайнером черный в рулоне</t>
  </si>
  <si>
    <t>Глянцевая ламинирующая пленка</t>
  </si>
  <si>
    <t xml:space="preserve">Пленка LG царапанная металлизорованая серебро </t>
  </si>
  <si>
    <t>ЭСКО</t>
  </si>
  <si>
    <t>Глянцевая белая бумага</t>
  </si>
  <si>
    <t>Пленка голографическая HEAVY METAL серебро</t>
  </si>
  <si>
    <t>Заклепка вытяжная 3х8</t>
  </si>
  <si>
    <t>шт</t>
  </si>
  <si>
    <t>Винт пластиковый белый 12 мм</t>
  </si>
  <si>
    <t>Крючок металический длинной 150 мм  без ц/з. межосевое расстояние зацепа 50 мм (Хром) одинарный</t>
  </si>
  <si>
    <t>ВПП</t>
  </si>
  <si>
    <t>Коробка  920х230х400 (5ти слойный гофрокартон)</t>
  </si>
  <si>
    <t>Печать</t>
  </si>
  <si>
    <t>CMYK</t>
  </si>
  <si>
    <t>WHITE</t>
  </si>
  <si>
    <t>Гибов</t>
  </si>
  <si>
    <t>гибы</t>
  </si>
  <si>
    <t>Количество деталей на чистку</t>
  </si>
  <si>
    <t>деталей</t>
  </si>
  <si>
    <t>Ширина (макс)</t>
  </si>
  <si>
    <t>мм</t>
  </si>
  <si>
    <t>Глубина (макс)</t>
  </si>
  <si>
    <t>Высота (макс)</t>
  </si>
  <si>
    <t>Упаковка поштучно</t>
  </si>
  <si>
    <t>Коробка ДШВ 235х125х75</t>
  </si>
  <si>
    <t>Коробка ДШВ 235х175х100</t>
  </si>
  <si>
    <t>Коробка ДШВ 260х125х100</t>
  </si>
  <si>
    <t>Коробка ДШВ 260х125х75</t>
  </si>
  <si>
    <t>Коробка ДШВ 235х215х75</t>
  </si>
  <si>
    <t>Коробка ДШВ 235х105х75</t>
  </si>
  <si>
    <t>Коробка ДШВ 320х210х110</t>
  </si>
  <si>
    <t>Коробка ДШВ 325х235х170</t>
  </si>
  <si>
    <t>Коробка ДШВ 325х235х120</t>
  </si>
  <si>
    <t>Коробка ДШВ 275х235х75</t>
  </si>
  <si>
    <t>Коробка ДШВ 220х170х90</t>
  </si>
  <si>
    <t>Коробка ДШВ 420х210х70</t>
  </si>
  <si>
    <t>Коробка ДШВ 230х120х70</t>
  </si>
  <si>
    <t>Коробка ДШВ 220х210х70</t>
  </si>
  <si>
    <t>Коробка ДШВ 270х210х70</t>
  </si>
  <si>
    <t>Коробка ДШВ 370х210х70</t>
  </si>
  <si>
    <t>Коробка ДШВ 210х170х90</t>
  </si>
  <si>
    <t>Коробка ДШВ 215х165х75</t>
  </si>
  <si>
    <t>Коробка ДШВ 325х235х130</t>
  </si>
  <si>
    <t>Коробка ДШВ 325х235х95</t>
  </si>
  <si>
    <t>Коробка ДШВ 425х260х95</t>
  </si>
  <si>
    <t>Коробка ДШВ  215х105х75</t>
  </si>
  <si>
    <t>Коробка ДШВ 270х170х95</t>
  </si>
  <si>
    <t>Коробка ДШВ 235х225х75</t>
  </si>
  <si>
    <t>Коробка ДШВ 235х225х95</t>
  </si>
  <si>
    <t>Коробка ДШВ 325х260х185</t>
  </si>
  <si>
    <t>Коробка ДШВ 325х260х95</t>
  </si>
  <si>
    <t>Коробка ДШВ 425х235х95</t>
  </si>
  <si>
    <t>Коробка ДШВ 275х215х215</t>
  </si>
  <si>
    <t>Коробка ДШВ 260х225х95</t>
  </si>
  <si>
    <t>Коробка ДШВ 235х175х75</t>
  </si>
  <si>
    <t>Коробка ДШВ 315х235х120</t>
  </si>
  <si>
    <t>Коробка ДШВ 455х280х135</t>
  </si>
  <si>
    <t>Коробка ДШВ 625х215х215</t>
  </si>
  <si>
    <t>Коробка ДШВ 275х260х95</t>
  </si>
  <si>
    <t>Коробка ДШВ 375х260х75</t>
  </si>
  <si>
    <t>Коробка ДШВ 365х260х75</t>
  </si>
  <si>
    <t>Коробка ДШВ 235х105х120</t>
  </si>
  <si>
    <t>Коробка ДШВ 235х200х225</t>
  </si>
  <si>
    <t>Коробка ДШВ 325х215х120</t>
  </si>
  <si>
    <t>Коробка ДШВ 325х215х150</t>
  </si>
  <si>
    <t>Коробка ДШВ 275х215х95</t>
  </si>
  <si>
    <t>Коробка ДШВ 215х105х75</t>
  </si>
  <si>
    <t>Коробка ДШВ 225х215х95</t>
  </si>
  <si>
    <t>Коробка ДШВ 200х190х75</t>
  </si>
  <si>
    <t>Коробка ДШВ 400х215х95</t>
  </si>
  <si>
    <t>Коробка ДШВ 230х220х105</t>
  </si>
  <si>
    <t>Коробка ДШВ 245х175х95</t>
  </si>
  <si>
    <t>Коробка ДШВ 125х125х50</t>
  </si>
  <si>
    <t>Коробка ДШВ 115х115х115</t>
  </si>
  <si>
    <t>Коробка ДШВ 180х125х150</t>
  </si>
  <si>
    <t>Коробка ДШВ 625х260х50</t>
  </si>
  <si>
    <t>Коробка ДШВ 1015х260х95</t>
  </si>
  <si>
    <t>Коробка ДШВ 1015х260х50</t>
  </si>
  <si>
    <t>Коробка ДШВ 1225х260х95</t>
  </si>
  <si>
    <t>Коробка ДШВ 825х260х70</t>
  </si>
  <si>
    <t>Коробка ДШВ 1025х260х70</t>
  </si>
  <si>
    <t>Коробка ДШВ 215х175х95</t>
  </si>
  <si>
    <t>Коробка ДШВ 215х100х95</t>
  </si>
  <si>
    <t>Коробка ДШВ 235х175х95</t>
  </si>
  <si>
    <t>Коробка ДШВ 235х100х95</t>
  </si>
  <si>
    <t>Коробка ДШВ 110х110х50</t>
  </si>
  <si>
    <t>Коробка ДШВ 230х170х105</t>
  </si>
  <si>
    <t>Коробка ДШВ 430х260х105</t>
  </si>
  <si>
    <t>Коробка ДШВ 175х125х50</t>
  </si>
  <si>
    <t>Коробка ДШВ 215х185х95</t>
  </si>
  <si>
    <t>Коробка ДШВ 785х245х50</t>
  </si>
  <si>
    <t>Коробка ДШВ 175х80х50</t>
  </si>
  <si>
    <t>Коробка ДШВ 235 x 185 x 95</t>
  </si>
  <si>
    <t>Коробка ДШВ 785х225х50</t>
  </si>
  <si>
    <t>Упаковка покомплектно</t>
  </si>
  <si>
    <t>INF97010134</t>
  </si>
  <si>
    <t>Коробка ДШВ 1020х260х135</t>
  </si>
  <si>
    <t>Коробка ДШВ 1020х260х240</t>
  </si>
  <si>
    <t>Коробка ДШВ 1020х260х100</t>
  </si>
  <si>
    <t>INF97010143</t>
  </si>
  <si>
    <t>Коробка ДШВ 625х260х150</t>
  </si>
  <si>
    <t>Коробка ДШВ 625х260х100</t>
  </si>
  <si>
    <t>INF97010013</t>
  </si>
  <si>
    <t xml:space="preserve">Коробка ДШВ 1260х280х1020 </t>
  </si>
  <si>
    <t xml:space="preserve">Коробка ДШВ 1220х240х210 </t>
  </si>
  <si>
    <t>Коробка ДШВ 1220х240х135</t>
  </si>
  <si>
    <t>INF97010168</t>
  </si>
  <si>
    <t>Коробка ДШВ 1025х260х135</t>
  </si>
  <si>
    <t>Коробка ДШВ 1025х240х210</t>
  </si>
  <si>
    <t>Коробка ДШВ 1025х260х95</t>
  </si>
  <si>
    <t>INF97010169</t>
  </si>
  <si>
    <t>Коробка ДШВ 825х240х135</t>
  </si>
  <si>
    <t>Коробка ДШВ 825х260х210</t>
  </si>
  <si>
    <t>Коробка ДШВ 825х260х95</t>
  </si>
  <si>
    <t>INF97010171</t>
  </si>
  <si>
    <t>Коробка ДШВ 710х260х210</t>
  </si>
  <si>
    <t>Коробка ДШВ 710х260х135</t>
  </si>
  <si>
    <t>INF97010173</t>
  </si>
  <si>
    <t>Коробка ДШВ 625х260х95</t>
  </si>
  <si>
    <t>Коробка ДШВ 625х260х135</t>
  </si>
  <si>
    <t>INF97010205</t>
  </si>
  <si>
    <t>INF97010026</t>
  </si>
  <si>
    <t>Винил магнитный белый 0,4 мм без клея</t>
  </si>
  <si>
    <t>INF97010379</t>
  </si>
  <si>
    <t>Коробка ДШВ 230х125х95</t>
  </si>
  <si>
    <t>INF97010511</t>
  </si>
  <si>
    <t>Коробка ДШВ 230х70х95</t>
  </si>
  <si>
    <t>INF97010425</t>
  </si>
  <si>
    <t>Коробка ДШВ 230х170х130</t>
  </si>
  <si>
    <t>Термоклей</t>
  </si>
  <si>
    <t>стержень</t>
  </si>
  <si>
    <t>INF97010426</t>
  </si>
  <si>
    <t>INF97010427</t>
  </si>
  <si>
    <t>INF97010304
Устанавливается на дисплей 407</t>
  </si>
  <si>
    <t>Коробка ДШВ 235 x 185 х 130</t>
  </si>
  <si>
    <t>Коробка ДШВ 320 x 235 х 130</t>
  </si>
  <si>
    <t xml:space="preserve">INF97010538
</t>
  </si>
  <si>
    <t xml:space="preserve">INF97010542 
</t>
  </si>
  <si>
    <t>Количество отрывов пленки</t>
  </si>
  <si>
    <t>отрывов</t>
  </si>
  <si>
    <t>Скотч мармеладка 6 мм</t>
  </si>
  <si>
    <t>Коробка ДШВ 235х210х120</t>
  </si>
  <si>
    <t>Коробка ДШВ 150х50х50</t>
  </si>
  <si>
    <t>INF97010526</t>
  </si>
  <si>
    <t>INF97010529</t>
  </si>
  <si>
    <t>INF97010532</t>
  </si>
  <si>
    <t>INF97010545</t>
  </si>
  <si>
    <t>Лак глянец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</si>
</sst>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6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1042;&#1085;&#1077;&#1096;&#1085;&#1080;&#1081;%20&#1074;&#1080;&#1076;\INF97010427.pdf" TargetMode="External"/><Relationship Id="rId1" Type="http://schemas.openxmlformats.org/officeDocument/2006/relationships/hyperlink" Target="&#1042;&#1085;&#1077;&#1096;&#1085;&#1080;&#1081;%20&#1074;&#1080;&#1076;\INF970104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74"/>
  <sheetViews>
    <sheetView tabSelected="1" zoomScale="115" zoomScaleNormal="115" workbookViewId="0">
      <pane xSplit="3" ySplit="2" topLeftCell="FC48" activePane="bottomRight" state="frozen"/>
      <selection pane="topRight" activeCell="D1" sqref="D1"/>
      <selection pane="bottomLeft" activeCell="A3" sqref="A3"/>
      <selection pane="bottomRight" activeCell="FM2" sqref="FF2:FM2"/>
    </sheetView>
  </sheetViews>
  <sheetFormatPr defaultColWidth="9.140625" defaultRowHeight="15" x14ac:dyDescent="0.25"/>
  <cols>
    <col min="1" max="1" width="35.140625" style="24" customWidth="1"/>
    <col min="2" max="3" width="13.140625" style="24" customWidth="1"/>
    <col min="4" max="7" width="18.42578125" style="20" customWidth="1"/>
    <col min="8" max="8" width="17.7109375" style="20" customWidth="1"/>
    <col min="9" max="9" width="16.42578125" style="20" customWidth="1"/>
    <col min="10" max="10" width="16.140625" style="20" customWidth="1"/>
    <col min="11" max="11" width="13.7109375" style="20" customWidth="1"/>
    <col min="12" max="12" width="13.85546875" style="20" customWidth="1"/>
    <col min="13" max="13" width="12.7109375" style="20" customWidth="1"/>
    <col min="14" max="14" width="13.5703125" style="20" customWidth="1"/>
    <col min="15" max="15" width="12.85546875" style="20" customWidth="1"/>
    <col min="16" max="16" width="13.85546875" style="20" customWidth="1"/>
    <col min="17" max="17" width="12.85546875" style="20" customWidth="1"/>
    <col min="18" max="18" width="13.7109375" style="20" customWidth="1"/>
    <col min="19" max="19" width="13.140625" style="20" customWidth="1"/>
    <col min="20" max="21" width="12.7109375" style="20" customWidth="1"/>
    <col min="22" max="22" width="13.5703125" style="20" customWidth="1"/>
    <col min="23" max="23" width="14.5703125" style="20" customWidth="1"/>
    <col min="24" max="26" width="12.85546875" style="20" customWidth="1"/>
    <col min="27" max="27" width="13.28515625" style="20" customWidth="1"/>
    <col min="28" max="28" width="13.85546875" style="20" customWidth="1"/>
    <col min="29" max="29" width="14.140625" style="20" customWidth="1"/>
    <col min="30" max="30" width="14.28515625" style="20" customWidth="1"/>
    <col min="31" max="31" width="13.28515625" style="20" customWidth="1"/>
    <col min="32" max="32" width="13.7109375" style="20" customWidth="1"/>
    <col min="33" max="34" width="15.140625" style="20" customWidth="1"/>
    <col min="35" max="35" width="12.7109375" style="20" customWidth="1"/>
    <col min="36" max="36" width="13.28515625" style="20" customWidth="1"/>
    <col min="37" max="37" width="14.28515625" style="20" customWidth="1"/>
    <col min="38" max="38" width="16.28515625" style="20" customWidth="1"/>
    <col min="39" max="39" width="14.28515625" style="20" customWidth="1"/>
    <col min="40" max="40" width="15" style="20" customWidth="1"/>
    <col min="41" max="41" width="13.5703125" style="20" customWidth="1"/>
    <col min="42" max="42" width="16" style="20" customWidth="1"/>
    <col min="43" max="43" width="13.28515625" style="20" customWidth="1"/>
    <col min="44" max="44" width="14.85546875" style="20" customWidth="1"/>
    <col min="45" max="45" width="15.42578125" style="20" customWidth="1"/>
    <col min="46" max="46" width="15.7109375" style="20" customWidth="1"/>
    <col min="47" max="47" width="14.140625" style="20" customWidth="1"/>
    <col min="48" max="48" width="12.5703125" style="20" customWidth="1"/>
    <col min="49" max="49" width="13" style="20" customWidth="1"/>
    <col min="50" max="50" width="14.7109375" style="20" customWidth="1"/>
    <col min="51" max="51" width="14" style="20" customWidth="1"/>
    <col min="52" max="52" width="13.42578125" style="20" customWidth="1"/>
    <col min="53" max="53" width="12.85546875" style="20" customWidth="1"/>
    <col min="54" max="54" width="15.28515625" style="20" customWidth="1"/>
    <col min="55" max="55" width="13.85546875" style="20" customWidth="1"/>
    <col min="56" max="56" width="14.85546875" style="20" customWidth="1"/>
    <col min="57" max="57" width="12.5703125" style="20" customWidth="1"/>
    <col min="58" max="58" width="13.85546875" style="20" customWidth="1"/>
    <col min="59" max="78" width="12.7109375" style="20" customWidth="1"/>
    <col min="79" max="79" width="13.7109375" style="20" customWidth="1"/>
    <col min="80" max="95" width="16.28515625" style="20" customWidth="1"/>
    <col min="96" max="96" width="18" style="20" customWidth="1"/>
    <col min="97" max="109" width="16.28515625" style="20" customWidth="1"/>
    <col min="110" max="120" width="14" style="20" customWidth="1"/>
    <col min="121" max="130" width="13.140625" style="20" customWidth="1"/>
    <col min="131" max="131" width="15" style="20" customWidth="1"/>
    <col min="132" max="133" width="13.140625" style="20" customWidth="1"/>
    <col min="134" max="134" width="17" style="20" customWidth="1"/>
    <col min="135" max="137" width="13.140625" style="20" customWidth="1"/>
    <col min="138" max="138" width="13.5703125" style="20" customWidth="1"/>
    <col min="139" max="139" width="15" style="20" customWidth="1"/>
    <col min="140" max="140" width="17.5703125" style="20" customWidth="1"/>
    <col min="141" max="142" width="13.85546875" style="20" customWidth="1"/>
    <col min="143" max="143" width="18.7109375" style="20" customWidth="1"/>
    <col min="144" max="144" width="17.42578125" style="20" customWidth="1"/>
    <col min="145" max="145" width="16.140625" style="20" customWidth="1"/>
    <col min="146" max="146" width="13.85546875" style="20" customWidth="1"/>
    <col min="147" max="147" width="19.28515625" style="20" customWidth="1"/>
    <col min="148" max="149" width="16.5703125" style="20" customWidth="1"/>
    <col min="150" max="150" width="18" style="20" customWidth="1"/>
    <col min="151" max="151" width="15" style="20" customWidth="1"/>
    <col min="152" max="152" width="12.5703125" style="20" customWidth="1"/>
    <col min="153" max="154" width="15" style="20" customWidth="1"/>
    <col min="155" max="155" width="13.85546875" style="20" customWidth="1"/>
    <col min="156" max="156" width="14.28515625" style="20" customWidth="1"/>
    <col min="157" max="157" width="14.42578125" style="20" customWidth="1"/>
    <col min="158" max="158" width="12.85546875" style="20" customWidth="1"/>
    <col min="159" max="160" width="13" style="20" bestFit="1" customWidth="1"/>
    <col min="161" max="161" width="14.85546875" style="20" customWidth="1"/>
    <col min="162" max="162" width="13.140625" style="20" customWidth="1"/>
    <col min="163" max="163" width="12.85546875" style="20" customWidth="1"/>
    <col min="164" max="164" width="14.28515625" style="20" customWidth="1"/>
    <col min="165" max="165" width="14" style="20" customWidth="1"/>
    <col min="166" max="166" width="14.5703125" style="20" customWidth="1"/>
    <col min="167" max="167" width="14.42578125" style="20" customWidth="1"/>
    <col min="168" max="168" width="13" style="20" customWidth="1"/>
    <col min="169" max="266" width="9.140625" style="20" customWidth="1"/>
    <col min="267" max="269" width="9.140625" style="24" customWidth="1"/>
    <col min="270" max="16384" width="9.140625" style="24"/>
  </cols>
  <sheetData>
    <row r="1" spans="1:266" ht="100.5" customHeight="1" thickBot="1" x14ac:dyDescent="0.3">
      <c r="A1" s="2"/>
      <c r="B1" s="3"/>
      <c r="D1" s="20" t="s">
        <v>0</v>
      </c>
      <c r="E1" s="20" t="s">
        <v>1</v>
      </c>
      <c r="F1" s="43" t="s">
        <v>2</v>
      </c>
      <c r="G1" s="20" t="s">
        <v>3</v>
      </c>
      <c r="H1" s="43" t="s">
        <v>4</v>
      </c>
      <c r="I1" s="49" t="s">
        <v>5</v>
      </c>
      <c r="J1" s="43" t="s">
        <v>6</v>
      </c>
      <c r="K1" s="20" t="s">
        <v>7</v>
      </c>
      <c r="L1" s="20" t="s">
        <v>8</v>
      </c>
      <c r="M1" s="43" t="s">
        <v>9</v>
      </c>
      <c r="N1" s="43" t="s">
        <v>10</v>
      </c>
      <c r="O1" s="43" t="s">
        <v>11</v>
      </c>
      <c r="P1" s="43" t="s">
        <v>12</v>
      </c>
      <c r="Q1" s="20" t="s">
        <v>13</v>
      </c>
      <c r="R1" s="43" t="s">
        <v>14</v>
      </c>
      <c r="S1" s="20" t="s">
        <v>15</v>
      </c>
      <c r="T1" s="20" t="s">
        <v>16</v>
      </c>
      <c r="U1" s="20" t="s">
        <v>17</v>
      </c>
      <c r="V1" s="43" t="s">
        <v>18</v>
      </c>
      <c r="W1" s="20" t="s">
        <v>19</v>
      </c>
      <c r="X1" s="20" t="s">
        <v>20</v>
      </c>
      <c r="Y1" s="52" t="s">
        <v>21</v>
      </c>
      <c r="Z1" s="20" t="s">
        <v>22</v>
      </c>
      <c r="AA1" s="20" t="s">
        <v>23</v>
      </c>
      <c r="AB1" s="20" t="s">
        <v>24</v>
      </c>
      <c r="AC1" s="20" t="s">
        <v>25</v>
      </c>
      <c r="AD1" s="20" t="s">
        <v>26</v>
      </c>
      <c r="AE1" s="20" t="s">
        <v>27</v>
      </c>
      <c r="AF1" s="20" t="s">
        <v>28</v>
      </c>
      <c r="AG1" s="43" t="s">
        <v>29</v>
      </c>
      <c r="AH1" s="43" t="s">
        <v>30</v>
      </c>
      <c r="AI1" s="20" t="s">
        <v>31</v>
      </c>
      <c r="AJ1" s="43" t="s">
        <v>32</v>
      </c>
      <c r="AK1" s="20" t="s">
        <v>33</v>
      </c>
      <c r="AL1" s="43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  <c r="AQ1" s="20" t="s">
        <v>39</v>
      </c>
      <c r="AR1" s="20" t="s">
        <v>40</v>
      </c>
      <c r="AS1" s="20" t="s">
        <v>41</v>
      </c>
      <c r="AT1" s="20" t="s">
        <v>42</v>
      </c>
      <c r="AU1" s="20" t="s">
        <v>43</v>
      </c>
      <c r="AV1" s="20" t="s">
        <v>44</v>
      </c>
      <c r="AW1" s="20" t="s">
        <v>45</v>
      </c>
      <c r="AX1" s="20" t="s">
        <v>46</v>
      </c>
      <c r="AY1" s="20" t="s">
        <v>47</v>
      </c>
      <c r="AZ1" s="20" t="s">
        <v>48</v>
      </c>
      <c r="BA1" s="48" t="s">
        <v>49</v>
      </c>
      <c r="BB1" s="20" t="s">
        <v>50</v>
      </c>
      <c r="BC1" s="20" t="s">
        <v>51</v>
      </c>
      <c r="BD1" s="20" t="s">
        <v>52</v>
      </c>
      <c r="BE1" s="20" t="s">
        <v>53</v>
      </c>
      <c r="BF1" s="20" t="s">
        <v>54</v>
      </c>
      <c r="BG1" s="20" t="s">
        <v>55</v>
      </c>
      <c r="BH1" s="20" t="s">
        <v>56</v>
      </c>
      <c r="BI1" s="20" t="s">
        <v>57</v>
      </c>
      <c r="BJ1" s="43" t="s">
        <v>58</v>
      </c>
      <c r="BK1" s="20" t="s">
        <v>59</v>
      </c>
      <c r="BL1" s="20" t="s">
        <v>60</v>
      </c>
      <c r="BM1" s="43" t="s">
        <v>61</v>
      </c>
      <c r="BN1" s="43" t="s">
        <v>62</v>
      </c>
      <c r="BO1" s="20" t="s">
        <v>63</v>
      </c>
      <c r="BP1" s="20" t="s">
        <v>64</v>
      </c>
      <c r="BQ1" s="20" t="s">
        <v>65</v>
      </c>
      <c r="BR1" s="48" t="s">
        <v>66</v>
      </c>
      <c r="BS1" s="20" t="s">
        <v>67</v>
      </c>
      <c r="BT1" s="43" t="s">
        <v>68</v>
      </c>
      <c r="BU1" s="20" t="s">
        <v>69</v>
      </c>
      <c r="BV1" s="43" t="s">
        <v>70</v>
      </c>
      <c r="BW1" s="43" t="s">
        <v>71</v>
      </c>
      <c r="BX1" s="43" t="s">
        <v>72</v>
      </c>
      <c r="BY1" s="20" t="s">
        <v>73</v>
      </c>
      <c r="BZ1" s="20" t="s">
        <v>74</v>
      </c>
      <c r="CA1" s="20" t="s">
        <v>75</v>
      </c>
      <c r="CB1" s="20" t="s">
        <v>76</v>
      </c>
      <c r="CC1" s="44" t="s">
        <v>77</v>
      </c>
      <c r="CD1" s="20" t="s">
        <v>78</v>
      </c>
      <c r="CE1" s="45" t="s">
        <v>79</v>
      </c>
      <c r="CF1" s="20" t="s">
        <v>80</v>
      </c>
      <c r="CG1" s="20" t="s">
        <v>81</v>
      </c>
      <c r="CH1" s="20" t="s">
        <v>82</v>
      </c>
      <c r="CI1" s="20" t="s">
        <v>83</v>
      </c>
      <c r="CJ1" s="20" t="s">
        <v>84</v>
      </c>
      <c r="CK1" s="20" t="s">
        <v>85</v>
      </c>
      <c r="CL1" s="20" t="s">
        <v>86</v>
      </c>
      <c r="CM1" s="20" t="s">
        <v>87</v>
      </c>
      <c r="CN1" s="52" t="s">
        <v>88</v>
      </c>
      <c r="CO1" s="43" t="s">
        <v>89</v>
      </c>
      <c r="CP1" s="43" t="s">
        <v>290</v>
      </c>
      <c r="CQ1" s="20" t="s">
        <v>90</v>
      </c>
      <c r="CR1" s="20" t="s">
        <v>91</v>
      </c>
      <c r="CS1" s="20" t="s">
        <v>92</v>
      </c>
      <c r="CT1" s="20" t="s">
        <v>93</v>
      </c>
      <c r="CU1" s="20" t="s">
        <v>94</v>
      </c>
      <c r="CV1" s="20" t="s">
        <v>95</v>
      </c>
      <c r="CW1" s="20" t="s">
        <v>96</v>
      </c>
      <c r="CX1" s="20" t="s">
        <v>97</v>
      </c>
      <c r="CY1" s="20" t="s">
        <v>98</v>
      </c>
      <c r="CZ1" s="20" t="s">
        <v>99</v>
      </c>
      <c r="DA1" s="43" t="s">
        <v>100</v>
      </c>
      <c r="DB1" s="43" t="s">
        <v>101</v>
      </c>
      <c r="DC1" s="43" t="s">
        <v>102</v>
      </c>
      <c r="DD1" s="43" t="s">
        <v>103</v>
      </c>
      <c r="DE1" s="43" t="s">
        <v>104</v>
      </c>
      <c r="DF1" s="20" t="s">
        <v>105</v>
      </c>
      <c r="DG1" s="20" t="s">
        <v>106</v>
      </c>
      <c r="DH1" s="20" t="s">
        <v>107</v>
      </c>
      <c r="DI1" s="20" t="s">
        <v>108</v>
      </c>
      <c r="DJ1" s="20" t="s">
        <v>109</v>
      </c>
      <c r="DK1" s="20" t="s">
        <v>110</v>
      </c>
      <c r="DL1" s="20" t="s">
        <v>111</v>
      </c>
      <c r="DM1" s="20" t="s">
        <v>112</v>
      </c>
      <c r="DN1" s="20" t="s">
        <v>113</v>
      </c>
      <c r="DO1" s="20" t="s">
        <v>114</v>
      </c>
      <c r="DP1" s="20" t="s">
        <v>115</v>
      </c>
      <c r="DQ1" s="43" t="s">
        <v>116</v>
      </c>
      <c r="DR1" s="43" t="s">
        <v>117</v>
      </c>
      <c r="DS1" s="20" t="s">
        <v>118</v>
      </c>
      <c r="DT1" s="20" t="s">
        <v>119</v>
      </c>
      <c r="DU1" s="20" t="s">
        <v>120</v>
      </c>
      <c r="DV1" s="20" t="s">
        <v>121</v>
      </c>
      <c r="DW1" s="20" t="s">
        <v>122</v>
      </c>
      <c r="DX1" s="20" t="s">
        <v>123</v>
      </c>
      <c r="DY1" s="20" t="s">
        <v>124</v>
      </c>
      <c r="DZ1" s="20" t="s">
        <v>125</v>
      </c>
      <c r="EA1" s="43" t="s">
        <v>303</v>
      </c>
      <c r="EB1" s="48" t="s">
        <v>126</v>
      </c>
      <c r="EC1" s="43" t="s">
        <v>127</v>
      </c>
      <c r="ED1" s="43" t="s">
        <v>128</v>
      </c>
      <c r="EE1" s="51" t="s">
        <v>129</v>
      </c>
      <c r="EF1" s="20" t="s">
        <v>130</v>
      </c>
      <c r="EG1" s="20" t="s">
        <v>131</v>
      </c>
      <c r="EH1" s="52" t="s">
        <v>132</v>
      </c>
      <c r="EI1" s="20" t="s">
        <v>133</v>
      </c>
      <c r="EJ1" s="20" t="s">
        <v>134</v>
      </c>
      <c r="EK1" s="20" t="s">
        <v>135</v>
      </c>
      <c r="EL1" s="20" t="s">
        <v>136</v>
      </c>
      <c r="EM1" s="51" t="s">
        <v>137</v>
      </c>
      <c r="EN1" s="43" t="s">
        <v>138</v>
      </c>
      <c r="EO1" s="20" t="s">
        <v>139</v>
      </c>
      <c r="EP1" s="51" t="s">
        <v>140</v>
      </c>
      <c r="EQ1" s="43" t="s">
        <v>141</v>
      </c>
      <c r="ER1" s="20" t="s">
        <v>142</v>
      </c>
      <c r="ES1" s="20" t="s">
        <v>143</v>
      </c>
      <c r="ET1" s="20" t="s">
        <v>144</v>
      </c>
      <c r="EU1" s="20" t="s">
        <v>145</v>
      </c>
      <c r="EV1" s="20" t="s">
        <v>146</v>
      </c>
      <c r="EW1" s="20" t="s">
        <v>147</v>
      </c>
      <c r="EX1" s="20" t="s">
        <v>291</v>
      </c>
      <c r="EY1" s="20" t="s">
        <v>148</v>
      </c>
      <c r="EZ1" s="20" t="s">
        <v>149</v>
      </c>
      <c r="FA1" s="20" t="s">
        <v>150</v>
      </c>
      <c r="FB1" s="20" t="s">
        <v>293</v>
      </c>
      <c r="FC1" s="20" t="s">
        <v>295</v>
      </c>
      <c r="FD1" s="20" t="s">
        <v>297</v>
      </c>
      <c r="FE1" s="56" t="s">
        <v>301</v>
      </c>
      <c r="FF1" s="56" t="s">
        <v>302</v>
      </c>
      <c r="FG1" s="20" t="s">
        <v>306</v>
      </c>
      <c r="FH1" s="20" t="s">
        <v>307</v>
      </c>
      <c r="FI1" s="20" t="s">
        <v>313</v>
      </c>
      <c r="FJ1" s="20" t="s">
        <v>314</v>
      </c>
      <c r="FK1" s="20" t="s">
        <v>315</v>
      </c>
      <c r="FL1" s="20" t="s">
        <v>316</v>
      </c>
    </row>
    <row r="2" spans="1:266" ht="15.75" customHeight="1" thickBot="1" x14ac:dyDescent="0.3">
      <c r="A2" s="6" t="s">
        <v>151</v>
      </c>
      <c r="B2" s="7" t="s">
        <v>152</v>
      </c>
      <c r="C2" s="35" t="s">
        <v>153</v>
      </c>
      <c r="D2" s="46">
        <v>0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0</v>
      </c>
      <c r="P2" s="46">
        <v>0</v>
      </c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0</v>
      </c>
      <c r="X2" s="46">
        <v>0</v>
      </c>
      <c r="Y2" s="46">
        <v>0</v>
      </c>
      <c r="Z2" s="46">
        <v>0</v>
      </c>
      <c r="AA2" s="46">
        <v>0</v>
      </c>
      <c r="AB2" s="46">
        <v>0</v>
      </c>
      <c r="AC2" s="46">
        <v>0</v>
      </c>
      <c r="AD2" s="46">
        <v>0</v>
      </c>
      <c r="AE2" s="46">
        <v>0</v>
      </c>
      <c r="AF2" s="46">
        <v>0</v>
      </c>
      <c r="AG2" s="46">
        <v>0</v>
      </c>
      <c r="AH2" s="46">
        <v>0</v>
      </c>
      <c r="AI2" s="46">
        <v>0</v>
      </c>
      <c r="AJ2" s="46">
        <v>0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0</v>
      </c>
      <c r="AQ2" s="46">
        <v>0</v>
      </c>
      <c r="AR2" s="46">
        <v>0</v>
      </c>
      <c r="AS2" s="46">
        <v>0</v>
      </c>
      <c r="AT2" s="46">
        <v>0</v>
      </c>
      <c r="AU2" s="46">
        <v>0</v>
      </c>
      <c r="AV2" s="46">
        <v>0</v>
      </c>
      <c r="AW2" s="46">
        <v>0</v>
      </c>
      <c r="AX2" s="46">
        <v>0</v>
      </c>
      <c r="AY2" s="46">
        <v>0</v>
      </c>
      <c r="AZ2" s="46">
        <v>0</v>
      </c>
      <c r="BA2" s="46">
        <v>0</v>
      </c>
      <c r="BB2" s="46">
        <v>0</v>
      </c>
      <c r="BC2" s="46">
        <v>0</v>
      </c>
      <c r="BD2" s="46">
        <v>0</v>
      </c>
      <c r="BE2" s="46">
        <v>0</v>
      </c>
      <c r="BF2" s="46">
        <v>0</v>
      </c>
      <c r="BG2" s="46">
        <v>0</v>
      </c>
      <c r="BH2" s="46">
        <v>0</v>
      </c>
      <c r="BI2" s="46">
        <v>0</v>
      </c>
      <c r="BJ2" s="46">
        <v>0</v>
      </c>
      <c r="BK2" s="46">
        <v>0</v>
      </c>
      <c r="BL2" s="46">
        <v>0</v>
      </c>
      <c r="BM2" s="46">
        <v>0</v>
      </c>
      <c r="BN2" s="46">
        <v>0</v>
      </c>
      <c r="BO2" s="46">
        <v>0</v>
      </c>
      <c r="BP2" s="46">
        <v>0</v>
      </c>
      <c r="BQ2" s="46">
        <v>0</v>
      </c>
      <c r="BR2" s="46">
        <v>0</v>
      </c>
      <c r="BS2" s="46">
        <v>0</v>
      </c>
      <c r="BT2" s="46">
        <v>0</v>
      </c>
      <c r="BU2" s="46">
        <v>0</v>
      </c>
      <c r="BV2" s="46">
        <v>0</v>
      </c>
      <c r="BW2" s="46">
        <v>0</v>
      </c>
      <c r="BX2" s="46">
        <v>0</v>
      </c>
      <c r="BY2" s="46">
        <v>0</v>
      </c>
      <c r="BZ2" s="46">
        <v>0</v>
      </c>
      <c r="CA2" s="46">
        <v>0</v>
      </c>
      <c r="CB2" s="46">
        <v>0</v>
      </c>
      <c r="CC2" s="46">
        <v>0</v>
      </c>
      <c r="CD2" s="46">
        <v>0</v>
      </c>
      <c r="CE2" s="46">
        <v>0</v>
      </c>
      <c r="CF2" s="46">
        <v>0</v>
      </c>
      <c r="CG2" s="46">
        <v>0</v>
      </c>
      <c r="CH2" s="46">
        <v>0</v>
      </c>
      <c r="CI2" s="46">
        <v>0</v>
      </c>
      <c r="CJ2" s="46">
        <v>0</v>
      </c>
      <c r="CK2" s="46">
        <v>0</v>
      </c>
      <c r="CL2" s="46">
        <v>0</v>
      </c>
      <c r="CM2" s="46">
        <v>0</v>
      </c>
      <c r="CN2" s="46">
        <v>0</v>
      </c>
      <c r="CO2" s="46">
        <v>0</v>
      </c>
      <c r="CP2" s="46">
        <v>0</v>
      </c>
      <c r="CQ2" s="46">
        <v>0</v>
      </c>
      <c r="CR2" s="46">
        <v>0</v>
      </c>
      <c r="CS2" s="46">
        <v>0</v>
      </c>
      <c r="CT2" s="46">
        <v>0</v>
      </c>
      <c r="CU2" s="46">
        <v>0</v>
      </c>
      <c r="CV2" s="46">
        <v>0</v>
      </c>
      <c r="CW2" s="46">
        <v>0</v>
      </c>
      <c r="CX2" s="46">
        <v>0</v>
      </c>
      <c r="CY2" s="46">
        <v>0</v>
      </c>
      <c r="CZ2" s="46">
        <v>0</v>
      </c>
      <c r="DA2" s="46">
        <v>0</v>
      </c>
      <c r="DB2" s="46">
        <v>0</v>
      </c>
      <c r="DC2" s="46">
        <v>0</v>
      </c>
      <c r="DD2" s="46">
        <v>0</v>
      </c>
      <c r="DE2" s="46">
        <v>0</v>
      </c>
      <c r="DF2" s="46">
        <v>0</v>
      </c>
      <c r="DG2" s="46">
        <v>0</v>
      </c>
      <c r="DH2" s="46">
        <v>0</v>
      </c>
      <c r="DI2" s="46">
        <v>0</v>
      </c>
      <c r="DJ2" s="46">
        <v>0</v>
      </c>
      <c r="DK2" s="46">
        <v>0</v>
      </c>
      <c r="DL2" s="46">
        <v>0</v>
      </c>
      <c r="DM2" s="46">
        <v>0</v>
      </c>
      <c r="DN2" s="46">
        <v>0</v>
      </c>
      <c r="DO2" s="46">
        <v>0</v>
      </c>
      <c r="DP2" s="46">
        <v>0</v>
      </c>
      <c r="DQ2" s="46">
        <v>0</v>
      </c>
      <c r="DR2" s="46">
        <v>0</v>
      </c>
      <c r="DS2" s="46">
        <v>0</v>
      </c>
      <c r="DT2" s="46">
        <v>0</v>
      </c>
      <c r="DU2" s="46">
        <v>0</v>
      </c>
      <c r="DV2" s="46">
        <v>0</v>
      </c>
      <c r="DW2" s="46">
        <v>0</v>
      </c>
      <c r="DX2" s="46">
        <v>0</v>
      </c>
      <c r="DY2" s="46">
        <v>0</v>
      </c>
      <c r="DZ2" s="46">
        <v>0</v>
      </c>
      <c r="EA2" s="46">
        <v>0</v>
      </c>
      <c r="EB2" s="46">
        <v>0</v>
      </c>
      <c r="EC2" s="46">
        <v>0</v>
      </c>
      <c r="ED2" s="46">
        <v>0</v>
      </c>
      <c r="EE2" s="46">
        <v>0</v>
      </c>
      <c r="EF2" s="46">
        <v>0</v>
      </c>
      <c r="EG2" s="46">
        <v>0</v>
      </c>
      <c r="EH2" s="46">
        <v>0</v>
      </c>
      <c r="EI2" s="46">
        <v>0</v>
      </c>
      <c r="EJ2" s="46">
        <v>0</v>
      </c>
      <c r="EK2" s="46">
        <v>0</v>
      </c>
      <c r="EL2" s="46">
        <v>0</v>
      </c>
      <c r="EM2" s="46">
        <v>0</v>
      </c>
      <c r="EN2" s="46">
        <v>0</v>
      </c>
      <c r="EO2" s="46">
        <v>0</v>
      </c>
      <c r="EP2" s="46">
        <v>0</v>
      </c>
      <c r="EQ2" s="46">
        <v>0</v>
      </c>
      <c r="ER2" s="46">
        <v>0</v>
      </c>
      <c r="ES2" s="46">
        <v>0</v>
      </c>
      <c r="ET2" s="46">
        <v>0</v>
      </c>
      <c r="EU2" s="46">
        <v>0</v>
      </c>
      <c r="EV2" s="46">
        <v>0</v>
      </c>
      <c r="EW2" s="46">
        <v>0</v>
      </c>
      <c r="EX2" s="46">
        <v>0</v>
      </c>
      <c r="EY2" s="46">
        <v>0</v>
      </c>
      <c r="EZ2" s="46">
        <v>0</v>
      </c>
      <c r="FA2" s="46">
        <v>0</v>
      </c>
      <c r="FB2" s="46">
        <v>0</v>
      </c>
      <c r="FC2" s="46">
        <v>0</v>
      </c>
      <c r="FD2" s="46">
        <v>0</v>
      </c>
      <c r="FE2" s="46">
        <v>0</v>
      </c>
      <c r="FF2" s="46">
        <v>0</v>
      </c>
      <c r="FG2" s="46">
        <v>0</v>
      </c>
      <c r="FH2" s="46">
        <v>0</v>
      </c>
      <c r="FI2" s="46">
        <v>0</v>
      </c>
      <c r="FJ2" s="46">
        <v>0</v>
      </c>
      <c r="FK2" s="46">
        <v>0</v>
      </c>
      <c r="FL2" s="46">
        <v>0</v>
      </c>
      <c r="FM2" s="46">
        <v>0</v>
      </c>
    </row>
    <row r="3" spans="1:266" ht="30.75" customHeight="1" thickBot="1" x14ac:dyDescent="0.3">
      <c r="A3" s="8" t="s">
        <v>154</v>
      </c>
      <c r="B3" s="4" t="s">
        <v>155</v>
      </c>
      <c r="C3" s="36">
        <f>SUM(D3:HQ3)*1.05</f>
        <v>0</v>
      </c>
      <c r="D3" s="20">
        <f>0.222*D2</f>
        <v>0</v>
      </c>
      <c r="F3" s="20">
        <f>0.206*F2</f>
        <v>0</v>
      </c>
      <c r="G3" s="20">
        <f>0.158*G2</f>
        <v>0</v>
      </c>
      <c r="H3" s="20">
        <f>0.643*H2</f>
        <v>0</v>
      </c>
      <c r="I3" s="20">
        <f>0.196*I2</f>
        <v>0</v>
      </c>
      <c r="L3" s="20">
        <f>0.316*L2</f>
        <v>0</v>
      </c>
      <c r="M3" s="20">
        <f>0.149*M2</f>
        <v>0</v>
      </c>
      <c r="N3" s="20">
        <f>0.583*N2</f>
        <v>0</v>
      </c>
      <c r="O3" s="20">
        <f>0.12*O2</f>
        <v>0</v>
      </c>
      <c r="P3" s="20">
        <f>0.114*P2</f>
        <v>0</v>
      </c>
      <c r="Q3" s="20">
        <f>0.336*Q2</f>
        <v>0</v>
      </c>
      <c r="R3" s="20">
        <f>0.35*R2</f>
        <v>0</v>
      </c>
      <c r="S3" s="20">
        <f>0.239*S2</f>
        <v>0</v>
      </c>
      <c r="V3" s="20">
        <f>0.113*V2</f>
        <v>0</v>
      </c>
      <c r="X3" s="20">
        <f>0.62*X2</f>
        <v>0</v>
      </c>
      <c r="Y3" s="20">
        <f>0.4*Y2</f>
        <v>0</v>
      </c>
      <c r="Z3" s="20">
        <f>0.2*Z2</f>
        <v>0</v>
      </c>
      <c r="AA3" s="20">
        <f>0.21*AA2</f>
        <v>0</v>
      </c>
      <c r="AB3" s="20">
        <f>0.23*AB2</f>
        <v>0</v>
      </c>
      <c r="AC3" s="20">
        <f>0.185*AC2</f>
        <v>0</v>
      </c>
      <c r="AD3" s="20">
        <f>0.185*AD2</f>
        <v>0</v>
      </c>
      <c r="AE3" s="20">
        <f>0.185*AE2</f>
        <v>0</v>
      </c>
      <c r="AF3" s="20">
        <f>0.193*AF2</f>
        <v>0</v>
      </c>
      <c r="AG3" s="20">
        <f>0.1*AG2</f>
        <v>0</v>
      </c>
      <c r="AH3" s="20">
        <f>0.163*AH2</f>
        <v>0</v>
      </c>
      <c r="AI3" s="20">
        <f>0.124*AI2</f>
        <v>0</v>
      </c>
      <c r="AJ3" s="20">
        <f>0.113*AJ2</f>
        <v>0</v>
      </c>
      <c r="AM3" s="20">
        <f>0.586*AM2</f>
        <v>0</v>
      </c>
      <c r="AN3" s="20">
        <f>0.293*AN2</f>
        <v>0</v>
      </c>
      <c r="AO3" s="20">
        <f>0.27*AO2</f>
        <v>0</v>
      </c>
      <c r="AQ3" s="20">
        <f>0.15*AQ2</f>
        <v>0</v>
      </c>
      <c r="AR3" s="20">
        <f>0.103*AR2</f>
        <v>0</v>
      </c>
      <c r="AS3" s="20">
        <f>0.175*AS2</f>
        <v>0</v>
      </c>
      <c r="AT3" s="20">
        <f>0.324*AT2</f>
        <v>0</v>
      </c>
      <c r="AU3" s="20">
        <f>0.316*AU2</f>
        <v>0</v>
      </c>
      <c r="AV3" s="20">
        <f>0.337*AV2</f>
        <v>0</v>
      </c>
      <c r="AW3" s="20">
        <f>0.164*AW2</f>
        <v>0</v>
      </c>
      <c r="AX3" s="20">
        <f>0.222*AX2</f>
        <v>0</v>
      </c>
      <c r="AY3" s="20">
        <f>0.319*AY2</f>
        <v>0</v>
      </c>
      <c r="AZ3" s="20">
        <f>0.185*AZ2</f>
        <v>0</v>
      </c>
      <c r="BA3" s="20">
        <f>0.607*BA2</f>
        <v>0</v>
      </c>
      <c r="BB3" s="20">
        <f>0.6*BB2</f>
        <v>0</v>
      </c>
      <c r="BC3" s="20">
        <f>0.88*BC2</f>
        <v>0</v>
      </c>
      <c r="BF3" s="20">
        <f>0.452*BF2</f>
        <v>0</v>
      </c>
      <c r="BG3" s="20">
        <f>0.451*BG2</f>
        <v>0</v>
      </c>
      <c r="BH3" s="20">
        <f>0.39*BH2</f>
        <v>0</v>
      </c>
      <c r="BI3" s="20">
        <f>0.394*BI2</f>
        <v>0</v>
      </c>
      <c r="BJ3" s="20">
        <f>0.193*BJ2</f>
        <v>0</v>
      </c>
      <c r="BK3" s="20">
        <f>0.288*BK2</f>
        <v>0</v>
      </c>
      <c r="BL3" s="20">
        <f>0.39*BL2</f>
        <v>0</v>
      </c>
      <c r="BM3" s="20">
        <f>0.116*BM2</f>
        <v>0</v>
      </c>
      <c r="BN3" s="20">
        <f>0.146*BN2</f>
        <v>0</v>
      </c>
      <c r="BO3" s="20">
        <f>0.357*BO2</f>
        <v>0</v>
      </c>
      <c r="BP3" s="20">
        <f>0.592*BP2</f>
        <v>0</v>
      </c>
      <c r="BQ3" s="20">
        <f>0.592*BQ2</f>
        <v>0</v>
      </c>
      <c r="BR3" s="20">
        <f>0.304*BR2</f>
        <v>0</v>
      </c>
      <c r="BS3" s="20">
        <f>0.24*BS2</f>
        <v>0</v>
      </c>
      <c r="BT3" s="20">
        <f>0.57*BT2</f>
        <v>0</v>
      </c>
      <c r="BU3" s="20">
        <f>0.577*BU2</f>
        <v>0</v>
      </c>
      <c r="BV3" s="20">
        <f>0.21*BV2</f>
        <v>0</v>
      </c>
      <c r="BW3" s="20">
        <f>0.21*BW2</f>
        <v>0</v>
      </c>
      <c r="BX3" s="20">
        <f>0.2*BX2</f>
        <v>0</v>
      </c>
      <c r="BY3" s="20">
        <f>0.23*BY2</f>
        <v>0</v>
      </c>
      <c r="BZ3" s="20">
        <f>0.198*BZ2</f>
        <v>0</v>
      </c>
      <c r="CA3" s="20">
        <f>0.461*CA2</f>
        <v>0</v>
      </c>
      <c r="CB3" s="20">
        <f>0.099*CB2</f>
        <v>0</v>
      </c>
      <c r="CD3" s="20">
        <f>0.242*CD2</f>
        <v>0</v>
      </c>
      <c r="CH3" s="20">
        <f>0.533*CH2</f>
        <v>0</v>
      </c>
      <c r="CI3" s="20">
        <f>0.16*CI2</f>
        <v>0</v>
      </c>
      <c r="CJ3" s="20">
        <f>0.132*CJ2</f>
        <v>0</v>
      </c>
      <c r="CK3" s="20">
        <f>0.2*CK2</f>
        <v>0</v>
      </c>
      <c r="CM3" s="20">
        <f>0.18*CM2</f>
        <v>0</v>
      </c>
      <c r="DA3" s="20">
        <f>0.069*DA2</f>
        <v>0</v>
      </c>
      <c r="DB3" s="20">
        <f>0.052*DB2</f>
        <v>0</v>
      </c>
      <c r="DC3" s="20">
        <f>0.045*DC2</f>
        <v>0</v>
      </c>
      <c r="DD3" s="20">
        <f>0.243*DD2</f>
        <v>0</v>
      </c>
      <c r="DE3" s="20">
        <f>0.145*DE2</f>
        <v>0</v>
      </c>
      <c r="DF3" s="20">
        <f>0.22*DF2</f>
        <v>0</v>
      </c>
      <c r="DG3" s="20">
        <f>0.165*DG2</f>
        <v>0</v>
      </c>
      <c r="DH3" s="20">
        <f>0.105*DH2</f>
        <v>0</v>
      </c>
      <c r="DI3" s="20">
        <f>0.211*DI2</f>
        <v>0</v>
      </c>
      <c r="DJ3" s="20">
        <f>0.41*DJ2</f>
        <v>0</v>
      </c>
      <c r="DK3" s="20">
        <f>0.528*DK2</f>
        <v>0</v>
      </c>
      <c r="DL3" s="20">
        <f>0.528*DL2</f>
        <v>0</v>
      </c>
      <c r="DM3" s="20">
        <f>0.448*DM2</f>
        <v>0</v>
      </c>
      <c r="DN3" s="20">
        <f>0.092*DN2</f>
        <v>0</v>
      </c>
      <c r="DQ3" s="20">
        <f>0.147*DQ2</f>
        <v>0</v>
      </c>
      <c r="DR3" s="20">
        <f>0.203*DR2</f>
        <v>0</v>
      </c>
      <c r="DS3" s="20">
        <f>0.21*DS2</f>
        <v>0</v>
      </c>
      <c r="DT3" s="20">
        <f>0.156*DT2</f>
        <v>0</v>
      </c>
      <c r="DU3" s="20">
        <f>0.136*DU2</f>
        <v>0</v>
      </c>
      <c r="DV3" s="20">
        <f>0.21*DV2</f>
        <v>0</v>
      </c>
      <c r="DW3" s="20">
        <f>0.2*DW2</f>
        <v>0</v>
      </c>
      <c r="DX3" s="20">
        <f>0.15*DX2</f>
        <v>0</v>
      </c>
      <c r="DY3" s="20">
        <f>0.13*DY2</f>
        <v>0</v>
      </c>
      <c r="DZ3" s="20">
        <f>0.2*DZ2</f>
        <v>0</v>
      </c>
      <c r="EA3" s="20">
        <f>0.035*EA2</f>
        <v>0</v>
      </c>
      <c r="EB3" s="20">
        <f>EB2*0.47</f>
        <v>0</v>
      </c>
      <c r="EC3" s="20">
        <f>EC2*0.047</f>
        <v>0</v>
      </c>
      <c r="ED3" s="20">
        <f>ED2*0.025</f>
        <v>0</v>
      </c>
      <c r="EE3" s="20">
        <f>EE2*0.145</f>
        <v>0</v>
      </c>
      <c r="EF3" s="20">
        <f>EF2*0.138</f>
        <v>0</v>
      </c>
      <c r="EG3" s="20">
        <f>EG2*0.134</f>
        <v>0</v>
      </c>
      <c r="EH3" s="20">
        <f>EH2*0.138</f>
        <v>0</v>
      </c>
      <c r="EI3" s="20">
        <f>EI2*0.138</f>
        <v>0</v>
      </c>
      <c r="EJ3" s="20">
        <f>EJ2*0.138</f>
        <v>0</v>
      </c>
      <c r="EK3" s="20">
        <f>0.416*EK2</f>
        <v>0</v>
      </c>
      <c r="EL3" s="20">
        <f>0.416*EL2</f>
        <v>0</v>
      </c>
      <c r="EM3" s="20">
        <f>EM2*0.085</f>
        <v>0</v>
      </c>
      <c r="EN3" s="20">
        <f>EN2*0.1</f>
        <v>0</v>
      </c>
      <c r="EO3" s="20">
        <f>EO2*0.1</f>
        <v>0</v>
      </c>
      <c r="EP3" s="20">
        <f>0.11*EP2</f>
        <v>0</v>
      </c>
      <c r="EQ3" s="20">
        <f>0.11*EQ2</f>
        <v>0</v>
      </c>
      <c r="ER3" s="20">
        <f>0.11*ER2</f>
        <v>0</v>
      </c>
      <c r="ES3" s="20">
        <f>0.573*ES2</f>
        <v>0</v>
      </c>
      <c r="ET3" s="20">
        <f>0.097*ET2</f>
        <v>0</v>
      </c>
      <c r="EU3" s="20">
        <f>0.316*EU2</f>
        <v>0</v>
      </c>
      <c r="EV3" s="20">
        <f>0.163*EV2</f>
        <v>0</v>
      </c>
      <c r="EW3" s="20">
        <f>0.145*EW2</f>
        <v>0</v>
      </c>
      <c r="EY3" s="20">
        <f>0.124*EY2</f>
        <v>0</v>
      </c>
      <c r="EZ3" s="20">
        <f>0.145*EZ2</f>
        <v>0</v>
      </c>
      <c r="FB3" s="20">
        <f>0.173*FB2</f>
        <v>0</v>
      </c>
      <c r="FC3" s="20">
        <f>0.066*FC2</f>
        <v>0</v>
      </c>
      <c r="FD3" s="20">
        <f>0.266*FD2</f>
        <v>0</v>
      </c>
      <c r="FE3" s="20">
        <f>0.256*FE2</f>
        <v>0</v>
      </c>
      <c r="FF3" s="20">
        <f>0.501*FF2</f>
        <v>0</v>
      </c>
      <c r="FG3" s="20">
        <f>0.141*FG2</f>
        <v>0</v>
      </c>
    </row>
    <row r="4" spans="1:266" s="32" customFormat="1" ht="30.75" customHeight="1" thickBot="1" x14ac:dyDescent="0.3">
      <c r="A4" s="31" t="s">
        <v>156</v>
      </c>
      <c r="B4" s="31" t="s">
        <v>157</v>
      </c>
      <c r="C4" s="37">
        <f>SUM(D4:HQ4)</f>
        <v>0</v>
      </c>
      <c r="D4" s="33"/>
      <c r="E4" s="33"/>
      <c r="F4" s="33"/>
      <c r="G4" s="33"/>
      <c r="H4" s="33">
        <f>29.3*H2</f>
        <v>0</v>
      </c>
      <c r="I4" s="33">
        <f>10.03*I2</f>
        <v>0</v>
      </c>
      <c r="J4" s="33"/>
      <c r="K4" s="33"/>
      <c r="L4" s="33"/>
      <c r="M4" s="33">
        <f>9.2*M2</f>
        <v>0</v>
      </c>
      <c r="N4" s="33"/>
      <c r="O4" s="33">
        <f>6.2*O2</f>
        <v>0</v>
      </c>
      <c r="P4" s="33">
        <f>6.9*P2</f>
        <v>0</v>
      </c>
      <c r="Q4" s="33"/>
      <c r="R4" s="33">
        <f>17.3*R2</f>
        <v>0</v>
      </c>
      <c r="S4" s="33"/>
      <c r="T4" s="33"/>
      <c r="U4" s="33"/>
      <c r="V4" s="33">
        <f>6*V2</f>
        <v>0</v>
      </c>
      <c r="W4" s="33"/>
      <c r="X4" s="33"/>
      <c r="Y4" s="33">
        <f>18.1*Y2</f>
        <v>0</v>
      </c>
      <c r="Z4" s="33"/>
      <c r="AA4" s="33"/>
      <c r="AB4" s="33"/>
      <c r="AC4" s="33"/>
      <c r="AD4" s="33"/>
      <c r="AE4" s="33"/>
      <c r="AF4" s="33"/>
      <c r="AG4" s="33">
        <f>6*AG2</f>
        <v>0</v>
      </c>
      <c r="AH4" s="33">
        <f>11.25*AH2</f>
        <v>0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>
        <f>33.7*BA2</f>
        <v>0</v>
      </c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>
        <f>6.48*BM2</f>
        <v>0</v>
      </c>
      <c r="BN4" s="33"/>
      <c r="BO4" s="33"/>
      <c r="BP4" s="33"/>
      <c r="BQ4" s="33"/>
      <c r="BR4" s="33">
        <f>15.5*BR2</f>
        <v>0</v>
      </c>
      <c r="BS4" s="33"/>
      <c r="BT4" s="33"/>
      <c r="BU4" s="33"/>
      <c r="BV4" s="33">
        <f>11.9*BV2</f>
        <v>0</v>
      </c>
      <c r="BW4" s="33">
        <f>11.9*BW2</f>
        <v>0</v>
      </c>
      <c r="BX4" s="33"/>
      <c r="BY4" s="33"/>
      <c r="BZ4" s="33"/>
      <c r="CA4" s="33"/>
      <c r="CB4" s="33"/>
      <c r="CC4" s="33"/>
      <c r="CD4" s="33">
        <f>12.6*CD2</f>
        <v>0</v>
      </c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>
        <f>2.2*DB2</f>
        <v>0</v>
      </c>
      <c r="DC4" s="33">
        <f>3.4*DC2</f>
        <v>0</v>
      </c>
      <c r="DD4" s="33"/>
      <c r="DE4" s="33">
        <f>11*DE2</f>
        <v>0</v>
      </c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>
        <f>12*DR2</f>
        <v>0</v>
      </c>
      <c r="DS4" s="33"/>
      <c r="DT4" s="33"/>
      <c r="DU4" s="33"/>
      <c r="DV4" s="33"/>
      <c r="DW4" s="33"/>
      <c r="DX4" s="33"/>
      <c r="DY4" s="33"/>
      <c r="DZ4" s="33"/>
      <c r="EA4" s="33">
        <f>3.54*EA2</f>
        <v>0</v>
      </c>
      <c r="EB4" s="33">
        <f>24*EB2</f>
        <v>0</v>
      </c>
      <c r="EC4" s="33"/>
      <c r="ED4" s="33">
        <f>1.86*ED2</f>
        <v>0</v>
      </c>
      <c r="EE4" s="33">
        <f>9.8*EE2</f>
        <v>0</v>
      </c>
      <c r="EF4" s="33"/>
      <c r="EG4" s="33"/>
      <c r="EH4" s="33">
        <f>8.1*EH2</f>
        <v>0</v>
      </c>
      <c r="EI4" s="33"/>
      <c r="EJ4" s="33"/>
      <c r="EK4" s="33"/>
      <c r="EL4" s="33"/>
      <c r="EM4" s="33">
        <f>6.76*EM2</f>
        <v>0</v>
      </c>
      <c r="EN4" s="33"/>
      <c r="EO4" s="33"/>
      <c r="EP4" s="33">
        <f>8.03*EP2</f>
        <v>0</v>
      </c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>
        <f>12.9*FB2</f>
        <v>0</v>
      </c>
      <c r="FC4" s="33">
        <f>4.1*FC2</f>
        <v>0</v>
      </c>
      <c r="FD4" s="33">
        <f>15.9*FD2</f>
        <v>0</v>
      </c>
      <c r="FE4" s="33">
        <f>15.7*FE2</f>
        <v>0</v>
      </c>
      <c r="FF4" s="33">
        <f>28.4*FF2</f>
        <v>0</v>
      </c>
      <c r="FG4" s="33">
        <f>8.3*FG2</f>
        <v>0</v>
      </c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</row>
    <row r="5" spans="1:266" ht="15.75" customHeight="1" thickBot="1" x14ac:dyDescent="0.3">
      <c r="A5" s="11" t="s">
        <v>158</v>
      </c>
      <c r="B5" s="12" t="s">
        <v>155</v>
      </c>
      <c r="C5" s="36">
        <f>SUM(D5:HQ5)*1.05</f>
        <v>0</v>
      </c>
      <c r="M5" s="20">
        <f>0.0056*M2</f>
        <v>0</v>
      </c>
      <c r="P5" s="20">
        <f>0.0092*P2</f>
        <v>0</v>
      </c>
      <c r="Q5" s="20">
        <f>0.018*Q2</f>
        <v>0</v>
      </c>
      <c r="R5" s="20">
        <f>0.024*R2</f>
        <v>0</v>
      </c>
      <c r="S5" s="20">
        <f>0.014*S2</f>
        <v>0</v>
      </c>
      <c r="Y5" s="20">
        <f>0.007*Y2</f>
        <v>0</v>
      </c>
      <c r="AT5" s="20">
        <f>0.022*AT2</f>
        <v>0</v>
      </c>
      <c r="AU5" s="20">
        <f>0.006*AU2</f>
        <v>0</v>
      </c>
      <c r="AV5" s="20">
        <f>0.026*AV2</f>
        <v>0</v>
      </c>
      <c r="AX5" s="20">
        <f>0.018*AX2</f>
        <v>0</v>
      </c>
      <c r="AY5" s="20">
        <f>0.007*AY2</f>
        <v>0</v>
      </c>
      <c r="BH5" s="20">
        <f>0.026*BH2</f>
        <v>0</v>
      </c>
      <c r="BI5" s="20">
        <f>0.022*BI2</f>
        <v>0</v>
      </c>
      <c r="BK5" s="20">
        <f>0.018*BK2</f>
        <v>0</v>
      </c>
      <c r="BL5" s="20">
        <f>0.007*BL2</f>
        <v>0</v>
      </c>
      <c r="BO5" s="20">
        <f>0.014*BO2</f>
        <v>0</v>
      </c>
      <c r="BS5" s="20">
        <f>0.004*BS2</f>
        <v>0</v>
      </c>
      <c r="DG5" s="20">
        <f>0.009*DG2</f>
        <v>0</v>
      </c>
      <c r="EB5" s="20">
        <f>EB2*0.025</f>
        <v>0</v>
      </c>
      <c r="EK5" s="20">
        <f>0.021*EK2</f>
        <v>0</v>
      </c>
      <c r="EL5" s="20">
        <f>0.021*EL2</f>
        <v>0</v>
      </c>
    </row>
    <row r="6" spans="1:266" s="32" customFormat="1" ht="15.75" customHeight="1" thickBot="1" x14ac:dyDescent="0.3">
      <c r="A6" s="31" t="s">
        <v>156</v>
      </c>
      <c r="B6" s="31" t="s">
        <v>157</v>
      </c>
      <c r="C6" s="37">
        <f>SUM(D6:HQ6)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>
        <f>0.5*M2</f>
        <v>0</v>
      </c>
      <c r="N6" s="33"/>
      <c r="O6" s="33"/>
      <c r="P6" s="33">
        <f>0.63*P2</f>
        <v>0</v>
      </c>
      <c r="Q6" s="33"/>
      <c r="R6" s="33">
        <f>1.34*R2</f>
        <v>0</v>
      </c>
      <c r="S6" s="33"/>
      <c r="T6" s="33"/>
      <c r="U6" s="33"/>
      <c r="V6" s="33"/>
      <c r="W6" s="33"/>
      <c r="X6" s="33"/>
      <c r="Y6" s="33">
        <f>0.623*Y2</f>
        <v>0</v>
      </c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>
        <f>1.85*EB2</f>
        <v>0</v>
      </c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</row>
    <row r="7" spans="1:266" ht="15.75" customHeight="1" thickBot="1" x14ac:dyDescent="0.3">
      <c r="A7" s="10" t="s">
        <v>159</v>
      </c>
      <c r="B7" s="5" t="s">
        <v>155</v>
      </c>
      <c r="C7" s="36">
        <f>SUM(D7:HQ7)*1.05</f>
        <v>0</v>
      </c>
      <c r="M7" s="20">
        <f>0.0164*M2</f>
        <v>0</v>
      </c>
      <c r="P7" s="20">
        <f>0.026*P2</f>
        <v>0</v>
      </c>
      <c r="Q7" s="20">
        <f>0.04*Q2</f>
        <v>0</v>
      </c>
      <c r="R7" s="20">
        <f>0.049*R2</f>
        <v>0</v>
      </c>
      <c r="S7" s="20">
        <f>0.031*S2</f>
        <v>0</v>
      </c>
      <c r="Y7" s="20">
        <f>0.025*Y2</f>
        <v>0</v>
      </c>
      <c r="AT7" s="20">
        <f>0.037*AT2</f>
        <v>0</v>
      </c>
      <c r="AU7" s="20">
        <f>0.029*AU2</f>
        <v>0</v>
      </c>
      <c r="AV7" s="20">
        <f>0.063*AV2</f>
        <v>0</v>
      </c>
      <c r="AX7" s="20">
        <f>0.038*AX2</f>
        <v>0</v>
      </c>
      <c r="AY7" s="20">
        <f>0.025*AY2</f>
        <v>0</v>
      </c>
      <c r="BH7" s="20">
        <f>0.063*BH2</f>
        <v>0</v>
      </c>
      <c r="BI7" s="20">
        <f>0.044*BI2</f>
        <v>0</v>
      </c>
      <c r="BK7" s="20">
        <f>0.038*BK2</f>
        <v>0</v>
      </c>
      <c r="BL7" s="20">
        <f>0.025*BL2</f>
        <v>0</v>
      </c>
      <c r="BO7" s="20">
        <f>0.024*BO2</f>
        <v>0</v>
      </c>
      <c r="BS7" s="20">
        <f>0.024*BS2</f>
        <v>0</v>
      </c>
      <c r="DG7" s="20">
        <f>0.025*DG2</f>
        <v>0</v>
      </c>
      <c r="EB7" s="20">
        <f>EB2*0.049</f>
        <v>0</v>
      </c>
      <c r="EK7" s="20">
        <f>0.043*EK2</f>
        <v>0</v>
      </c>
      <c r="EL7" s="20">
        <f>0.043*EL2</f>
        <v>0</v>
      </c>
    </row>
    <row r="8" spans="1:266" s="32" customFormat="1" ht="15.75" customHeight="1" thickBot="1" x14ac:dyDescent="0.3">
      <c r="A8" s="31" t="s">
        <v>156</v>
      </c>
      <c r="B8" s="31" t="s">
        <v>157</v>
      </c>
      <c r="C8" s="37">
        <f>SUM(D8:HQ8)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>
        <f>0.9*M2</f>
        <v>0</v>
      </c>
      <c r="N8" s="33"/>
      <c r="O8" s="33"/>
      <c r="P8" s="33">
        <f>1.1*P2</f>
        <v>0</v>
      </c>
      <c r="Q8" s="33"/>
      <c r="R8" s="33">
        <f>1.5*R2</f>
        <v>0</v>
      </c>
      <c r="S8" s="33"/>
      <c r="T8" s="33"/>
      <c r="U8" s="33"/>
      <c r="V8" s="33"/>
      <c r="W8" s="33"/>
      <c r="X8" s="33"/>
      <c r="Y8" s="33">
        <f>1.1*Y2</f>
        <v>0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>
        <f>1.54*EB2</f>
        <v>0</v>
      </c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</row>
    <row r="9" spans="1:266" ht="15.75" customHeight="1" thickBot="1" x14ac:dyDescent="0.3">
      <c r="A9" s="10" t="s">
        <v>160</v>
      </c>
      <c r="B9" s="5" t="s">
        <v>155</v>
      </c>
      <c r="C9" s="36">
        <f>SUM(D9:HQ9)*1.05</f>
        <v>0</v>
      </c>
      <c r="E9" s="20">
        <f>1.5*E2</f>
        <v>0</v>
      </c>
      <c r="T9" s="20">
        <f>0.75*T2</f>
        <v>0</v>
      </c>
      <c r="U9" s="20">
        <f>0.75*U2</f>
        <v>0</v>
      </c>
      <c r="W9" s="20">
        <f>0.6*W2</f>
        <v>0</v>
      </c>
      <c r="AK9" s="20">
        <f>0.216*AK2</f>
        <v>0</v>
      </c>
      <c r="AL9" s="20">
        <f>0.3*AL2</f>
        <v>0</v>
      </c>
      <c r="BD9" s="20">
        <f>1.22*BD2</f>
        <v>0</v>
      </c>
      <c r="CC9" s="20">
        <f>1.1*CC2</f>
        <v>0</v>
      </c>
      <c r="CE9" s="20">
        <f>0.222*CE2</f>
        <v>0</v>
      </c>
      <c r="CF9" s="20">
        <f>0.171*CF2</f>
        <v>0</v>
      </c>
      <c r="CG9" s="20">
        <f>0.158*CG2</f>
        <v>0</v>
      </c>
      <c r="CL9" s="20">
        <f>0.291*CL2</f>
        <v>0</v>
      </c>
      <c r="CN9" s="20">
        <f>0.25*CN2</f>
        <v>0</v>
      </c>
      <c r="CO9" s="20">
        <f>0.39*CO2</f>
        <v>0</v>
      </c>
      <c r="CP9" s="20">
        <f>0.5*CP2</f>
        <v>0</v>
      </c>
      <c r="CQ9" s="20">
        <f>0.178*CQ2*2</f>
        <v>0</v>
      </c>
      <c r="CR9" s="20">
        <f>0.289*5*CR2</f>
        <v>0</v>
      </c>
      <c r="CS9" s="20">
        <f>0.349*5*CS2</f>
        <v>0</v>
      </c>
      <c r="CT9" s="20">
        <f>0.235*3*CT2</f>
        <v>0</v>
      </c>
      <c r="CU9" s="20">
        <f>0.292*3*CU2</f>
        <v>0</v>
      </c>
      <c r="CV9" s="20">
        <f>0.29*CV2</f>
        <v>0</v>
      </c>
      <c r="CW9" s="20">
        <f>1.73*CW2</f>
        <v>0</v>
      </c>
      <c r="CY9" s="20">
        <f>0.175*CY2</f>
        <v>0</v>
      </c>
      <c r="CZ9" s="20">
        <f>0.189*CZ2</f>
        <v>0</v>
      </c>
      <c r="DP9" s="20">
        <f>0.263*DP2</f>
        <v>0</v>
      </c>
    </row>
    <row r="10" spans="1:266" s="32" customFormat="1" ht="15.75" customHeight="1" thickBot="1" x14ac:dyDescent="0.3">
      <c r="A10" s="31" t="s">
        <v>156</v>
      </c>
      <c r="B10" s="34" t="s">
        <v>161</v>
      </c>
      <c r="C10" s="37">
        <f>SUM(D10:HQ10)</f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>
        <f>4.8*AL2</f>
        <v>0</v>
      </c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>
        <f>3.5*CN2</f>
        <v>0</v>
      </c>
      <c r="CO10" s="33"/>
      <c r="CP10" s="33">
        <f>5.9*CP2</f>
        <v>0</v>
      </c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</row>
    <row r="11" spans="1:266" ht="15.75" customHeight="1" thickBot="1" x14ac:dyDescent="0.3">
      <c r="A11" s="10" t="s">
        <v>162</v>
      </c>
      <c r="B11" s="4" t="s">
        <v>155</v>
      </c>
      <c r="C11" s="36">
        <f>SUM(D11:HQ11)*1.05</f>
        <v>0</v>
      </c>
      <c r="F11" s="20">
        <f>0.0153*F2</f>
        <v>0</v>
      </c>
      <c r="G11" s="20">
        <f>0.012*G2</f>
        <v>0</v>
      </c>
      <c r="H11" s="20">
        <f>0.04*H2</f>
        <v>0</v>
      </c>
      <c r="I11" s="20">
        <f>0.0153*I2</f>
        <v>0</v>
      </c>
      <c r="L11" s="20">
        <f>0.0153*L2</f>
        <v>0</v>
      </c>
      <c r="M11" s="20">
        <f>0.019*M2</f>
        <v>0</v>
      </c>
      <c r="N11" s="20">
        <f>0.039*N2</f>
        <v>0</v>
      </c>
      <c r="O11" s="20">
        <f>0.008*O2</f>
        <v>0</v>
      </c>
      <c r="P11" s="20">
        <f>0.025*P2</f>
        <v>0</v>
      </c>
      <c r="Q11" s="20">
        <f>0.071*Q2</f>
        <v>0</v>
      </c>
      <c r="R11" s="20">
        <f>0.092*R2</f>
        <v>0</v>
      </c>
      <c r="S11" s="20">
        <f>0.053*S2</f>
        <v>0</v>
      </c>
      <c r="V11" s="20">
        <f>0.0073*V2</f>
        <v>0</v>
      </c>
      <c r="X11" s="20">
        <f>0.055*X2</f>
        <v>0</v>
      </c>
      <c r="Y11" s="20">
        <f>0.044*Y2</f>
        <v>0</v>
      </c>
      <c r="Z11" s="20">
        <f>0.008*Z2</f>
        <v>0</v>
      </c>
      <c r="AA11" s="20">
        <f>0.008*AA2</f>
        <v>0</v>
      </c>
      <c r="AB11" s="20">
        <f>0.008*AB2</f>
        <v>0</v>
      </c>
      <c r="AC11" s="20">
        <f>0.03*AC2</f>
        <v>0</v>
      </c>
      <c r="AD11" s="20">
        <f>0.03*AD2</f>
        <v>0</v>
      </c>
      <c r="AE11" s="20">
        <f>0.03*AE2</f>
        <v>0</v>
      </c>
      <c r="AF11" s="20">
        <f>0.008*AF2</f>
        <v>0</v>
      </c>
      <c r="AG11" s="20">
        <f>0.0063*AG2</f>
        <v>0</v>
      </c>
      <c r="AH11" s="20">
        <f>0.063*AH2</f>
        <v>0</v>
      </c>
      <c r="AI11" s="20">
        <f>0.005*AI2</f>
        <v>0</v>
      </c>
      <c r="AJ11" s="20">
        <f>0.0063*AJ2</f>
        <v>0</v>
      </c>
      <c r="AM11" s="20">
        <f>0.04*AM2</f>
        <v>0</v>
      </c>
      <c r="AN11" s="20">
        <f>0.0153*AN2</f>
        <v>0</v>
      </c>
      <c r="AO11" s="20">
        <f>0.023*AO2</f>
        <v>0</v>
      </c>
      <c r="AQ11" s="20">
        <f>0.0115*AQ2</f>
        <v>0</v>
      </c>
      <c r="AR11" s="20">
        <f>0.005*AR2</f>
        <v>0</v>
      </c>
      <c r="AS11" s="20">
        <f>0.0153*AS2</f>
        <v>0</v>
      </c>
      <c r="AT11" s="20">
        <f>0.085*AT2</f>
        <v>0</v>
      </c>
      <c r="AU11" s="20">
        <f>0.075*AU2</f>
        <v>0</v>
      </c>
      <c r="AV11" s="20">
        <f>0.11*AV2</f>
        <v>0</v>
      </c>
      <c r="AW11" s="20">
        <f>0.0153*AW2</f>
        <v>0</v>
      </c>
      <c r="AX11" s="20">
        <f>0.07*AX2</f>
        <v>0</v>
      </c>
      <c r="AY11" s="20">
        <f>0.055*AY2</f>
        <v>0</v>
      </c>
      <c r="AZ11" s="20">
        <f>0.03*AZ2</f>
        <v>0</v>
      </c>
      <c r="BA11" s="20">
        <f>0.04*BA2</f>
        <v>0</v>
      </c>
      <c r="BB11" s="20">
        <f>0.04*BB2</f>
        <v>0</v>
      </c>
      <c r="BC11" s="20">
        <f>0.078*BC2</f>
        <v>0</v>
      </c>
      <c r="BF11" s="20">
        <f>0.0228*BF2</f>
        <v>0</v>
      </c>
      <c r="BG11" s="20">
        <f>0.0229*BG2</f>
        <v>0</v>
      </c>
      <c r="BH11" s="20">
        <f>0.11*BH2</f>
        <v>0</v>
      </c>
      <c r="BI11" s="20">
        <f>0.085*BI2</f>
        <v>0</v>
      </c>
      <c r="BJ11" s="20">
        <f>0.0163*BJ2</f>
        <v>0</v>
      </c>
      <c r="BK11" s="20">
        <f>0.07*BK2</f>
        <v>0</v>
      </c>
      <c r="BL11" s="20">
        <f>0.055*BL2</f>
        <v>0</v>
      </c>
      <c r="BM11" s="20">
        <f>0.0074*BM2</f>
        <v>0</v>
      </c>
      <c r="BN11" s="20">
        <f>0.012*BN2</f>
        <v>0</v>
      </c>
      <c r="BO11" s="20">
        <f>0.077*BO2</f>
        <v>0</v>
      </c>
      <c r="BP11" s="20">
        <f>0.04*BP2</f>
        <v>0</v>
      </c>
      <c r="BQ11" s="20">
        <f>0.04*BQ2</f>
        <v>0</v>
      </c>
      <c r="BR11" s="20">
        <f>0.023*BR2</f>
        <v>0</v>
      </c>
      <c r="BS11" s="20">
        <f>0.0375*BS2</f>
        <v>0</v>
      </c>
      <c r="BT11" s="20">
        <f>0.039*BT2</f>
        <v>0</v>
      </c>
      <c r="BU11" s="20">
        <f>0.04*BU2</f>
        <v>0</v>
      </c>
      <c r="BV11" s="20">
        <f>0.035*BV2</f>
        <v>0</v>
      </c>
      <c r="BW11" s="20">
        <f>0.034*BW2</f>
        <v>0</v>
      </c>
      <c r="BX11" s="20">
        <f>0.037*BX2</f>
        <v>0</v>
      </c>
      <c r="BY11" s="20">
        <f>0.037*BY2</f>
        <v>0</v>
      </c>
      <c r="BZ11" s="20">
        <f>0.0153*BZ2</f>
        <v>0</v>
      </c>
      <c r="CA11" s="20">
        <f>0.58*CA2</f>
        <v>0</v>
      </c>
      <c r="CB11" s="20">
        <f>0.01*CB2</f>
        <v>0</v>
      </c>
      <c r="CD11" s="20">
        <f>0.012*CD2</f>
        <v>0</v>
      </c>
      <c r="CH11" s="20">
        <f>0.04*CH2</f>
        <v>0</v>
      </c>
      <c r="CI11" s="20">
        <f>0.008*CI2</f>
        <v>0</v>
      </c>
      <c r="CJ11" s="20">
        <f>0.05*CJ2</f>
        <v>0</v>
      </c>
      <c r="CK11" s="20">
        <f>0.0375*CK2</f>
        <v>0</v>
      </c>
      <c r="CM11" s="20">
        <f>0.0047*CM2</f>
        <v>0</v>
      </c>
      <c r="CO11" s="20">
        <f>0.04*CO2</f>
        <v>0</v>
      </c>
      <c r="CQ11" s="20">
        <f>0.018*2*CQ2</f>
        <v>0</v>
      </c>
      <c r="CR11" s="20">
        <f>0.03*5*CR2</f>
        <v>0</v>
      </c>
      <c r="CS11" s="20">
        <f>0.037*5*CS2</f>
        <v>0</v>
      </c>
      <c r="CT11" s="20">
        <f>0.025*3*CT2</f>
        <v>0</v>
      </c>
      <c r="CU11" s="20">
        <f>0.033*3*CU2</f>
        <v>0</v>
      </c>
      <c r="CW11" s="20">
        <f>0.18*CW2</f>
        <v>0</v>
      </c>
      <c r="DD11" s="20">
        <f>0.011*DD2</f>
        <v>0</v>
      </c>
      <c r="DE11" s="20">
        <f>0.0055*DE2</f>
        <v>0</v>
      </c>
      <c r="DF11" s="20">
        <f>0.015*DF2</f>
        <v>0</v>
      </c>
      <c r="DG11" s="20">
        <f>0.0375*DG2</f>
        <v>0</v>
      </c>
      <c r="DH11" s="20">
        <f>0.005*DH2</f>
        <v>0</v>
      </c>
      <c r="DI11" s="20">
        <f>0.019*DI2</f>
        <v>0</v>
      </c>
      <c r="DJ11" s="20">
        <f>0.019*DJ2</f>
        <v>0</v>
      </c>
      <c r="DK11" s="20">
        <f>0.04*DK2</f>
        <v>0</v>
      </c>
      <c r="DL11" s="20">
        <f>0.04*DL2</f>
        <v>0</v>
      </c>
      <c r="DM11" s="20">
        <f>0.058*DM2</f>
        <v>0</v>
      </c>
      <c r="DN11" s="20">
        <f>0.01*DN2</f>
        <v>0</v>
      </c>
      <c r="DQ11" s="20">
        <f>0.006*DQ2</f>
        <v>0</v>
      </c>
      <c r="DR11" s="20">
        <f>0.034*DR2</f>
        <v>0</v>
      </c>
      <c r="DS11" s="20">
        <f>0.01*DS2</f>
        <v>0</v>
      </c>
      <c r="DT11" s="20">
        <f>0.007*DT2</f>
        <v>0</v>
      </c>
      <c r="DU11" s="20">
        <f>0.007*DU2</f>
        <v>0</v>
      </c>
      <c r="DV11" s="20">
        <f>0.03*DV2</f>
        <v>0</v>
      </c>
      <c r="DW11" s="20">
        <f>0.012*DW2</f>
        <v>0</v>
      </c>
      <c r="DX11" s="20">
        <f>0.007*DX2</f>
        <v>0</v>
      </c>
      <c r="DY11" s="20">
        <f>0.007*DY2</f>
        <v>0</v>
      </c>
      <c r="DZ11" s="20">
        <f>0.04*DZ2</f>
        <v>0</v>
      </c>
      <c r="EB11" s="20">
        <f>0.076*EB2</f>
        <v>0</v>
      </c>
      <c r="EE11" s="20">
        <f>0.0125*EE2</f>
        <v>0</v>
      </c>
      <c r="EF11" s="20">
        <f>0.01*EF2</f>
        <v>0</v>
      </c>
      <c r="EG11" s="20">
        <f>0.0125*EG2</f>
        <v>0</v>
      </c>
      <c r="EH11" s="20">
        <f>0.008*EH2</f>
        <v>0</v>
      </c>
      <c r="EI11" s="20">
        <f>0.008*EI2</f>
        <v>0</v>
      </c>
      <c r="EJ11" s="20">
        <f>0.008*EJ2</f>
        <v>0</v>
      </c>
      <c r="EK11" s="20">
        <f>0.084*EK2</f>
        <v>0</v>
      </c>
      <c r="EL11" s="20">
        <f>0.084*EL2</f>
        <v>0</v>
      </c>
      <c r="EM11" s="20">
        <f>0.0052*EM2</f>
        <v>0</v>
      </c>
      <c r="EN11" s="20">
        <f>0.0052*EN2</f>
        <v>0</v>
      </c>
      <c r="EO11" s="20">
        <f>0.005*EO2</f>
        <v>0</v>
      </c>
      <c r="EP11" s="20">
        <f>0.0052*EP2</f>
        <v>0</v>
      </c>
      <c r="EQ11" s="20">
        <f>0.0052*EQ2</f>
        <v>0</v>
      </c>
      <c r="ER11" s="20">
        <f>0.005*ER2</f>
        <v>0</v>
      </c>
      <c r="ES11" s="20">
        <f>0.031*ES2</f>
        <v>0</v>
      </c>
      <c r="ET11" s="20">
        <f>0.005*ET2</f>
        <v>0</v>
      </c>
      <c r="EU11" s="20">
        <f>0.012*EU2</f>
        <v>0</v>
      </c>
      <c r="EV11" s="20">
        <f>0.05*EV2</f>
        <v>0</v>
      </c>
      <c r="EW11" s="20">
        <f>0.006*EW2</f>
        <v>0</v>
      </c>
      <c r="EY11" s="20">
        <f>0.005*EY2</f>
        <v>0</v>
      </c>
      <c r="EZ11" s="20">
        <f>0.006*EZ2</f>
        <v>0</v>
      </c>
      <c r="FB11" s="33">
        <f>0.008*FB2</f>
        <v>0</v>
      </c>
      <c r="FC11" s="33">
        <f>0.0037*FC2</f>
        <v>0</v>
      </c>
      <c r="FD11" s="33">
        <f>0.019*FD2</f>
        <v>0</v>
      </c>
      <c r="FE11" s="20">
        <f>(0.024+0.021)*FE2</f>
        <v>0</v>
      </c>
      <c r="FF11" s="20">
        <f>(0.048+0.021)*FF2</f>
        <v>0</v>
      </c>
    </row>
    <row r="12" spans="1:266" s="32" customFormat="1" ht="15.75" customHeight="1" thickBot="1" x14ac:dyDescent="0.3">
      <c r="A12" s="31" t="s">
        <v>156</v>
      </c>
      <c r="B12" s="34" t="s">
        <v>161</v>
      </c>
      <c r="C12" s="37">
        <f>SUM(D12:HQ12)</f>
        <v>0</v>
      </c>
      <c r="D12" s="33"/>
      <c r="E12" s="33"/>
      <c r="F12" s="33"/>
      <c r="G12" s="33"/>
      <c r="H12" s="33">
        <f>1.88*H2</f>
        <v>0</v>
      </c>
      <c r="I12" s="33">
        <f>0.521*I2</f>
        <v>0</v>
      </c>
      <c r="J12" s="33"/>
      <c r="K12" s="33"/>
      <c r="L12" s="33"/>
      <c r="M12" s="33">
        <f>1.2*M2</f>
        <v>0</v>
      </c>
      <c r="N12" s="33"/>
      <c r="O12" s="33">
        <f>0.321*O2</f>
        <v>0</v>
      </c>
      <c r="P12" s="33">
        <f>1.37*P2</f>
        <v>0</v>
      </c>
      <c r="Q12" s="33"/>
      <c r="R12" s="33">
        <f>2.22*R2</f>
        <v>0</v>
      </c>
      <c r="S12" s="33"/>
      <c r="T12" s="33"/>
      <c r="U12" s="33"/>
      <c r="V12" s="33">
        <f>0.32*V2</f>
        <v>0</v>
      </c>
      <c r="W12" s="33"/>
      <c r="X12" s="33"/>
      <c r="Y12" s="33">
        <f>2.1*Y2</f>
        <v>0</v>
      </c>
      <c r="Z12" s="33"/>
      <c r="AA12" s="33"/>
      <c r="AB12" s="33"/>
      <c r="AC12" s="33"/>
      <c r="AD12" s="33"/>
      <c r="AE12" s="33"/>
      <c r="AF12" s="33"/>
      <c r="AG12" s="33">
        <f>0.285*AG2</f>
        <v>0</v>
      </c>
      <c r="AH12" s="33">
        <f>0.285*AH2</f>
        <v>0</v>
      </c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>
        <f>2.4*BA2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>
        <f>0.32*BM2</f>
        <v>0</v>
      </c>
      <c r="BN12" s="33"/>
      <c r="BO12" s="33"/>
      <c r="BP12" s="33"/>
      <c r="BQ12" s="33"/>
      <c r="BR12" s="33"/>
      <c r="BS12" s="33"/>
      <c r="BT12" s="33"/>
      <c r="BU12" s="33"/>
      <c r="BV12" s="33">
        <f>0.8*BV2</f>
        <v>0</v>
      </c>
      <c r="BW12" s="33">
        <f>0.8*BW2</f>
        <v>0</v>
      </c>
      <c r="BX12" s="33"/>
      <c r="BY12" s="33"/>
      <c r="BZ12" s="33"/>
      <c r="CA12" s="33"/>
      <c r="CB12" s="33"/>
      <c r="CC12" s="33"/>
      <c r="CD12" s="33">
        <f>0.42*CD2</f>
        <v>0</v>
      </c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>
        <f>0.28*DE2</f>
        <v>0</v>
      </c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>
        <f>0.81*DR2</f>
        <v>0</v>
      </c>
      <c r="DS12" s="33"/>
      <c r="DT12" s="33"/>
      <c r="DU12" s="33"/>
      <c r="DV12" s="33"/>
      <c r="DW12" s="33"/>
      <c r="DX12" s="33"/>
      <c r="DY12" s="33"/>
      <c r="DZ12" s="33"/>
      <c r="EA12" s="33"/>
      <c r="EB12" s="33">
        <f>2.56*EB2</f>
        <v>0</v>
      </c>
      <c r="EC12" s="33"/>
      <c r="ED12" s="33"/>
      <c r="EE12" s="33">
        <f>0.445*EE2</f>
        <v>0</v>
      </c>
      <c r="EF12" s="33"/>
      <c r="EG12" s="33"/>
      <c r="EH12" s="33">
        <f>0.385*EH2</f>
        <v>0</v>
      </c>
      <c r="EI12" s="33"/>
      <c r="EJ12" s="33"/>
      <c r="EK12" s="33"/>
      <c r="EL12" s="33"/>
      <c r="EM12" s="33">
        <f>0.26*EM2</f>
        <v>0</v>
      </c>
      <c r="EN12" s="33"/>
      <c r="EO12" s="33"/>
      <c r="EP12" s="33">
        <f>0.26*EP2</f>
        <v>0</v>
      </c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20">
        <f>0.325*FB2</f>
        <v>0</v>
      </c>
      <c r="FC12" s="20">
        <f>0.215*FC2</f>
        <v>0</v>
      </c>
      <c r="FD12" s="20">
        <f>0.972*FD2</f>
        <v>0</v>
      </c>
      <c r="FE12" s="33">
        <f>1.7*FE2</f>
        <v>0</v>
      </c>
      <c r="FF12" s="33">
        <f>2.4*FF2</f>
        <v>0</v>
      </c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</row>
    <row r="13" spans="1:266" ht="15.75" customHeight="1" thickBot="1" x14ac:dyDescent="0.3">
      <c r="A13" s="10" t="s">
        <v>163</v>
      </c>
      <c r="B13" s="5" t="s">
        <v>155</v>
      </c>
      <c r="C13" s="36">
        <f>SUM(D13:HQ13)*1.05</f>
        <v>0</v>
      </c>
      <c r="CX13" s="20">
        <f>0.75*CX2</f>
        <v>0</v>
      </c>
    </row>
    <row r="14" spans="1:266" s="32" customFormat="1" ht="15.75" customHeight="1" thickBot="1" x14ac:dyDescent="0.3">
      <c r="A14" s="31" t="s">
        <v>156</v>
      </c>
      <c r="B14" s="34" t="s">
        <v>161</v>
      </c>
      <c r="C14" s="37">
        <f>SUM(D14:HQ14)</f>
        <v>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</row>
    <row r="15" spans="1:266" ht="15.75" customHeight="1" thickBot="1" x14ac:dyDescent="0.3">
      <c r="A15" s="10" t="s">
        <v>164</v>
      </c>
      <c r="B15" s="5" t="s">
        <v>155</v>
      </c>
      <c r="C15" s="36">
        <f>SUM(D15:HQ15)*1.05</f>
        <v>0</v>
      </c>
      <c r="J15" s="20">
        <f>0.182*J2</f>
        <v>0</v>
      </c>
      <c r="K15" s="20">
        <f>0.344*K2</f>
        <v>0</v>
      </c>
      <c r="AP15" s="20">
        <f>0.14*AP2</f>
        <v>0</v>
      </c>
      <c r="BE15" s="20">
        <f>0.108*BE2</f>
        <v>0</v>
      </c>
      <c r="DO15" s="20">
        <f>0.332*DO2</f>
        <v>0</v>
      </c>
      <c r="FH15" s="20">
        <f>0.032*FH2</f>
        <v>0</v>
      </c>
    </row>
    <row r="16" spans="1:266" s="32" customFormat="1" ht="15.75" customHeight="1" thickBot="1" x14ac:dyDescent="0.3">
      <c r="A16" s="31" t="s">
        <v>156</v>
      </c>
      <c r="B16" s="34" t="s">
        <v>161</v>
      </c>
      <c r="C16" s="37">
        <f>SUM(D16:HQ16)</f>
        <v>0</v>
      </c>
      <c r="D16" s="33"/>
      <c r="E16" s="33"/>
      <c r="F16" s="33"/>
      <c r="G16" s="33"/>
      <c r="H16" s="33"/>
      <c r="I16" s="33"/>
      <c r="J16" s="33">
        <f>1.72*J2</f>
        <v>0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>
        <f>1.6*FH2</f>
        <v>0</v>
      </c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</row>
    <row r="17" spans="1:266" ht="15.75" customHeight="1" thickBot="1" x14ac:dyDescent="0.3">
      <c r="A17" s="10" t="s">
        <v>165</v>
      </c>
      <c r="B17" s="5" t="s">
        <v>155</v>
      </c>
      <c r="C17" s="36">
        <f>SUM(D17:HQ17)*1.05</f>
        <v>0</v>
      </c>
      <c r="CB17" s="20">
        <f>0.071*CB2</f>
        <v>0</v>
      </c>
      <c r="DA17" s="20">
        <f>0.017*DA2</f>
        <v>0</v>
      </c>
      <c r="DN17" s="20">
        <f>0.07*DN2</f>
        <v>0</v>
      </c>
    </row>
    <row r="18" spans="1:266" s="32" customFormat="1" ht="15.75" customHeight="1" thickBot="1" x14ac:dyDescent="0.3">
      <c r="A18" s="31" t="s">
        <v>156</v>
      </c>
      <c r="B18" s="34" t="s">
        <v>161</v>
      </c>
      <c r="C18" s="37">
        <f>SUM(D18:HQ18)</f>
        <v>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</row>
    <row r="19" spans="1:266" ht="15.75" customHeight="1" thickBot="1" x14ac:dyDescent="0.3">
      <c r="A19" s="10" t="s">
        <v>166</v>
      </c>
      <c r="B19" s="5" t="s">
        <v>155</v>
      </c>
      <c r="C19" s="36">
        <f>SUM(D19:HQ19)*1.05</f>
        <v>0</v>
      </c>
      <c r="AL19" s="20">
        <f>0.032*AL2</f>
        <v>0</v>
      </c>
      <c r="CC19" s="20">
        <f>0.13*CC2</f>
        <v>0</v>
      </c>
    </row>
    <row r="20" spans="1:266" s="32" customFormat="1" x14ac:dyDescent="0.25">
      <c r="A20" s="31" t="s">
        <v>156</v>
      </c>
      <c r="B20" s="34" t="s">
        <v>161</v>
      </c>
      <c r="C20" s="37">
        <f>SUM(D20:HQ20)</f>
        <v>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>
        <f>2*AL2</f>
        <v>0</v>
      </c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</row>
    <row r="21" spans="1:266" s="26" customFormat="1" ht="6.75" customHeight="1" thickBot="1" x14ac:dyDescent="0.3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</row>
    <row r="22" spans="1:266" ht="45.75" customHeight="1" thickBot="1" x14ac:dyDescent="0.3">
      <c r="A22" s="10" t="s">
        <v>167</v>
      </c>
      <c r="B22" s="5" t="s">
        <v>168</v>
      </c>
      <c r="C22" s="36">
        <f>SUM(D22:ALK22)*1.1</f>
        <v>0</v>
      </c>
      <c r="DB22" s="20">
        <f>0.26*DB2</f>
        <v>0</v>
      </c>
      <c r="DC22" s="20">
        <f>0.36*DC2</f>
        <v>0</v>
      </c>
      <c r="EA22" s="20">
        <f>0.28*EA2</f>
        <v>0</v>
      </c>
    </row>
    <row r="23" spans="1:266" ht="45.75" customHeight="1" thickBot="1" x14ac:dyDescent="0.3">
      <c r="A23" s="10" t="s">
        <v>310</v>
      </c>
      <c r="B23" s="5" t="s">
        <v>168</v>
      </c>
      <c r="C23" s="36">
        <f>SUM(D23:ALK23)*1.1</f>
        <v>0</v>
      </c>
      <c r="FG23" s="20">
        <f>0.761*FG2</f>
        <v>0</v>
      </c>
      <c r="FH23" s="20">
        <f>0.26*FH2</f>
        <v>0</v>
      </c>
    </row>
    <row r="24" spans="1:266" ht="15.75" customHeight="1" thickBot="1" x14ac:dyDescent="0.3">
      <c r="A24" s="10" t="s">
        <v>169</v>
      </c>
      <c r="B24" s="5" t="s">
        <v>168</v>
      </c>
      <c r="C24" s="36">
        <f>SUM(D24:ALK24)*1.1</f>
        <v>0</v>
      </c>
      <c r="M24" s="20">
        <f>0.4*M2</f>
        <v>0</v>
      </c>
      <c r="P24" s="20">
        <f>0.4*P2</f>
        <v>0</v>
      </c>
      <c r="Q24" s="20">
        <f>0.5*Q2</f>
        <v>0</v>
      </c>
      <c r="R24" s="20">
        <f>0.7*R2</f>
        <v>0</v>
      </c>
      <c r="S24" s="20">
        <f>0.8*S2</f>
        <v>0</v>
      </c>
      <c r="Y24" s="20">
        <f>0.5*Y2</f>
        <v>0</v>
      </c>
      <c r="AL24" s="20">
        <f>2*AL2</f>
        <v>0</v>
      </c>
      <c r="AT24" s="20">
        <f>0.5*AT2</f>
        <v>0</v>
      </c>
      <c r="AU24" s="20">
        <f>0.5*AU2</f>
        <v>0</v>
      </c>
      <c r="AV24" s="20">
        <f>0.6*AV2</f>
        <v>0</v>
      </c>
      <c r="AX24" s="20">
        <f>0.4*AX2</f>
        <v>0</v>
      </c>
      <c r="AY24" s="20">
        <f>0.4*AY2</f>
        <v>0</v>
      </c>
      <c r="BH24" s="20">
        <f>1.2*BH2</f>
        <v>0</v>
      </c>
      <c r="BI24" s="20">
        <f>0.7*BI2</f>
        <v>0</v>
      </c>
      <c r="BK24" s="20">
        <f>0.4*BK2</f>
        <v>0</v>
      </c>
      <c r="BL24" s="20">
        <f>0.5*BL2</f>
        <v>0</v>
      </c>
      <c r="BO24" s="20">
        <f>0.8*BO2</f>
        <v>0</v>
      </c>
      <c r="BS24" s="20">
        <f>0.5*BS2</f>
        <v>0</v>
      </c>
      <c r="CC24" s="20">
        <f>1.4*5*CC2</f>
        <v>0</v>
      </c>
      <c r="CK24" s="20">
        <f>0.6*CK2</f>
        <v>0</v>
      </c>
      <c r="CO24" s="20">
        <f>2*CO2</f>
        <v>0</v>
      </c>
      <c r="CQ24" s="20">
        <f>1.2*2*CQ2</f>
        <v>0</v>
      </c>
      <c r="CR24" s="20">
        <f>2*5*CR2</f>
        <v>0</v>
      </c>
      <c r="CS24" s="20">
        <f>2.4*5*CS2</f>
        <v>0</v>
      </c>
      <c r="CT24" s="20">
        <f>3*1.6*CT2</f>
        <v>0</v>
      </c>
      <c r="CU24" s="20">
        <f>2*3*CU2</f>
        <v>0</v>
      </c>
      <c r="CW24" s="20">
        <f>2*6*CW2</f>
        <v>0</v>
      </c>
      <c r="DG24" s="20">
        <f>0.4*DG2</f>
        <v>0</v>
      </c>
      <c r="EB24" s="20">
        <f>0.4*EB2</f>
        <v>0</v>
      </c>
    </row>
    <row r="25" spans="1:266" ht="30.75" customHeight="1" thickBot="1" x14ac:dyDescent="0.3">
      <c r="A25" s="10" t="s">
        <v>170</v>
      </c>
      <c r="B25" s="5" t="s">
        <v>168</v>
      </c>
      <c r="C25" s="36">
        <f>SUM(D25:ALK25)*1.05</f>
        <v>0</v>
      </c>
      <c r="F25" s="20">
        <f>0.6*F2</f>
        <v>0</v>
      </c>
      <c r="G25" s="20">
        <f>0.45*G2</f>
        <v>0</v>
      </c>
      <c r="H25" s="20">
        <f>0.9*H2</f>
        <v>0</v>
      </c>
      <c r="I25" s="20">
        <f>0.3*I2</f>
        <v>0</v>
      </c>
      <c r="L25" s="20">
        <f>0.6*L2</f>
        <v>0</v>
      </c>
      <c r="M25" s="20">
        <f>0.3*M2</f>
        <v>0</v>
      </c>
      <c r="N25" s="20">
        <f>0.9*N2</f>
        <v>0</v>
      </c>
      <c r="O25" s="20">
        <f>0.3*O2</f>
        <v>0</v>
      </c>
      <c r="P25" s="20">
        <f>0.3*P2</f>
        <v>0</v>
      </c>
      <c r="Q25" s="20">
        <f>0.9*Q2</f>
        <v>0</v>
      </c>
      <c r="R25" s="20">
        <f>0.9*R2</f>
        <v>0</v>
      </c>
      <c r="S25" s="20">
        <f>0.6*S2</f>
        <v>0</v>
      </c>
      <c r="V25" s="20">
        <f>0.3*V2</f>
        <v>0</v>
      </c>
      <c r="X25" s="20">
        <f>0.9*X2</f>
        <v>0</v>
      </c>
      <c r="Y25" s="20">
        <f>1*Y2</f>
        <v>0</v>
      </c>
      <c r="Z25" s="20">
        <f>0.6*Z2</f>
        <v>0</v>
      </c>
      <c r="AA25" s="20">
        <f>0.6*AA2</f>
        <v>0</v>
      </c>
      <c r="AB25" s="20">
        <f>0.6*AB2</f>
        <v>0</v>
      </c>
      <c r="AC25" s="20">
        <f>0.9*AC2</f>
        <v>0</v>
      </c>
      <c r="AD25" s="20">
        <f>0.9*AD2</f>
        <v>0</v>
      </c>
      <c r="AE25" s="20">
        <f>0.9*AE2</f>
        <v>0</v>
      </c>
      <c r="AF25" s="20">
        <f>0.24*AF2</f>
        <v>0</v>
      </c>
      <c r="AG25" s="20">
        <f>0.3*AG2</f>
        <v>0</v>
      </c>
      <c r="AH25" s="20">
        <f>0.24*AH2</f>
        <v>0</v>
      </c>
      <c r="AI25" s="20">
        <f>0.3*AI2</f>
        <v>0</v>
      </c>
      <c r="AJ25" s="20">
        <f>0.24*AJ2</f>
        <v>0</v>
      </c>
      <c r="AM25" s="20">
        <f>0.9*AM2</f>
        <v>0</v>
      </c>
      <c r="AN25" s="20">
        <f>0.6*AN2</f>
        <v>0</v>
      </c>
      <c r="AO25" s="20">
        <f>0.75*AO2</f>
        <v>0</v>
      </c>
      <c r="AQ25" s="20">
        <f>0.45*AQ2</f>
        <v>0</v>
      </c>
      <c r="AR25" s="20">
        <f>0.24*AR2</f>
        <v>0</v>
      </c>
      <c r="AS25" s="20">
        <f>0.6*AS2</f>
        <v>0</v>
      </c>
      <c r="AT25" s="20">
        <f>1*AT2</f>
        <v>0</v>
      </c>
      <c r="AU25" s="20">
        <f>1.3*AU2</f>
        <v>0</v>
      </c>
      <c r="AV25" s="20">
        <f>1.2*AV2</f>
        <v>0</v>
      </c>
      <c r="AW25" s="20">
        <f>0.9*AW2</f>
        <v>0</v>
      </c>
      <c r="AX25" s="20">
        <f>1*AX2</f>
        <v>0</v>
      </c>
      <c r="AY25" s="20">
        <f>1.2*AY2</f>
        <v>0</v>
      </c>
      <c r="AZ25" s="20">
        <f>0.9*AZ2</f>
        <v>0</v>
      </c>
      <c r="BA25" s="20">
        <f>0.9*BA2</f>
        <v>0</v>
      </c>
      <c r="BB25" s="20">
        <f>0.9*BB2</f>
        <v>0</v>
      </c>
      <c r="BC25" s="20">
        <f>0.9*BC2</f>
        <v>0</v>
      </c>
      <c r="BF25" s="20">
        <f>0.9*BF2</f>
        <v>0</v>
      </c>
      <c r="BG25" s="20">
        <f>0.9*BG2</f>
        <v>0</v>
      </c>
      <c r="BH25" s="20">
        <f>0.8*BH2</f>
        <v>0</v>
      </c>
      <c r="BI25" s="20">
        <f>0.9*BI2</f>
        <v>0</v>
      </c>
      <c r="BJ25" s="20">
        <f>0.6*BJ2</f>
        <v>0</v>
      </c>
      <c r="BK25" s="20">
        <f>0.9*BK2</f>
        <v>0</v>
      </c>
      <c r="BL25" s="20">
        <f>1*BL2</f>
        <v>0</v>
      </c>
      <c r="BM25" s="20">
        <f>0.3*BM2</f>
        <v>0</v>
      </c>
      <c r="BN25" s="20">
        <f>0.45*BN2</f>
        <v>0</v>
      </c>
      <c r="BO25" s="20">
        <f>1*BO2</f>
        <v>0</v>
      </c>
      <c r="BP25" s="20">
        <f>0.9*BP2</f>
        <v>0</v>
      </c>
      <c r="BQ25" s="20">
        <f>0.9*BQ2</f>
        <v>0</v>
      </c>
      <c r="BR25" s="20">
        <f>0.9*BR2</f>
        <v>0</v>
      </c>
      <c r="BS25" s="20">
        <f>0.45*BS2</f>
        <v>0</v>
      </c>
      <c r="BT25" s="20">
        <f>0.9*BT2</f>
        <v>0</v>
      </c>
      <c r="BU25" s="20">
        <f>0.9*BU2</f>
        <v>0</v>
      </c>
      <c r="BV25" s="20">
        <f>0.75*BV2</f>
        <v>0</v>
      </c>
      <c r="BW25" s="20">
        <f>0.75*BW2</f>
        <v>0</v>
      </c>
      <c r="BX25" s="20">
        <f>0.75*BX2</f>
        <v>0</v>
      </c>
      <c r="BY25" s="20">
        <f>0.75*BY2</f>
        <v>0</v>
      </c>
      <c r="BZ25" s="20">
        <f>0.6*BZ2</f>
        <v>0</v>
      </c>
      <c r="CA25" s="20">
        <f>1.2*CA2</f>
        <v>0</v>
      </c>
      <c r="CB25" s="20">
        <f>0.6*CB2</f>
        <v>0</v>
      </c>
      <c r="CD25" s="20">
        <f>0.22*CD2</f>
        <v>0</v>
      </c>
      <c r="CH25" s="20">
        <f>1.2*CH2</f>
        <v>0</v>
      </c>
      <c r="CI25" s="20">
        <f>0.32*CI2</f>
        <v>0</v>
      </c>
      <c r="CJ25" s="20">
        <f>0.34*CJ2</f>
        <v>0</v>
      </c>
      <c r="CK25" s="20">
        <f>0.55*CK2</f>
        <v>0</v>
      </c>
      <c r="CM25" s="20">
        <f>0.45*CM2</f>
        <v>0</v>
      </c>
      <c r="DD25" s="20">
        <f>0.3*DD2</f>
        <v>0</v>
      </c>
      <c r="DE25" s="20">
        <f>0.2*DE2</f>
        <v>0</v>
      </c>
      <c r="DF25" s="20">
        <f>0.6*DF2</f>
        <v>0</v>
      </c>
      <c r="DH25" s="20">
        <f>0.08*3*DH2</f>
        <v>0</v>
      </c>
      <c r="DI25" s="20">
        <f>0.9*DI2</f>
        <v>0</v>
      </c>
      <c r="DJ25" s="20">
        <f>0.9*DJ2</f>
        <v>0</v>
      </c>
      <c r="DK25" s="20">
        <f>0.9*DK2</f>
        <v>0</v>
      </c>
      <c r="DL25" s="20">
        <f>0.9*DL2</f>
        <v>0</v>
      </c>
      <c r="DM25" s="20">
        <f>1.26*DM2</f>
        <v>0</v>
      </c>
      <c r="DQ25" s="20">
        <f>0.2*DQ2</f>
        <v>0</v>
      </c>
      <c r="DR25" s="20">
        <f>0.45*DR2</f>
        <v>0</v>
      </c>
      <c r="DS25" s="20">
        <f>0.3*DS2</f>
        <v>0</v>
      </c>
      <c r="DT25" s="20">
        <f>0.2*DT2</f>
        <v>0</v>
      </c>
      <c r="DU25" s="20">
        <f>0.2*DU2</f>
        <v>0</v>
      </c>
      <c r="DV25" s="20">
        <f>0.45*DV2</f>
        <v>0</v>
      </c>
      <c r="DW25" s="20">
        <f>0.3*DW2</f>
        <v>0</v>
      </c>
      <c r="DX25" s="20">
        <f>0.2*DX2</f>
        <v>0</v>
      </c>
      <c r="DY25" s="20">
        <f>0.2*DY2</f>
        <v>0</v>
      </c>
      <c r="DZ25" s="20">
        <f>0.45*DZ2</f>
        <v>0</v>
      </c>
      <c r="EB25" s="20">
        <f>2.3*EB2</f>
        <v>0</v>
      </c>
      <c r="EE25" s="20">
        <f>0.5*EE2</f>
        <v>0</v>
      </c>
      <c r="EF25" s="20">
        <f>0.5*EF2</f>
        <v>0</v>
      </c>
      <c r="EG25" s="20">
        <f>0.5*EG2</f>
        <v>0</v>
      </c>
      <c r="EH25" s="20">
        <f>0.4*EH2</f>
        <v>0</v>
      </c>
      <c r="EI25" s="20">
        <f>0.4*EI2</f>
        <v>0</v>
      </c>
      <c r="EJ25" s="20">
        <f>0.4*EJ2</f>
        <v>0</v>
      </c>
      <c r="EK25" s="20">
        <f>2.3*EK2</f>
        <v>0</v>
      </c>
      <c r="EL25" s="20">
        <f>2.3*EL2</f>
        <v>0</v>
      </c>
      <c r="EM25" s="20">
        <f t="shared" ref="EM25:ER25" si="0">0.21*EM2</f>
        <v>0</v>
      </c>
      <c r="EN25" s="20">
        <f t="shared" si="0"/>
        <v>0</v>
      </c>
      <c r="EO25" s="20">
        <f t="shared" si="0"/>
        <v>0</v>
      </c>
      <c r="EP25" s="20">
        <f t="shared" si="0"/>
        <v>0</v>
      </c>
      <c r="EQ25" s="20">
        <f t="shared" si="0"/>
        <v>0</v>
      </c>
      <c r="ER25" s="20">
        <f t="shared" si="0"/>
        <v>0</v>
      </c>
      <c r="ES25" s="20">
        <f>0.9*ES2</f>
        <v>0</v>
      </c>
      <c r="ET25" s="20">
        <f>0.3*ET2</f>
        <v>0</v>
      </c>
      <c r="EU25" s="20">
        <f>0.6*EU2</f>
        <v>0</v>
      </c>
      <c r="EV25" s="20">
        <f>0.24*EV2</f>
        <v>0</v>
      </c>
      <c r="EW25" s="20">
        <f>0.3*EW2</f>
        <v>0</v>
      </c>
      <c r="EY25" s="20">
        <f>0.3*EY2</f>
        <v>0</v>
      </c>
      <c r="EZ25" s="20">
        <f>0.3*EZ2</f>
        <v>0</v>
      </c>
      <c r="FB25" s="20">
        <f>0.2*FB2</f>
        <v>0</v>
      </c>
      <c r="FC25" s="20">
        <f>0.1*FC2</f>
        <v>0</v>
      </c>
      <c r="FD25" s="20">
        <f>0.45*FD2</f>
        <v>0</v>
      </c>
      <c r="FE25" s="20">
        <f>0.45*FE2</f>
        <v>0</v>
      </c>
      <c r="FF25" s="20">
        <f>0.9*FF2</f>
        <v>0</v>
      </c>
    </row>
    <row r="26" spans="1:266" s="26" customFormat="1" ht="6" customHeight="1" thickBot="1" x14ac:dyDescent="0.3">
      <c r="A26" s="29"/>
      <c r="B26" s="29"/>
      <c r="C26" s="38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</row>
    <row r="27" spans="1:266" ht="15.75" customHeight="1" thickBot="1" x14ac:dyDescent="0.3">
      <c r="A27" s="10" t="s">
        <v>171</v>
      </c>
      <c r="B27" s="5" t="s">
        <v>155</v>
      </c>
      <c r="C27" s="36">
        <f>SUM(D27:ALK27)*1.05</f>
        <v>0</v>
      </c>
      <c r="F27" s="20">
        <f>0.015*F2</f>
        <v>0</v>
      </c>
      <c r="G27" s="20">
        <f>G11</f>
        <v>0</v>
      </c>
      <c r="H27" s="20">
        <f>0.0383*H2</f>
        <v>0</v>
      </c>
      <c r="I27" s="20">
        <f>I11</f>
        <v>0</v>
      </c>
      <c r="K27" s="20">
        <f>K11</f>
        <v>0</v>
      </c>
      <c r="L27" s="20">
        <f>L11</f>
        <v>0</v>
      </c>
      <c r="M27" s="20">
        <f>0.0073*M2</f>
        <v>0</v>
      </c>
      <c r="N27" s="20">
        <f>0.04*N2</f>
        <v>0</v>
      </c>
      <c r="O27" s="20">
        <f>O11</f>
        <v>0</v>
      </c>
      <c r="P27" s="20">
        <f>0.006*P2</f>
        <v>0</v>
      </c>
      <c r="Q27" s="20">
        <f>Q11</f>
        <v>0</v>
      </c>
      <c r="R27" s="20">
        <f>0.022*R2</f>
        <v>0</v>
      </c>
      <c r="S27" s="20">
        <f>S11</f>
        <v>0</v>
      </c>
      <c r="V27" s="20">
        <f>V11</f>
        <v>0</v>
      </c>
      <c r="X27" s="20">
        <f t="shared" ref="X27:AF27" si="1">X11</f>
        <v>0</v>
      </c>
      <c r="Y27" s="20">
        <f t="shared" si="1"/>
        <v>0</v>
      </c>
      <c r="Z27" s="20">
        <f t="shared" si="1"/>
        <v>0</v>
      </c>
      <c r="AA27" s="20">
        <f t="shared" si="1"/>
        <v>0</v>
      </c>
      <c r="AB27" s="20">
        <f t="shared" si="1"/>
        <v>0</v>
      </c>
      <c r="AC27" s="20">
        <f t="shared" si="1"/>
        <v>0</v>
      </c>
      <c r="AD27" s="20">
        <f t="shared" si="1"/>
        <v>0</v>
      </c>
      <c r="AE27" s="20">
        <f t="shared" si="1"/>
        <v>0</v>
      </c>
      <c r="AF27" s="20">
        <f t="shared" si="1"/>
        <v>0</v>
      </c>
      <c r="AG27" s="20">
        <f>0.0063*AG2</f>
        <v>0</v>
      </c>
      <c r="AH27" s="20">
        <f>AH11</f>
        <v>0</v>
      </c>
      <c r="AI27" s="20">
        <f>AI11</f>
        <v>0</v>
      </c>
      <c r="AJ27" s="20">
        <f>0.0063*AJ2</f>
        <v>0</v>
      </c>
      <c r="AM27" s="20">
        <f>AM11</f>
        <v>0</v>
      </c>
      <c r="AN27" s="20">
        <f>AN11</f>
        <v>0</v>
      </c>
      <c r="AO27" s="20">
        <f>AO11</f>
        <v>0</v>
      </c>
      <c r="AQ27" s="20">
        <f t="shared" ref="AQ27:AZ27" si="2">AQ11</f>
        <v>0</v>
      </c>
      <c r="AR27" s="20">
        <f t="shared" si="2"/>
        <v>0</v>
      </c>
      <c r="AS27" s="20">
        <f t="shared" si="2"/>
        <v>0</v>
      </c>
      <c r="AT27" s="20">
        <f t="shared" si="2"/>
        <v>0</v>
      </c>
      <c r="AU27" s="20">
        <f t="shared" si="2"/>
        <v>0</v>
      </c>
      <c r="AV27" s="20">
        <f t="shared" si="2"/>
        <v>0</v>
      </c>
      <c r="AW27" s="20">
        <f t="shared" si="2"/>
        <v>0</v>
      </c>
      <c r="AX27" s="20">
        <f t="shared" si="2"/>
        <v>0</v>
      </c>
      <c r="AY27" s="20">
        <f t="shared" si="2"/>
        <v>0</v>
      </c>
      <c r="AZ27" s="20">
        <f t="shared" si="2"/>
        <v>0</v>
      </c>
      <c r="BA27" s="20">
        <f>0.038*BA2</f>
        <v>0</v>
      </c>
      <c r="BB27" s="20">
        <f>BB11</f>
        <v>0</v>
      </c>
      <c r="BC27" s="20">
        <f>BC11</f>
        <v>0</v>
      </c>
      <c r="BD27" s="20">
        <f>BD11</f>
        <v>0</v>
      </c>
      <c r="BF27" s="20">
        <f>0.019*BF2</f>
        <v>0</v>
      </c>
      <c r="BG27" s="20">
        <f>BG11</f>
        <v>0</v>
      </c>
      <c r="BH27" s="20">
        <f>BH11</f>
        <v>0</v>
      </c>
      <c r="BI27" s="20">
        <f>0.025*BI2</f>
        <v>0</v>
      </c>
      <c r="BJ27" s="20">
        <f>0.012*BJ2</f>
        <v>0</v>
      </c>
      <c r="BK27" s="20">
        <f>BK11</f>
        <v>0</v>
      </c>
      <c r="BL27" s="20">
        <f>BL11</f>
        <v>0</v>
      </c>
      <c r="BM27" s="20">
        <f>BM11</f>
        <v>0</v>
      </c>
      <c r="BN27" s="20">
        <f>0.012*BN2</f>
        <v>0</v>
      </c>
      <c r="BO27" s="20">
        <f>BO11</f>
        <v>0</v>
      </c>
      <c r="BP27" s="20">
        <f>0.031*BP2</f>
        <v>0</v>
      </c>
      <c r="BQ27" s="20">
        <f>0.031*BQ2</f>
        <v>0</v>
      </c>
      <c r="BR27" s="20">
        <f>0.022*BR2</f>
        <v>0</v>
      </c>
      <c r="BS27" s="20">
        <f>0.01*BS2</f>
        <v>0</v>
      </c>
      <c r="BT27" s="20">
        <f>0.039*BT2</f>
        <v>0</v>
      </c>
      <c r="BU27" s="20">
        <f>BU11</f>
        <v>0</v>
      </c>
      <c r="BV27" s="20">
        <f>BV11</f>
        <v>0</v>
      </c>
      <c r="BW27" s="20">
        <f>0.034*BW2</f>
        <v>0</v>
      </c>
      <c r="BX27" s="20">
        <f>BX11</f>
        <v>0</v>
      </c>
      <c r="BY27" s="20">
        <f>0.037*BY2</f>
        <v>0</v>
      </c>
      <c r="BZ27" s="20">
        <f>BZ11</f>
        <v>0</v>
      </c>
      <c r="CA27" s="20">
        <f>CA11</f>
        <v>0</v>
      </c>
      <c r="CB27" s="20">
        <f>CB11</f>
        <v>0</v>
      </c>
      <c r="CD27" s="20">
        <f>CD11</f>
        <v>0</v>
      </c>
      <c r="CH27" s="20">
        <f>CH11</f>
        <v>0</v>
      </c>
      <c r="CI27" s="20">
        <f>CI11</f>
        <v>0</v>
      </c>
      <c r="CJ27" s="20">
        <f>CJ11</f>
        <v>0</v>
      </c>
      <c r="CK27" s="20">
        <f>CK11</f>
        <v>0</v>
      </c>
      <c r="CM27" s="20">
        <f>0.0047*CM2</f>
        <v>0</v>
      </c>
      <c r="DD27" s="20">
        <f>DD11</f>
        <v>0</v>
      </c>
      <c r="DE27" s="20">
        <f>DE28</f>
        <v>0</v>
      </c>
      <c r="DQ27" s="20">
        <f>DQ11</f>
        <v>0</v>
      </c>
      <c r="DR27" s="20">
        <f>0.036*DR2</f>
        <v>0</v>
      </c>
      <c r="EB27" s="20">
        <f>0.029*EB2</f>
        <v>0</v>
      </c>
      <c r="EE27" s="20">
        <f>0.0125*EE2</f>
        <v>0</v>
      </c>
      <c r="EF27" s="20">
        <f>0.01*EF2</f>
        <v>0</v>
      </c>
      <c r="EG27" s="20">
        <f>0.0125*EG2</f>
        <v>0</v>
      </c>
      <c r="EH27" s="20">
        <f>0.008*EH2</f>
        <v>0</v>
      </c>
      <c r="EI27" s="20">
        <f>0.008*EI2</f>
        <v>0</v>
      </c>
      <c r="EJ27" s="20">
        <f>0.008*EJ2</f>
        <v>0</v>
      </c>
      <c r="EK27" s="20">
        <f>0.025*EK2</f>
        <v>0</v>
      </c>
      <c r="EL27" s="20">
        <f>0.025*EL2</f>
        <v>0</v>
      </c>
      <c r="EM27" s="20">
        <f>0.0052*EM2</f>
        <v>0</v>
      </c>
      <c r="EN27" s="20">
        <f>0.0052*EN2</f>
        <v>0</v>
      </c>
      <c r="EO27" s="20">
        <f>0.005*EO2</f>
        <v>0</v>
      </c>
      <c r="EP27" s="20">
        <f>0.0052*EP2</f>
        <v>0</v>
      </c>
      <c r="EQ27" s="20">
        <f>0.0052*EQ2</f>
        <v>0</v>
      </c>
      <c r="ER27" s="20">
        <f>0.005*ER2</f>
        <v>0</v>
      </c>
      <c r="ES27" s="20">
        <f>0.031*ES2</f>
        <v>0</v>
      </c>
      <c r="ET27" s="20">
        <f>0.005*ET2</f>
        <v>0</v>
      </c>
      <c r="EU27" s="20">
        <f>EU11</f>
        <v>0</v>
      </c>
      <c r="EV27" s="20">
        <f>EV11</f>
        <v>0</v>
      </c>
      <c r="EW27" s="20">
        <f>EW11</f>
        <v>0</v>
      </c>
      <c r="EY27" s="20">
        <f>EY11</f>
        <v>0</v>
      </c>
      <c r="EZ27" s="20">
        <f>EZ11</f>
        <v>0</v>
      </c>
      <c r="FB27" s="20">
        <f>0.006*FB2</f>
        <v>0</v>
      </c>
      <c r="FC27" s="20">
        <f>0.003*FC2</f>
        <v>0</v>
      </c>
      <c r="FD27" s="20">
        <f>0.019*FD2</f>
        <v>0</v>
      </c>
      <c r="FE27" s="20">
        <f>0.015*FE2</f>
        <v>0</v>
      </c>
      <c r="FF27" s="20">
        <f>0.031*FF2</f>
        <v>0</v>
      </c>
      <c r="FI27" s="20">
        <f>FI28</f>
        <v>0</v>
      </c>
      <c r="FJ27" s="20">
        <f t="shared" ref="FJ27:FL27" si="3">FJ28</f>
        <v>0</v>
      </c>
      <c r="FK27" s="20">
        <f t="shared" si="3"/>
        <v>0</v>
      </c>
      <c r="FL27" s="20">
        <f t="shared" si="3"/>
        <v>0</v>
      </c>
    </row>
    <row r="28" spans="1:266" ht="30.75" customHeight="1" thickBot="1" x14ac:dyDescent="0.3">
      <c r="A28" s="10" t="s">
        <v>172</v>
      </c>
      <c r="B28" s="5" t="s">
        <v>155</v>
      </c>
      <c r="C28" s="36">
        <f>SUM(D28:ALK28)*1.05</f>
        <v>0</v>
      </c>
      <c r="F28" s="20">
        <f>0.015*F2</f>
        <v>0</v>
      </c>
      <c r="G28" s="20">
        <f>0.05*G2</f>
        <v>0</v>
      </c>
      <c r="H28" s="20">
        <f>0.05*H2</f>
        <v>0</v>
      </c>
      <c r="I28" s="20">
        <f>0.05*I2</f>
        <v>0</v>
      </c>
      <c r="K28" s="20">
        <f>0.05*K2</f>
        <v>0</v>
      </c>
      <c r="L28" s="20">
        <f>0.05*L2</f>
        <v>0</v>
      </c>
      <c r="M28" s="20">
        <f>0.0073*M2</f>
        <v>0</v>
      </c>
      <c r="N28" s="20">
        <f>0.04*N2</f>
        <v>0</v>
      </c>
      <c r="O28" s="20">
        <f>0.08*O2</f>
        <v>0</v>
      </c>
      <c r="P28" s="20">
        <f>0.006*P2</f>
        <v>0</v>
      </c>
      <c r="Q28" s="20">
        <f>0.05*Q2</f>
        <v>0</v>
      </c>
      <c r="R28" s="20">
        <f>0.022*R2</f>
        <v>0</v>
      </c>
      <c r="S28" s="20">
        <f>0.05*S2</f>
        <v>0</v>
      </c>
      <c r="V28" s="20">
        <f>0.05*V2</f>
        <v>0</v>
      </c>
      <c r="X28" s="20">
        <f>0.05*X2</f>
        <v>0</v>
      </c>
      <c r="Y28" s="20">
        <f>0.05*Y2</f>
        <v>0</v>
      </c>
      <c r="Z28" s="20">
        <f>0.05*Z2</f>
        <v>0</v>
      </c>
      <c r="AA28" s="20">
        <f>0.05*AA2</f>
        <v>0</v>
      </c>
      <c r="AB28" s="20">
        <f>0.05*AB2</f>
        <v>0</v>
      </c>
      <c r="AC28" s="20">
        <f>0.05*AC2</f>
        <v>0</v>
      </c>
      <c r="AD28" s="20">
        <f>0.05*AD2</f>
        <v>0</v>
      </c>
      <c r="AE28" s="20">
        <f>0.05*AE2</f>
        <v>0</v>
      </c>
      <c r="AF28" s="20">
        <f>0.05*AF2</f>
        <v>0</v>
      </c>
      <c r="AG28" s="20">
        <f>0.063*AG2</f>
        <v>0</v>
      </c>
      <c r="AH28" s="20">
        <f>0.05*AH2</f>
        <v>0</v>
      </c>
      <c r="AI28" s="20">
        <f>0.05*AI2</f>
        <v>0</v>
      </c>
      <c r="AJ28" s="20">
        <f>0.063*AJ2</f>
        <v>0</v>
      </c>
      <c r="AM28" s="20">
        <f>0.05*AM2</f>
        <v>0</v>
      </c>
      <c r="AN28" s="20">
        <f>0.05*AN2</f>
        <v>0</v>
      </c>
      <c r="AO28" s="20">
        <f>0.05*AO2</f>
        <v>0</v>
      </c>
      <c r="AP28" s="20">
        <f>0.05*AP2</f>
        <v>0</v>
      </c>
      <c r="AQ28" s="20">
        <f>0.05*AQ2</f>
        <v>0</v>
      </c>
      <c r="AR28" s="20">
        <f>0.05*AR2</f>
        <v>0</v>
      </c>
      <c r="AS28" s="20">
        <f>0.05*AS2</f>
        <v>0</v>
      </c>
      <c r="AT28" s="20">
        <f>0.05*AT2</f>
        <v>0</v>
      </c>
      <c r="AU28" s="20">
        <f>0.05*AU2</f>
        <v>0</v>
      </c>
      <c r="AV28" s="20">
        <f>0.05*AV2</f>
        <v>0</v>
      </c>
      <c r="AW28" s="20">
        <f>0.05*AW2</f>
        <v>0</v>
      </c>
      <c r="AX28" s="20">
        <f>0.05*AX2</f>
        <v>0</v>
      </c>
      <c r="AY28" s="20">
        <f>0.05*AY2</f>
        <v>0</v>
      </c>
      <c r="AZ28" s="20">
        <f>0.05*AZ2</f>
        <v>0</v>
      </c>
      <c r="BA28" s="20">
        <f>0.05*BA2</f>
        <v>0</v>
      </c>
      <c r="BB28" s="20">
        <f>0.05*BB2</f>
        <v>0</v>
      </c>
      <c r="BC28" s="20">
        <f>0.05*BC2</f>
        <v>0</v>
      </c>
      <c r="BE28" s="20">
        <f>0.05*BE2</f>
        <v>0</v>
      </c>
      <c r="BF28" s="20">
        <f>0.05*BF2</f>
        <v>0</v>
      </c>
      <c r="BG28" s="20">
        <f>0.05*BG2</f>
        <v>0</v>
      </c>
      <c r="BH28" s="20">
        <f>0.05*BH2</f>
        <v>0</v>
      </c>
      <c r="BI28" s="20">
        <f>0.05*BI2</f>
        <v>0</v>
      </c>
      <c r="BJ28" s="20">
        <f>0.05*BJ2</f>
        <v>0</v>
      </c>
      <c r="BK28" s="20">
        <f>0.05*BK2</f>
        <v>0</v>
      </c>
      <c r="BL28" s="20">
        <f>0.05*BL2</f>
        <v>0</v>
      </c>
      <c r="BM28" s="20">
        <f>BM11</f>
        <v>0</v>
      </c>
      <c r="BN28" s="20">
        <f>0.05*BN2</f>
        <v>0</v>
      </c>
      <c r="BO28" s="20">
        <f>0.05*BO2</f>
        <v>0</v>
      </c>
      <c r="BP28" s="20">
        <f>0.05*BP2</f>
        <v>0</v>
      </c>
      <c r="BQ28" s="20">
        <f>0.05*BQ2</f>
        <v>0</v>
      </c>
      <c r="BR28" s="20">
        <f>0.05*BR2</f>
        <v>0</v>
      </c>
      <c r="BS28" s="20">
        <f>0.05*BS2</f>
        <v>0</v>
      </c>
      <c r="BT28" s="20">
        <f>0.05*BT2</f>
        <v>0</v>
      </c>
      <c r="BU28" s="20">
        <f>0.05*BU2</f>
        <v>0</v>
      </c>
      <c r="BV28" s="20">
        <f>0.035*BV2</f>
        <v>0</v>
      </c>
      <c r="BW28" s="20">
        <f>0.034*BW2</f>
        <v>0</v>
      </c>
      <c r="BX28" s="20">
        <f>BX11</f>
        <v>0</v>
      </c>
      <c r="BY28" s="20">
        <f>0.05*BY2</f>
        <v>0</v>
      </c>
      <c r="BZ28" s="20">
        <f>0.05*BZ2</f>
        <v>0</v>
      </c>
      <c r="CA28" s="20">
        <f>0.05*CA2</f>
        <v>0</v>
      </c>
      <c r="CB28" s="20">
        <f>0.05*CB2</f>
        <v>0</v>
      </c>
      <c r="CD28" s="20">
        <f>0.05*CD2</f>
        <v>0</v>
      </c>
      <c r="CF28" s="20">
        <f>0.05*CF2</f>
        <v>0</v>
      </c>
      <c r="CG28" s="20">
        <f>0.05*CG2</f>
        <v>0</v>
      </c>
      <c r="CH28" s="20">
        <f>0.05*CH2</f>
        <v>0</v>
      </c>
      <c r="CI28" s="20">
        <f>0.05*CI2</f>
        <v>0</v>
      </c>
      <c r="CJ28" s="20">
        <f>0.05*CJ2</f>
        <v>0</v>
      </c>
      <c r="CK28" s="20">
        <f>0.05*CK2</f>
        <v>0</v>
      </c>
      <c r="CM28" s="20">
        <f>0.05*CM2</f>
        <v>0</v>
      </c>
      <c r="CX28" s="20">
        <f>0.05*CX2</f>
        <v>0</v>
      </c>
      <c r="DD28" s="20">
        <f>DD11</f>
        <v>0</v>
      </c>
      <c r="DE28" s="20">
        <f>0.006*DE2</f>
        <v>0</v>
      </c>
      <c r="DF28" s="20">
        <f>DF11</f>
        <v>0</v>
      </c>
      <c r="DG28" s="20">
        <f>0.009*DG2</f>
        <v>0</v>
      </c>
      <c r="DH28" s="20">
        <f>DH11</f>
        <v>0</v>
      </c>
      <c r="DI28" s="20">
        <f>DI11</f>
        <v>0</v>
      </c>
      <c r="DJ28" s="20">
        <f>DJ11</f>
        <v>0</v>
      </c>
      <c r="DK28" s="20">
        <f>DK11</f>
        <v>0</v>
      </c>
      <c r="DL28" s="20">
        <f>DL11</f>
        <v>0</v>
      </c>
      <c r="DM28" s="20">
        <f>DM11</f>
        <v>0</v>
      </c>
      <c r="DN28" s="20">
        <f>DN11</f>
        <v>0</v>
      </c>
      <c r="DQ28" s="20">
        <f>DQ11</f>
        <v>0</v>
      </c>
      <c r="DR28" s="20">
        <f>0.036*DR2</f>
        <v>0</v>
      </c>
      <c r="EB28" s="20">
        <f>0.029*EB2</f>
        <v>0</v>
      </c>
      <c r="EE28" s="20">
        <f>0.0125*EE2</f>
        <v>0</v>
      </c>
      <c r="EF28" s="20">
        <f>0.01*EF2</f>
        <v>0</v>
      </c>
      <c r="EG28" s="20">
        <f>0.0125*EG2</f>
        <v>0</v>
      </c>
      <c r="EH28" s="20">
        <f>0.008*EH2</f>
        <v>0</v>
      </c>
      <c r="EI28" s="20">
        <f>0.008*EI2</f>
        <v>0</v>
      </c>
      <c r="EJ28" s="20">
        <f>0.008*EJ2</f>
        <v>0</v>
      </c>
      <c r="EK28" s="20">
        <f>0.026*EK2</f>
        <v>0</v>
      </c>
      <c r="EL28" s="20">
        <f>0.026*EL2</f>
        <v>0</v>
      </c>
      <c r="EM28" s="20">
        <f>0.0052*EM2</f>
        <v>0</v>
      </c>
      <c r="EN28" s="20">
        <f>0.0052*EN2</f>
        <v>0</v>
      </c>
      <c r="EO28" s="20">
        <f>0.005*EO2</f>
        <v>0</v>
      </c>
      <c r="EP28" s="20">
        <f>0.0052*EP2</f>
        <v>0</v>
      </c>
      <c r="EQ28" s="20">
        <f>0.0052*EQ2</f>
        <v>0</v>
      </c>
      <c r="ER28" s="20">
        <f>0.005*ER2</f>
        <v>0</v>
      </c>
      <c r="ES28" s="20">
        <f>0.05*ES2</f>
        <v>0</v>
      </c>
      <c r="ET28" s="20">
        <f>0.05*ET2</f>
        <v>0</v>
      </c>
      <c r="EU28" s="20">
        <f>0.05*EU2</f>
        <v>0</v>
      </c>
      <c r="EV28" s="20">
        <f>0.05*EV2</f>
        <v>0</v>
      </c>
      <c r="EW28" s="20">
        <f>0.05*EW2</f>
        <v>0</v>
      </c>
      <c r="EY28" s="20">
        <f>0.05*EY2</f>
        <v>0</v>
      </c>
      <c r="EZ28" s="20">
        <f>0.05*EZ2</f>
        <v>0</v>
      </c>
      <c r="FB28" s="20">
        <f>0.006*FB2</f>
        <v>0</v>
      </c>
      <c r="FC28" s="20">
        <f>0.003*FC2</f>
        <v>0</v>
      </c>
      <c r="FD28" s="20">
        <f>FD11</f>
        <v>0</v>
      </c>
      <c r="FE28" s="20">
        <f>0.015*FE2</f>
        <v>0</v>
      </c>
      <c r="FF28" s="20">
        <f>0.031*FF2</f>
        <v>0</v>
      </c>
      <c r="FI28" s="20">
        <f>0.0011*FI2</f>
        <v>0</v>
      </c>
      <c r="FJ28" s="20">
        <f>0.00233*FJ2</f>
        <v>0</v>
      </c>
      <c r="FK28" s="20">
        <f>0.0011*FK2</f>
        <v>0</v>
      </c>
      <c r="FL28" s="20">
        <f>0.0011*FL2</f>
        <v>0</v>
      </c>
    </row>
    <row r="29" spans="1:266" ht="30.75" customHeight="1" thickBot="1" x14ac:dyDescent="0.3">
      <c r="A29" s="53" t="s">
        <v>156</v>
      </c>
      <c r="B29" s="53" t="s">
        <v>173</v>
      </c>
      <c r="C29" s="54">
        <f>SUM(D29:ALK29)</f>
        <v>0</v>
      </c>
      <c r="FI29" s="20">
        <f>0.136*FI2</f>
        <v>0</v>
      </c>
      <c r="FJ29" s="20">
        <f>0.236*FJ2</f>
        <v>0</v>
      </c>
      <c r="FK29" s="20">
        <f>0.136*FK2</f>
        <v>0</v>
      </c>
      <c r="FL29" s="20">
        <f>0.136*FL2</f>
        <v>0</v>
      </c>
    </row>
    <row r="30" spans="1:266" ht="30.75" customHeight="1" thickBot="1" x14ac:dyDescent="0.3">
      <c r="A30" s="10" t="s">
        <v>292</v>
      </c>
      <c r="B30" s="5" t="s">
        <v>155</v>
      </c>
      <c r="C30" s="36">
        <f>SUM(D30:ALK30)*1.05</f>
        <v>0</v>
      </c>
      <c r="EX30" s="20">
        <f>0.39*EX2</f>
        <v>0</v>
      </c>
      <c r="FA30" s="20">
        <f>0.195*FA2</f>
        <v>0</v>
      </c>
    </row>
    <row r="31" spans="1:266" s="55" customFormat="1" ht="30.75" customHeight="1" thickBot="1" x14ac:dyDescent="0.3">
      <c r="A31" s="53" t="s">
        <v>156</v>
      </c>
      <c r="B31" s="53" t="s">
        <v>173</v>
      </c>
      <c r="C31" s="54">
        <f>SUM(D31:ALK31)</f>
        <v>0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0"/>
      <c r="EW31" s="50"/>
      <c r="EX31" s="50">
        <f>2.9*EX2</f>
        <v>0</v>
      </c>
      <c r="EY31" s="50"/>
      <c r="EZ31" s="50"/>
      <c r="FA31" s="50">
        <f>1.6*FA2</f>
        <v>0</v>
      </c>
      <c r="FB31" s="50"/>
      <c r="FC31" s="50"/>
      <c r="FD31" s="50"/>
      <c r="FE31" s="50"/>
      <c r="FF31" s="50"/>
      <c r="FG31" s="50"/>
      <c r="FH31" s="50"/>
      <c r="FI31" s="50"/>
      <c r="FJ31" s="50"/>
      <c r="FK31" s="50"/>
      <c r="FL31" s="50"/>
      <c r="FM31" s="50"/>
      <c r="FN31" s="50"/>
      <c r="FO31" s="50"/>
      <c r="FP31" s="50"/>
      <c r="FQ31" s="50"/>
      <c r="FR31" s="50"/>
      <c r="FS31" s="50"/>
      <c r="FT31" s="50"/>
      <c r="FU31" s="50"/>
      <c r="FV31" s="50"/>
      <c r="FW31" s="50"/>
      <c r="FX31" s="50"/>
      <c r="FY31" s="50"/>
      <c r="FZ31" s="50"/>
      <c r="GA31" s="50"/>
      <c r="GB31" s="50"/>
      <c r="GC31" s="50"/>
      <c r="GD31" s="50"/>
      <c r="GE31" s="50"/>
      <c r="GF31" s="50"/>
      <c r="GG31" s="50"/>
      <c r="GH31" s="50"/>
      <c r="GI31" s="50"/>
      <c r="GJ31" s="50"/>
      <c r="GK31" s="50"/>
      <c r="GL31" s="50"/>
      <c r="GM31" s="50"/>
      <c r="GN31" s="50"/>
      <c r="GO31" s="50"/>
      <c r="GP31" s="50"/>
      <c r="GQ31" s="50"/>
      <c r="GR31" s="50"/>
      <c r="GS31" s="50"/>
      <c r="GT31" s="50"/>
      <c r="GU31" s="50"/>
      <c r="GV31" s="50"/>
      <c r="GW31" s="50"/>
      <c r="GX31" s="50"/>
      <c r="GY31" s="50"/>
      <c r="GZ31" s="50"/>
      <c r="HA31" s="50"/>
      <c r="HB31" s="50"/>
      <c r="HC31" s="50"/>
      <c r="HD31" s="50"/>
      <c r="HE31" s="50"/>
      <c r="HF31" s="50"/>
      <c r="HG31" s="50"/>
      <c r="HH31" s="50"/>
      <c r="HI31" s="50"/>
      <c r="HJ31" s="50"/>
      <c r="HK31" s="50"/>
      <c r="HL31" s="50"/>
      <c r="HM31" s="50"/>
      <c r="HN31" s="50"/>
      <c r="HO31" s="50"/>
      <c r="HP31" s="50"/>
      <c r="HQ31" s="50"/>
      <c r="HR31" s="50"/>
      <c r="HS31" s="50"/>
      <c r="HT31" s="50"/>
      <c r="HU31" s="50"/>
      <c r="HV31" s="50"/>
      <c r="HW31" s="50"/>
      <c r="HX31" s="50"/>
      <c r="HY31" s="50"/>
      <c r="HZ31" s="50"/>
      <c r="IA31" s="50"/>
      <c r="IB31" s="50"/>
      <c r="IC31" s="50"/>
      <c r="ID31" s="50"/>
      <c r="IE31" s="50"/>
      <c r="IF31" s="50"/>
      <c r="IG31" s="50"/>
      <c r="IH31" s="50"/>
      <c r="II31" s="50"/>
      <c r="IJ31" s="50"/>
      <c r="IK31" s="50"/>
      <c r="IL31" s="50"/>
      <c r="IM31" s="50"/>
      <c r="IN31" s="50"/>
      <c r="IO31" s="50"/>
      <c r="IP31" s="50"/>
      <c r="IQ31" s="50"/>
      <c r="IR31" s="50"/>
      <c r="IS31" s="50"/>
      <c r="IT31" s="50"/>
      <c r="IU31" s="50"/>
      <c r="IV31" s="50"/>
      <c r="IW31" s="50"/>
      <c r="IX31" s="50"/>
      <c r="IY31" s="50"/>
      <c r="IZ31" s="50"/>
      <c r="JA31" s="50"/>
      <c r="JB31" s="50"/>
      <c r="JC31" s="50"/>
      <c r="JD31" s="50"/>
      <c r="JE31" s="50"/>
      <c r="JF31" s="50"/>
    </row>
    <row r="32" spans="1:266" ht="15.75" customHeight="1" thickBot="1" x14ac:dyDescent="0.3">
      <c r="A32" s="10" t="s">
        <v>174</v>
      </c>
      <c r="B32" s="5" t="s">
        <v>155</v>
      </c>
      <c r="C32" s="36">
        <f>SUM(D32:ALK32)*1.1</f>
        <v>0</v>
      </c>
      <c r="J32" s="20">
        <f>0.045*J2</f>
        <v>0</v>
      </c>
    </row>
    <row r="33" spans="1:266" s="55" customFormat="1" ht="30.75" customHeight="1" thickBot="1" x14ac:dyDescent="0.3">
      <c r="A33" s="53" t="s">
        <v>156</v>
      </c>
      <c r="B33" s="53" t="s">
        <v>173</v>
      </c>
      <c r="C33" s="54">
        <f>SUM(D33:ALK33)</f>
        <v>0</v>
      </c>
      <c r="D33" s="50"/>
      <c r="E33" s="50"/>
      <c r="F33" s="50"/>
      <c r="G33" s="50"/>
      <c r="H33" s="50"/>
      <c r="I33" s="50"/>
      <c r="J33" s="50">
        <f>0.86*J2</f>
        <v>0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>
        <f>1.6*FA4</f>
        <v>0</v>
      </c>
      <c r="FB33" s="50"/>
      <c r="FC33" s="50"/>
      <c r="FD33" s="50"/>
      <c r="FE33" s="50"/>
      <c r="FF33" s="50"/>
      <c r="FG33" s="50"/>
      <c r="FH33" s="50"/>
      <c r="FI33" s="50"/>
      <c r="FJ33" s="50"/>
      <c r="FK33" s="50"/>
      <c r="FL33" s="50"/>
      <c r="FM33" s="50"/>
      <c r="FN33" s="50"/>
      <c r="FO33" s="50"/>
      <c r="FP33" s="50"/>
      <c r="FQ33" s="50"/>
      <c r="FR33" s="50"/>
      <c r="FS33" s="50"/>
      <c r="FT33" s="50"/>
      <c r="FU33" s="50"/>
      <c r="FV33" s="50"/>
      <c r="FW33" s="50"/>
      <c r="FX33" s="50"/>
      <c r="FY33" s="50"/>
      <c r="FZ33" s="50"/>
      <c r="GA33" s="50"/>
      <c r="GB33" s="50"/>
      <c r="GC33" s="50"/>
      <c r="GD33" s="50"/>
      <c r="GE33" s="50"/>
      <c r="GF33" s="50"/>
      <c r="GG33" s="50"/>
      <c r="GH33" s="50"/>
      <c r="GI33" s="50"/>
      <c r="GJ33" s="50"/>
      <c r="GK33" s="50"/>
      <c r="GL33" s="50"/>
      <c r="GM33" s="50"/>
      <c r="GN33" s="50"/>
      <c r="GO33" s="50"/>
      <c r="GP33" s="50"/>
      <c r="GQ33" s="50"/>
      <c r="GR33" s="50"/>
      <c r="GS33" s="50"/>
      <c r="GT33" s="50"/>
      <c r="GU33" s="50"/>
      <c r="GV33" s="50"/>
      <c r="GW33" s="50"/>
      <c r="GX33" s="50"/>
      <c r="GY33" s="50"/>
      <c r="GZ33" s="50"/>
      <c r="HA33" s="50"/>
      <c r="HB33" s="50"/>
      <c r="HC33" s="50"/>
      <c r="HD33" s="50"/>
      <c r="HE33" s="50"/>
      <c r="HF33" s="50"/>
      <c r="HG33" s="50"/>
      <c r="HH33" s="50"/>
      <c r="HI33" s="50"/>
      <c r="HJ33" s="50"/>
      <c r="HK33" s="50"/>
      <c r="HL33" s="50"/>
      <c r="HM33" s="50"/>
      <c r="HN33" s="50"/>
      <c r="HO33" s="50"/>
      <c r="HP33" s="50"/>
      <c r="HQ33" s="50"/>
      <c r="HR33" s="50"/>
      <c r="HS33" s="50"/>
      <c r="HT33" s="50"/>
      <c r="HU33" s="50"/>
      <c r="HV33" s="50"/>
      <c r="HW33" s="50"/>
      <c r="HX33" s="50"/>
      <c r="HY33" s="50"/>
      <c r="HZ33" s="50"/>
      <c r="IA33" s="50"/>
      <c r="IB33" s="50"/>
      <c r="IC33" s="50"/>
      <c r="ID33" s="50"/>
      <c r="IE33" s="50"/>
      <c r="IF33" s="50"/>
      <c r="IG33" s="50"/>
      <c r="IH33" s="50"/>
      <c r="II33" s="50"/>
      <c r="IJ33" s="50"/>
      <c r="IK33" s="50"/>
      <c r="IL33" s="50"/>
      <c r="IM33" s="50"/>
      <c r="IN33" s="50"/>
      <c r="IO33" s="50"/>
      <c r="IP33" s="50"/>
      <c r="IQ33" s="50"/>
      <c r="IR33" s="50"/>
      <c r="IS33" s="50"/>
      <c r="IT33" s="50"/>
      <c r="IU33" s="50"/>
      <c r="IV33" s="50"/>
      <c r="IW33" s="50"/>
      <c r="IX33" s="50"/>
      <c r="IY33" s="50"/>
      <c r="IZ33" s="50"/>
      <c r="JA33" s="50"/>
      <c r="JB33" s="50"/>
      <c r="JC33" s="50"/>
      <c r="JD33" s="50"/>
      <c r="JE33" s="50"/>
      <c r="JF33" s="50"/>
    </row>
    <row r="34" spans="1:266" ht="30.75" customHeight="1" thickBot="1" x14ac:dyDescent="0.3">
      <c r="A34" s="10" t="s">
        <v>175</v>
      </c>
      <c r="B34" s="5" t="s">
        <v>155</v>
      </c>
      <c r="C34" s="36">
        <f>SUM(D34:ALK34)*1.1</f>
        <v>0</v>
      </c>
      <c r="AL34" s="20">
        <f>0.032*AL2</f>
        <v>0</v>
      </c>
      <c r="CC34" s="20">
        <f>0.13*CC2</f>
        <v>0</v>
      </c>
      <c r="CL34" s="20">
        <f>0.031*CL2</f>
        <v>0</v>
      </c>
      <c r="CN34" s="20">
        <f>0.022*CN2</f>
        <v>0</v>
      </c>
      <c r="CO34" s="20">
        <f>CO11</f>
        <v>0</v>
      </c>
      <c r="CP34" s="20">
        <f>0.037*CP2</f>
        <v>0</v>
      </c>
      <c r="CQ34" s="20">
        <f>CQ11</f>
        <v>0</v>
      </c>
      <c r="CR34" s="20">
        <f>CR11</f>
        <v>0</v>
      </c>
      <c r="CS34" s="20">
        <f>CS11</f>
        <v>0</v>
      </c>
      <c r="CT34" s="20">
        <f>CT11</f>
        <v>0</v>
      </c>
      <c r="CU34" s="20">
        <f>CU11</f>
        <v>0</v>
      </c>
      <c r="CV34" s="20">
        <f>0.036*CV2</f>
        <v>0</v>
      </c>
      <c r="CW34" s="20">
        <f>CW11</f>
        <v>0</v>
      </c>
      <c r="CX34" s="20">
        <f>0.45*CX2</f>
        <v>0</v>
      </c>
      <c r="DA34" s="20">
        <f>0.01*DA2</f>
        <v>0</v>
      </c>
      <c r="DP34" s="20">
        <f>0.028*DP2</f>
        <v>0</v>
      </c>
      <c r="DS34" s="20">
        <f>DS11</f>
        <v>0</v>
      </c>
      <c r="DT34" s="20">
        <f>DT11</f>
        <v>0</v>
      </c>
      <c r="DU34" s="20">
        <f>DU11</f>
        <v>0</v>
      </c>
      <c r="DV34" s="20">
        <f>DV11</f>
        <v>0</v>
      </c>
      <c r="DW34" s="20">
        <f>DW11</f>
        <v>0</v>
      </c>
      <c r="DX34" s="20">
        <f>DX11</f>
        <v>0</v>
      </c>
      <c r="DY34" s="20">
        <f>DY11</f>
        <v>0</v>
      </c>
      <c r="DZ34" s="20">
        <f>DZ11</f>
        <v>0</v>
      </c>
      <c r="EX34" s="20">
        <f>0.39*EX2</f>
        <v>0</v>
      </c>
      <c r="FA34" s="20">
        <f>0.195*FA2</f>
        <v>0</v>
      </c>
    </row>
    <row r="35" spans="1:266" s="26" customFormat="1" ht="4.5" customHeight="1" thickBot="1" x14ac:dyDescent="0.3">
      <c r="A35" s="29"/>
      <c r="B35" s="29"/>
      <c r="C35" s="38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</row>
    <row r="36" spans="1:266" ht="15.75" customHeight="1" thickBot="1" x14ac:dyDescent="0.3">
      <c r="A36" s="10" t="s">
        <v>176</v>
      </c>
      <c r="B36" s="5" t="s">
        <v>177</v>
      </c>
      <c r="C36" s="36">
        <f>SUM(D36:ALK36)</f>
        <v>0</v>
      </c>
      <c r="CB36" s="20">
        <f>8*CB2</f>
        <v>0</v>
      </c>
      <c r="DN36" s="20">
        <f>8*DN2</f>
        <v>0</v>
      </c>
    </row>
    <row r="37" spans="1:266" ht="15.75" customHeight="1" thickBot="1" x14ac:dyDescent="0.3">
      <c r="A37" s="10" t="s">
        <v>178</v>
      </c>
      <c r="B37" s="5" t="s">
        <v>177</v>
      </c>
      <c r="C37" s="36">
        <f>SUM(D37:ALK37)</f>
        <v>0</v>
      </c>
      <c r="DA37" s="20">
        <f>2*DA2</f>
        <v>0</v>
      </c>
    </row>
    <row r="38" spans="1:266" ht="15.75" customHeight="1" thickBot="1" x14ac:dyDescent="0.3">
      <c r="A38" s="10" t="s">
        <v>299</v>
      </c>
      <c r="B38" s="5" t="s">
        <v>300</v>
      </c>
      <c r="C38" s="36">
        <f>SUM(D38:ALK38)</f>
        <v>0</v>
      </c>
      <c r="FD38" s="20">
        <f>0.2*FD2</f>
        <v>0</v>
      </c>
      <c r="FE38" s="20">
        <f>0.1*FE2</f>
        <v>0</v>
      </c>
      <c r="FF38" s="20">
        <f>0.1*FF2</f>
        <v>0</v>
      </c>
    </row>
    <row r="39" spans="1:266" ht="45" customHeight="1" x14ac:dyDescent="0.25">
      <c r="A39" s="10" t="s">
        <v>179</v>
      </c>
      <c r="B39" s="5" t="s">
        <v>177</v>
      </c>
      <c r="C39" s="36">
        <f>SUM(D39:ALK39)</f>
        <v>0</v>
      </c>
      <c r="CB39" s="20">
        <f>1*CB2</f>
        <v>0</v>
      </c>
      <c r="DN39" s="20">
        <f>1*DN2</f>
        <v>0</v>
      </c>
    </row>
    <row r="40" spans="1:266" s="26" customFormat="1" ht="5.25" customHeight="1" thickBot="1" x14ac:dyDescent="0.3">
      <c r="A40" s="29"/>
      <c r="B40" s="29"/>
      <c r="C40" s="39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</row>
    <row r="41" spans="1:266" ht="15.75" customHeight="1" thickBot="1" x14ac:dyDescent="0.3">
      <c r="A41" s="10" t="s">
        <v>180</v>
      </c>
      <c r="B41" s="5" t="s">
        <v>155</v>
      </c>
      <c r="C41" s="36">
        <f>SUM(D41:ALK41)*1.1</f>
        <v>0</v>
      </c>
      <c r="CX41" s="20">
        <f>2*CX2</f>
        <v>0</v>
      </c>
    </row>
    <row r="42" spans="1:266" ht="30" customHeight="1" x14ac:dyDescent="0.25">
      <c r="A42" s="10" t="s">
        <v>181</v>
      </c>
      <c r="B42" s="5" t="s">
        <v>177</v>
      </c>
      <c r="C42" s="36">
        <f>SUM(D42:ALK42)*1.1</f>
        <v>0</v>
      </c>
      <c r="CX42" s="20">
        <f>1*CX2</f>
        <v>0</v>
      </c>
    </row>
    <row r="43" spans="1:266" s="26" customFormat="1" ht="4.5" customHeight="1" thickBot="1" x14ac:dyDescent="0.3">
      <c r="A43" s="29"/>
      <c r="B43" s="29"/>
      <c r="C43" s="4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</row>
    <row r="44" spans="1:266" s="32" customFormat="1" ht="30" customHeight="1" thickBot="1" x14ac:dyDescent="0.3">
      <c r="A44" s="47" t="s">
        <v>182</v>
      </c>
      <c r="B44" s="47" t="s">
        <v>183</v>
      </c>
      <c r="C44" s="37">
        <f>SUM(D44:ALK44)</f>
        <v>0</v>
      </c>
      <c r="D44" s="33"/>
      <c r="E44" s="33"/>
      <c r="F44" s="33"/>
      <c r="G44" s="33"/>
      <c r="H44" s="33">
        <f>0.031*H2</f>
        <v>0</v>
      </c>
      <c r="I44" s="33">
        <f>0.007*I2</f>
        <v>0</v>
      </c>
      <c r="J44" s="33">
        <f>0.045*J2</f>
        <v>0</v>
      </c>
      <c r="K44" s="33"/>
      <c r="L44" s="33"/>
      <c r="M44" s="33">
        <f>0.002*M2</f>
        <v>0</v>
      </c>
      <c r="N44" s="33"/>
      <c r="O44" s="33">
        <f>0.006*O2</f>
        <v>0</v>
      </c>
      <c r="P44" s="33">
        <f>0.006*P2</f>
        <v>0</v>
      </c>
      <c r="Q44" s="33"/>
      <c r="R44" s="33">
        <f>0.066*R2</f>
        <v>0</v>
      </c>
      <c r="S44" s="33"/>
      <c r="T44" s="33"/>
      <c r="U44" s="33"/>
      <c r="V44" s="33">
        <f>0.006*V2</f>
        <v>0</v>
      </c>
      <c r="W44" s="33"/>
      <c r="X44" s="33"/>
      <c r="Y44" s="33">
        <f>0.013*Y2</f>
        <v>0</v>
      </c>
      <c r="Z44" s="33"/>
      <c r="AA44" s="33"/>
      <c r="AB44" s="33"/>
      <c r="AC44" s="33"/>
      <c r="AD44" s="33"/>
      <c r="AE44" s="33"/>
      <c r="AF44" s="33"/>
      <c r="AG44" s="33">
        <f>0.005*AG2</f>
        <v>0</v>
      </c>
      <c r="AH44" s="33">
        <f>0.002*AH2</f>
        <v>0</v>
      </c>
      <c r="AI44" s="33"/>
      <c r="AJ44" s="33"/>
      <c r="AK44" s="33"/>
      <c r="AL44" s="33">
        <f>0.032*AL2</f>
        <v>0</v>
      </c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>
        <f>0.019*BA2</f>
        <v>0</v>
      </c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>
        <f>0.003*BM2</f>
        <v>0</v>
      </c>
      <c r="BN44" s="33"/>
      <c r="BO44" s="33"/>
      <c r="BP44" s="33"/>
      <c r="BQ44" s="33"/>
      <c r="BR44" s="33">
        <f>0.01*BR2</f>
        <v>0</v>
      </c>
      <c r="BS44" s="33"/>
      <c r="BT44" s="33"/>
      <c r="BU44" s="33"/>
      <c r="BV44" s="33">
        <f>0.018*BV2</f>
        <v>0</v>
      </c>
      <c r="BW44" s="33">
        <f>0.018*BW2</f>
        <v>0</v>
      </c>
      <c r="BX44" s="33"/>
      <c r="BY44" s="33"/>
      <c r="BZ44" s="33"/>
      <c r="CA44" s="33"/>
      <c r="CB44" s="33"/>
      <c r="CC44" s="33"/>
      <c r="CD44" s="33">
        <f>0.004*CD2</f>
        <v>0</v>
      </c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>
        <f>0.037*CP2</f>
        <v>0</v>
      </c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>
        <f>0.006*DE2</f>
        <v>0</v>
      </c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>
        <f>0.036*DR2</f>
        <v>0</v>
      </c>
      <c r="DS44" s="33"/>
      <c r="DT44" s="33"/>
      <c r="DU44" s="33"/>
      <c r="DV44" s="33"/>
      <c r="DW44" s="33"/>
      <c r="DX44" s="33"/>
      <c r="DY44" s="33"/>
      <c r="DZ44" s="33"/>
      <c r="EA44" s="33"/>
      <c r="EB44" s="33">
        <f>0.025*EB2</f>
        <v>0</v>
      </c>
      <c r="EC44" s="33"/>
      <c r="ED44" s="33"/>
      <c r="EE44" s="33">
        <f>0.001*EE2</f>
        <v>0</v>
      </c>
      <c r="EF44" s="33"/>
      <c r="EG44" s="33"/>
      <c r="EH44" s="33">
        <f>0.001*EH2</f>
        <v>0</v>
      </c>
      <c r="EI44" s="33"/>
      <c r="EJ44" s="33"/>
      <c r="EK44" s="33"/>
      <c r="EL44" s="33"/>
      <c r="EM44" s="33">
        <f>0.002*EM2</f>
        <v>0</v>
      </c>
      <c r="EN44" s="33"/>
      <c r="EO44" s="33"/>
      <c r="EP44" s="33">
        <f>0.003*EP2</f>
        <v>0</v>
      </c>
      <c r="EQ44" s="33"/>
      <c r="ER44" s="33"/>
      <c r="ES44" s="33"/>
      <c r="ET44" s="33"/>
      <c r="EU44" s="33"/>
      <c r="EV44" s="33"/>
      <c r="EW44" s="33"/>
      <c r="EX44" s="33">
        <f>0.39*EX2</f>
        <v>0</v>
      </c>
      <c r="EY44" s="33"/>
      <c r="EZ44" s="33"/>
      <c r="FA44" s="33">
        <f>0.12*FA2</f>
        <v>0</v>
      </c>
      <c r="FB44" s="33">
        <f>0.006*FB2</f>
        <v>0</v>
      </c>
      <c r="FC44" s="33">
        <f>0.003*FC2</f>
        <v>0</v>
      </c>
      <c r="FD44" s="33">
        <f>0.016*FD2</f>
        <v>0</v>
      </c>
      <c r="FE44" s="33">
        <f>0.02*FE2</f>
        <v>0</v>
      </c>
      <c r="FF44" s="33">
        <f>0.036*FF2</f>
        <v>0</v>
      </c>
      <c r="FG44" s="33"/>
      <c r="FH44" s="33"/>
      <c r="FI44" s="33">
        <f>0.001*FI2</f>
        <v>0</v>
      </c>
      <c r="FJ44" s="33">
        <f>0.002*FJ2</f>
        <v>0</v>
      </c>
      <c r="FK44" s="33">
        <f>0.001*FK2</f>
        <v>0</v>
      </c>
      <c r="FL44" s="33">
        <f>0.001*FL2</f>
        <v>0</v>
      </c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</row>
    <row r="45" spans="1:266" s="32" customFormat="1" ht="30" customHeight="1" thickBot="1" x14ac:dyDescent="0.3">
      <c r="A45" s="47" t="s">
        <v>182</v>
      </c>
      <c r="B45" s="47" t="s">
        <v>184</v>
      </c>
      <c r="C45" s="37">
        <f>SUM(D45:ALK45)</f>
        <v>0</v>
      </c>
      <c r="D45" s="33"/>
      <c r="E45" s="33"/>
      <c r="F45" s="33"/>
      <c r="G45" s="33"/>
      <c r="H45" s="33">
        <f>0.031*H2</f>
        <v>0</v>
      </c>
      <c r="I45" s="33">
        <f>0.007*I2</f>
        <v>0</v>
      </c>
      <c r="J45" s="33">
        <f>0.045*J2</f>
        <v>0</v>
      </c>
      <c r="K45" s="33"/>
      <c r="L45" s="33"/>
      <c r="M45" s="33">
        <f>0.002*M2</f>
        <v>0</v>
      </c>
      <c r="N45" s="33"/>
      <c r="O45" s="33">
        <f>0.006*O2</f>
        <v>0</v>
      </c>
      <c r="P45" s="33">
        <f>0.006*P2</f>
        <v>0</v>
      </c>
      <c r="Q45" s="33"/>
      <c r="R45" s="33">
        <f>0.066*R2</f>
        <v>0</v>
      </c>
      <c r="S45" s="33"/>
      <c r="T45" s="33"/>
      <c r="U45" s="33"/>
      <c r="V45" s="33">
        <f>0.006*V2</f>
        <v>0</v>
      </c>
      <c r="W45" s="33"/>
      <c r="X45" s="33"/>
      <c r="Y45" s="33">
        <f>0.013*Y2</f>
        <v>0</v>
      </c>
      <c r="Z45" s="33"/>
      <c r="AA45" s="33"/>
      <c r="AB45" s="33"/>
      <c r="AC45" s="33"/>
      <c r="AD45" s="33"/>
      <c r="AE45" s="33"/>
      <c r="AF45" s="33"/>
      <c r="AG45" s="33">
        <f>0.005*AG2</f>
        <v>0</v>
      </c>
      <c r="AH45" s="33">
        <f>0.002*AH2</f>
        <v>0</v>
      </c>
      <c r="AI45" s="33"/>
      <c r="AJ45" s="33"/>
      <c r="AK45" s="33"/>
      <c r="AL45" s="33">
        <f>0.032*AL2</f>
        <v>0</v>
      </c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>
        <f>0.019*BA2</f>
        <v>0</v>
      </c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>
        <f>0.003*BM2</f>
        <v>0</v>
      </c>
      <c r="BN45" s="33"/>
      <c r="BO45" s="33"/>
      <c r="BP45" s="33"/>
      <c r="BQ45" s="33"/>
      <c r="BR45" s="33">
        <f>0.01*BR2</f>
        <v>0</v>
      </c>
      <c r="BS45" s="33"/>
      <c r="BT45" s="33"/>
      <c r="BU45" s="33"/>
      <c r="BV45" s="33">
        <f>0.018*BV2</f>
        <v>0</v>
      </c>
      <c r="BW45" s="33">
        <f>0.018*BW2</f>
        <v>0</v>
      </c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>
        <f>0.037*CP2</f>
        <v>0</v>
      </c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>
        <f>0.006*DE2</f>
        <v>0</v>
      </c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>
        <f>0.036*DR2</f>
        <v>0</v>
      </c>
      <c r="DS45" s="33"/>
      <c r="DT45" s="33"/>
      <c r="DU45" s="33"/>
      <c r="DV45" s="33"/>
      <c r="DW45" s="33"/>
      <c r="DX45" s="33"/>
      <c r="DY45" s="33"/>
      <c r="DZ45" s="33"/>
      <c r="EA45" s="33"/>
      <c r="EB45" s="33">
        <f>0.025*EB2</f>
        <v>0</v>
      </c>
      <c r="EC45" s="33"/>
      <c r="ED45" s="33"/>
      <c r="EE45" s="33">
        <f>0.001*EE2</f>
        <v>0</v>
      </c>
      <c r="EF45" s="33"/>
      <c r="EG45" s="33"/>
      <c r="EH45" s="33"/>
      <c r="EI45" s="33"/>
      <c r="EJ45" s="33"/>
      <c r="EK45" s="33"/>
      <c r="EL45" s="33"/>
      <c r="EM45" s="33">
        <f>0.002*EM2</f>
        <v>0</v>
      </c>
      <c r="EN45" s="33"/>
      <c r="EO45" s="33"/>
      <c r="EP45" s="33">
        <f>0.003*EP2</f>
        <v>0</v>
      </c>
      <c r="EQ45" s="33"/>
      <c r="ER45" s="33"/>
      <c r="ES45" s="33"/>
      <c r="ET45" s="33"/>
      <c r="EU45" s="33"/>
      <c r="EV45" s="33"/>
      <c r="EW45" s="33"/>
      <c r="EX45" s="33">
        <f>0.39*EX2</f>
        <v>0</v>
      </c>
      <c r="EY45" s="33"/>
      <c r="EZ45" s="33"/>
      <c r="FA45" s="33"/>
      <c r="FB45" s="33">
        <f>0.006*FB2</f>
        <v>0</v>
      </c>
      <c r="FC45" s="33">
        <f>0.003*FC2</f>
        <v>0</v>
      </c>
      <c r="FD45" s="33">
        <f>0.016*FD2</f>
        <v>0</v>
      </c>
      <c r="FE45" s="33">
        <f>FE44</f>
        <v>0</v>
      </c>
      <c r="FF45" s="33">
        <f>FF44</f>
        <v>0</v>
      </c>
      <c r="FG45" s="33"/>
      <c r="FH45" s="33"/>
      <c r="FI45" s="33">
        <f>0.001*FI2</f>
        <v>0</v>
      </c>
      <c r="FJ45" s="33">
        <f>0.002*FJ2</f>
        <v>0</v>
      </c>
      <c r="FK45" s="33">
        <f>0.001*FK2</f>
        <v>0</v>
      </c>
      <c r="FL45" s="33">
        <f>0.001*FL2</f>
        <v>0</v>
      </c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</row>
    <row r="46" spans="1:266" ht="30" customHeight="1" x14ac:dyDescent="0.25">
      <c r="A46" s="47" t="s">
        <v>182</v>
      </c>
      <c r="B46" s="47" t="s">
        <v>317</v>
      </c>
      <c r="C46" s="36">
        <f>SUM(D46:ALK46)</f>
        <v>0</v>
      </c>
      <c r="FI46" s="20">
        <f>0.001*FI2</f>
        <v>0</v>
      </c>
      <c r="FJ46" s="20">
        <f>0.002*FJ2</f>
        <v>0</v>
      </c>
      <c r="FK46" s="20">
        <f>0.001*FK2</f>
        <v>0</v>
      </c>
      <c r="FL46" s="20">
        <f>0.001*FL2</f>
        <v>0</v>
      </c>
    </row>
    <row r="47" spans="1:266" s="26" customFormat="1" ht="4.5" customHeight="1" thickBot="1" x14ac:dyDescent="0.3">
      <c r="A47" s="29"/>
      <c r="B47" s="29"/>
      <c r="C47" s="4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</row>
    <row r="48" spans="1:266" s="32" customFormat="1" ht="30" customHeight="1" thickBot="1" x14ac:dyDescent="0.3">
      <c r="A48" s="47" t="s">
        <v>185</v>
      </c>
      <c r="B48" s="47" t="s">
        <v>186</v>
      </c>
      <c r="C48" s="37">
        <f>SUM(D48:ALK48)</f>
        <v>0</v>
      </c>
      <c r="D48" s="33"/>
      <c r="E48" s="33"/>
      <c r="F48" s="33"/>
      <c r="G48" s="33"/>
      <c r="H48" s="33">
        <f>6*H2</f>
        <v>0</v>
      </c>
      <c r="I48" s="33">
        <f>4*I2</f>
        <v>0</v>
      </c>
      <c r="J48" s="33">
        <f>2*J2</f>
        <v>0</v>
      </c>
      <c r="K48" s="33"/>
      <c r="L48" s="33"/>
      <c r="M48" s="33">
        <f>10*M2</f>
        <v>0</v>
      </c>
      <c r="N48" s="33"/>
      <c r="O48" s="33">
        <f>4*O2</f>
        <v>0</v>
      </c>
      <c r="P48" s="33">
        <f>4*P2</f>
        <v>0</v>
      </c>
      <c r="Q48" s="33"/>
      <c r="R48" s="33">
        <f>9*R2</f>
        <v>0</v>
      </c>
      <c r="S48" s="33"/>
      <c r="T48" s="33"/>
      <c r="U48" s="33"/>
      <c r="V48" s="33">
        <f>4*V2</f>
        <v>0</v>
      </c>
      <c r="W48" s="33"/>
      <c r="X48" s="33"/>
      <c r="Y48" s="33">
        <f>4*Y2</f>
        <v>0</v>
      </c>
      <c r="Z48" s="33"/>
      <c r="AA48" s="33"/>
      <c r="AB48" s="33"/>
      <c r="AC48" s="33"/>
      <c r="AD48" s="33"/>
      <c r="AE48" s="33"/>
      <c r="AF48" s="33"/>
      <c r="AG48" s="33">
        <f>4*AG2</f>
        <v>0</v>
      </c>
      <c r="AH48" s="33">
        <f>5*AH2</f>
        <v>0</v>
      </c>
      <c r="AI48" s="33"/>
      <c r="AJ48" s="33"/>
      <c r="AK48" s="33"/>
      <c r="AL48" s="33">
        <f>4*AL2</f>
        <v>0</v>
      </c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>
        <f>7*BA2</f>
        <v>0</v>
      </c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>
        <f>4*BM2</f>
        <v>0</v>
      </c>
      <c r="BN48" s="33"/>
      <c r="BO48" s="33"/>
      <c r="BP48" s="33"/>
      <c r="BQ48" s="33"/>
      <c r="BR48" s="33">
        <f>10*BR2</f>
        <v>0</v>
      </c>
      <c r="BS48" s="33"/>
      <c r="BT48" s="33"/>
      <c r="BU48" s="33"/>
      <c r="BV48" s="33">
        <f>7*BV2</f>
        <v>0</v>
      </c>
      <c r="BW48" s="33">
        <f>7*BW2</f>
        <v>0</v>
      </c>
      <c r="BX48" s="33"/>
      <c r="BY48" s="33"/>
      <c r="BZ48" s="33"/>
      <c r="CA48" s="33"/>
      <c r="CB48" s="33"/>
      <c r="CC48" s="33"/>
      <c r="CD48" s="33">
        <f>5*CD2</f>
        <v>0</v>
      </c>
      <c r="CE48" s="33"/>
      <c r="CF48" s="33"/>
      <c r="CG48" s="33"/>
      <c r="CH48" s="33"/>
      <c r="CI48" s="33"/>
      <c r="CJ48" s="33"/>
      <c r="CK48" s="33"/>
      <c r="CL48" s="33"/>
      <c r="CM48" s="33"/>
      <c r="CN48" s="33">
        <f>4*CN2</f>
        <v>0</v>
      </c>
      <c r="CO48" s="33"/>
      <c r="CP48" s="33">
        <f>4*CP2</f>
        <v>0</v>
      </c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>
        <f>1*DB2</f>
        <v>0</v>
      </c>
      <c r="DC48" s="33">
        <f>2*DC2</f>
        <v>0</v>
      </c>
      <c r="DD48" s="33"/>
      <c r="DE48" s="33">
        <f>5*DE2</f>
        <v>0</v>
      </c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>
        <f>6*DR2</f>
        <v>0</v>
      </c>
      <c r="DS48" s="33"/>
      <c r="DT48" s="33"/>
      <c r="DU48" s="33"/>
      <c r="DV48" s="33"/>
      <c r="DW48" s="33"/>
      <c r="DX48" s="33"/>
      <c r="DY48" s="33"/>
      <c r="DZ48" s="33"/>
      <c r="EA48" s="33">
        <f>2*EA2</f>
        <v>0</v>
      </c>
      <c r="EB48" s="33">
        <f>9*EB2</f>
        <v>0</v>
      </c>
      <c r="EC48" s="33"/>
      <c r="ED48" s="33">
        <f>2*ED2</f>
        <v>0</v>
      </c>
      <c r="EE48" s="33">
        <f>5*EE2</f>
        <v>0</v>
      </c>
      <c r="EF48" s="33"/>
      <c r="EG48" s="33"/>
      <c r="EH48" s="33">
        <f>5*EH2</f>
        <v>0</v>
      </c>
      <c r="EI48" s="33"/>
      <c r="EJ48" s="33"/>
      <c r="EK48" s="33"/>
      <c r="EL48" s="33"/>
      <c r="EM48" s="33">
        <f>5*EM2</f>
        <v>0</v>
      </c>
      <c r="EN48" s="33"/>
      <c r="EO48" s="33"/>
      <c r="EP48" s="33">
        <f>5*EP2</f>
        <v>0</v>
      </c>
      <c r="EQ48" s="33"/>
      <c r="ER48" s="33"/>
      <c r="ES48" s="33"/>
      <c r="ET48" s="33"/>
      <c r="EU48" s="33"/>
      <c r="EV48" s="33"/>
      <c r="EW48" s="33"/>
      <c r="EX48" s="33">
        <f>0*EX2</f>
        <v>0</v>
      </c>
      <c r="EY48" s="33"/>
      <c r="EZ48" s="33"/>
      <c r="FA48" s="33"/>
      <c r="FB48" s="33">
        <f>5*FB2</f>
        <v>0</v>
      </c>
      <c r="FC48" s="33">
        <f>7*FC2</f>
        <v>0</v>
      </c>
      <c r="FD48" s="33">
        <f>5*FD2</f>
        <v>0</v>
      </c>
      <c r="FE48" s="33">
        <f>6*FE2</f>
        <v>0</v>
      </c>
      <c r="FF48" s="33">
        <f>9*FF2</f>
        <v>0</v>
      </c>
      <c r="FG48" s="33">
        <f>6*FG2</f>
        <v>0</v>
      </c>
      <c r="FH48" s="33">
        <f>1*FH2</f>
        <v>0</v>
      </c>
      <c r="FI48" s="33">
        <f>0*FI2</f>
        <v>0</v>
      </c>
      <c r="FJ48" s="33">
        <f>0*FJ2</f>
        <v>0</v>
      </c>
      <c r="FK48" s="33">
        <f>0*FK2</f>
        <v>0</v>
      </c>
      <c r="FL48" s="33">
        <f>0*FL2</f>
        <v>0</v>
      </c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</row>
    <row r="49" spans="1:266" s="32" customFormat="1" ht="30" customHeight="1" thickBot="1" x14ac:dyDescent="0.3">
      <c r="A49" s="47" t="s">
        <v>308</v>
      </c>
      <c r="B49" s="47" t="s">
        <v>309</v>
      </c>
      <c r="C49" s="37">
        <f>SUM(D49:ALK49)</f>
        <v>0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>
        <f>34*FG2</f>
        <v>0</v>
      </c>
      <c r="FH49" s="33">
        <f>6*FH2</f>
        <v>0</v>
      </c>
      <c r="FI49" s="33">
        <f>0*FI2</f>
        <v>0</v>
      </c>
      <c r="FJ49" s="33">
        <f>0*FJ2</f>
        <v>0</v>
      </c>
      <c r="FK49" s="33">
        <f>0*FK2</f>
        <v>0</v>
      </c>
      <c r="FL49" s="33">
        <f>0*FL2</f>
        <v>0</v>
      </c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3"/>
      <c r="IZ49" s="33"/>
      <c r="JA49" s="33"/>
      <c r="JB49" s="33"/>
      <c r="JC49" s="33"/>
      <c r="JD49" s="33"/>
      <c r="JE49" s="33"/>
      <c r="JF49" s="33"/>
    </row>
    <row r="50" spans="1:266" s="32" customFormat="1" ht="30" customHeight="1" x14ac:dyDescent="0.25">
      <c r="A50" s="47" t="s">
        <v>187</v>
      </c>
      <c r="B50" s="47" t="s">
        <v>188</v>
      </c>
      <c r="C50" s="37">
        <f>SUM(D50:ALK50)</f>
        <v>0</v>
      </c>
      <c r="D50" s="33"/>
      <c r="E50" s="33"/>
      <c r="F50" s="33"/>
      <c r="G50" s="33"/>
      <c r="H50" s="33">
        <f>26*H2</f>
        <v>0</v>
      </c>
      <c r="I50" s="33">
        <f>6*I2</f>
        <v>0</v>
      </c>
      <c r="J50" s="33">
        <f>1*J2</f>
        <v>0</v>
      </c>
      <c r="K50" s="33"/>
      <c r="L50" s="33"/>
      <c r="M50" s="33">
        <f>18*M2</f>
        <v>0</v>
      </c>
      <c r="N50" s="33"/>
      <c r="O50" s="33">
        <f>6*O2</f>
        <v>0</v>
      </c>
      <c r="P50" s="33">
        <f>8*P2</f>
        <v>0</v>
      </c>
      <c r="Q50" s="33"/>
      <c r="R50" s="33">
        <f>22*R2</f>
        <v>0</v>
      </c>
      <c r="S50" s="33"/>
      <c r="T50" s="33"/>
      <c r="U50" s="33"/>
      <c r="V50" s="33">
        <f>6*V2</f>
        <v>0</v>
      </c>
      <c r="W50" s="33"/>
      <c r="X50" s="33"/>
      <c r="Y50" s="33">
        <f>10*Y2</f>
        <v>0</v>
      </c>
      <c r="Z50" s="33"/>
      <c r="AA50" s="33"/>
      <c r="AB50" s="33"/>
      <c r="AC50" s="33"/>
      <c r="AD50" s="33"/>
      <c r="AE50" s="33"/>
      <c r="AF50" s="33"/>
      <c r="AG50" s="33">
        <f>6*AG2</f>
        <v>0</v>
      </c>
      <c r="AH50" s="33">
        <f>15*AH2</f>
        <v>0</v>
      </c>
      <c r="AI50" s="33"/>
      <c r="AJ50" s="33"/>
      <c r="AK50" s="33"/>
      <c r="AL50" s="33">
        <f>1*AL2</f>
        <v>0</v>
      </c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>
        <f>33*BA2</f>
        <v>0</v>
      </c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>
        <f>13*BR2</f>
        <v>0</v>
      </c>
      <c r="BS50" s="33"/>
      <c r="BT50" s="33"/>
      <c r="BU50" s="33"/>
      <c r="BV50" s="33">
        <f>11*BV2</f>
        <v>0</v>
      </c>
      <c r="BW50" s="33">
        <f>11*BW2</f>
        <v>0</v>
      </c>
      <c r="BX50" s="33"/>
      <c r="BY50" s="33"/>
      <c r="BZ50" s="33"/>
      <c r="CA50" s="33"/>
      <c r="CB50" s="33"/>
      <c r="CC50" s="33"/>
      <c r="CD50" s="33">
        <f>9*CD2</f>
        <v>0</v>
      </c>
      <c r="CE50" s="33"/>
      <c r="CF50" s="33"/>
      <c r="CG50" s="33"/>
      <c r="CH50" s="33"/>
      <c r="CI50" s="33"/>
      <c r="CJ50" s="33"/>
      <c r="CK50" s="33"/>
      <c r="CL50" s="33"/>
      <c r="CM50" s="33"/>
      <c r="CN50" s="33">
        <f>1*CN2</f>
        <v>0</v>
      </c>
      <c r="CO50" s="33"/>
      <c r="CP50" s="33">
        <f>1*CP2</f>
        <v>0</v>
      </c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>
        <f>4*DB2</f>
        <v>0</v>
      </c>
      <c r="DC50" s="33">
        <f>3*DC2</f>
        <v>0</v>
      </c>
      <c r="DD50" s="33"/>
      <c r="DE50" s="33">
        <f>15*DE2</f>
        <v>0</v>
      </c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>
        <f>11*DR2</f>
        <v>0</v>
      </c>
      <c r="DS50" s="33"/>
      <c r="DT50" s="33"/>
      <c r="DU50" s="33"/>
      <c r="DV50" s="33"/>
      <c r="DW50" s="33"/>
      <c r="DX50" s="33"/>
      <c r="DY50" s="33"/>
      <c r="DZ50" s="33"/>
      <c r="EA50" s="33">
        <f>3*EA2</f>
        <v>0</v>
      </c>
      <c r="EB50" s="33">
        <f>26*EB2</f>
        <v>0</v>
      </c>
      <c r="EC50" s="33"/>
      <c r="ED50" s="33">
        <f>3*ED2</f>
        <v>0</v>
      </c>
      <c r="EE50" s="33">
        <f>7*EE2</f>
        <v>0</v>
      </c>
      <c r="EF50" s="33"/>
      <c r="EG50" s="33"/>
      <c r="EH50" s="33">
        <f>7*EH2</f>
        <v>0</v>
      </c>
      <c r="EI50" s="33"/>
      <c r="EJ50" s="33"/>
      <c r="EK50" s="33"/>
      <c r="EL50" s="33"/>
      <c r="EM50" s="33">
        <f>9*EM2</f>
        <v>0</v>
      </c>
      <c r="EN50" s="33"/>
      <c r="EO50" s="33"/>
      <c r="EP50" s="33">
        <f>11*EP2</f>
        <v>0</v>
      </c>
      <c r="EQ50" s="33"/>
      <c r="ER50" s="33"/>
      <c r="ES50" s="33"/>
      <c r="ET50" s="33"/>
      <c r="EU50" s="33"/>
      <c r="EV50" s="33"/>
      <c r="EW50" s="33"/>
      <c r="EX50" s="33">
        <f>0*EX2</f>
        <v>0</v>
      </c>
      <c r="EY50" s="33"/>
      <c r="EZ50" s="33"/>
      <c r="FA50" s="33"/>
      <c r="FB50" s="33">
        <f>15*FB2</f>
        <v>0</v>
      </c>
      <c r="FC50" s="33">
        <f>9*FC2</f>
        <v>0</v>
      </c>
      <c r="FD50" s="33">
        <f>15*FD2</f>
        <v>0</v>
      </c>
      <c r="FE50" s="33">
        <f>15*FE2</f>
        <v>0</v>
      </c>
      <c r="FF50" s="33">
        <f>29*FF2</f>
        <v>0</v>
      </c>
      <c r="FG50" s="33">
        <f>13*FG2</f>
        <v>0</v>
      </c>
      <c r="FH50" s="33">
        <f>3*FH2</f>
        <v>0</v>
      </c>
      <c r="FI50" s="33">
        <f>0*FI2</f>
        <v>0</v>
      </c>
      <c r="FJ50" s="33">
        <f>0*FJ2</f>
        <v>0</v>
      </c>
      <c r="FK50" s="33">
        <f>0*FK2</f>
        <v>0</v>
      </c>
      <c r="FL50" s="33">
        <f>0*FL2</f>
        <v>0</v>
      </c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</row>
    <row r="51" spans="1:266" s="26" customFormat="1" ht="4.5" customHeight="1" x14ac:dyDescent="0.25">
      <c r="A51" s="29"/>
      <c r="B51" s="29"/>
      <c r="C51" s="4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</row>
    <row r="52" spans="1:266" x14ac:dyDescent="0.25">
      <c r="A52" s="27" t="s">
        <v>189</v>
      </c>
      <c r="B52" s="27" t="s">
        <v>190</v>
      </c>
      <c r="C52" s="28">
        <f>MAX(E52:FKS52)</f>
        <v>0</v>
      </c>
      <c r="D52" s="20">
        <f>IF(D$2&gt;0,900,0)</f>
        <v>0</v>
      </c>
      <c r="E52" s="20">
        <f>IF(E$2&gt;0,1200,0)</f>
        <v>0</v>
      </c>
      <c r="F52" s="20">
        <f>IF(F$2&gt;0,198,0)</f>
        <v>0</v>
      </c>
      <c r="G52" s="20">
        <f>IF(G$2&gt;0,146,0)</f>
        <v>0</v>
      </c>
      <c r="H52" s="20">
        <f>IF(H$2&gt;0,288,0)</f>
        <v>0</v>
      </c>
      <c r="I52" s="20">
        <f>IF(I$2&gt;0,198,0)</f>
        <v>0</v>
      </c>
      <c r="J52" s="20">
        <f>IF(J$2&gt;0,248,0)</f>
        <v>0</v>
      </c>
      <c r="K52" s="20">
        <f>IF(K$2&gt;0,598,0)</f>
        <v>0</v>
      </c>
      <c r="L52" s="20">
        <f>IF(L$2&gt;0,198,0)</f>
        <v>0</v>
      </c>
      <c r="M52" s="20">
        <f>IF(M$2&gt;0,98,0)</f>
        <v>0</v>
      </c>
      <c r="N52" s="20">
        <f>IF(N$2&gt;0,298,0)</f>
        <v>0</v>
      </c>
      <c r="O52" s="20">
        <f>IF(O$2&gt;0,98,0)</f>
        <v>0</v>
      </c>
      <c r="P52" s="20">
        <f>IF(P$2&gt;0,98,0)</f>
        <v>0</v>
      </c>
      <c r="Q52" s="20">
        <f>IF(Q$2&gt;0,298,0)</f>
        <v>0</v>
      </c>
      <c r="R52" s="20">
        <f>IF(R$2&gt;0,298,0)</f>
        <v>0</v>
      </c>
      <c r="S52" s="20">
        <f>IF(S$2&gt;0,198,0)</f>
        <v>0</v>
      </c>
      <c r="T52" s="20">
        <f>IF(T$2&gt;0,1000,0)</f>
        <v>0</v>
      </c>
      <c r="U52" s="20">
        <f>IF(U$2&gt;0,600,0)</f>
        <v>0</v>
      </c>
      <c r="V52" s="20">
        <f>IF(V$2&gt;0,98,0)</f>
        <v>0</v>
      </c>
      <c r="W52" s="20">
        <f>IF(W$2&gt;0,800,0)</f>
        <v>0</v>
      </c>
      <c r="X52" s="20">
        <f>IF(X$2&gt;0,298,0)</f>
        <v>0</v>
      </c>
      <c r="Y52" s="20">
        <f>IF(Y$2&gt;0,348,0)</f>
        <v>0</v>
      </c>
      <c r="Z52" s="20">
        <f>IF(Z$2&gt;0,198,0)</f>
        <v>0</v>
      </c>
      <c r="AA52" s="20">
        <f>IF(AA$2&gt;0,198,0)</f>
        <v>0</v>
      </c>
      <c r="AB52" s="20">
        <f>IF(AB$2&gt;0,198,0)</f>
        <v>0</v>
      </c>
      <c r="AC52" s="20">
        <f>IF(AC$2&gt;0,148,0)</f>
        <v>0</v>
      </c>
      <c r="AD52" s="20">
        <f>IF(AD$2&gt;0,148,0)</f>
        <v>0</v>
      </c>
      <c r="AE52" s="20">
        <f>IF(AE$2&gt;0,148,0)</f>
        <v>0</v>
      </c>
      <c r="AF52" s="20">
        <f>IF(AF$2&gt;0,80,0)</f>
        <v>0</v>
      </c>
      <c r="AG52" s="20">
        <f>IF(AG$2&gt;0,80,0)</f>
        <v>0</v>
      </c>
      <c r="AH52" s="20">
        <f>IF(AH$2&gt;0,80,0)</f>
        <v>0</v>
      </c>
      <c r="AI52" s="20">
        <f>IF(AI$2&gt;0,80,0)</f>
        <v>0</v>
      </c>
      <c r="AJ52" s="20">
        <f>IF(AJ$2&gt;0,98,0)</f>
        <v>0</v>
      </c>
      <c r="AK52" s="20">
        <f>IF(AK$2&gt;0,934,0)</f>
        <v>0</v>
      </c>
      <c r="AL52" s="20">
        <f>IF(AL$2&gt;0,922,0)</f>
        <v>0</v>
      </c>
      <c r="AM52" s="20">
        <f>IF(AM$2&gt;0,298,0)</f>
        <v>0</v>
      </c>
      <c r="AN52" s="20">
        <f>IF(AN$2&gt;0,198,0)</f>
        <v>0</v>
      </c>
      <c r="AO52" s="20">
        <f>IF(AO$2&gt;0,248,0)</f>
        <v>0</v>
      </c>
      <c r="AP52" s="20">
        <f>IF(AP$2&gt;0,248,0)</f>
        <v>0</v>
      </c>
      <c r="AQ52" s="20">
        <f>IF(AQ$2&gt;0,138,0)</f>
        <v>0</v>
      </c>
      <c r="AR52" s="20">
        <f>IF(AR$2&gt;0,80,0)</f>
        <v>0</v>
      </c>
      <c r="AS52" s="20">
        <f>IF(AS$2&gt;0,198,0)</f>
        <v>0</v>
      </c>
      <c r="AT52" s="20">
        <f>IF(AT$2&gt;0,398,0)</f>
        <v>0</v>
      </c>
      <c r="AU52" s="20">
        <f>IF(AU$2&gt;0,298,0)</f>
        <v>0</v>
      </c>
      <c r="AV52" s="20">
        <f>IF(AV$2&gt;0,98,0)</f>
        <v>0</v>
      </c>
      <c r="AW52" s="20">
        <f>IF(AW$2&gt;0,198,0)</f>
        <v>0</v>
      </c>
      <c r="AX52" s="20">
        <f>IF(AX$2&gt;0,248,0)</f>
        <v>0</v>
      </c>
      <c r="AY52" s="20">
        <f>IF(AY$2&gt;0,348,0)</f>
        <v>0</v>
      </c>
      <c r="AZ52" s="20">
        <f>IF(AZ$2&gt;0,148,0)</f>
        <v>0</v>
      </c>
      <c r="BA52" s="20">
        <f>IF(BA$2&gt;0,298,0)</f>
        <v>0</v>
      </c>
      <c r="BB52" s="20">
        <f>IF(BB$2&gt;0,298,0)</f>
        <v>0</v>
      </c>
      <c r="BC52" s="20">
        <f>IF(BC$2&gt;0,298,0)</f>
        <v>0</v>
      </c>
      <c r="BD52" s="20">
        <f>IF(BD$2&gt;0,990,0)</f>
        <v>0</v>
      </c>
      <c r="BE52" s="20">
        <f>IF(BE$2&gt;0,188,0)</f>
        <v>0</v>
      </c>
      <c r="BF52" s="20">
        <f>IF(BF$2&gt;0,298,0)</f>
        <v>0</v>
      </c>
      <c r="BG52" s="20">
        <f>IF(BG$2&gt;0,298,0)</f>
        <v>0</v>
      </c>
      <c r="BH52" s="20">
        <f>IF(BH$2&gt;0,398,0)</f>
        <v>0</v>
      </c>
      <c r="BI52" s="20">
        <f>IF(BI$2&gt;0,398,0)</f>
        <v>0</v>
      </c>
      <c r="BJ52" s="20">
        <f>IF(BJ$2&gt;0,188,0)</f>
        <v>0</v>
      </c>
      <c r="BK52" s="20">
        <f>IF(BK$2&gt;0,298,0)</f>
        <v>0</v>
      </c>
      <c r="BL52" s="20">
        <f>IF(BL$2&gt;0,338,0)</f>
        <v>0</v>
      </c>
      <c r="BM52" s="20">
        <f>IF(BM$2&gt;0,98,0)</f>
        <v>0</v>
      </c>
      <c r="BN52" s="20">
        <f>IF(BN$2&gt;0,138,0)</f>
        <v>0</v>
      </c>
      <c r="BO52" s="20">
        <f>IF(BO$2&gt;0,298,0)</f>
        <v>0</v>
      </c>
      <c r="BP52" s="20">
        <f>IF(BP$2&gt;0,298,0)</f>
        <v>0</v>
      </c>
      <c r="BQ52" s="20">
        <f>IF(BQ$2&gt;0,298,0)</f>
        <v>0</v>
      </c>
      <c r="BR52" s="20">
        <f>IF(BR$2&gt;0,247,0)</f>
        <v>0</v>
      </c>
      <c r="BS52" s="20">
        <f>IF(BS$2&gt;0,148,0)</f>
        <v>0</v>
      </c>
      <c r="BT52" s="20">
        <f>IF(BT$2&gt;0,288,0)</f>
        <v>0</v>
      </c>
      <c r="BU52" s="20">
        <f>IF(BU$2&gt;0,298,0)</f>
        <v>0</v>
      </c>
      <c r="BV52" s="20">
        <f>IF(BV$2&gt;0,148,0)</f>
        <v>0</v>
      </c>
      <c r="BW52" s="20">
        <f>IF(BW$2&gt;0,148,0)</f>
        <v>0</v>
      </c>
      <c r="BX52" s="20">
        <f>IF(BX$2&gt;0,148,0)</f>
        <v>0</v>
      </c>
      <c r="BY52" s="20">
        <f>IF(BY$2&gt;0,148,0)</f>
        <v>0</v>
      </c>
      <c r="BZ52" s="20">
        <f>IF(BZ$2&gt;0,188,0)</f>
        <v>0</v>
      </c>
      <c r="CA52" s="20">
        <f>IF(CA$2&gt;0,426,0)</f>
        <v>0</v>
      </c>
      <c r="CB52" s="20">
        <f>IF(CB$2&gt;0,167,0)</f>
        <v>0</v>
      </c>
      <c r="CC52" s="20">
        <f>IF(CC$2&gt;0,686,0)</f>
        <v>0</v>
      </c>
      <c r="CD52" s="20">
        <f>IF(CD$2&gt;0,148,0)</f>
        <v>0</v>
      </c>
      <c r="CE52" s="20">
        <f>IF(CE$2&gt;0,"?",0)</f>
        <v>0</v>
      </c>
      <c r="CF52" s="20">
        <f>IF(CF$2&gt;0,684,0)</f>
        <v>0</v>
      </c>
      <c r="CG52" s="20">
        <f>IF(CG$2&gt;0,684,0)</f>
        <v>0</v>
      </c>
      <c r="CH52" s="20">
        <f>IF(CH$2&gt;0,298,0)</f>
        <v>0</v>
      </c>
      <c r="CI52" s="20">
        <f>IF(CI$2&gt;0,80,0)</f>
        <v>0</v>
      </c>
      <c r="CJ52" s="20">
        <f>IF(CJ$2&gt;0,80,0)</f>
        <v>0</v>
      </c>
      <c r="CK52" s="20">
        <f>IF(CK$2&gt;0,148,0)</f>
        <v>0</v>
      </c>
      <c r="CL52" s="20">
        <f>IF(CL$2&gt;0,1000,0)</f>
        <v>0</v>
      </c>
      <c r="CM52" s="20">
        <f>IF(CM$2&gt;0,149,0)</f>
        <v>0</v>
      </c>
      <c r="CN52" s="20">
        <f>IF(CN$2&gt;0,600,0)</f>
        <v>0</v>
      </c>
      <c r="CO52" s="20">
        <f>IF(CO$2&gt;0,1000,0)</f>
        <v>0</v>
      </c>
      <c r="CP52" s="20">
        <f>IF(CP$2&gt;0,1200,0)</f>
        <v>0</v>
      </c>
      <c r="CQ52" s="20">
        <f>IF(CQ$2&gt;0,600,0)</f>
        <v>0</v>
      </c>
      <c r="CR52" s="20">
        <f>IF(CR$2&gt;0,1000,0)</f>
        <v>0</v>
      </c>
      <c r="CS52" s="20">
        <f>IF(CS$2&gt;0,1201,0)</f>
        <v>0</v>
      </c>
      <c r="CT52" s="20">
        <f>IF(CT$2&gt;0,801,0)</f>
        <v>0</v>
      </c>
      <c r="CU52" s="20">
        <f>IF(CU$2&gt;0,1000,0)</f>
        <v>0</v>
      </c>
      <c r="CV52" s="20">
        <f>IF(CV$2&gt;0,988,0)</f>
        <v>0</v>
      </c>
      <c r="CW52" s="20">
        <f>IF(CW$2&gt;0,988,0)</f>
        <v>0</v>
      </c>
      <c r="CX52" s="20">
        <f>IF(CX$2&gt;0,900,0)</f>
        <v>0</v>
      </c>
      <c r="CY52" s="20">
        <f>IF(CY$2&gt;0,760,0)</f>
        <v>0</v>
      </c>
      <c r="CZ52" s="20">
        <f>IF(CZ$2&gt;0,760,0)</f>
        <v>0</v>
      </c>
      <c r="DA52" s="20">
        <f>IF(DA$2&gt;0,98,0)</f>
        <v>0</v>
      </c>
      <c r="DB52" s="20">
        <f>IF(DB$2&gt;0,89,0)</f>
        <v>0</v>
      </c>
      <c r="DC52" s="20">
        <f>IF(DC$2&gt;0,92,0)</f>
        <v>0</v>
      </c>
      <c r="DD52" s="20">
        <f>IF(DD$2&gt;0,148,0)</f>
        <v>0</v>
      </c>
      <c r="DE52" s="20">
        <f>IF(DE$2&gt;0,74,0)</f>
        <v>0</v>
      </c>
      <c r="DF52" s="20">
        <f>IF(DF$2&gt;0,198,0)</f>
        <v>0</v>
      </c>
      <c r="DG52" s="20">
        <f>IF(DG$2&gt;0,148,0)</f>
        <v>0</v>
      </c>
      <c r="DH52" s="20">
        <f>IF(DH$2&gt;0,80,0)</f>
        <v>0</v>
      </c>
      <c r="DI52" s="20">
        <f>IF(DI$2&gt;0,298,0)</f>
        <v>0</v>
      </c>
      <c r="DJ52" s="20">
        <f>IF(DJ$2&gt;0,298,0)</f>
        <v>0</v>
      </c>
      <c r="DK52" s="20">
        <f>IF(DK$2&gt;0,298,0)</f>
        <v>0</v>
      </c>
      <c r="DL52" s="20">
        <f>IF(DL$2&gt;0,298,0)</f>
        <v>0</v>
      </c>
      <c r="DM52" s="20">
        <f>IF(DM$2&gt;0,426,0)</f>
        <v>0</v>
      </c>
      <c r="DN52" s="20">
        <f>IF(DN$2&gt;0,178,0)</f>
        <v>0</v>
      </c>
      <c r="DO52" s="20">
        <f>IF(DO$2&gt;0,598,0)</f>
        <v>0</v>
      </c>
      <c r="DP52" s="20">
        <f>IF(DP$2&gt;0,900,0)</f>
        <v>0</v>
      </c>
      <c r="DQ52" s="20">
        <f>IF(DQ$2&gt;0,74,0)</f>
        <v>0</v>
      </c>
      <c r="DR52" s="20">
        <f>IF(DR$2&gt;0,148,0)</f>
        <v>0</v>
      </c>
      <c r="DS52" s="20">
        <f>IF(DS$2&gt;0,148,0)</f>
        <v>0</v>
      </c>
      <c r="DT52" s="20">
        <f>IF(DT$2&gt;0,74,0)</f>
        <v>0</v>
      </c>
      <c r="DU52" s="20">
        <f>IF(DU$2&gt;0,74,0)</f>
        <v>0</v>
      </c>
      <c r="DV52" s="20">
        <f>IF(DV$2&gt;0,148,0)</f>
        <v>0</v>
      </c>
      <c r="DW52" s="20">
        <f>IF(DW$2&gt;0,148,0)</f>
        <v>0</v>
      </c>
      <c r="DX52" s="20">
        <f>IF(DX$2&gt;0,74,0)</f>
        <v>0</v>
      </c>
      <c r="DY52" s="20">
        <f>IF(DY$2&gt;0,74,0)</f>
        <v>0</v>
      </c>
      <c r="DZ52" s="20">
        <f>IF(DZ$2&gt;0,148,0)</f>
        <v>0</v>
      </c>
      <c r="EA52" s="20">
        <f>IF(EA$2&gt;0,84,0)</f>
        <v>0</v>
      </c>
      <c r="EB52" s="20">
        <f>IF(EB$2&gt;0,398,0)</f>
        <v>0</v>
      </c>
      <c r="EC52" s="20">
        <f>IF(EC$2&gt;0,151,0)</f>
        <v>0</v>
      </c>
      <c r="ED52" s="20">
        <f>IF(ED$2&gt;0,98,0)</f>
        <v>0</v>
      </c>
      <c r="EE52" s="20">
        <f>IF(EE$2&gt;0,160,0)</f>
        <v>0</v>
      </c>
      <c r="EF52" s="20">
        <f>IF(EF$2&gt;0,160,0)</f>
        <v>0</v>
      </c>
      <c r="EG52" s="20">
        <f>IF(EG$2&gt;0,160,0)</f>
        <v>0</v>
      </c>
      <c r="EH52" s="20">
        <f>IF(EH$2&gt;0,98,0)</f>
        <v>0</v>
      </c>
      <c r="EI52" s="20">
        <f>IF(EI$2&gt;0,98,0)</f>
        <v>0</v>
      </c>
      <c r="EJ52" s="20">
        <f>IF(EJ$2&gt;0,130,0)</f>
        <v>0</v>
      </c>
      <c r="EK52" s="20">
        <f>IF(EK$2&gt;0,398,0)</f>
        <v>0</v>
      </c>
      <c r="EL52" s="20">
        <f>IF(EL$2&gt;0,398,0)</f>
        <v>0</v>
      </c>
      <c r="EM52" s="20">
        <f t="shared" ref="EM52:ER52" si="4">IF(EM$2&gt;0,67,0)</f>
        <v>0</v>
      </c>
      <c r="EN52" s="20">
        <f t="shared" si="4"/>
        <v>0</v>
      </c>
      <c r="EO52" s="20">
        <f t="shared" si="4"/>
        <v>0</v>
      </c>
      <c r="EP52" s="20">
        <f t="shared" si="4"/>
        <v>0</v>
      </c>
      <c r="EQ52" s="20">
        <f t="shared" si="4"/>
        <v>0</v>
      </c>
      <c r="ER52" s="20">
        <f t="shared" si="4"/>
        <v>0</v>
      </c>
      <c r="ES52" s="20">
        <f>IF(ES$2&gt;0,298,0)</f>
        <v>0</v>
      </c>
      <c r="ET52" s="20">
        <f>IF(ET$2&gt;0,198,0)</f>
        <v>0</v>
      </c>
      <c r="EU52" s="20">
        <f>IF(EU$2&gt;0,198,0)</f>
        <v>0</v>
      </c>
      <c r="EV52" s="20">
        <f>IF(EV$2&gt;0,80,0)</f>
        <v>0</v>
      </c>
      <c r="EW52" s="20">
        <f>IF(EW$2&gt;0,98,0)</f>
        <v>0</v>
      </c>
      <c r="EX52" s="20">
        <f>IF(EX$2&gt;0,0,0)</f>
        <v>0</v>
      </c>
      <c r="EY52" s="20">
        <f>IF(EY$2&gt;0,80,0)</f>
        <v>0</v>
      </c>
      <c r="EZ52" s="20">
        <f>IF(EZ$2&gt;0,98,0)</f>
        <v>0</v>
      </c>
      <c r="FA52" s="20">
        <f>IF(FA$2&gt;0,98,0)</f>
        <v>0</v>
      </c>
      <c r="FB52" s="20">
        <f>IF(FB$2&gt;0,100,0)</f>
        <v>0</v>
      </c>
      <c r="FC52" s="20">
        <f>IF(FC$2&gt;0,45,0)</f>
        <v>0</v>
      </c>
      <c r="FD52" s="20">
        <f>IF(FD$2&gt;0,149,0)</f>
        <v>0</v>
      </c>
      <c r="FE52" s="20">
        <f>IF(FE$2&gt;0,149,0)</f>
        <v>0</v>
      </c>
      <c r="FF52" s="20">
        <f>IF(FF$2&gt;0,298,0)</f>
        <v>0</v>
      </c>
      <c r="FG52" s="20">
        <f>IF(FG$2&gt;0,209,0)</f>
        <v>0</v>
      </c>
      <c r="FH52" s="20">
        <f>IF(FH$2&gt;0,26,0)</f>
        <v>0</v>
      </c>
      <c r="FI52" s="20">
        <f>IF(FI$2&gt;0,50,0)</f>
        <v>0</v>
      </c>
      <c r="FJ52" s="20">
        <f>IF(FJ$2&gt;0,100,0)</f>
        <v>0</v>
      </c>
      <c r="FK52" s="20">
        <f>IF(FK$2&gt;0,50,0)</f>
        <v>0</v>
      </c>
      <c r="FL52" s="20">
        <f>IF(FL$2&gt;0,50,0)</f>
        <v>0</v>
      </c>
    </row>
    <row r="53" spans="1:266" x14ac:dyDescent="0.25">
      <c r="A53" s="27" t="s">
        <v>191</v>
      </c>
      <c r="B53" s="27" t="s">
        <v>190</v>
      </c>
      <c r="C53" s="28">
        <f>MAX(E53:FKS53)</f>
        <v>0</v>
      </c>
      <c r="D53" s="20">
        <f>IF(D$2&gt;0,217,0)</f>
        <v>0</v>
      </c>
      <c r="E53" s="20">
        <f>IF(E$2&gt;0,217,0)</f>
        <v>0</v>
      </c>
      <c r="F53" s="20">
        <f t="shared" ref="F53:L53" si="5">IF(F$2&gt;0,210,0)</f>
        <v>0</v>
      </c>
      <c r="G53" s="20">
        <f t="shared" si="5"/>
        <v>0</v>
      </c>
      <c r="H53" s="20">
        <f t="shared" si="5"/>
        <v>0</v>
      </c>
      <c r="I53" s="20">
        <f t="shared" si="5"/>
        <v>0</v>
      </c>
      <c r="J53" s="20">
        <f t="shared" si="5"/>
        <v>0</v>
      </c>
      <c r="K53" s="20">
        <f t="shared" si="5"/>
        <v>0</v>
      </c>
      <c r="L53" s="20">
        <f t="shared" si="5"/>
        <v>0</v>
      </c>
      <c r="M53" s="20">
        <f>IF(M$2&gt;0,235,0)</f>
        <v>0</v>
      </c>
      <c r="N53" s="20">
        <f>IF(N$2&gt;0,210,0)</f>
        <v>0</v>
      </c>
      <c r="O53" s="20">
        <f>IF(O$2&gt;0,210,0)</f>
        <v>0</v>
      </c>
      <c r="P53" s="20">
        <f>IF(P$2&gt;0,210,0)</f>
        <v>0</v>
      </c>
      <c r="Q53" s="20">
        <f>IF(Q$2&gt;0,210,0)</f>
        <v>0</v>
      </c>
      <c r="R53" s="20">
        <f>IF(R$2&gt;0,236,0)</f>
        <v>0</v>
      </c>
      <c r="S53" s="20">
        <f>IF(S$2&gt;0,210,0)</f>
        <v>0</v>
      </c>
      <c r="T53" s="20">
        <f>IF(T$2&gt;0,217,0)</f>
        <v>0</v>
      </c>
      <c r="U53" s="20">
        <f>IF(U$2&gt;0,217,0)</f>
        <v>0</v>
      </c>
      <c r="V53" s="20">
        <f>IF(V$2&gt;0,210,0)</f>
        <v>0</v>
      </c>
      <c r="W53" s="20">
        <f>IF(W$2&gt;0,217,0)</f>
        <v>0</v>
      </c>
      <c r="X53" s="20">
        <f>IF(X$2&gt;0,210,0)</f>
        <v>0</v>
      </c>
      <c r="Y53" s="20">
        <f>IF(Y$2&gt;0,236,0)</f>
        <v>0</v>
      </c>
      <c r="Z53" s="20">
        <f>IF(Z$2&gt;0,210,0)</f>
        <v>0</v>
      </c>
      <c r="AA53" s="20">
        <f>IF(AA$2&gt;0,210,0)</f>
        <v>0</v>
      </c>
      <c r="AB53" s="20">
        <f>IF(AB$2&gt;0,210,0)</f>
        <v>0</v>
      </c>
      <c r="AC53" s="20">
        <f>IF(AC$2&gt;0,190,0)</f>
        <v>0</v>
      </c>
      <c r="AD53" s="20">
        <f>IF(AD$2&gt;0,190,0)</f>
        <v>0</v>
      </c>
      <c r="AE53" s="20">
        <f>IF(AE$2&gt;0,190,0)</f>
        <v>0</v>
      </c>
      <c r="AF53" s="20">
        <f>IF(AF$2&gt;0,210,0)</f>
        <v>0</v>
      </c>
      <c r="AG53" s="20">
        <f>IF(AG$2&gt;0,210,0)</f>
        <v>0</v>
      </c>
      <c r="AH53" s="20">
        <f>IF(AH$2&gt;0,210,0)</f>
        <v>0</v>
      </c>
      <c r="AI53" s="20">
        <f>IF(AI$2&gt;0,210,0)</f>
        <v>0</v>
      </c>
      <c r="AJ53" s="20">
        <f>IF(AJ$2&gt;0,210,0)</f>
        <v>0</v>
      </c>
      <c r="AK53" s="20">
        <f>IF(AK$2&gt;0,199,0)</f>
        <v>0</v>
      </c>
      <c r="AL53" s="20">
        <f>IF(AL$2&gt;0,243,0)</f>
        <v>0</v>
      </c>
      <c r="AM53" s="20">
        <f>IF(AM$2&gt;0,190,0)</f>
        <v>0</v>
      </c>
      <c r="AN53" s="20">
        <f>IF(AN$2&gt;0,191,0)</f>
        <v>0</v>
      </c>
      <c r="AO53" s="20">
        <f t="shared" ref="AO53:AU53" si="6">IF(AO$2&gt;0,190,0)</f>
        <v>0</v>
      </c>
      <c r="AP53" s="20">
        <f t="shared" si="6"/>
        <v>0</v>
      </c>
      <c r="AQ53" s="20">
        <f t="shared" si="6"/>
        <v>0</v>
      </c>
      <c r="AR53" s="20">
        <f t="shared" si="6"/>
        <v>0</v>
      </c>
      <c r="AS53" s="20">
        <f t="shared" si="6"/>
        <v>0</v>
      </c>
      <c r="AT53" s="20">
        <f t="shared" si="6"/>
        <v>0</v>
      </c>
      <c r="AU53" s="20">
        <f t="shared" si="6"/>
        <v>0</v>
      </c>
      <c r="AV53" s="20">
        <f>IF(AV$2&gt;0,210,0)</f>
        <v>0</v>
      </c>
      <c r="AW53" s="20">
        <f>IF(AW$2&gt;0,190,0)</f>
        <v>0</v>
      </c>
      <c r="AX53" s="20">
        <f>IF(AX$2&gt;0,190,0)</f>
        <v>0</v>
      </c>
      <c r="AY53" s="20">
        <f>IF(AY$2&gt;0,190,0)</f>
        <v>0</v>
      </c>
      <c r="AZ53" s="20">
        <f>IF(AZ$2&gt;0,190,0)</f>
        <v>0</v>
      </c>
      <c r="BA53" s="20">
        <f>IF(BA$2&gt;0,210,0)</f>
        <v>0</v>
      </c>
      <c r="BB53" s="20">
        <f>IF(BB$2&gt;0,190,0)</f>
        <v>0</v>
      </c>
      <c r="BC53" s="20">
        <f>IF(BC$2&gt;0,190,0)</f>
        <v>0</v>
      </c>
      <c r="BD53" s="20">
        <f>IF(BD$2&gt;0,217,0)</f>
        <v>0</v>
      </c>
      <c r="BE53" s="20">
        <f>IF(BE$2&gt;0,210,0)</f>
        <v>0</v>
      </c>
      <c r="BF53" s="20">
        <f>IF(BF$2&gt;0,210,0)</f>
        <v>0</v>
      </c>
      <c r="BG53" s="20">
        <f>IF(BG$2&gt;0,210,0)</f>
        <v>0</v>
      </c>
      <c r="BH53" s="20">
        <f>IF(BH$2&gt;0,236,0)</f>
        <v>0</v>
      </c>
      <c r="BI53" s="20">
        <f t="shared" ref="BI53:BN53" si="7">IF(BI$2&gt;0,210,0)</f>
        <v>0</v>
      </c>
      <c r="BJ53" s="20">
        <f t="shared" si="7"/>
        <v>0</v>
      </c>
      <c r="BK53" s="20">
        <f t="shared" si="7"/>
        <v>0</v>
      </c>
      <c r="BL53" s="20">
        <f t="shared" si="7"/>
        <v>0</v>
      </c>
      <c r="BM53" s="20">
        <f t="shared" si="7"/>
        <v>0</v>
      </c>
      <c r="BN53" s="20">
        <f t="shared" si="7"/>
        <v>0</v>
      </c>
      <c r="BO53" s="20">
        <f>IF(BO$2&gt;0,236,0)</f>
        <v>0</v>
      </c>
      <c r="BP53" s="20">
        <f t="shared" ref="BP53:BX53" si="8">IF(BP$2&gt;0,210,0)</f>
        <v>0</v>
      </c>
      <c r="BQ53" s="20">
        <f t="shared" si="8"/>
        <v>0</v>
      </c>
      <c r="BR53" s="20">
        <f t="shared" si="8"/>
        <v>0</v>
      </c>
      <c r="BS53" s="20">
        <f t="shared" si="8"/>
        <v>0</v>
      </c>
      <c r="BT53" s="20">
        <f t="shared" si="8"/>
        <v>0</v>
      </c>
      <c r="BU53" s="20">
        <f t="shared" si="8"/>
        <v>0</v>
      </c>
      <c r="BV53" s="20">
        <f t="shared" si="8"/>
        <v>0</v>
      </c>
      <c r="BW53" s="20">
        <f t="shared" si="8"/>
        <v>0</v>
      </c>
      <c r="BX53" s="20">
        <f t="shared" si="8"/>
        <v>0</v>
      </c>
      <c r="BY53" s="20">
        <f>IF(BY$2&gt;0,206,0)</f>
        <v>0</v>
      </c>
      <c r="BZ53" s="20">
        <f>IF(BZ$2&gt;0,210,0)</f>
        <v>0</v>
      </c>
      <c r="CA53" s="20">
        <f>IF(CA$2&gt;0,210,0)</f>
        <v>0</v>
      </c>
      <c r="CB53" s="20">
        <f>IF(CB$2&gt;0,208,0)</f>
        <v>0</v>
      </c>
      <c r="CC53" s="20">
        <f>IF(CC$2&gt;0,243,0)</f>
        <v>0</v>
      </c>
      <c r="CD53" s="20">
        <f>IF(CD$2&gt;0,210,0)</f>
        <v>0</v>
      </c>
      <c r="CE53" s="20">
        <f>IF(CE$2&gt;0,"?",0)</f>
        <v>0</v>
      </c>
      <c r="CF53" s="20">
        <f>IF(CF$2&gt;0,217,0)</f>
        <v>0</v>
      </c>
      <c r="CG53" s="20">
        <f>IF(CG$2&gt;0,199,0)</f>
        <v>0</v>
      </c>
      <c r="CH53" s="20">
        <f>IF(CH$2&gt;0,190,0)</f>
        <v>0</v>
      </c>
      <c r="CI53" s="20">
        <f>IF(CI$2&gt;0,190,0)</f>
        <v>0</v>
      </c>
      <c r="CJ53" s="20">
        <f>IF(CJ$2&gt;0,190,0)</f>
        <v>0</v>
      </c>
      <c r="CK53" s="20">
        <f>IF(CK$2&gt;0,190,0)</f>
        <v>0</v>
      </c>
      <c r="CL53" s="20">
        <f>IF(CL$2&gt;0,243,0)</f>
        <v>0</v>
      </c>
      <c r="CM53" s="20">
        <f>IF(CM$2&gt;0,210,0)</f>
        <v>0</v>
      </c>
      <c r="CN53" s="20">
        <f t="shared" ref="CN53:CW53" si="9">IF(CN$2&gt;0,243,0)</f>
        <v>0</v>
      </c>
      <c r="CO53" s="20">
        <f t="shared" si="9"/>
        <v>0</v>
      </c>
      <c r="CP53" s="20">
        <f t="shared" si="9"/>
        <v>0</v>
      </c>
      <c r="CQ53" s="20">
        <f t="shared" si="9"/>
        <v>0</v>
      </c>
      <c r="CR53" s="20">
        <f t="shared" si="9"/>
        <v>0</v>
      </c>
      <c r="CS53" s="20">
        <f t="shared" si="9"/>
        <v>0</v>
      </c>
      <c r="CT53" s="20">
        <f t="shared" si="9"/>
        <v>0</v>
      </c>
      <c r="CU53" s="20">
        <f t="shared" si="9"/>
        <v>0</v>
      </c>
      <c r="CV53" s="20">
        <f t="shared" si="9"/>
        <v>0</v>
      </c>
      <c r="CW53" s="20">
        <f t="shared" si="9"/>
        <v>0</v>
      </c>
      <c r="CX53" s="20">
        <f>IF(CX$2&gt;0,210,0)</f>
        <v>0</v>
      </c>
      <c r="CY53" s="20">
        <f>IF(CY$2&gt;0,199,0)</f>
        <v>0</v>
      </c>
      <c r="CZ53" s="20">
        <f>IF(CZ$2&gt;0,217,0)</f>
        <v>0</v>
      </c>
      <c r="DA53" s="20">
        <f>IF(DA$2&gt;0,156,0)</f>
        <v>0</v>
      </c>
      <c r="DB53" s="20">
        <f>IF(DB$2&gt;0,90,0)</f>
        <v>0</v>
      </c>
      <c r="DC53" s="20">
        <f>IF(DC$2&gt;0,100,0)</f>
        <v>0</v>
      </c>
      <c r="DD53" s="20">
        <f>IF(DD$2&gt;0,210,0)</f>
        <v>0</v>
      </c>
      <c r="DE53" s="20">
        <f>IF(DE$2&gt;0,210,0)</f>
        <v>0</v>
      </c>
      <c r="DF53" s="20">
        <f>IF(DF$2&gt;0,210,0)</f>
        <v>0</v>
      </c>
      <c r="DG53" s="20">
        <f>IF(DG$2&gt;0,216,0)</f>
        <v>0</v>
      </c>
      <c r="DH53" s="20">
        <f t="shared" ref="DH53:DO53" si="10">IF(DH$2&gt;0,190,0)</f>
        <v>0</v>
      </c>
      <c r="DI53" s="20">
        <f t="shared" si="10"/>
        <v>0</v>
      </c>
      <c r="DJ53" s="20">
        <f t="shared" si="10"/>
        <v>0</v>
      </c>
      <c r="DK53" s="20">
        <f t="shared" si="10"/>
        <v>0</v>
      </c>
      <c r="DL53" s="20">
        <f t="shared" si="10"/>
        <v>0</v>
      </c>
      <c r="DM53" s="20">
        <f t="shared" si="10"/>
        <v>0</v>
      </c>
      <c r="DN53" s="20">
        <f t="shared" si="10"/>
        <v>0</v>
      </c>
      <c r="DO53" s="20">
        <f t="shared" si="10"/>
        <v>0</v>
      </c>
      <c r="DP53" s="20">
        <f>IF(DP$2&gt;0,243,0)</f>
        <v>0</v>
      </c>
      <c r="DQ53" s="20">
        <f>IF(DQ$2&gt;0,210,0)</f>
        <v>0</v>
      </c>
      <c r="DR53" s="20">
        <f>IF(DR$2&gt;0,210,0)</f>
        <v>0</v>
      </c>
      <c r="DS53" s="20">
        <f>IF(DS$2&gt;0,190,0)</f>
        <v>0</v>
      </c>
      <c r="DT53" s="20">
        <f>IF(DT$2&gt;0,190,0)</f>
        <v>0</v>
      </c>
      <c r="DU53" s="20">
        <f>IF(DU$2&gt;0,190,0)</f>
        <v>0</v>
      </c>
      <c r="DV53" s="20">
        <f>IF(DV$2&gt;0,190,0)</f>
        <v>0</v>
      </c>
      <c r="DW53" s="20">
        <f>IF(DW$2&gt;0,210,0)</f>
        <v>0</v>
      </c>
      <c r="DX53" s="20">
        <f>IF(DX$2&gt;0,210,0)</f>
        <v>0</v>
      </c>
      <c r="DY53" s="20">
        <f>IF(DY$2&gt;0,210,0)</f>
        <v>0</v>
      </c>
      <c r="DZ53" s="20">
        <f>IF(DZ$2&gt;0,210,0)</f>
        <v>0</v>
      </c>
      <c r="EA53" s="20">
        <f>IF(EA$2&gt;0,75,0)</f>
        <v>0</v>
      </c>
      <c r="EB53" s="20">
        <f>IF(EB$2&gt;0,210,0)</f>
        <v>0</v>
      </c>
      <c r="EC53" s="20">
        <f>IF(EC$2&gt;0,56,0)</f>
        <v>0</v>
      </c>
      <c r="ED53" s="20">
        <f>IF(ED$2&gt;0,150,0)</f>
        <v>0</v>
      </c>
      <c r="EE53" s="20">
        <f>IF(EE$2&gt;0,210,0)</f>
        <v>0</v>
      </c>
      <c r="EF53" s="20">
        <f>IF(EF$2&gt;0,210,0)</f>
        <v>0</v>
      </c>
      <c r="EG53" s="20">
        <f>IF(EG$2&gt;0,190,0)</f>
        <v>0</v>
      </c>
      <c r="EH53" s="20">
        <f>IF(EH$2&gt;0,210,0)</f>
        <v>0</v>
      </c>
      <c r="EI53" s="20">
        <f>IF(EI$2&gt;0,210,0)</f>
        <v>0</v>
      </c>
      <c r="EJ53" s="20">
        <f>IF(EJ$2&gt;0,190,0)</f>
        <v>0</v>
      </c>
      <c r="EK53" s="20">
        <f>IF(EK$2&gt;0,190,0)</f>
        <v>0</v>
      </c>
      <c r="EL53" s="20">
        <f>IF(EL$2&gt;0,210,0)</f>
        <v>0</v>
      </c>
      <c r="EM53" s="20">
        <f>IF(EM$2&gt;0,210,0)</f>
        <v>0</v>
      </c>
      <c r="EN53" s="20">
        <f>IF(EN$2&gt;0,190,0)</f>
        <v>0</v>
      </c>
      <c r="EO53" s="20">
        <f>IF(EO$2&gt;0,210,0)</f>
        <v>0</v>
      </c>
      <c r="EP53" s="20">
        <f>IF(EP$2&gt;0,210,0)</f>
        <v>0</v>
      </c>
      <c r="EQ53" s="20">
        <f>IF(EQ$2&gt;0,190,0)</f>
        <v>0</v>
      </c>
      <c r="ER53" s="20">
        <f t="shared" ref="ER53:FA53" si="11">IF(ER$2&gt;0,210,0)</f>
        <v>0</v>
      </c>
      <c r="ES53" s="20">
        <f t="shared" si="11"/>
        <v>0</v>
      </c>
      <c r="ET53" s="20">
        <f t="shared" si="11"/>
        <v>0</v>
      </c>
      <c r="EU53" s="20">
        <f t="shared" si="11"/>
        <v>0</v>
      </c>
      <c r="EV53" s="20">
        <f t="shared" si="11"/>
        <v>0</v>
      </c>
      <c r="EW53" s="20">
        <f t="shared" si="11"/>
        <v>0</v>
      </c>
      <c r="EX53" s="20">
        <f>IF(EX$2&gt;0,0,0)</f>
        <v>0</v>
      </c>
      <c r="EY53" s="20">
        <f t="shared" si="11"/>
        <v>0</v>
      </c>
      <c r="EZ53" s="20">
        <f t="shared" si="11"/>
        <v>0</v>
      </c>
      <c r="FA53" s="20">
        <f t="shared" si="11"/>
        <v>0</v>
      </c>
      <c r="FB53" s="20">
        <f>IF(FB$2&gt;0,210,0)</f>
        <v>0</v>
      </c>
      <c r="FC53" s="20">
        <f>IF(FC$2&gt;0,210,0)</f>
        <v>0</v>
      </c>
      <c r="FD53" s="20">
        <f>IF(FD$2&gt;0,210,0)</f>
        <v>0</v>
      </c>
      <c r="FE53" s="20">
        <f>IF(FE$2&gt;0,210,0)</f>
        <v>0</v>
      </c>
      <c r="FF53" s="20">
        <f>IF(FF$2&gt;0,210,0)</f>
        <v>0</v>
      </c>
      <c r="FG53" s="20">
        <f>IF(FG$2&gt;0,187,0)</f>
        <v>0</v>
      </c>
      <c r="FH53" s="20">
        <f>IF(FH$2&gt;0,129,0)</f>
        <v>0</v>
      </c>
      <c r="FI53" s="20">
        <f>IF(FI$2&gt;0,18,0)</f>
        <v>0</v>
      </c>
      <c r="FJ53" s="20">
        <f>IF(FJ$2&gt;0,18,0)</f>
        <v>0</v>
      </c>
      <c r="FK53" s="20">
        <f>IF(FK$2&gt;0,18,0)</f>
        <v>0</v>
      </c>
      <c r="FL53" s="20">
        <f>IF(FL$2&gt;0,18,0)</f>
        <v>0</v>
      </c>
    </row>
    <row r="54" spans="1:266" x14ac:dyDescent="0.25">
      <c r="A54" s="27" t="s">
        <v>192</v>
      </c>
      <c r="B54" s="27" t="s">
        <v>190</v>
      </c>
      <c r="C54" s="28">
        <f>MAX(E54:FKS54)</f>
        <v>0</v>
      </c>
      <c r="D54" s="20">
        <f>IF(D$2&gt;0,14,0)</f>
        <v>0</v>
      </c>
      <c r="E54" s="20">
        <f>IF(E$2&gt;0,15,0)</f>
        <v>0</v>
      </c>
      <c r="F54" s="20">
        <f>IF(F$2&gt;0,51,0)</f>
        <v>0</v>
      </c>
      <c r="G54" s="20">
        <f>IF(G$2&gt;0,50,0)</f>
        <v>0</v>
      </c>
      <c r="H54" s="20">
        <f>IF(H$2&gt;0,92,0)</f>
        <v>0</v>
      </c>
      <c r="I54" s="20">
        <f>IF(I$2&gt;0,50,0)</f>
        <v>0</v>
      </c>
      <c r="J54" s="20">
        <f>IF(J$2&gt;0,188,0)</f>
        <v>0</v>
      </c>
      <c r="K54" s="20">
        <f>IF(K$2&gt;0,188,0)</f>
        <v>0</v>
      </c>
      <c r="L54" s="20">
        <f>IF(L$2&gt;0,70,0)</f>
        <v>0</v>
      </c>
      <c r="M54" s="20">
        <f>IF(M$2&gt;0,70,0)</f>
        <v>0</v>
      </c>
      <c r="N54" s="20">
        <f>IF(N$2&gt;0,92,0)</f>
        <v>0</v>
      </c>
      <c r="O54" s="20">
        <f>IF(O$2&gt;0,50,0)</f>
        <v>0</v>
      </c>
      <c r="P54" s="20">
        <f>IF(P$2&gt;0,50,0)</f>
        <v>0</v>
      </c>
      <c r="Q54" s="20">
        <f>IF(Q$2&gt;0,50,0)</f>
        <v>0</v>
      </c>
      <c r="R54" s="20">
        <f>IF(R$2&gt;0,50,0)</f>
        <v>0</v>
      </c>
      <c r="S54" s="20">
        <f>IF(S$2&gt;0,50,0)</f>
        <v>0</v>
      </c>
      <c r="T54" s="20">
        <f>IF(T$2&gt;0,15,0)</f>
        <v>0</v>
      </c>
      <c r="U54" s="20">
        <f>IF(U$2&gt;0,14,0)</f>
        <v>0</v>
      </c>
      <c r="V54" s="20">
        <f>IF(V$2&gt;0,50,0)</f>
        <v>0</v>
      </c>
      <c r="W54" s="20">
        <f>IF(W$2&gt;0,15,0)</f>
        <v>0</v>
      </c>
      <c r="X54" s="20">
        <f>IF(X$2&gt;0,92,0)</f>
        <v>0</v>
      </c>
      <c r="Y54" s="20">
        <f>IF(Y$2&gt;0,50,0)</f>
        <v>0</v>
      </c>
      <c r="Z54" s="20">
        <f>IF(Z$2&gt;0,85,0)</f>
        <v>0</v>
      </c>
      <c r="AA54" s="20">
        <f>IF(AA$2&gt;0,85,0)</f>
        <v>0</v>
      </c>
      <c r="AB54" s="20">
        <f>IF(AB$2&gt;0,85,0)</f>
        <v>0</v>
      </c>
      <c r="AC54" s="20">
        <f>IF(AC$2&gt;0,69,0)</f>
        <v>0</v>
      </c>
      <c r="AD54" s="20">
        <f>IF(AD$2&gt;0,69,0)</f>
        <v>0</v>
      </c>
      <c r="AE54" s="20">
        <f>IF(AE$2&gt;0,69,0)</f>
        <v>0</v>
      </c>
      <c r="AF54" s="20">
        <f>IF(AF$2&gt;0,92,0)</f>
        <v>0</v>
      </c>
      <c r="AG54" s="20">
        <f>IF(AG$2&gt;0,50,0)</f>
        <v>0</v>
      </c>
      <c r="AH54" s="20">
        <f>IF(AH$2&gt;0,70,0)</f>
        <v>0</v>
      </c>
      <c r="AI54" s="20">
        <f>IF(AI$2&gt;0,50,0)</f>
        <v>0</v>
      </c>
      <c r="AJ54" s="20">
        <f>IF(AJ$2&gt;0,50,0)</f>
        <v>0</v>
      </c>
      <c r="AK54" s="20">
        <f>IF(AK$2&gt;0,15,0)</f>
        <v>0</v>
      </c>
      <c r="AL54" s="20">
        <f>IF(AL$2&gt;0,14,0)</f>
        <v>0</v>
      </c>
      <c r="AM54" s="20">
        <f>IF(AM$2&gt;0,92,0)</f>
        <v>0</v>
      </c>
      <c r="AN54" s="20">
        <f>IF(AN$2&gt;0,70,0)</f>
        <v>0</v>
      </c>
      <c r="AO54" s="20">
        <f>IF(AO$2&gt;0,50,0)</f>
        <v>0</v>
      </c>
      <c r="AP54" s="20">
        <f>IF(AP$2&gt;0,186,0)</f>
        <v>0</v>
      </c>
      <c r="AQ54" s="20">
        <f t="shared" ref="AQ54:AX54" si="12">IF(AQ$2&gt;0,50,0)</f>
        <v>0</v>
      </c>
      <c r="AR54" s="20">
        <f t="shared" si="12"/>
        <v>0</v>
      </c>
      <c r="AS54" s="20">
        <f t="shared" si="12"/>
        <v>0</v>
      </c>
      <c r="AT54" s="20">
        <f t="shared" si="12"/>
        <v>0</v>
      </c>
      <c r="AU54" s="20">
        <f t="shared" si="12"/>
        <v>0</v>
      </c>
      <c r="AV54" s="20">
        <f t="shared" si="12"/>
        <v>0</v>
      </c>
      <c r="AW54" s="20">
        <f t="shared" si="12"/>
        <v>0</v>
      </c>
      <c r="AX54" s="20">
        <f t="shared" si="12"/>
        <v>0</v>
      </c>
      <c r="AY54" s="20">
        <f>IF(AY$2&gt;0,"50",0)</f>
        <v>0</v>
      </c>
      <c r="AZ54" s="20">
        <f>IF(AZ$2&gt;0,69,0)</f>
        <v>0</v>
      </c>
      <c r="BA54" s="20">
        <f>IF(BA$2&gt;0,92,0)</f>
        <v>0</v>
      </c>
      <c r="BB54" s="20">
        <f>IF(BB$2&gt;0,92,0)</f>
        <v>0</v>
      </c>
      <c r="BC54" s="20">
        <f>IF(BC$2&gt;0,92,0)</f>
        <v>0</v>
      </c>
      <c r="BD54" s="20">
        <f>IF(BD$2&gt;0,14,0)</f>
        <v>0</v>
      </c>
      <c r="BE54" s="20">
        <f>IF(BE$2&gt;0,188,0)</f>
        <v>0</v>
      </c>
      <c r="BF54" s="20">
        <f>IF(BF$2&gt;0,70,0)</f>
        <v>0</v>
      </c>
      <c r="BG54" s="20">
        <f>IF(BG$2&gt;0,158,0)</f>
        <v>0</v>
      </c>
      <c r="BH54" s="20">
        <f t="shared" ref="BH54:BO54" si="13">IF(BH$2&gt;0,50,0)</f>
        <v>0</v>
      </c>
      <c r="BI54" s="20">
        <f t="shared" si="13"/>
        <v>0</v>
      </c>
      <c r="BJ54" s="20">
        <f t="shared" si="13"/>
        <v>0</v>
      </c>
      <c r="BK54" s="20">
        <f t="shared" si="13"/>
        <v>0</v>
      </c>
      <c r="BL54" s="20">
        <f t="shared" si="13"/>
        <v>0</v>
      </c>
      <c r="BM54" s="20">
        <f t="shared" si="13"/>
        <v>0</v>
      </c>
      <c r="BN54" s="20">
        <f t="shared" si="13"/>
        <v>0</v>
      </c>
      <c r="BO54" s="20">
        <f t="shared" si="13"/>
        <v>0</v>
      </c>
      <c r="BP54" s="20">
        <f>IF(BP$2&gt;0,92,0)</f>
        <v>0</v>
      </c>
      <c r="BQ54" s="20">
        <f>IF(BQ$2&gt;0,50,0)</f>
        <v>0</v>
      </c>
      <c r="BR54" s="20">
        <f>IF(BR$2&gt;0,50,0)</f>
        <v>0</v>
      </c>
      <c r="BS54" s="20">
        <f>IF(BS$2&gt;0,70,0)</f>
        <v>0</v>
      </c>
      <c r="BT54" s="20">
        <f>IF(BT$2&gt;0,92,0)</f>
        <v>0</v>
      </c>
      <c r="BU54" s="20">
        <f>IF(BU$2&gt;0,92,0)</f>
        <v>0</v>
      </c>
      <c r="BV54" s="20">
        <f>IF(BV$2&gt;0,69,0)</f>
        <v>0</v>
      </c>
      <c r="BW54" s="20">
        <f>IF(BW$2&gt;0,69,0)</f>
        <v>0</v>
      </c>
      <c r="BX54" s="20">
        <f>IF(BX$2&gt;0,69,0)</f>
        <v>0</v>
      </c>
      <c r="BY54" s="20">
        <f>IF(BY$2&gt;0,69,0)</f>
        <v>0</v>
      </c>
      <c r="BZ54" s="20">
        <f>IF(BZ$2&gt;0,50,0)</f>
        <v>0</v>
      </c>
      <c r="CA54" s="20">
        <f>IF(CA$2&gt;0,108,0)</f>
        <v>0</v>
      </c>
      <c r="CB54" s="20">
        <f>IF(CB$2&gt;0,199,0)</f>
        <v>0</v>
      </c>
      <c r="CC54" s="20">
        <f>IF(CC$2&gt;0,14,0)</f>
        <v>0</v>
      </c>
      <c r="CD54" s="20">
        <f>IF(CD$2&gt;0,70,0)</f>
        <v>0</v>
      </c>
      <c r="CE54" s="20">
        <f>IF(CE$2&gt;0,"?",0)</f>
        <v>0</v>
      </c>
      <c r="CF54" s="20">
        <f>IF(CF$2&gt;0,14,0)</f>
        <v>0</v>
      </c>
      <c r="CG54" s="20">
        <f>IF(CG$2&gt;0,14,0)</f>
        <v>0</v>
      </c>
      <c r="CH54" s="20">
        <f>IF(CH$2&gt;0,92,0)</f>
        <v>0</v>
      </c>
      <c r="CI54" s="20">
        <f>IF(CI$2&gt;0,92,0)</f>
        <v>0</v>
      </c>
      <c r="CJ54" s="20">
        <f>IF(CJ$2&gt;0,70,0)</f>
        <v>0</v>
      </c>
      <c r="CK54" s="20">
        <f>IF(CK$2&gt;0,70,0)</f>
        <v>0</v>
      </c>
      <c r="CL54" s="20">
        <f>IF(CL$2&gt;0,14,0)</f>
        <v>0</v>
      </c>
      <c r="CM54" s="20">
        <f>IF(CM$2&gt;0,85,0)</f>
        <v>0</v>
      </c>
      <c r="CN54" s="20">
        <f t="shared" ref="CN54:CW54" si="14">IF(CN$2&gt;0,14,0)</f>
        <v>0</v>
      </c>
      <c r="CO54" s="20">
        <f t="shared" si="14"/>
        <v>0</v>
      </c>
      <c r="CP54" s="20">
        <f t="shared" si="14"/>
        <v>0</v>
      </c>
      <c r="CQ54" s="20">
        <f t="shared" si="14"/>
        <v>0</v>
      </c>
      <c r="CR54" s="20">
        <f t="shared" si="14"/>
        <v>0</v>
      </c>
      <c r="CS54" s="20">
        <f t="shared" si="14"/>
        <v>0</v>
      </c>
      <c r="CT54" s="20">
        <f t="shared" si="14"/>
        <v>0</v>
      </c>
      <c r="CU54" s="20">
        <f t="shared" si="14"/>
        <v>0</v>
      </c>
      <c r="CV54" s="20">
        <f t="shared" si="14"/>
        <v>0</v>
      </c>
      <c r="CW54" s="20">
        <f t="shared" si="14"/>
        <v>0</v>
      </c>
      <c r="CX54" s="20">
        <f>IF(CX$2&gt;0,380,0)</f>
        <v>0</v>
      </c>
      <c r="CY54" s="20">
        <f>IF(CY$2&gt;0,14,0)</f>
        <v>0</v>
      </c>
      <c r="CZ54" s="20">
        <f>IF(CZ$2&gt;0,"14",0)</f>
        <v>0</v>
      </c>
      <c r="DA54" s="20">
        <f>IF(DA$2&gt;0,BT54+127,0)</f>
        <v>0</v>
      </c>
      <c r="DB54" s="20">
        <f>IF(DB$2&gt;0,BR54+90,0)</f>
        <v>0</v>
      </c>
      <c r="DC54" s="20">
        <f>IF(DC$2&gt;0,24+BM54,0)</f>
        <v>0</v>
      </c>
      <c r="DD54" s="20">
        <f>IF(DD$2&gt;0,70,0)</f>
        <v>0</v>
      </c>
      <c r="DE54" s="20">
        <f>IF(DE$2&gt;0,70,0)</f>
        <v>0</v>
      </c>
      <c r="DF54" s="20">
        <f>IF(DF$2&gt;0,50,0)</f>
        <v>0</v>
      </c>
      <c r="DG54" s="20">
        <f>IF(DG$2&gt;0,70,0)</f>
        <v>0</v>
      </c>
      <c r="DH54" s="20">
        <f>IF(DH$2&gt;0,70,0)</f>
        <v>0</v>
      </c>
      <c r="DI54" s="20">
        <f>IF(DI$2&gt;0,148,0)</f>
        <v>0</v>
      </c>
      <c r="DJ54" s="20">
        <f>IF(DJ$2&gt;0,70,0)</f>
        <v>0</v>
      </c>
      <c r="DK54" s="20">
        <f>IF(DK$2&gt;0,92,0)</f>
        <v>0</v>
      </c>
      <c r="DL54" s="20">
        <f>IF(DL$2&gt;0,92,0)</f>
        <v>0</v>
      </c>
      <c r="DM54" s="20">
        <f>IF(DM$2&gt;0,100,0)</f>
        <v>0</v>
      </c>
      <c r="DN54" s="20">
        <f>IF(DN$2&gt;0,190,0)</f>
        <v>0</v>
      </c>
      <c r="DO54" s="20">
        <f>IF(DO$2&gt;0,186,0)</f>
        <v>0</v>
      </c>
      <c r="DP54" s="20">
        <f>IF(DP$2&gt;0,14,0)</f>
        <v>0</v>
      </c>
      <c r="DQ54" s="20">
        <f>IF(DQ$2&gt;0,70,0)</f>
        <v>0</v>
      </c>
      <c r="DR54" s="20">
        <f>IF(DR$2&gt;0,69,0)</f>
        <v>0</v>
      </c>
      <c r="DS54" s="20">
        <f t="shared" ref="DS54:DY54" si="15">IF(DS$2&gt;0,70,0)</f>
        <v>0</v>
      </c>
      <c r="DT54" s="20">
        <f t="shared" si="15"/>
        <v>0</v>
      </c>
      <c r="DU54" s="20">
        <f t="shared" si="15"/>
        <v>0</v>
      </c>
      <c r="DV54" s="20">
        <f t="shared" si="15"/>
        <v>0</v>
      </c>
      <c r="DW54" s="20">
        <f t="shared" si="15"/>
        <v>0</v>
      </c>
      <c r="DX54" s="20">
        <f t="shared" si="15"/>
        <v>0</v>
      </c>
      <c r="DY54" s="20">
        <f t="shared" si="15"/>
        <v>0</v>
      </c>
      <c r="DZ54" s="20">
        <f>IF(DZ$2&gt;0,69,0)</f>
        <v>0</v>
      </c>
      <c r="EA54" s="20">
        <f>IF(EA$2&gt;0,BM54+23,0)</f>
        <v>0</v>
      </c>
      <c r="EB54" s="20">
        <f>IF(EB$2&gt;0,70,0)</f>
        <v>0</v>
      </c>
      <c r="EC54" s="20">
        <f>IF(EC$2&gt;0,28,0)</f>
        <v>0</v>
      </c>
      <c r="ED54" s="20">
        <f>IF(ED$2&gt;0,BU54+15,0)</f>
        <v>0</v>
      </c>
      <c r="EE54" s="20">
        <f>IF(EE$2&gt;0,70,0)</f>
        <v>0</v>
      </c>
      <c r="EF54" s="20">
        <f>IF(EF$2&gt;0,70,0)</f>
        <v>0</v>
      </c>
      <c r="EG54" s="20">
        <f>IF(EG$2&gt;0,70,0)</f>
        <v>0</v>
      </c>
      <c r="EH54" s="20">
        <f>IF(EH$2&gt;0,50,0)</f>
        <v>0</v>
      </c>
      <c r="EI54" s="20">
        <f>IF(EI$2&gt;0,50,0)</f>
        <v>0</v>
      </c>
      <c r="EJ54" s="20">
        <f t="shared" ref="EJ54:EP54" si="16">IF(EJ$2&gt;0,70,0)</f>
        <v>0</v>
      </c>
      <c r="EK54" s="20">
        <f t="shared" si="16"/>
        <v>0</v>
      </c>
      <c r="EL54" s="20">
        <f t="shared" si="16"/>
        <v>0</v>
      </c>
      <c r="EM54" s="20">
        <f t="shared" si="16"/>
        <v>0</v>
      </c>
      <c r="EN54" s="20">
        <f t="shared" si="16"/>
        <v>0</v>
      </c>
      <c r="EO54" s="20">
        <f t="shared" si="16"/>
        <v>0</v>
      </c>
      <c r="EP54" s="20">
        <f t="shared" si="16"/>
        <v>0</v>
      </c>
      <c r="EQ54" s="20">
        <f>IF(EQ$2&gt;0,"70",0)</f>
        <v>0</v>
      </c>
      <c r="ER54" s="20">
        <f>IF(ER$2&gt;0,70,0)</f>
        <v>0</v>
      </c>
      <c r="ES54" s="20">
        <f>IF(ES$2&gt;0,92,0)</f>
        <v>0</v>
      </c>
      <c r="ET54" s="20">
        <f>IF(ET$2&gt;0,70,0)</f>
        <v>0</v>
      </c>
      <c r="EU54" s="20">
        <f>IF(EU$2&gt;0,70,0)</f>
        <v>0</v>
      </c>
      <c r="EV54" s="20">
        <f>IF(EV$2&gt;0,70,0)</f>
        <v>0</v>
      </c>
      <c r="EW54" s="20">
        <f>IF(EW$2&gt;0,50,0)</f>
        <v>0</v>
      </c>
      <c r="EX54" s="20">
        <f>IF(EX$2&gt;0,0,0)</f>
        <v>0</v>
      </c>
      <c r="EY54" s="20">
        <f>IF(EY$2&gt;0,50,0)</f>
        <v>0</v>
      </c>
      <c r="EZ54" s="20">
        <f>IF(EZ$2&gt;0,50,0)</f>
        <v>0</v>
      </c>
      <c r="FA54" s="20">
        <f>IF(FA$2&gt;0,50,0)</f>
        <v>0</v>
      </c>
      <c r="FB54" s="20">
        <f>IF(FB$2&gt;0,70,0)</f>
        <v>0</v>
      </c>
      <c r="FC54" s="20">
        <f>IF(FC$2&gt;0,70,0)</f>
        <v>0</v>
      </c>
      <c r="FD54" s="20">
        <f>IF(FD$2&gt;0,105,0)</f>
        <v>0</v>
      </c>
      <c r="FE54" s="20">
        <f>IF(FE$2&gt;0,105,0)</f>
        <v>0</v>
      </c>
      <c r="FF54" s="20">
        <f>IF(FF$2&gt;0,105,0)</f>
        <v>0</v>
      </c>
      <c r="FG54" s="20">
        <f>IF(FG$2&gt;0,97,0)</f>
        <v>0</v>
      </c>
      <c r="FH54" s="20">
        <f>IF(FH$2&gt;0,22,0)</f>
        <v>0</v>
      </c>
      <c r="FI54" s="20">
        <f>IF(FI$2&gt;0,1,0)</f>
        <v>0</v>
      </c>
      <c r="FJ54" s="20">
        <f>IF(FJ$2&gt;0,1,0)</f>
        <v>0</v>
      </c>
      <c r="FK54" s="20">
        <f>IF(FK$2&gt;0,1,0)</f>
        <v>0</v>
      </c>
      <c r="FL54" s="20">
        <f>IF(FL$2&gt;0,1,0)</f>
        <v>0</v>
      </c>
    </row>
    <row r="55" spans="1:266" ht="15.75" customHeight="1" thickBot="1" x14ac:dyDescent="0.3">
      <c r="A55" s="19" t="s">
        <v>193</v>
      </c>
      <c r="C55" s="41"/>
    </row>
    <row r="56" spans="1:266" ht="15.75" customHeight="1" thickBot="1" x14ac:dyDescent="0.3">
      <c r="A56" s="1" t="s">
        <v>180</v>
      </c>
      <c r="B56" s="5" t="s">
        <v>168</v>
      </c>
      <c r="C56" s="36">
        <f t="shared" ref="C56:C92" si="17">SUM(D56:HQ56)*1</f>
        <v>0</v>
      </c>
      <c r="D56" s="20">
        <f>0.4*D2</f>
        <v>0</v>
      </c>
      <c r="E56" s="20">
        <f>0.5*E2</f>
        <v>0</v>
      </c>
      <c r="F56" s="20">
        <f>0.2*F2</f>
        <v>0</v>
      </c>
      <c r="G56" s="20">
        <f>0.2*G2</f>
        <v>0</v>
      </c>
      <c r="H56" s="20">
        <f>0.4*H2</f>
        <v>0</v>
      </c>
      <c r="I56" s="20">
        <f>0.2*I2</f>
        <v>0</v>
      </c>
      <c r="J56" s="20">
        <f>0.2*J2</f>
        <v>0</v>
      </c>
      <c r="K56" s="20">
        <f>0.3*K2</f>
        <v>0</v>
      </c>
      <c r="L56" s="20">
        <f>0.2*L2</f>
        <v>0</v>
      </c>
      <c r="M56" s="20">
        <f>0.2*M2</f>
        <v>0</v>
      </c>
      <c r="N56" s="20">
        <f>0.3*N2</f>
        <v>0</v>
      </c>
      <c r="O56" s="20">
        <f>0.2*O2</f>
        <v>0</v>
      </c>
      <c r="P56" s="20">
        <f>0.2*P2</f>
        <v>0</v>
      </c>
      <c r="Q56" s="20">
        <f>0.3*Q2</f>
        <v>0</v>
      </c>
      <c r="R56" s="20">
        <f>0.3*R2</f>
        <v>0</v>
      </c>
      <c r="S56" s="20">
        <f>0.2*S2</f>
        <v>0</v>
      </c>
      <c r="T56" s="20">
        <f>0.4*T2</f>
        <v>0</v>
      </c>
      <c r="V56" s="20">
        <f>0.2*V2</f>
        <v>0</v>
      </c>
      <c r="W56" s="20">
        <f>0.4*W2</f>
        <v>0</v>
      </c>
      <c r="X56" s="20">
        <f>0.3*X2</f>
        <v>0</v>
      </c>
      <c r="Y56" s="20">
        <f>0.3*Y2</f>
        <v>0</v>
      </c>
      <c r="Z56" s="20">
        <f>0.2*Z2</f>
        <v>0</v>
      </c>
      <c r="AA56" s="20">
        <f>0.2*AA2</f>
        <v>0</v>
      </c>
      <c r="AB56" s="20">
        <f>0.2*AB2</f>
        <v>0</v>
      </c>
      <c r="AC56" s="20">
        <f>0.2*AC2</f>
        <v>0</v>
      </c>
      <c r="AD56" s="20">
        <f>0.2*AD2</f>
        <v>0</v>
      </c>
      <c r="AE56" s="20">
        <f>0.2*AE2</f>
        <v>0</v>
      </c>
      <c r="AF56" s="20">
        <f>0.3*AF2</f>
        <v>0</v>
      </c>
      <c r="AG56" s="20">
        <f>0.2*AG2</f>
        <v>0</v>
      </c>
      <c r="AH56" s="20">
        <f>0.2*AH2</f>
        <v>0</v>
      </c>
      <c r="AI56" s="20">
        <f>0.2*AI2</f>
        <v>0</v>
      </c>
      <c r="AJ56" s="20">
        <f>0.2*AJ2</f>
        <v>0</v>
      </c>
      <c r="AK56" s="20">
        <f>0.4*AK2</f>
        <v>0</v>
      </c>
      <c r="AL56" s="20">
        <f>0.4*AL2</f>
        <v>0</v>
      </c>
      <c r="AM56" s="20">
        <f>0.3*AM2</f>
        <v>0</v>
      </c>
      <c r="AN56" s="20">
        <f>0.2*AN2</f>
        <v>0</v>
      </c>
      <c r="AO56" s="20">
        <f>0.3*AO2</f>
        <v>0</v>
      </c>
      <c r="AP56" s="20">
        <f>0.2*AP2</f>
        <v>0</v>
      </c>
      <c r="AQ56" s="20">
        <f>0.2*AQ2</f>
        <v>0</v>
      </c>
      <c r="AR56" s="20">
        <f>0.2*AR2</f>
        <v>0</v>
      </c>
      <c r="AS56" s="20">
        <f>0.2*AS2</f>
        <v>0</v>
      </c>
      <c r="AT56" s="20">
        <f>0.3*AT2</f>
        <v>0</v>
      </c>
      <c r="AU56" s="20">
        <f>0.4*AU2</f>
        <v>0</v>
      </c>
      <c r="AV56" s="20">
        <f>0.2*AV2</f>
        <v>0</v>
      </c>
      <c r="AW56" s="20">
        <f>0.2*AW2</f>
        <v>0</v>
      </c>
      <c r="AX56" s="20">
        <f>0.2*AX2</f>
        <v>0</v>
      </c>
      <c r="AY56" s="20">
        <f>0.2*AY2</f>
        <v>0</v>
      </c>
      <c r="AZ56" s="20">
        <f>0.2*AZ2</f>
        <v>0</v>
      </c>
      <c r="BA56" s="20">
        <f>0.3*BA2</f>
        <v>0</v>
      </c>
      <c r="BB56" s="20">
        <f>0.3*BB2</f>
        <v>0</v>
      </c>
      <c r="BC56" s="20">
        <f>0.3*BC2</f>
        <v>0</v>
      </c>
      <c r="BE56" s="20">
        <f>0.2*BE2</f>
        <v>0</v>
      </c>
      <c r="BF56" s="20">
        <f>0.3*BF2</f>
        <v>0</v>
      </c>
      <c r="BG56" s="20">
        <f>0.3*BG2</f>
        <v>0</v>
      </c>
      <c r="BH56" s="20">
        <f>0.3*BH2</f>
        <v>0</v>
      </c>
      <c r="BI56" s="20">
        <f>0.3*BI2</f>
        <v>0</v>
      </c>
      <c r="BJ56" s="20">
        <f>0.2*BJ2</f>
        <v>0</v>
      </c>
      <c r="BK56" s="20">
        <f>0.3*BK2</f>
        <v>0</v>
      </c>
      <c r="BL56" s="20">
        <f>0.3*BL2</f>
        <v>0</v>
      </c>
      <c r="BM56" s="20">
        <f>0.2*BM2</f>
        <v>0</v>
      </c>
      <c r="BN56" s="20">
        <f>0.2*BN2</f>
        <v>0</v>
      </c>
      <c r="BO56" s="20">
        <f>0.3*BO2</f>
        <v>0</v>
      </c>
      <c r="BP56" s="20">
        <f>0.4*BP2</f>
        <v>0</v>
      </c>
      <c r="BQ56" s="20">
        <f>0.4*BQ2</f>
        <v>0</v>
      </c>
      <c r="BR56" s="20">
        <f>0.3*BR2</f>
        <v>0</v>
      </c>
      <c r="BS56" s="20">
        <f>0.2*BS2</f>
        <v>0</v>
      </c>
      <c r="BT56" s="20">
        <f>0.4*BT2</f>
        <v>0</v>
      </c>
      <c r="BU56" s="20">
        <f>0.3*BU2</f>
        <v>0</v>
      </c>
      <c r="BV56" s="20">
        <f>0.2*BV2</f>
        <v>0</v>
      </c>
      <c r="BW56" s="20">
        <f>0.2*BW2</f>
        <v>0</v>
      </c>
      <c r="BX56" s="20">
        <f>0.2*BX2</f>
        <v>0</v>
      </c>
      <c r="BY56" s="20">
        <f>0.2*BY2</f>
        <v>0</v>
      </c>
      <c r="BZ56" s="20">
        <f>0.3*BZ2</f>
        <v>0</v>
      </c>
      <c r="CA56" s="20">
        <f>0.3*CA2</f>
        <v>0</v>
      </c>
      <c r="CB56" s="20">
        <f>0.3*CB2</f>
        <v>0</v>
      </c>
      <c r="CC56" s="20">
        <f>0.5*CC2</f>
        <v>0</v>
      </c>
      <c r="CD56" s="20">
        <f>0.2*CD2</f>
        <v>0</v>
      </c>
      <c r="CE56" s="20">
        <f>0.2*CE2</f>
        <v>0</v>
      </c>
      <c r="CF56" s="20">
        <f>0.4*CF2</f>
        <v>0</v>
      </c>
      <c r="CG56" s="20">
        <f>0.4*CG2</f>
        <v>0</v>
      </c>
      <c r="CH56" s="20">
        <f>0.4*CH2</f>
        <v>0</v>
      </c>
      <c r="CI56" s="20">
        <f>0.4*CI2</f>
        <v>0</v>
      </c>
      <c r="CJ56" s="20">
        <f>0.4*CJ2</f>
        <v>0</v>
      </c>
      <c r="CK56" s="20">
        <f>0.4*CK2</f>
        <v>0</v>
      </c>
      <c r="CM56" s="20">
        <f>0.4*CM2</f>
        <v>0</v>
      </c>
      <c r="CN56" s="20">
        <f>0.4*CN2</f>
        <v>0</v>
      </c>
      <c r="CO56" s="20">
        <f>0.4*CO2</f>
        <v>0</v>
      </c>
      <c r="CQ56" s="20">
        <f>0.4*CQ2</f>
        <v>0</v>
      </c>
      <c r="CR56" s="20">
        <f>0.4*CR2</f>
        <v>0</v>
      </c>
      <c r="CS56" s="20">
        <f>0.4*CS2</f>
        <v>0</v>
      </c>
      <c r="CT56" s="20">
        <f>0.4*CT2</f>
        <v>0</v>
      </c>
      <c r="CU56" s="20">
        <f>0.4*CU2</f>
        <v>0</v>
      </c>
      <c r="DA56" s="20">
        <f>0.2*DA2</f>
        <v>0</v>
      </c>
      <c r="DB56" s="20">
        <f>0.2*DB2</f>
        <v>0</v>
      </c>
      <c r="DC56" s="20">
        <f>0.2*DC2</f>
        <v>0</v>
      </c>
      <c r="DD56" s="20">
        <f>0.2*DD2</f>
        <v>0</v>
      </c>
      <c r="DE56" s="20">
        <f>0.2*DE2</f>
        <v>0</v>
      </c>
      <c r="ES56" s="20">
        <f>0.3*ES2</f>
        <v>0</v>
      </c>
      <c r="ET56" s="20">
        <f>0.2*ET2</f>
        <v>0</v>
      </c>
      <c r="EU56" s="20">
        <f>0.2*EU2</f>
        <v>0</v>
      </c>
      <c r="EV56" s="20">
        <f>0.2*EV2</f>
        <v>0</v>
      </c>
      <c r="EW56" s="20">
        <f>0.2*EW2</f>
        <v>0</v>
      </c>
      <c r="EY56" s="20">
        <f>0.2*EY2</f>
        <v>0</v>
      </c>
      <c r="EZ56" s="20">
        <f>0.2*EZ2</f>
        <v>0</v>
      </c>
      <c r="FA56" s="20">
        <f>0.2*FA2</f>
        <v>0</v>
      </c>
      <c r="FB56" s="20">
        <f>0.2*FB2</f>
        <v>0</v>
      </c>
      <c r="FC56" s="20">
        <f>0.2*FC2</f>
        <v>0</v>
      </c>
      <c r="FD56" s="20">
        <f>0.2*FD2</f>
        <v>0</v>
      </c>
      <c r="FE56" s="20">
        <f>0.2*FE2</f>
        <v>0</v>
      </c>
      <c r="FF56" s="20">
        <f>0.2*FF2</f>
        <v>0</v>
      </c>
      <c r="FG56" s="20">
        <f>0.2*FG2</f>
        <v>0</v>
      </c>
      <c r="FH56" s="20">
        <f>0.2*FH2</f>
        <v>0</v>
      </c>
    </row>
    <row r="57" spans="1:266" ht="15.75" customHeight="1" thickBot="1" x14ac:dyDescent="0.3">
      <c r="A57" s="9" t="s">
        <v>311</v>
      </c>
      <c r="B57" s="4" t="s">
        <v>177</v>
      </c>
      <c r="C57" s="36">
        <f t="shared" ref="C57" si="18">SUM(D57:HQ57)*1</f>
        <v>0</v>
      </c>
      <c r="FG57" s="20">
        <f>1*FG2</f>
        <v>0</v>
      </c>
    </row>
    <row r="58" spans="1:266" ht="15.75" customHeight="1" thickBot="1" x14ac:dyDescent="0.3">
      <c r="A58" s="9" t="s">
        <v>312</v>
      </c>
      <c r="B58" s="4" t="s">
        <v>177</v>
      </c>
      <c r="C58" s="36">
        <f t="shared" ref="C58" si="19">SUM(D58:HQ58)*1</f>
        <v>0</v>
      </c>
      <c r="FH58" s="20">
        <f>1*FH2</f>
        <v>0</v>
      </c>
    </row>
    <row r="59" spans="1:266" ht="15.75" customHeight="1" thickBot="1" x14ac:dyDescent="0.3">
      <c r="A59" s="9" t="s">
        <v>194</v>
      </c>
      <c r="B59" s="4" t="s">
        <v>177</v>
      </c>
      <c r="C59" s="36">
        <f t="shared" si="17"/>
        <v>0</v>
      </c>
      <c r="O59" s="20">
        <f>1*O2</f>
        <v>0</v>
      </c>
      <c r="V59" s="20">
        <f>1*V2</f>
        <v>0</v>
      </c>
      <c r="BM59" s="20">
        <f>1*BM2</f>
        <v>0</v>
      </c>
      <c r="EW59" s="20">
        <f>1*EW2</f>
        <v>0</v>
      </c>
      <c r="EZ59" s="20">
        <f>1*EZ2</f>
        <v>0</v>
      </c>
    </row>
    <row r="60" spans="1:266" ht="15.75" customHeight="1" thickBot="1" x14ac:dyDescent="0.3">
      <c r="A60" s="9" t="s">
        <v>294</v>
      </c>
      <c r="B60" s="4" t="s">
        <v>177</v>
      </c>
      <c r="C60" s="36">
        <f t="shared" ref="C60" si="20">SUM(D60:HQ60)*1</f>
        <v>0</v>
      </c>
      <c r="FB60" s="20">
        <f>1*FB2</f>
        <v>0</v>
      </c>
    </row>
    <row r="61" spans="1:266" ht="15.75" customHeight="1" thickBot="1" x14ac:dyDescent="0.3">
      <c r="A61" s="9" t="s">
        <v>296</v>
      </c>
      <c r="B61" s="4" t="s">
        <v>177</v>
      </c>
      <c r="C61" s="36">
        <f t="shared" ref="C61" si="21">SUM(D61:HQ61)*1</f>
        <v>0</v>
      </c>
      <c r="FC61" s="20">
        <f>1*FC2</f>
        <v>0</v>
      </c>
    </row>
    <row r="62" spans="1:266" ht="15.75" customHeight="1" thickBot="1" x14ac:dyDescent="0.3">
      <c r="A62" s="9" t="s">
        <v>298</v>
      </c>
      <c r="B62" s="4" t="s">
        <v>177</v>
      </c>
      <c r="C62" s="36">
        <f t="shared" ref="C62" si="22">SUM(D62:HQ62)*1</f>
        <v>0</v>
      </c>
      <c r="FD62" s="20">
        <f>1*FD2</f>
        <v>0</v>
      </c>
    </row>
    <row r="63" spans="1:266" ht="15.75" customHeight="1" thickBot="1" x14ac:dyDescent="0.3">
      <c r="A63" s="1" t="s">
        <v>195</v>
      </c>
      <c r="B63" s="5" t="s">
        <v>177</v>
      </c>
      <c r="C63" s="36">
        <f t="shared" si="17"/>
        <v>0</v>
      </c>
      <c r="BV63" s="20">
        <f>1*BV2</f>
        <v>0</v>
      </c>
      <c r="BW63" s="20">
        <f>1*BW2</f>
        <v>0</v>
      </c>
      <c r="BX63" s="20">
        <f>1*BX2</f>
        <v>0</v>
      </c>
      <c r="BY63" s="20">
        <f>1*BY2</f>
        <v>0</v>
      </c>
    </row>
    <row r="64" spans="1:266" ht="15.75" customHeight="1" thickBot="1" x14ac:dyDescent="0.3">
      <c r="A64" s="1" t="s">
        <v>196</v>
      </c>
      <c r="B64" s="5" t="s">
        <v>177</v>
      </c>
      <c r="C64" s="36">
        <f t="shared" si="17"/>
        <v>0</v>
      </c>
      <c r="M64" s="20">
        <f>1*M2</f>
        <v>0</v>
      </c>
    </row>
    <row r="65" spans="1:155" ht="15.75" customHeight="1" thickBot="1" x14ac:dyDescent="0.3">
      <c r="A65" s="1" t="s">
        <v>197</v>
      </c>
      <c r="B65" s="5" t="s">
        <v>177</v>
      </c>
      <c r="C65" s="36">
        <f t="shared" si="17"/>
        <v>0</v>
      </c>
      <c r="P65" s="20">
        <f>1*P2</f>
        <v>0</v>
      </c>
    </row>
    <row r="66" spans="1:155" ht="15.75" customHeight="1" thickBot="1" x14ac:dyDescent="0.3">
      <c r="A66" s="1" t="s">
        <v>198</v>
      </c>
      <c r="B66" s="5" t="s">
        <v>177</v>
      </c>
      <c r="C66" s="36">
        <f t="shared" si="17"/>
        <v>0</v>
      </c>
      <c r="BJ66" s="20">
        <f>1*BJ2</f>
        <v>0</v>
      </c>
    </row>
    <row r="67" spans="1:155" ht="15.75" customHeight="1" thickBot="1" x14ac:dyDescent="0.3">
      <c r="A67" s="1" t="s">
        <v>199</v>
      </c>
      <c r="B67" s="5" t="s">
        <v>177</v>
      </c>
      <c r="C67" s="36">
        <f t="shared" si="17"/>
        <v>0</v>
      </c>
      <c r="AH67" s="20">
        <f>1*AH2</f>
        <v>0</v>
      </c>
      <c r="AI67" s="20">
        <f>1*AI2</f>
        <v>0</v>
      </c>
      <c r="AJ67" s="20">
        <f>1*AJ2</f>
        <v>0</v>
      </c>
      <c r="EV67" s="20">
        <f>1*EV2</f>
        <v>0</v>
      </c>
      <c r="EY67" s="20">
        <f>1*EY2</f>
        <v>0</v>
      </c>
    </row>
    <row r="68" spans="1:155" ht="15.75" customHeight="1" thickBot="1" x14ac:dyDescent="0.3">
      <c r="A68" s="1" t="s">
        <v>200</v>
      </c>
      <c r="B68" s="5" t="s">
        <v>177</v>
      </c>
      <c r="C68" s="36">
        <f t="shared" si="17"/>
        <v>0</v>
      </c>
      <c r="CH68" s="20">
        <f>1*CH2</f>
        <v>0</v>
      </c>
    </row>
    <row r="69" spans="1:155" ht="15.75" customHeight="1" thickBot="1" x14ac:dyDescent="0.3">
      <c r="A69" s="1" t="s">
        <v>201</v>
      </c>
      <c r="B69" s="5" t="s">
        <v>177</v>
      </c>
      <c r="C69" s="36">
        <f t="shared" si="17"/>
        <v>0</v>
      </c>
      <c r="BT69" s="20">
        <f>1*BT2</f>
        <v>0</v>
      </c>
    </row>
    <row r="70" spans="1:155" ht="15.75" customHeight="1" thickBot="1" x14ac:dyDescent="0.3">
      <c r="A70" s="1" t="s">
        <v>202</v>
      </c>
      <c r="B70" s="5" t="s">
        <v>177</v>
      </c>
      <c r="C70" s="36">
        <f t="shared" si="17"/>
        <v>0</v>
      </c>
      <c r="H70" s="20">
        <f>1*H2</f>
        <v>0</v>
      </c>
    </row>
    <row r="71" spans="1:155" ht="15.75" customHeight="1" thickBot="1" x14ac:dyDescent="0.3">
      <c r="A71" s="1" t="s">
        <v>203</v>
      </c>
      <c r="B71" s="5" t="s">
        <v>177</v>
      </c>
      <c r="C71" s="36">
        <f t="shared" si="17"/>
        <v>0</v>
      </c>
      <c r="BR71" s="20">
        <f>1*BR2</f>
        <v>0</v>
      </c>
    </row>
    <row r="72" spans="1:155" ht="15.75" customHeight="1" thickBot="1" x14ac:dyDescent="0.3">
      <c r="A72" s="30" t="s">
        <v>204</v>
      </c>
      <c r="B72" s="5" t="s">
        <v>177</v>
      </c>
      <c r="C72" s="36">
        <f t="shared" si="17"/>
        <v>0</v>
      </c>
      <c r="AC72" s="20">
        <f>1*AC2</f>
        <v>0</v>
      </c>
      <c r="AD72" s="20">
        <f>1*AD2</f>
        <v>0</v>
      </c>
      <c r="AE72" s="20">
        <f>1*AE2</f>
        <v>0</v>
      </c>
    </row>
    <row r="73" spans="1:155" ht="15.75" customHeight="1" thickBot="1" x14ac:dyDescent="0.3">
      <c r="A73" s="30" t="s">
        <v>205</v>
      </c>
      <c r="B73" s="5" t="s">
        <v>177</v>
      </c>
      <c r="C73" s="36">
        <f t="shared" si="17"/>
        <v>0</v>
      </c>
      <c r="AT73" s="20">
        <f>1*AT2</f>
        <v>0</v>
      </c>
    </row>
    <row r="74" spans="1:155" ht="15.75" customHeight="1" thickBot="1" x14ac:dyDescent="0.3">
      <c r="A74" s="30" t="s">
        <v>206</v>
      </c>
      <c r="B74" s="5" t="s">
        <v>177</v>
      </c>
      <c r="C74" s="36">
        <f t="shared" si="17"/>
        <v>0</v>
      </c>
      <c r="AV74" s="20">
        <f>1*AV2</f>
        <v>0</v>
      </c>
    </row>
    <row r="75" spans="1:155" ht="15.75" customHeight="1" thickBot="1" x14ac:dyDescent="0.3">
      <c r="A75" s="30" t="s">
        <v>207</v>
      </c>
      <c r="B75" s="5" t="s">
        <v>177</v>
      </c>
      <c r="C75" s="36">
        <f t="shared" si="17"/>
        <v>0</v>
      </c>
      <c r="AW75" s="20">
        <f>1*AW2</f>
        <v>0</v>
      </c>
    </row>
    <row r="76" spans="1:155" ht="15.75" customHeight="1" thickBot="1" x14ac:dyDescent="0.3">
      <c r="A76" s="30" t="s">
        <v>208</v>
      </c>
      <c r="B76" s="5" t="s">
        <v>177</v>
      </c>
      <c r="C76" s="36">
        <f t="shared" si="17"/>
        <v>0</v>
      </c>
      <c r="AX76" s="20">
        <f>1*AX2</f>
        <v>0</v>
      </c>
    </row>
    <row r="77" spans="1:155" ht="15.75" customHeight="1" thickBot="1" x14ac:dyDescent="0.3">
      <c r="A77" s="30" t="s">
        <v>209</v>
      </c>
      <c r="B77" s="5" t="s">
        <v>177</v>
      </c>
      <c r="C77" s="36">
        <f t="shared" si="17"/>
        <v>0</v>
      </c>
      <c r="AY77" s="20">
        <f>1*AY2</f>
        <v>0</v>
      </c>
    </row>
    <row r="78" spans="1:155" ht="15.75" customHeight="1" thickBot="1" x14ac:dyDescent="0.3">
      <c r="A78" s="30" t="s">
        <v>210</v>
      </c>
      <c r="B78" s="5" t="s">
        <v>177</v>
      </c>
      <c r="C78" s="36">
        <f t="shared" si="17"/>
        <v>0</v>
      </c>
      <c r="AZ78" s="20">
        <f>1*AZ2</f>
        <v>0</v>
      </c>
    </row>
    <row r="79" spans="1:155" ht="15.75" customHeight="1" thickBot="1" x14ac:dyDescent="0.3">
      <c r="A79" s="20" t="s">
        <v>211</v>
      </c>
      <c r="B79" s="5" t="s">
        <v>177</v>
      </c>
      <c r="C79" s="36">
        <f t="shared" si="17"/>
        <v>0</v>
      </c>
      <c r="AQ79" s="20">
        <f>1*AQ2</f>
        <v>0</v>
      </c>
      <c r="BN79" s="20">
        <f>1*BN2</f>
        <v>0</v>
      </c>
    </row>
    <row r="80" spans="1:155" ht="15.75" customHeight="1" thickBot="1" x14ac:dyDescent="0.3">
      <c r="A80" s="20" t="s">
        <v>212</v>
      </c>
      <c r="B80" s="5" t="s">
        <v>177</v>
      </c>
      <c r="C80" s="36">
        <f t="shared" si="17"/>
        <v>0</v>
      </c>
      <c r="N80" s="20">
        <f>1*N2</f>
        <v>0</v>
      </c>
      <c r="BA80" s="20">
        <f>1*BA2</f>
        <v>0</v>
      </c>
      <c r="BP80" s="20">
        <f>1*BP2</f>
        <v>0</v>
      </c>
      <c r="BQ80" s="20">
        <f>1*BQ2</f>
        <v>0</v>
      </c>
      <c r="ES80" s="20">
        <f>1*ES2</f>
        <v>0</v>
      </c>
    </row>
    <row r="81" spans="1:151" ht="15.75" customHeight="1" thickBot="1" x14ac:dyDescent="0.3">
      <c r="A81" s="20" t="s">
        <v>213</v>
      </c>
      <c r="B81" s="5" t="s">
        <v>177</v>
      </c>
      <c r="C81" s="36">
        <f t="shared" si="17"/>
        <v>0</v>
      </c>
      <c r="BF81" s="20">
        <f>1*BF2</f>
        <v>0</v>
      </c>
    </row>
    <row r="82" spans="1:151" ht="15.75" customHeight="1" thickBot="1" x14ac:dyDescent="0.3">
      <c r="A82" s="20" t="s">
        <v>214</v>
      </c>
      <c r="B82" s="5" t="s">
        <v>177</v>
      </c>
      <c r="C82" s="36">
        <f t="shared" si="17"/>
        <v>0</v>
      </c>
      <c r="BI82" s="20">
        <f>1*BI2</f>
        <v>0</v>
      </c>
    </row>
    <row r="83" spans="1:151" ht="15.75" customHeight="1" thickBot="1" x14ac:dyDescent="0.3">
      <c r="A83" s="20" t="s">
        <v>215</v>
      </c>
      <c r="B83" s="5" t="s">
        <v>177</v>
      </c>
      <c r="C83" s="36">
        <f t="shared" si="17"/>
        <v>0</v>
      </c>
      <c r="AG83" s="20">
        <f>1*AG2</f>
        <v>0</v>
      </c>
      <c r="ET83" s="20">
        <f>1*ET2</f>
        <v>0</v>
      </c>
    </row>
    <row r="84" spans="1:151" ht="15.75" customHeight="1" thickBot="1" x14ac:dyDescent="0.3">
      <c r="A84" s="20" t="s">
        <v>216</v>
      </c>
      <c r="B84" s="5" t="s">
        <v>177</v>
      </c>
      <c r="C84" s="36">
        <f t="shared" si="17"/>
        <v>0</v>
      </c>
      <c r="BS84" s="20">
        <f>1*BS2</f>
        <v>0</v>
      </c>
    </row>
    <row r="85" spans="1:151" ht="15.75" customHeight="1" thickBot="1" x14ac:dyDescent="0.3">
      <c r="A85" s="20" t="s">
        <v>217</v>
      </c>
      <c r="B85" s="5" t="s">
        <v>177</v>
      </c>
      <c r="C85" s="36">
        <f t="shared" si="17"/>
        <v>0</v>
      </c>
      <c r="F85" s="20">
        <f>1*F2</f>
        <v>0</v>
      </c>
      <c r="I85" s="20">
        <f>1*I2</f>
        <v>0</v>
      </c>
    </row>
    <row r="86" spans="1:151" ht="15.75" customHeight="1" thickBot="1" x14ac:dyDescent="0.3">
      <c r="A86" s="20" t="s">
        <v>218</v>
      </c>
      <c r="B86" s="5" t="s">
        <v>177</v>
      </c>
      <c r="C86" s="36">
        <f t="shared" si="17"/>
        <v>0</v>
      </c>
      <c r="L86" s="20">
        <f>1*L2</f>
        <v>0</v>
      </c>
      <c r="EU86" s="20">
        <f>1*EU2</f>
        <v>0</v>
      </c>
    </row>
    <row r="87" spans="1:151" ht="15.75" customHeight="1" thickBot="1" x14ac:dyDescent="0.3">
      <c r="A87" s="20" t="s">
        <v>219</v>
      </c>
      <c r="B87" s="5" t="s">
        <v>177</v>
      </c>
      <c r="C87" s="36">
        <f t="shared" si="17"/>
        <v>0</v>
      </c>
      <c r="BG87" s="20">
        <f>1*BG2</f>
        <v>0</v>
      </c>
    </row>
    <row r="88" spans="1:151" ht="15.75" customHeight="1" thickBot="1" x14ac:dyDescent="0.3">
      <c r="A88" s="20" t="s">
        <v>220</v>
      </c>
      <c r="B88" s="5" t="s">
        <v>177</v>
      </c>
      <c r="C88" s="36">
        <f t="shared" si="17"/>
        <v>0</v>
      </c>
      <c r="BO88" s="20">
        <f>1*BO2</f>
        <v>0</v>
      </c>
    </row>
    <row r="89" spans="1:151" ht="15.75" customHeight="1" thickBot="1" x14ac:dyDescent="0.3">
      <c r="A89" s="20" t="s">
        <v>221</v>
      </c>
      <c r="B89" s="5" t="s">
        <v>177</v>
      </c>
      <c r="C89" s="36">
        <f t="shared" si="17"/>
        <v>0</v>
      </c>
      <c r="BH89" s="20">
        <f>1*BH2</f>
        <v>0</v>
      </c>
    </row>
    <row r="90" spans="1:151" ht="15.75" customHeight="1" thickBot="1" x14ac:dyDescent="0.3">
      <c r="A90" s="20" t="s">
        <v>222</v>
      </c>
      <c r="B90" s="5" t="s">
        <v>177</v>
      </c>
      <c r="C90" s="36">
        <f t="shared" si="17"/>
        <v>0</v>
      </c>
      <c r="J90" s="20">
        <f>1*J2</f>
        <v>0</v>
      </c>
      <c r="AP90" s="20">
        <f>1*AP2</f>
        <v>0</v>
      </c>
    </row>
    <row r="91" spans="1:151" ht="15.75" customHeight="1" thickBot="1" x14ac:dyDescent="0.3">
      <c r="A91" s="20" t="s">
        <v>223</v>
      </c>
      <c r="B91" s="5" t="s">
        <v>177</v>
      </c>
      <c r="C91" s="36">
        <f t="shared" si="17"/>
        <v>0</v>
      </c>
      <c r="S91" s="20">
        <f>1*S2</f>
        <v>0</v>
      </c>
    </row>
    <row r="92" spans="1:151" ht="15.75" customHeight="1" thickBot="1" x14ac:dyDescent="0.3">
      <c r="A92" s="20" t="s">
        <v>224</v>
      </c>
      <c r="B92" s="5" t="s">
        <v>177</v>
      </c>
      <c r="C92" s="36">
        <f t="shared" si="17"/>
        <v>0</v>
      </c>
      <c r="G92" s="20">
        <f>1*G2</f>
        <v>0</v>
      </c>
    </row>
    <row r="93" spans="1:151" ht="15.75" customHeight="1" thickBot="1" x14ac:dyDescent="0.3">
      <c r="A93" s="20" t="s">
        <v>220</v>
      </c>
      <c r="B93" s="5" t="s">
        <v>177</v>
      </c>
      <c r="C93" s="36">
        <f t="shared" ref="C93:C124" si="23">SUM(D93:HQ93)*1</f>
        <v>0</v>
      </c>
      <c r="R93" s="20">
        <f>1*R2</f>
        <v>0</v>
      </c>
    </row>
    <row r="94" spans="1:151" ht="15.75" customHeight="1" thickBot="1" x14ac:dyDescent="0.3">
      <c r="A94" s="20" t="s">
        <v>225</v>
      </c>
      <c r="B94" s="5" t="s">
        <v>177</v>
      </c>
      <c r="C94" s="36">
        <f t="shared" si="23"/>
        <v>0</v>
      </c>
      <c r="BU94" s="20">
        <f>1*BU2</f>
        <v>0</v>
      </c>
    </row>
    <row r="95" spans="1:151" ht="15.75" customHeight="1" thickBot="1" x14ac:dyDescent="0.3">
      <c r="A95" s="20" t="s">
        <v>226</v>
      </c>
      <c r="B95" s="5" t="s">
        <v>177</v>
      </c>
      <c r="C95" s="36">
        <f t="shared" si="23"/>
        <v>0</v>
      </c>
      <c r="CA95" s="20">
        <f>1*CA2</f>
        <v>0</v>
      </c>
      <c r="EK95" s="20">
        <f>EK2*1</f>
        <v>0</v>
      </c>
      <c r="EL95" s="20">
        <f>EL2*1</f>
        <v>0</v>
      </c>
    </row>
    <row r="96" spans="1:151" ht="15.75" customHeight="1" thickBot="1" x14ac:dyDescent="0.3">
      <c r="A96" s="20" t="s">
        <v>227</v>
      </c>
      <c r="B96" s="5" t="s">
        <v>177</v>
      </c>
      <c r="C96" s="36">
        <f t="shared" si="23"/>
        <v>0</v>
      </c>
      <c r="K96" s="20">
        <f>1*K2</f>
        <v>0</v>
      </c>
    </row>
    <row r="97" spans="1:140" ht="15.75" customHeight="1" thickBot="1" x14ac:dyDescent="0.3">
      <c r="A97" s="20" t="s">
        <v>220</v>
      </c>
      <c r="B97" s="5" t="s">
        <v>177</v>
      </c>
      <c r="C97" s="36">
        <f t="shared" si="23"/>
        <v>0</v>
      </c>
      <c r="Q97" s="20">
        <f>1*Q2</f>
        <v>0</v>
      </c>
    </row>
    <row r="98" spans="1:140" ht="15.75" customHeight="1" thickBot="1" x14ac:dyDescent="0.3">
      <c r="A98" s="20" t="s">
        <v>228</v>
      </c>
      <c r="B98" s="5" t="s">
        <v>177</v>
      </c>
      <c r="C98" s="36">
        <f t="shared" si="23"/>
        <v>0</v>
      </c>
      <c r="BK98" s="20">
        <f>1*BK2</f>
        <v>0</v>
      </c>
    </row>
    <row r="99" spans="1:140" ht="15.75" customHeight="1" thickBot="1" x14ac:dyDescent="0.3">
      <c r="A99" s="20" t="s">
        <v>229</v>
      </c>
      <c r="B99" s="5" t="s">
        <v>177</v>
      </c>
      <c r="C99" s="36">
        <f t="shared" si="23"/>
        <v>0</v>
      </c>
      <c r="Y99" s="20">
        <f>1*Y2</f>
        <v>0</v>
      </c>
    </row>
    <row r="100" spans="1:140" ht="15.75" customHeight="1" thickBot="1" x14ac:dyDescent="0.3">
      <c r="A100" s="20" t="s">
        <v>202</v>
      </c>
      <c r="B100" s="5" t="s">
        <v>177</v>
      </c>
      <c r="C100" s="36">
        <f t="shared" si="23"/>
        <v>0</v>
      </c>
      <c r="X100" s="20">
        <f>1*X2</f>
        <v>0</v>
      </c>
    </row>
    <row r="101" spans="1:140" ht="15.75" customHeight="1" thickBot="1" x14ac:dyDescent="0.3">
      <c r="A101" s="20" t="s">
        <v>198</v>
      </c>
      <c r="B101" s="5" t="s">
        <v>177</v>
      </c>
      <c r="C101" s="36">
        <f t="shared" si="23"/>
        <v>0</v>
      </c>
      <c r="BZ101" s="20">
        <f>1*BZ2</f>
        <v>0</v>
      </c>
    </row>
    <row r="102" spans="1:140" ht="15.75" customHeight="1" thickBot="1" x14ac:dyDescent="0.3">
      <c r="A102" s="20" t="s">
        <v>230</v>
      </c>
      <c r="B102" s="5" t="s">
        <v>177</v>
      </c>
      <c r="C102" s="36">
        <f t="shared" si="23"/>
        <v>0</v>
      </c>
      <c r="BL102" s="20">
        <f>1*BL2</f>
        <v>0</v>
      </c>
    </row>
    <row r="103" spans="1:140" ht="15.75" customHeight="1" thickBot="1" x14ac:dyDescent="0.3">
      <c r="A103" s="20" t="s">
        <v>231</v>
      </c>
      <c r="B103" s="5" t="s">
        <v>177</v>
      </c>
      <c r="C103" s="36">
        <f t="shared" si="23"/>
        <v>0</v>
      </c>
      <c r="AF103" s="20">
        <f>1*AF2</f>
        <v>0</v>
      </c>
    </row>
    <row r="104" spans="1:140" ht="15.75" customHeight="1" thickBot="1" x14ac:dyDescent="0.3">
      <c r="A104" s="20" t="s">
        <v>232</v>
      </c>
      <c r="B104" s="5" t="s">
        <v>177</v>
      </c>
      <c r="C104" s="36">
        <f t="shared" si="23"/>
        <v>0</v>
      </c>
      <c r="CB104" s="20">
        <f>1*CB2</f>
        <v>0</v>
      </c>
    </row>
    <row r="105" spans="1:140" ht="15.75" customHeight="1" thickBot="1" x14ac:dyDescent="0.3">
      <c r="A105" s="20" t="s">
        <v>233</v>
      </c>
      <c r="B105" s="5" t="s">
        <v>177</v>
      </c>
      <c r="C105" s="36">
        <f t="shared" si="23"/>
        <v>0</v>
      </c>
      <c r="AM105" s="20">
        <f>1*AM2</f>
        <v>0</v>
      </c>
      <c r="BB105" s="20">
        <f>1*BB2</f>
        <v>0</v>
      </c>
    </row>
    <row r="106" spans="1:140" ht="15.75" customHeight="1" thickBot="1" x14ac:dyDescent="0.3">
      <c r="A106" s="20" t="s">
        <v>234</v>
      </c>
      <c r="B106" s="5" t="s">
        <v>177</v>
      </c>
      <c r="C106" s="36">
        <f t="shared" si="23"/>
        <v>0</v>
      </c>
      <c r="BC106" s="20">
        <f>1*BC2</f>
        <v>0</v>
      </c>
    </row>
    <row r="107" spans="1:140" ht="15.75" customHeight="1" thickBot="1" x14ac:dyDescent="0.3">
      <c r="A107" s="20" t="s">
        <v>235</v>
      </c>
      <c r="B107" s="5" t="s">
        <v>177</v>
      </c>
      <c r="C107" s="36">
        <f t="shared" si="23"/>
        <v>0</v>
      </c>
      <c r="AO107" s="20">
        <f>1*AO2</f>
        <v>0</v>
      </c>
    </row>
    <row r="108" spans="1:140" ht="15.75" customHeight="1" thickBot="1" x14ac:dyDescent="0.3">
      <c r="A108" s="20" t="s">
        <v>236</v>
      </c>
      <c r="B108" s="5" t="s">
        <v>177</v>
      </c>
      <c r="C108" s="36">
        <f t="shared" si="23"/>
        <v>0</v>
      </c>
      <c r="AR108" s="20">
        <f>1*AR2</f>
        <v>0</v>
      </c>
    </row>
    <row r="109" spans="1:140" ht="15.75" customHeight="1" thickBot="1" x14ac:dyDescent="0.3">
      <c r="A109" s="20" t="s">
        <v>237</v>
      </c>
      <c r="B109" s="5" t="s">
        <v>177</v>
      </c>
      <c r="C109" s="36">
        <f t="shared" si="23"/>
        <v>0</v>
      </c>
      <c r="AN109" s="20">
        <f>1*AN2</f>
        <v>0</v>
      </c>
      <c r="EF109" s="20">
        <f>1*EF2</f>
        <v>0</v>
      </c>
      <c r="EH109" s="20">
        <f>1*EH2</f>
        <v>0</v>
      </c>
      <c r="EI109" s="20">
        <f>1*EI2</f>
        <v>0</v>
      </c>
      <c r="EJ109" s="20">
        <f>1*EJ2</f>
        <v>0</v>
      </c>
    </row>
    <row r="110" spans="1:140" ht="15.75" customHeight="1" thickBot="1" x14ac:dyDescent="0.3">
      <c r="A110" s="20" t="s">
        <v>238</v>
      </c>
      <c r="B110" s="5" t="s">
        <v>177</v>
      </c>
      <c r="C110" s="36">
        <f t="shared" si="23"/>
        <v>0</v>
      </c>
      <c r="AS110" s="20">
        <f>1*AS2</f>
        <v>0</v>
      </c>
    </row>
    <row r="111" spans="1:140" ht="15.75" customHeight="1" thickBot="1" x14ac:dyDescent="0.3">
      <c r="A111" s="20" t="s">
        <v>239</v>
      </c>
      <c r="B111" s="5" t="s">
        <v>177</v>
      </c>
      <c r="C111" s="36">
        <f t="shared" si="23"/>
        <v>0</v>
      </c>
    </row>
    <row r="112" spans="1:140" ht="15.75" customHeight="1" thickBot="1" x14ac:dyDescent="0.3">
      <c r="A112" s="20" t="s">
        <v>240</v>
      </c>
      <c r="B112" s="5" t="s">
        <v>177</v>
      </c>
      <c r="C112" s="36">
        <f t="shared" si="23"/>
        <v>0</v>
      </c>
      <c r="Z112" s="20">
        <f>1*Z2</f>
        <v>0</v>
      </c>
      <c r="AA112" s="20">
        <f>1*AA2</f>
        <v>0</v>
      </c>
      <c r="AB112" s="20">
        <f>1*AB2</f>
        <v>0</v>
      </c>
    </row>
    <row r="113" spans="1:148" ht="15.75" customHeight="1" thickBot="1" x14ac:dyDescent="0.3">
      <c r="A113" s="20" t="s">
        <v>241</v>
      </c>
      <c r="B113" s="5" t="s">
        <v>177</v>
      </c>
      <c r="C113" s="36">
        <f t="shared" si="23"/>
        <v>0</v>
      </c>
      <c r="CD113" s="20">
        <f>1*CD2</f>
        <v>0</v>
      </c>
    </row>
    <row r="114" spans="1:148" ht="15.75" customHeight="1" thickBot="1" x14ac:dyDescent="0.3">
      <c r="A114" s="20" t="s">
        <v>242</v>
      </c>
      <c r="B114" s="5" t="s">
        <v>177</v>
      </c>
      <c r="C114" s="36">
        <f t="shared" si="23"/>
        <v>0</v>
      </c>
      <c r="DC114" s="20">
        <f>1*DC2</f>
        <v>0</v>
      </c>
    </row>
    <row r="115" spans="1:148" ht="15.75" customHeight="1" thickBot="1" x14ac:dyDescent="0.3">
      <c r="A115" s="20" t="s">
        <v>243</v>
      </c>
      <c r="B115" s="5" t="s">
        <v>177</v>
      </c>
      <c r="C115" s="36">
        <f t="shared" si="23"/>
        <v>0</v>
      </c>
      <c r="DB115" s="20">
        <f>1*DB2</f>
        <v>0</v>
      </c>
    </row>
    <row r="116" spans="1:148" ht="15.75" customHeight="1" thickBot="1" x14ac:dyDescent="0.3">
      <c r="A116" s="20" t="s">
        <v>244</v>
      </c>
      <c r="B116" s="5" t="s">
        <v>177</v>
      </c>
      <c r="C116" s="36">
        <f t="shared" si="23"/>
        <v>0</v>
      </c>
      <c r="DA116" s="20">
        <f>1*DA2</f>
        <v>0</v>
      </c>
    </row>
    <row r="117" spans="1:148" ht="15.75" customHeight="1" thickBot="1" x14ac:dyDescent="0.3">
      <c r="A117" s="20" t="s">
        <v>220</v>
      </c>
      <c r="B117" s="5" t="s">
        <v>177</v>
      </c>
      <c r="C117" s="36">
        <f t="shared" si="23"/>
        <v>0</v>
      </c>
      <c r="AU117" s="20">
        <f>1*AU2</f>
        <v>0</v>
      </c>
    </row>
    <row r="118" spans="1:148" ht="15.75" customHeight="1" thickBot="1" x14ac:dyDescent="0.3">
      <c r="A118" s="20" t="s">
        <v>245</v>
      </c>
      <c r="B118" s="5" t="s">
        <v>177</v>
      </c>
      <c r="C118" s="36">
        <f t="shared" si="23"/>
        <v>0</v>
      </c>
      <c r="CQ118" s="20">
        <f>1*CQ2</f>
        <v>0</v>
      </c>
    </row>
    <row r="119" spans="1:148" ht="15.75" customHeight="1" thickBot="1" x14ac:dyDescent="0.3">
      <c r="A119" s="20" t="s">
        <v>246</v>
      </c>
      <c r="B119" s="5" t="s">
        <v>177</v>
      </c>
      <c r="C119" s="36">
        <f t="shared" si="23"/>
        <v>0</v>
      </c>
      <c r="CR119" s="20">
        <f>1*CR2</f>
        <v>0</v>
      </c>
    </row>
    <row r="120" spans="1:148" ht="15.75" customHeight="1" thickBot="1" x14ac:dyDescent="0.3">
      <c r="A120" s="20" t="s">
        <v>247</v>
      </c>
      <c r="B120" s="5" t="s">
        <v>177</v>
      </c>
      <c r="C120" s="36">
        <f t="shared" si="23"/>
        <v>0</v>
      </c>
      <c r="CO120" s="20">
        <f>1*CO2</f>
        <v>0</v>
      </c>
    </row>
    <row r="121" spans="1:148" ht="15.75" customHeight="1" thickBot="1" x14ac:dyDescent="0.3">
      <c r="A121" s="20" t="s">
        <v>248</v>
      </c>
      <c r="B121" s="5" t="s">
        <v>177</v>
      </c>
      <c r="C121" s="36">
        <f t="shared" si="23"/>
        <v>0</v>
      </c>
      <c r="CS121" s="20">
        <f>1*CS2</f>
        <v>0</v>
      </c>
    </row>
    <row r="122" spans="1:148" ht="15.75" customHeight="1" thickBot="1" x14ac:dyDescent="0.3">
      <c r="A122" s="20" t="s">
        <v>249</v>
      </c>
      <c r="B122" s="5" t="s">
        <v>177</v>
      </c>
      <c r="C122" s="36">
        <f t="shared" si="23"/>
        <v>0</v>
      </c>
      <c r="CT122" s="20">
        <f>1*CT2</f>
        <v>0</v>
      </c>
    </row>
    <row r="123" spans="1:148" ht="15.75" customHeight="1" thickBot="1" x14ac:dyDescent="0.3">
      <c r="A123" s="20" t="s">
        <v>250</v>
      </c>
      <c r="B123" s="5" t="s">
        <v>177</v>
      </c>
      <c r="C123" s="36">
        <f t="shared" si="23"/>
        <v>0</v>
      </c>
      <c r="CU123" s="20">
        <f>1*CU2</f>
        <v>0</v>
      </c>
    </row>
    <row r="124" spans="1:148" ht="15.75" customHeight="1" thickBot="1" x14ac:dyDescent="0.3">
      <c r="A124" s="20" t="s">
        <v>251</v>
      </c>
      <c r="B124" s="5" t="s">
        <v>177</v>
      </c>
      <c r="C124" s="36">
        <f t="shared" si="23"/>
        <v>0</v>
      </c>
      <c r="DS124" s="20">
        <f>1*DS2</f>
        <v>0</v>
      </c>
    </row>
    <row r="125" spans="1:148" ht="15.75" customHeight="1" thickBot="1" x14ac:dyDescent="0.3">
      <c r="A125" s="20" t="s">
        <v>252</v>
      </c>
      <c r="B125" s="5" t="s">
        <v>177</v>
      </c>
      <c r="C125" s="36">
        <f t="shared" ref="C125:C140" si="24">SUM(D125:HQ125)*1</f>
        <v>0</v>
      </c>
      <c r="DT125" s="20">
        <f>1*DT2</f>
        <v>0</v>
      </c>
      <c r="DU125" s="20">
        <f>1*DU2</f>
        <v>0</v>
      </c>
    </row>
    <row r="126" spans="1:148" ht="15.75" customHeight="1" thickBot="1" x14ac:dyDescent="0.3">
      <c r="A126" s="20" t="s">
        <v>251</v>
      </c>
      <c r="B126" s="5" t="s">
        <v>177</v>
      </c>
      <c r="C126" s="36">
        <f t="shared" si="24"/>
        <v>0</v>
      </c>
      <c r="DV126" s="20">
        <f>1*DV2</f>
        <v>0</v>
      </c>
    </row>
    <row r="127" spans="1:148" ht="15.75" customHeight="1" thickBot="1" x14ac:dyDescent="0.3">
      <c r="A127" s="20" t="s">
        <v>253</v>
      </c>
      <c r="B127" s="5" t="s">
        <v>177</v>
      </c>
      <c r="C127" s="36">
        <f t="shared" si="24"/>
        <v>0</v>
      </c>
      <c r="DD127" s="20">
        <f>1*DD2</f>
        <v>0</v>
      </c>
      <c r="DW127" s="20">
        <f>1*DW2</f>
        <v>0</v>
      </c>
    </row>
    <row r="128" spans="1:148" ht="15.75" customHeight="1" thickBot="1" x14ac:dyDescent="0.3">
      <c r="A128" s="20" t="s">
        <v>254</v>
      </c>
      <c r="B128" s="5" t="s">
        <v>177</v>
      </c>
      <c r="C128" s="36">
        <f t="shared" si="24"/>
        <v>0</v>
      </c>
      <c r="DE128" s="20">
        <f>1*DE2</f>
        <v>0</v>
      </c>
      <c r="DQ128" s="20">
        <f>1*DQ2</f>
        <v>0</v>
      </c>
      <c r="DX128" s="20">
        <f>1*DX2</f>
        <v>0</v>
      </c>
      <c r="DY128" s="20">
        <f>1*DY2</f>
        <v>0</v>
      </c>
      <c r="EM128" s="20">
        <f>1*EM2</f>
        <v>0</v>
      </c>
      <c r="EN128" s="20">
        <f>1*EN2</f>
        <v>0</v>
      </c>
      <c r="EO128" s="20">
        <f>1*EO2</f>
        <v>0</v>
      </c>
      <c r="EP128" s="20">
        <f>1*EP2</f>
        <v>0</v>
      </c>
      <c r="EQ128" s="20">
        <f>1*EQ2</f>
        <v>0</v>
      </c>
      <c r="ER128" s="20">
        <f>1*ER2</f>
        <v>0</v>
      </c>
    </row>
    <row r="129" spans="1:162" ht="15.75" customHeight="1" thickBot="1" x14ac:dyDescent="0.3">
      <c r="A129" s="20" t="s">
        <v>253</v>
      </c>
      <c r="B129" s="5" t="s">
        <v>177</v>
      </c>
      <c r="C129" s="36">
        <f t="shared" si="24"/>
        <v>0</v>
      </c>
      <c r="DR129" s="20">
        <f>1*DR2</f>
        <v>0</v>
      </c>
      <c r="DZ129" s="20">
        <f>1*DZ2</f>
        <v>0</v>
      </c>
    </row>
    <row r="130" spans="1:162" ht="15.75" customHeight="1" thickBot="1" x14ac:dyDescent="0.3">
      <c r="A130" s="20" t="s">
        <v>255</v>
      </c>
      <c r="B130" s="5" t="s">
        <v>177</v>
      </c>
      <c r="C130" s="36">
        <f t="shared" si="24"/>
        <v>0</v>
      </c>
      <c r="EA130" s="20">
        <f>1*EA2</f>
        <v>0</v>
      </c>
    </row>
    <row r="131" spans="1:162" ht="15.75" customHeight="1" thickBot="1" x14ac:dyDescent="0.3">
      <c r="A131" s="20" t="s">
        <v>256</v>
      </c>
      <c r="B131" s="5" t="s">
        <v>177</v>
      </c>
      <c r="C131" s="36">
        <f t="shared" si="24"/>
        <v>0</v>
      </c>
      <c r="CM131" s="20">
        <f>1*CM2</f>
        <v>0</v>
      </c>
    </row>
    <row r="132" spans="1:162" ht="15.75" customHeight="1" thickBot="1" x14ac:dyDescent="0.3">
      <c r="A132" s="20" t="s">
        <v>257</v>
      </c>
      <c r="B132" s="5" t="s">
        <v>177</v>
      </c>
      <c r="C132" s="36">
        <f t="shared" si="24"/>
        <v>0</v>
      </c>
      <c r="EB132" s="20">
        <f>1*EB2</f>
        <v>0</v>
      </c>
    </row>
    <row r="133" spans="1:162" ht="15.75" customHeight="1" thickBot="1" x14ac:dyDescent="0.3">
      <c r="A133" s="20" t="s">
        <v>258</v>
      </c>
      <c r="B133" s="5" t="s">
        <v>177</v>
      </c>
      <c r="C133" s="36">
        <f t="shared" si="24"/>
        <v>0</v>
      </c>
      <c r="ED133" s="20">
        <f>1*ED2</f>
        <v>0</v>
      </c>
    </row>
    <row r="134" spans="1:162" ht="15.75" customHeight="1" thickBot="1" x14ac:dyDescent="0.3">
      <c r="A134" s="20" t="s">
        <v>259</v>
      </c>
      <c r="B134" s="5" t="s">
        <v>177</v>
      </c>
      <c r="C134" s="36">
        <f t="shared" si="24"/>
        <v>0</v>
      </c>
      <c r="EG134" s="20">
        <f>1*EG2</f>
        <v>0</v>
      </c>
    </row>
    <row r="135" spans="1:162" ht="15.75" customHeight="1" thickBot="1" x14ac:dyDescent="0.3">
      <c r="A135" s="20" t="s">
        <v>260</v>
      </c>
      <c r="B135" s="5" t="s">
        <v>177</v>
      </c>
      <c r="C135" s="36">
        <f t="shared" si="24"/>
        <v>0</v>
      </c>
      <c r="CZ135" s="20">
        <f>CZ2*1</f>
        <v>0</v>
      </c>
    </row>
    <row r="136" spans="1:162" ht="15.75" customHeight="1" thickBot="1" x14ac:dyDescent="0.3">
      <c r="A136" s="20" t="s">
        <v>261</v>
      </c>
      <c r="B136" s="5" t="s">
        <v>177</v>
      </c>
      <c r="C136" s="36">
        <f t="shared" si="24"/>
        <v>0</v>
      </c>
      <c r="EC136" s="20">
        <f>1*EC2</f>
        <v>0</v>
      </c>
    </row>
    <row r="137" spans="1:162" ht="15.75" customHeight="1" thickBot="1" x14ac:dyDescent="0.3">
      <c r="A137" s="20" t="s">
        <v>262</v>
      </c>
      <c r="B137" s="5" t="s">
        <v>177</v>
      </c>
      <c r="C137" s="36">
        <f t="shared" si="24"/>
        <v>0</v>
      </c>
      <c r="EE137" s="20">
        <f>1*EE2</f>
        <v>0</v>
      </c>
    </row>
    <row r="138" spans="1:162" ht="15.75" customHeight="1" thickBot="1" x14ac:dyDescent="0.3">
      <c r="A138" s="20" t="s">
        <v>304</v>
      </c>
      <c r="B138" s="5" t="s">
        <v>177</v>
      </c>
      <c r="C138" s="36">
        <f t="shared" ref="C138" si="25">SUM(D138:HQ138)*1</f>
        <v>0</v>
      </c>
      <c r="FE138" s="20">
        <f>1*FE2</f>
        <v>0</v>
      </c>
    </row>
    <row r="139" spans="1:162" ht="15.75" customHeight="1" thickBot="1" x14ac:dyDescent="0.3">
      <c r="A139" s="20" t="s">
        <v>305</v>
      </c>
      <c r="B139" s="5" t="s">
        <v>177</v>
      </c>
      <c r="C139" s="36">
        <f t="shared" ref="C139" si="26">SUM(D139:HQ139)*1</f>
        <v>0</v>
      </c>
      <c r="FF139" s="20">
        <f>1*FF2</f>
        <v>0</v>
      </c>
    </row>
    <row r="140" spans="1:162" x14ac:dyDescent="0.25">
      <c r="A140" s="24" t="s">
        <v>263</v>
      </c>
      <c r="B140" s="5" t="s">
        <v>177</v>
      </c>
      <c r="C140" s="36">
        <f t="shared" si="24"/>
        <v>0</v>
      </c>
      <c r="CY140" s="20">
        <f>1*CY2</f>
        <v>0</v>
      </c>
    </row>
    <row r="143" spans="1:162" ht="15.75" customHeight="1" thickBot="1" x14ac:dyDescent="0.3">
      <c r="A143" s="19" t="s">
        <v>264</v>
      </c>
    </row>
    <row r="144" spans="1:162" x14ac:dyDescent="0.25">
      <c r="A144" s="18" t="s">
        <v>265</v>
      </c>
      <c r="B144" s="14">
        <v>0</v>
      </c>
      <c r="C144" s="22"/>
    </row>
    <row r="145" spans="1:13" x14ac:dyDescent="0.25">
      <c r="A145" s="16" t="s">
        <v>266</v>
      </c>
      <c r="B145" s="13" t="s">
        <v>177</v>
      </c>
      <c r="C145" s="23">
        <f>5*B144</f>
        <v>0</v>
      </c>
    </row>
    <row r="146" spans="1:13" x14ac:dyDescent="0.25">
      <c r="A146" s="16" t="s">
        <v>267</v>
      </c>
      <c r="B146" s="13" t="s">
        <v>177</v>
      </c>
      <c r="C146" s="23">
        <f>2*B144</f>
        <v>0</v>
      </c>
    </row>
    <row r="147" spans="1:13" ht="15.75" customHeight="1" thickBot="1" x14ac:dyDescent="0.3">
      <c r="A147" s="17" t="s">
        <v>268</v>
      </c>
      <c r="B147" s="15" t="s">
        <v>177</v>
      </c>
      <c r="C147" s="42">
        <f>2*B144</f>
        <v>0</v>
      </c>
    </row>
    <row r="148" spans="1:13" ht="15.75" customHeight="1" thickBot="1" x14ac:dyDescent="0.3"/>
    <row r="149" spans="1:13" x14ac:dyDescent="0.25">
      <c r="A149" s="18" t="s">
        <v>269</v>
      </c>
      <c r="B149" s="14">
        <v>0</v>
      </c>
      <c r="C149" s="22"/>
    </row>
    <row r="150" spans="1:13" x14ac:dyDescent="0.25">
      <c r="A150" s="16" t="s">
        <v>270</v>
      </c>
      <c r="B150" s="13" t="s">
        <v>177</v>
      </c>
      <c r="C150" s="23">
        <f>1*B149</f>
        <v>0</v>
      </c>
    </row>
    <row r="151" spans="1:13" ht="15.75" customHeight="1" thickBot="1" x14ac:dyDescent="0.3">
      <c r="A151" s="17" t="s">
        <v>271</v>
      </c>
      <c r="B151" s="15" t="s">
        <v>177</v>
      </c>
      <c r="C151" s="42">
        <f>4*B149</f>
        <v>0</v>
      </c>
    </row>
    <row r="152" spans="1:13" ht="15.75" customHeight="1" thickBot="1" x14ac:dyDescent="0.3"/>
    <row r="153" spans="1:13" x14ac:dyDescent="0.25">
      <c r="A153" s="18" t="s">
        <v>272</v>
      </c>
      <c r="B153" s="14">
        <v>0</v>
      </c>
      <c r="C153" s="22"/>
    </row>
    <row r="154" spans="1:13" x14ac:dyDescent="0.25">
      <c r="A154" s="21" t="s">
        <v>273</v>
      </c>
      <c r="B154" s="13" t="s">
        <v>177</v>
      </c>
      <c r="C154" s="23">
        <f>1*B153</f>
        <v>0</v>
      </c>
    </row>
    <row r="155" spans="1:13" x14ac:dyDescent="0.25">
      <c r="A155" s="20" t="s">
        <v>274</v>
      </c>
      <c r="B155" s="13" t="s">
        <v>177</v>
      </c>
      <c r="C155" s="23">
        <f>3*B153</f>
        <v>0</v>
      </c>
    </row>
    <row r="156" spans="1:13" ht="15.75" customHeight="1" thickBot="1" x14ac:dyDescent="0.3">
      <c r="A156" s="20" t="s">
        <v>275</v>
      </c>
      <c r="B156" s="15" t="s">
        <v>177</v>
      </c>
      <c r="C156" s="42">
        <f>2*B153</f>
        <v>0</v>
      </c>
    </row>
    <row r="157" spans="1:13" ht="15.75" customHeight="1" thickBot="1" x14ac:dyDescent="0.3"/>
    <row r="158" spans="1:13" x14ac:dyDescent="0.25">
      <c r="A158" s="18" t="s">
        <v>276</v>
      </c>
      <c r="B158" s="14">
        <v>0</v>
      </c>
      <c r="C158" s="22"/>
      <c r="M158" s="21"/>
    </row>
    <row r="159" spans="1:13" x14ac:dyDescent="0.25">
      <c r="A159" s="20" t="s">
        <v>277</v>
      </c>
      <c r="B159" s="13" t="s">
        <v>177</v>
      </c>
      <c r="C159" s="23">
        <f>1*B158</f>
        <v>0</v>
      </c>
    </row>
    <row r="160" spans="1:13" x14ac:dyDescent="0.25">
      <c r="A160" s="20" t="s">
        <v>278</v>
      </c>
      <c r="B160" s="13" t="s">
        <v>177</v>
      </c>
      <c r="C160" s="23">
        <f>1*B158</f>
        <v>0</v>
      </c>
    </row>
    <row r="161" spans="1:3" x14ac:dyDescent="0.25">
      <c r="A161" s="20" t="s">
        <v>279</v>
      </c>
      <c r="B161" s="13" t="s">
        <v>177</v>
      </c>
      <c r="C161" s="23">
        <f>1*B158</f>
        <v>0</v>
      </c>
    </row>
    <row r="162" spans="1:3" ht="15.75" customHeight="1" thickBot="1" x14ac:dyDescent="0.3"/>
    <row r="163" spans="1:3" x14ac:dyDescent="0.25">
      <c r="A163" s="18" t="s">
        <v>280</v>
      </c>
      <c r="B163" s="14">
        <v>0</v>
      </c>
      <c r="C163" s="22"/>
    </row>
    <row r="164" spans="1:3" x14ac:dyDescent="0.25">
      <c r="A164" s="20" t="s">
        <v>281</v>
      </c>
      <c r="B164" s="13" t="s">
        <v>177</v>
      </c>
      <c r="C164" s="23">
        <f>1*B163</f>
        <v>0</v>
      </c>
    </row>
    <row r="165" spans="1:3" x14ac:dyDescent="0.25">
      <c r="A165" s="20" t="s">
        <v>282</v>
      </c>
      <c r="B165" s="13" t="s">
        <v>177</v>
      </c>
      <c r="C165" s="23">
        <f>1*B163</f>
        <v>0</v>
      </c>
    </row>
    <row r="166" spans="1:3" x14ac:dyDescent="0.25">
      <c r="A166" s="20" t="s">
        <v>283</v>
      </c>
      <c r="B166" s="13" t="s">
        <v>177</v>
      </c>
      <c r="C166" s="23">
        <f>1*B163</f>
        <v>0</v>
      </c>
    </row>
    <row r="167" spans="1:3" ht="15.75" customHeight="1" thickBot="1" x14ac:dyDescent="0.3"/>
    <row r="168" spans="1:3" x14ac:dyDescent="0.25">
      <c r="A168" s="18" t="s">
        <v>284</v>
      </c>
      <c r="B168" s="14">
        <v>0</v>
      </c>
      <c r="C168" s="22"/>
    </row>
    <row r="169" spans="1:3" x14ac:dyDescent="0.25">
      <c r="A169" s="20" t="s">
        <v>285</v>
      </c>
      <c r="B169" s="13" t="s">
        <v>177</v>
      </c>
      <c r="C169" s="23">
        <f>1*B168</f>
        <v>0</v>
      </c>
    </row>
    <row r="170" spans="1:3" x14ac:dyDescent="0.25">
      <c r="A170" s="20" t="s">
        <v>286</v>
      </c>
      <c r="B170" s="13" t="s">
        <v>177</v>
      </c>
      <c r="C170" s="23">
        <f>4*B168</f>
        <v>0</v>
      </c>
    </row>
    <row r="171" spans="1:3" ht="15.75" customHeight="1" thickBot="1" x14ac:dyDescent="0.3"/>
    <row r="172" spans="1:3" x14ac:dyDescent="0.25">
      <c r="A172" s="18" t="s">
        <v>287</v>
      </c>
      <c r="B172" s="14">
        <v>105</v>
      </c>
      <c r="C172" s="22"/>
    </row>
    <row r="173" spans="1:3" x14ac:dyDescent="0.25">
      <c r="A173" s="20" t="s">
        <v>288</v>
      </c>
      <c r="B173" s="13" t="s">
        <v>177</v>
      </c>
      <c r="C173" s="23">
        <f>1*B172</f>
        <v>105</v>
      </c>
    </row>
    <row r="174" spans="1:3" x14ac:dyDescent="0.25">
      <c r="A174" s="20" t="s">
        <v>289</v>
      </c>
      <c r="B174" s="13" t="s">
        <v>177</v>
      </c>
      <c r="C174" s="23">
        <f>1*B172</f>
        <v>105</v>
      </c>
    </row>
  </sheetData>
  <autoFilter ref="B1:B174"/>
  <conditionalFormatting sqref="A14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5:C14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0:C15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4:C15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9:C1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4:C16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9:C17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3:C17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:C54">
    <cfRule type="cellIs" dxfId="3" priority="11" operator="between">
      <formula>0.00001</formula>
      <formula>999999999</formula>
    </cfRule>
  </conditionalFormatting>
  <conditionalFormatting sqref="A33:C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AMJ9 D10:FA12 FE10:AMJ12 FB11:FD12 D13:AMJ732">
    <cfRule type="cellIs" dxfId="2" priority="3" operator="between">
      <formula>0.0001</formula>
      <formula>9999999</formula>
    </cfRule>
    <cfRule type="notContainsBlanks" dxfId="1" priority="4">
      <formula>LEN(TRIM(D3))&gt;0</formula>
    </cfRule>
    <cfRule type="cellIs" dxfId="0" priority="5" operator="between">
      <formula>0.00001</formula>
      <formula>9999999999</formula>
    </cfRule>
  </conditionalFormatting>
  <conditionalFormatting sqref="A3:C20 A41:C42 A1:DP1 A63:C137 A34:C39 B140:C140 A48:C50 A22:C25 A55:C59 A27:C32 A44:C4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0:C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8:C1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E1" r:id="rId1"/>
    <hyperlink ref="FF1" r:id="rId2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Киселев Антон Викторович</cp:lastModifiedBy>
  <dcterms:created xsi:type="dcterms:W3CDTF">2006-09-28T05:33:49Z</dcterms:created>
  <dcterms:modified xsi:type="dcterms:W3CDTF">2024-02-14T12:54:37Z</dcterms:modified>
</cp:coreProperties>
</file>