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Лист3" sheetId="1" r:id="rId1"/>
  </sheets>
  <definedNames>
    <definedName name="_xlnm._FilterDatabase" localSheetId="0" hidden="1">'Лист3'!B1:B57</definedName>
  </definedName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3">
    <numFmt numFmtId="56" formatCode="&quot;上午/下午 &quot;hh&quot;時&quot;mm&quot;分&quot;ss&quot;秒 &quot;"/>
    <numFmt numFmtId="164" formatCode="General"/>
    <numFmt numFmtId="165" formatCode="General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J57"/>
  <sheetViews>
    <sheetView workbookViewId="0" rightToLeft="0"/>
  </sheetViews>
  <sheetData>
    <row r="1" xml:space="preserve">
      <c r="D1" s="1" t="str">
        <v>Lg001000117</v>
      </c>
      <c r="E1" s="1" t="str">
        <v>Lg001000118</v>
      </c>
      <c r="F1" s="1" t="str">
        <v>Lg001000119</v>
      </c>
      <c r="G1" s="1" t="str">
        <v>Lg001000120</v>
      </c>
      <c r="H1" s="1" t="str">
        <v>Lg001000121</v>
      </c>
      <c r="I1" s="1" t="str">
        <v>Lg001000122</v>
      </c>
      <c r="J1" s="1" t="str">
        <v>Lg001000123</v>
      </c>
      <c r="K1" s="1" t="str">
        <v>Lg001000124</v>
      </c>
      <c r="L1" s="1" t="str">
        <v>Lg001000125 LG001000375</v>
      </c>
      <c r="M1" s="1" t="str">
        <v>Lg001000126</v>
      </c>
      <c r="N1" s="1" t="str">
        <v>Lg001000127</v>
      </c>
      <c r="O1" s="1" t="str">
        <v>Lg001000128</v>
      </c>
      <c r="P1" s="1" t="str">
        <v>Lg001000129</v>
      </c>
      <c r="Q1" s="1" t="str">
        <v>Lg001000130</v>
      </c>
      <c r="R1" s="1" t="str">
        <v>Lg001000131</v>
      </c>
      <c r="S1" s="1" t="str">
        <v>Lg001000132</v>
      </c>
      <c r="T1" s="1" t="str">
        <v>Lg001000133 LG001000373</v>
      </c>
      <c r="U1" s="1" t="str">
        <v>Lg001000134</v>
      </c>
      <c r="V1" s="1" t="str">
        <v>Lg001000135</v>
      </c>
      <c r="W1" s="1" t="str">
        <v>Lg001000136</v>
      </c>
      <c r="X1" s="1" t="str">
        <v>Lg001000137</v>
      </c>
      <c r="Y1" s="1" t="str">
        <v>Lg001000138</v>
      </c>
      <c r="Z1" s="1" t="str">
        <v>Lg001000139</v>
      </c>
      <c r="AA1" s="1" t="str">
        <v>Lg001000140</v>
      </c>
      <c r="AB1" s="1" t="str">
        <v>Lg001000141</v>
      </c>
      <c r="AC1" s="1" t="str">
        <v>Lg001000142</v>
      </c>
      <c r="AD1" s="1" t="str">
        <v>Lg001000143</v>
      </c>
      <c r="AE1" s="1" t="str">
        <v>Lg001000144</v>
      </c>
      <c r="AF1" s="1" t="str">
        <v>Lg001000145</v>
      </c>
      <c r="AG1" s="1" t="str">
        <v>Lg001000146</v>
      </c>
      <c r="AH1" s="1" t="str">
        <v>Lg001000147</v>
      </c>
      <c r="AI1" s="1" t="str">
        <v>Lg001000148</v>
      </c>
      <c r="AJ1" s="1" t="str">
        <v>Lg001000149</v>
      </c>
      <c r="AK1" s="1" t="str">
        <v>Lg001000150</v>
      </c>
      <c r="AL1" s="1" t="str">
        <v>Lg001000151</v>
      </c>
      <c r="AM1" s="1" t="str">
        <v>Lg001000152</v>
      </c>
      <c r="AN1" s="1" t="str">
        <v>Lg001000153</v>
      </c>
      <c r="AO1" s="1" t="str">
        <v>Lg001000154</v>
      </c>
      <c r="AP1" s="1" t="str">
        <v>Lg001000155</v>
      </c>
      <c r="AQ1" s="1" t="str">
        <v>Lg001000156</v>
      </c>
      <c r="AR1" s="1" t="str">
        <v>Lg001000157</v>
      </c>
      <c r="AS1" s="1" t="str">
        <v>Lg001000158</v>
      </c>
      <c r="AT1" s="1" t="str">
        <v>Lg001000174</v>
      </c>
      <c r="AU1" s="1" t="str">
        <v>Lg001000175</v>
      </c>
      <c r="AV1" s="1" t="str">
        <v>Lg001000176</v>
      </c>
      <c r="AW1" s="1" t="str">
        <v>Lg001000177</v>
      </c>
      <c r="AX1" s="1" t="str">
        <v>Lg001000178</v>
      </c>
      <c r="AY1" s="1" t="str">
        <v>Lg001000179</v>
      </c>
      <c r="AZ1" s="1" t="str">
        <v>Lg001000180</v>
      </c>
      <c r="BA1" s="1" t="str">
        <v>Lg001000181</v>
      </c>
      <c r="BB1" s="1" t="str">
        <v>Lg001000182</v>
      </c>
      <c r="BC1" s="1" t="str">
        <v>Lg001000183</v>
      </c>
      <c r="BD1" s="1" t="str">
        <v>Lg001000184</v>
      </c>
      <c r="BE1" s="1" t="str">
        <v>Lg001000186</v>
      </c>
      <c r="BF1" s="1" t="str">
        <v>Lg001000188</v>
      </c>
      <c r="BG1" s="1" t="str">
        <v>Lg001000189</v>
      </c>
      <c r="BH1" s="1" t="str">
        <v>Lg001000190</v>
      </c>
      <c r="BI1" s="1" t="str">
        <v>Lg001000191</v>
      </c>
      <c r="BJ1" s="1" t="str">
        <v>Lg001000193</v>
      </c>
      <c r="BK1" s="1" t="str">
        <v>Lg001000197</v>
      </c>
      <c r="BL1" s="1" t="str">
        <v>Lg001000198</v>
      </c>
      <c r="BM1" s="1" t="str">
        <v>Lg001000199</v>
      </c>
      <c r="BN1" s="1" t="str">
        <v>Lg001000200</v>
      </c>
      <c r="BO1" s="1" t="str">
        <v>Lg001000201</v>
      </c>
      <c r="BP1" s="1" t="str">
        <v>Lg001000202</v>
      </c>
      <c r="BQ1" s="1" t="str">
        <v>Lg001000203</v>
      </c>
      <c r="BR1" s="1" t="str">
        <v>Lg001000204</v>
      </c>
      <c r="BS1" s="1" t="str">
        <v>Lg001000205</v>
      </c>
      <c r="BT1" s="1" t="str">
        <v>Lg001000206</v>
      </c>
      <c r="BU1" s="1" t="str">
        <v>Lg001000207</v>
      </c>
      <c r="BV1" s="1" t="str">
        <v>Lg001000208</v>
      </c>
      <c r="BW1" s="1" t="str">
        <v>Lg001000211</v>
      </c>
      <c r="BX1" s="1" t="str" xml:space="preserve">
        <v xml:space="preserve">LG001000221
LG001000222
LG001000223
LG001000224
LG001000225</v>
      </c>
      <c r="BY1" s="1" t="str">
        <v>LG001000226</v>
      </c>
      <c r="BZ1" s="1" t="str" xml:space="preserve">
        <v xml:space="preserve">Lg001000104
Lg001000105
Lg001000106
Lg001000107
Lg001000108</v>
      </c>
      <c r="CA1" s="1" t="str">
        <v>Lg001000116</v>
      </c>
      <c r="CB1" s="1" t="str">
        <v>Lg001000103</v>
      </c>
      <c r="CC1" s="1" t="str" xml:space="preserve">
        <v xml:space="preserve">Lg001000161
Lg001000162
Lg001000163
Lg001000164
Lg001000165</v>
      </c>
      <c r="CD1" s="1" t="str">
        <v>Lg001000173</v>
      </c>
      <c r="CE1" s="1" t="str">
        <v>LG001000236 LG001000371 LG001000374</v>
      </c>
      <c r="CF1" s="1" t="str">
        <v>LG001000237 LG001000372</v>
      </c>
      <c r="CG1" s="1" t="str">
        <v>LG001000238</v>
      </c>
      <c r="CH1" s="1" t="str">
        <v>LG001000239</v>
      </c>
      <c r="CI1" s="1" t="str" xml:space="preserve">
        <v xml:space="preserve">LG001000227
LG001000228
LG001000229
LG001000230
LG001000231</v>
      </c>
      <c r="CJ1" s="1" t="str">
        <v>Lg001000232</v>
      </c>
      <c r="CK1" s="1" t="str" xml:space="preserve">
        <v xml:space="preserve">LG001000212
LG001000213
LG001000214
LG001000215</v>
      </c>
      <c r="CL1" s="1" t="str">
        <v>Lg001000220</v>
      </c>
      <c r="CM1" s="1" t="str">
        <v>Lg001000192</v>
      </c>
      <c r="CN1" s="1" t="str">
        <v>Lg001000269</v>
      </c>
      <c r="CO1" s="1" t="str">
        <v>Lg001000270</v>
      </c>
      <c r="CP1" s="1" t="str">
        <v>Lg001000271</v>
      </c>
      <c r="CQ1" s="1" t="str">
        <v>Lg001000272</v>
      </c>
      <c r="CR1" s="1" t="str">
        <v>Lg001000273</v>
      </c>
      <c r="CS1" s="1" t="str">
        <v>Lg001000274</v>
      </c>
      <c r="CT1" s="1" t="str">
        <v>Lg001000275</v>
      </c>
      <c r="CU1" s="1" t="str">
        <v>Lg001000276</v>
      </c>
      <c r="CV1" s="1" t="str">
        <v>LG001000277</v>
      </c>
      <c r="CW1" s="1" t="str">
        <v>Lg001000278</v>
      </c>
      <c r="CX1" s="1" t="str">
        <v>Lg001000279</v>
      </c>
      <c r="CY1" s="1" t="str">
        <v>LG001000280</v>
      </c>
      <c r="CZ1" s="1" t="str" xml:space="preserve">
        <v xml:space="preserve">LG001000261
LG001000262
LG001000263
LG001000264
LG001000265
LG001000266</v>
      </c>
      <c r="DA1" s="1" t="str">
        <v>Lg001000267</v>
      </c>
      <c r="DB1" s="1" t="str">
        <v>Lg001000287</v>
      </c>
      <c r="DC1" s="1" t="str">
        <v>Lg001000289</v>
      </c>
      <c r="DD1" s="1" t="str">
        <v>Lg001000354</v>
      </c>
      <c r="DE1" s="1" t="str">
        <v>Lg001000355</v>
      </c>
      <c r="DF1" s="1" t="str">
        <v>Lg001000356</v>
      </c>
    </row>
    <row r="2">
      <c r="A2" s="1" t="str">
        <v>Материал</v>
      </c>
      <c r="B2" s="1" t="str">
        <v>Ед. изм.</v>
      </c>
      <c r="C2" s="1" t="str">
        <v>ИТОГО + 10%</v>
      </c>
      <c r="D2" s="1">
        <v>1</v>
      </c>
      <c r="E2" s="1">
        <v>2</v>
      </c>
      <c r="F2" s="1">
        <v>2</v>
      </c>
      <c r="G2" s="1">
        <v>4</v>
      </c>
      <c r="H2" s="1">
        <v>5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1</v>
      </c>
      <c r="DG2" s="1">
        <v>0</v>
      </c>
      <c r="DH2" s="1">
        <v>0</v>
      </c>
      <c r="DI2" s="1">
        <v>0</v>
      </c>
      <c r="DJ2" s="1">
        <v>0</v>
      </c>
    </row>
    <row r="3">
      <c r="A3" s="1" t="str">
        <v>Оргстекло 2 мм (Акрил экструз. TUСRYL /EU4 2,0мм 2050х3050ммпрозр.)</v>
      </c>
      <c r="B3" s="1" t="str">
        <v>м2</v>
      </c>
      <c r="C3" s="1">
        <f>SUM(D3:PE3)*1.1</f>
        <v>2.2814</v>
      </c>
      <c r="D3" s="1">
        <f>0.24*D2</f>
        <v>0.24</v>
      </c>
      <c r="E3" s="1">
        <f>0.09*E2</f>
        <v>0.18</v>
      </c>
      <c r="F3" s="1">
        <f>0.175*F2</f>
        <v>0.35</v>
      </c>
      <c r="G3" s="1">
        <f>0.11*G2</f>
        <v>0.44</v>
      </c>
      <c r="H3" s="1">
        <f>0.14*H2</f>
        <v>0.7000000000000001</v>
      </c>
      <c r="I3" s="1">
        <f>0.14*I2</f>
        <v>0</v>
      </c>
      <c r="J3" s="1">
        <f>0.01*J2</f>
        <v>0</v>
      </c>
      <c r="K3" s="1">
        <f>0.01*K2</f>
        <v>0</v>
      </c>
      <c r="M3" s="1">
        <f>0.08*M2</f>
        <v>0</v>
      </c>
      <c r="N3" s="1">
        <f>0.302*N2</f>
        <v>0</v>
      </c>
      <c r="O3" s="1">
        <f>0.061*O2</f>
        <v>0</v>
      </c>
      <c r="P3" s="1">
        <f>0.045*P2</f>
        <v>0</v>
      </c>
      <c r="Q3" s="1">
        <f>0.071*Q2</f>
        <v>0</v>
      </c>
      <c r="R3" s="1">
        <f>0.134*R2</f>
        <v>0</v>
      </c>
      <c r="U3" s="1">
        <f>0.144*U2</f>
        <v>0</v>
      </c>
      <c r="V3" s="1">
        <f>0.101*V2</f>
        <v>0</v>
      </c>
      <c r="W3" s="1">
        <f>0.04*W2</f>
        <v>0</v>
      </c>
      <c r="X3" s="1">
        <f>0.041*X2</f>
        <v>0</v>
      </c>
      <c r="Y3" s="1">
        <f>0.124*Y2</f>
        <v>0</v>
      </c>
      <c r="Z3" s="1">
        <f>0.085*Z2</f>
        <v>0</v>
      </c>
      <c r="AA3" s="1">
        <f>0.042*AA2</f>
        <v>0</v>
      </c>
      <c r="AC3" s="1">
        <f>0.14*AC2</f>
        <v>0</v>
      </c>
      <c r="AD3" s="1">
        <f>0.14*AD2</f>
        <v>0</v>
      </c>
      <c r="AE3" s="1">
        <f>0.051*AE2</f>
        <v>0</v>
      </c>
      <c r="AF3" s="1">
        <f>0.063*AF2</f>
        <v>0</v>
      </c>
      <c r="AG3" s="1">
        <f>0.066*AG2</f>
        <v>0</v>
      </c>
      <c r="AH3" s="1">
        <f>0.04*AH2</f>
        <v>0</v>
      </c>
      <c r="AI3" s="1">
        <f>0.06*AI2</f>
        <v>0</v>
      </c>
      <c r="AJ3" s="1">
        <f>0.086*AJ2</f>
        <v>0</v>
      </c>
      <c r="AK3" s="1">
        <f>0.065*AK2</f>
        <v>0</v>
      </c>
      <c r="AM3" s="1">
        <f>0.076*AM2</f>
        <v>0</v>
      </c>
      <c r="AO3" s="1">
        <f>0.134*AO2</f>
        <v>0</v>
      </c>
      <c r="AP3" s="1">
        <f>0.1*AP2</f>
        <v>0</v>
      </c>
      <c r="AQ3" s="1">
        <f>0.04*AQ2</f>
        <v>0</v>
      </c>
      <c r="AR3" s="1">
        <f>0.105*AR2</f>
        <v>0</v>
      </c>
      <c r="AU3" s="1">
        <f>0.2*AU2</f>
        <v>0</v>
      </c>
      <c r="AV3" s="1">
        <f>0.042*AV2</f>
        <v>0</v>
      </c>
      <c r="AW3" s="1">
        <f>0.042*AW2</f>
        <v>0</v>
      </c>
      <c r="AX3" s="1">
        <f>0.03*AX2</f>
        <v>0</v>
      </c>
      <c r="AY3" s="1">
        <f>0.018*AY2</f>
        <v>0</v>
      </c>
      <c r="AZ3" s="1">
        <f>0.05*AZ2</f>
        <v>0</v>
      </c>
      <c r="BA3" s="1">
        <f>0.06*BA2</f>
        <v>0</v>
      </c>
      <c r="BB3" s="1">
        <f>0.018*BB2</f>
        <v>0</v>
      </c>
      <c r="BC3" s="1">
        <f>0.061*BC2</f>
        <v>0</v>
      </c>
      <c r="BD3" s="1">
        <f>0.027*BD2</f>
        <v>0</v>
      </c>
      <c r="BE3" s="1">
        <f>0.017*BE2</f>
        <v>0</v>
      </c>
      <c r="BF3" s="1">
        <f>0.04*BF2</f>
        <v>0</v>
      </c>
      <c r="BG3" s="1">
        <f>0.021*BG2</f>
        <v>0</v>
      </c>
      <c r="BH3" s="1">
        <f>0.04*BH2</f>
        <v>0</v>
      </c>
      <c r="BI3" s="1">
        <f>0.073*BI2</f>
        <v>0</v>
      </c>
      <c r="BJ3" s="1">
        <f>0.065*BJ2</f>
        <v>0</v>
      </c>
      <c r="BK3" s="1">
        <f>0.003*BK2</f>
        <v>0</v>
      </c>
      <c r="BL3" s="1">
        <f>0.03*BL2</f>
        <v>0</v>
      </c>
      <c r="BM3" s="1">
        <f>0.04*BM2</f>
        <v>0</v>
      </c>
      <c r="BN3" s="1">
        <f>0.027*BN2</f>
        <v>0</v>
      </c>
      <c r="BO3" s="1">
        <f>0.017*BO2</f>
        <v>0</v>
      </c>
      <c r="BP3" s="1">
        <f>0.012*BP2</f>
        <v>0</v>
      </c>
      <c r="BQ3" s="1">
        <f>0.042*BQ2</f>
        <v>0</v>
      </c>
      <c r="BR3" s="1">
        <f>0.047*BR2</f>
        <v>0</v>
      </c>
      <c r="BS3" s="1">
        <f>0.041*BS2</f>
        <v>0</v>
      </c>
      <c r="BT3" s="1">
        <f>0.074*BT2</f>
        <v>0</v>
      </c>
      <c r="BU3" s="1">
        <f>0.046*BU2</f>
        <v>0</v>
      </c>
      <c r="BV3" s="1">
        <f>0.034*BV2</f>
        <v>0</v>
      </c>
      <c r="CN3" s="1">
        <f>0.1348*CN2</f>
        <v>0</v>
      </c>
      <c r="CO3" s="1">
        <f>0.101*CO2</f>
        <v>0</v>
      </c>
      <c r="CP3" s="1">
        <f>0.1358*CP2</f>
        <v>0</v>
      </c>
      <c r="CQ3" s="1">
        <f>0.166*CQ2</f>
        <v>0</v>
      </c>
      <c r="CR3" s="1">
        <f>0.0723*CR2</f>
        <v>0</v>
      </c>
      <c r="CS3" s="1">
        <f>0.103*CS2</f>
        <v>0</v>
      </c>
      <c r="CT3" s="1">
        <f>0.0996*CT2</f>
        <v>0</v>
      </c>
      <c r="CU3" s="1">
        <f>0.0495*CU2</f>
        <v>0</v>
      </c>
      <c r="CV3" s="1">
        <f>0.107*CV2</f>
        <v>0</v>
      </c>
      <c r="CW3" s="1">
        <f>0.1007*CW2</f>
        <v>0</v>
      </c>
      <c r="CX3" s="1">
        <f>0.102*CX2</f>
        <v>0</v>
      </c>
      <c r="DB3" s="1">
        <f>0.094*DB2</f>
        <v>0</v>
      </c>
      <c r="DC3" s="1">
        <f>0.133*DC2</f>
        <v>0</v>
      </c>
      <c r="DD3" s="1">
        <f>0.1235*DD2</f>
        <v>0</v>
      </c>
      <c r="DE3" s="1">
        <f>0.047*DE2</f>
        <v>0</v>
      </c>
      <c r="DF3" s="1">
        <f>0.164*DF2</f>
        <v>0.164</v>
      </c>
    </row>
    <row r="4">
      <c r="A4" s="1" t="str">
        <v>Обработка</v>
      </c>
      <c r="B4" s="1" t="str">
        <v>Лазер</v>
      </c>
      <c r="C4" s="1">
        <f>SUM(D4:PE4)</f>
        <v>104.25999999999999</v>
      </c>
      <c r="D4" s="1">
        <f>14.5*D2</f>
        <v>14.5</v>
      </c>
      <c r="E4" s="1">
        <f>4.3*E2</f>
        <v>8.6</v>
      </c>
      <c r="F4" s="1">
        <f>9.4*F2</f>
        <v>18.8</v>
      </c>
      <c r="G4" s="1">
        <f>6*G2</f>
        <v>24</v>
      </c>
      <c r="H4" s="1">
        <f>6.2*H2</f>
        <v>31</v>
      </c>
      <c r="I4" s="1">
        <f>6.2*I2</f>
        <v>0</v>
      </c>
      <c r="J4" s="1">
        <f>1.125*J2</f>
        <v>0</v>
      </c>
      <c r="K4" s="1">
        <f>1.125*K2</f>
        <v>0</v>
      </c>
      <c r="M4" s="1">
        <f>1.8*M2</f>
        <v>0</v>
      </c>
      <c r="N4" s="1">
        <f>14.7*N2</f>
        <v>0</v>
      </c>
      <c r="O4" s="1">
        <f>4.1*O2</f>
        <v>0</v>
      </c>
      <c r="P4" s="1">
        <f>2.4*P2</f>
        <v>0</v>
      </c>
      <c r="Q4" s="1">
        <f>3.7*Q2</f>
        <v>0</v>
      </c>
      <c r="R4" s="1">
        <f>6.7*R2</f>
        <v>0</v>
      </c>
      <c r="U4" s="1">
        <f>6.5*U2</f>
        <v>0</v>
      </c>
      <c r="V4" s="1">
        <f>6.8*V2</f>
        <v>0</v>
      </c>
      <c r="W4" s="1">
        <f>2.96*W2</f>
        <v>0</v>
      </c>
      <c r="X4" s="1">
        <f>2.5*X2</f>
        <v>0</v>
      </c>
      <c r="Y4" s="1">
        <f>5.7*Y2</f>
        <v>0</v>
      </c>
      <c r="Z4" s="1">
        <f>4.2*Z2</f>
        <v>0</v>
      </c>
      <c r="AA4" s="1">
        <f>5.6*AA2</f>
        <v>0</v>
      </c>
      <c r="AC4" s="1">
        <f>9.1*AC2</f>
        <v>0</v>
      </c>
      <c r="AD4" s="1">
        <f>9.1*AD2</f>
        <v>0</v>
      </c>
      <c r="AE4" s="1">
        <f>3.33*AE2</f>
        <v>0</v>
      </c>
      <c r="AF4" s="1">
        <f>4.7*AF2</f>
        <v>0</v>
      </c>
      <c r="AG4" s="1">
        <f>3.4*AG2</f>
        <v>0</v>
      </c>
      <c r="AH4" s="1">
        <f>3.4*AH2</f>
        <v>0</v>
      </c>
      <c r="AI4" s="1">
        <f>4*AI2</f>
        <v>0</v>
      </c>
      <c r="AJ4" s="1">
        <f>6.52*AJ2</f>
        <v>0</v>
      </c>
      <c r="AK4" s="1">
        <f>5.3*AK2</f>
        <v>0</v>
      </c>
      <c r="AM4" s="1">
        <f>4.4*AM2</f>
        <v>0</v>
      </c>
      <c r="AO4" s="1">
        <f>6.8*AO2</f>
        <v>0</v>
      </c>
      <c r="AP4" s="1">
        <f>5.7*AP2</f>
        <v>0</v>
      </c>
      <c r="AQ4" s="1">
        <f>3*AQ2</f>
        <v>0</v>
      </c>
      <c r="AR4" s="1">
        <f>7.6*AR2</f>
        <v>0</v>
      </c>
      <c r="AU4" s="1">
        <f>11*AU2</f>
        <v>0</v>
      </c>
      <c r="AV4" s="1">
        <f>5*AV2</f>
        <v>0</v>
      </c>
      <c r="AW4" s="1">
        <f>5*AW2</f>
        <v>0</v>
      </c>
      <c r="AX4" s="1">
        <f>1.6*AX2</f>
        <v>0</v>
      </c>
      <c r="AY4" s="1">
        <f>1.75*AY2</f>
        <v>0</v>
      </c>
      <c r="AZ4" s="1">
        <f>3.7*AZ2</f>
        <v>0</v>
      </c>
      <c r="BA4" s="1">
        <f>3.8*BA2</f>
        <v>0</v>
      </c>
      <c r="BB4" s="1">
        <f>2*BB2</f>
        <v>0</v>
      </c>
      <c r="BC4" s="1">
        <f>4.7*BC2</f>
        <v>0</v>
      </c>
      <c r="BD4" s="1">
        <f>4*BD2</f>
        <v>0</v>
      </c>
      <c r="BE4" s="1">
        <f>1.5*BE2</f>
        <v>0</v>
      </c>
      <c r="BF4" s="1">
        <f>3.2*BF2</f>
        <v>0</v>
      </c>
      <c r="BG4" s="1">
        <f>1.86*BG2</f>
        <v>0</v>
      </c>
      <c r="BH4" s="1">
        <f>3.8*BH2</f>
        <v>0</v>
      </c>
      <c r="BI4" s="1">
        <f>5.6*BI2</f>
        <v>0</v>
      </c>
      <c r="BJ4" s="1">
        <f>4.1*BJ2</f>
        <v>0</v>
      </c>
      <c r="BK4" s="1">
        <f>1.3*BK2</f>
        <v>0</v>
      </c>
      <c r="BL4" s="1">
        <f>3.1*BL2</f>
        <v>0</v>
      </c>
      <c r="BM4" s="1">
        <f>2.4*BM2</f>
        <v>0</v>
      </c>
      <c r="BN4" s="1">
        <f>3.1*BN2</f>
        <v>0</v>
      </c>
      <c r="BO4" s="1">
        <f>1.6*BO2</f>
        <v>0</v>
      </c>
      <c r="BP4" s="1">
        <f>1.4*BP2</f>
        <v>0</v>
      </c>
      <c r="BQ4" s="1">
        <f>3.3*BQ2</f>
        <v>0</v>
      </c>
      <c r="BR4" s="1">
        <f>2.8*BR2</f>
        <v>0</v>
      </c>
      <c r="BS4" s="1">
        <f>4*BS2</f>
        <v>0</v>
      </c>
      <c r="BT4" s="1">
        <f>3.9*BT2</f>
        <v>0</v>
      </c>
      <c r="BU4" s="1">
        <f>2.6*BU2</f>
        <v>0</v>
      </c>
      <c r="BV4" s="1">
        <f>3.45*BV2</f>
        <v>0</v>
      </c>
      <c r="CN4" s="1">
        <f>2.53*CN2</f>
        <v>0</v>
      </c>
      <c r="CO4" s="1">
        <f>3.59*CO2</f>
        <v>0</v>
      </c>
      <c r="CP4" s="1">
        <f>5.4*CP2</f>
        <v>0</v>
      </c>
      <c r="CQ4" s="1">
        <f>6.75*CQ2</f>
        <v>0</v>
      </c>
      <c r="CR4" s="1">
        <f>3.33*CR2</f>
        <v>0</v>
      </c>
      <c r="CS4" s="1">
        <f>4.29*CS2</f>
        <v>0</v>
      </c>
      <c r="CT4" s="1">
        <f>5.76*CT2</f>
        <v>0</v>
      </c>
      <c r="CU4" s="1">
        <f>3.94*CU2</f>
        <v>0</v>
      </c>
      <c r="CV4" s="1">
        <f>6.177*CV2</f>
        <v>0</v>
      </c>
      <c r="CW4" s="1">
        <f>4.31*CW2</f>
        <v>0</v>
      </c>
      <c r="CX4" s="1">
        <f>5*CX2</f>
        <v>0</v>
      </c>
      <c r="DB4" s="1">
        <f>5.82*DB2</f>
        <v>0</v>
      </c>
      <c r="DC4" s="1">
        <f>5.94*DC2</f>
        <v>0</v>
      </c>
      <c r="DD4" s="1">
        <f>6.8*DD2</f>
        <v>0</v>
      </c>
      <c r="DE4" s="1">
        <f>4.2*DE2</f>
        <v>0</v>
      </c>
      <c r="DF4" s="1">
        <f>7.36*DF2</f>
        <v>7.36</v>
      </c>
    </row>
    <row r="5">
      <c r="A5" s="1" t="str">
        <v>42</v>
      </c>
      <c r="B5" s="1" t="str">
        <v>м2</v>
      </c>
      <c r="C5" s="1">
        <f>SUM(D5:PE5)*1.1</f>
        <v>0.7854</v>
      </c>
      <c r="D5" s="1">
        <f>0.053*D2</f>
        <v>0.053</v>
      </c>
      <c r="E5" s="1">
        <f>0.046*E2</f>
        <v>0.092</v>
      </c>
      <c r="F5" s="1">
        <f>0.055*F2</f>
        <v>0.11</v>
      </c>
      <c r="G5" s="1">
        <f>0.044*G2</f>
        <v>0.176</v>
      </c>
      <c r="H5" s="1">
        <f>0.045*H2</f>
        <v>0.22499999999999998</v>
      </c>
      <c r="I5" s="1">
        <f>0.045*I2</f>
        <v>0</v>
      </c>
      <c r="J5" s="1">
        <f>0.022*J2</f>
        <v>0</v>
      </c>
      <c r="K5" s="1">
        <f>0.022*K2</f>
        <v>0</v>
      </c>
      <c r="M5" s="1">
        <f>0.04*M2</f>
        <v>0</v>
      </c>
      <c r="N5" s="1">
        <f>0.11*N2</f>
        <v>0</v>
      </c>
      <c r="O5" s="1">
        <f>0.041*O2</f>
        <v>0</v>
      </c>
      <c r="P5" s="1">
        <f>0.035*P2</f>
        <v>0</v>
      </c>
      <c r="Q5" s="1">
        <f>0.044*Q2</f>
        <v>0</v>
      </c>
      <c r="R5" s="1">
        <f>0.054*R2</f>
        <v>0</v>
      </c>
      <c r="U5" s="1">
        <f>0.052*U2</f>
        <v>0</v>
      </c>
      <c r="V5" s="1">
        <f>0.04*V2</f>
        <v>0</v>
      </c>
      <c r="W5" s="1">
        <f>0.04*W2</f>
        <v>0</v>
      </c>
      <c r="X5" s="1">
        <f>0.031*X2</f>
        <v>0</v>
      </c>
      <c r="Y5" s="1">
        <f>0.05*Y2</f>
        <v>0</v>
      </c>
      <c r="Z5" s="1">
        <f>0.043*Z2</f>
        <v>0</v>
      </c>
      <c r="AA5" s="1">
        <f>0.03*AA2</f>
        <v>0</v>
      </c>
      <c r="AC5" s="1">
        <f>0.046*AC2</f>
        <v>0</v>
      </c>
      <c r="AD5" s="1">
        <f>0.046*AD2</f>
        <v>0</v>
      </c>
      <c r="AE5" s="1">
        <f>0.024*AE2</f>
        <v>0</v>
      </c>
      <c r="AF5" s="1">
        <f>0.026*AF2</f>
        <v>0</v>
      </c>
      <c r="AG5" s="1">
        <f>0.026*AG2</f>
        <v>0</v>
      </c>
      <c r="AH5" s="1">
        <f>0.023*AH2</f>
        <v>0</v>
      </c>
      <c r="AI5" s="1">
        <f>0.025*AI2</f>
        <v>0</v>
      </c>
      <c r="AJ5" s="1">
        <f>0.03*AJ2</f>
        <v>0</v>
      </c>
      <c r="AK5" s="1">
        <f>0.03*AK2</f>
        <v>0</v>
      </c>
      <c r="AM5" s="1">
        <f>0.046*AM2</f>
        <v>0</v>
      </c>
      <c r="AN5" s="1">
        <f>0.08*AN2</f>
        <v>0</v>
      </c>
      <c r="AO5" s="1">
        <f>0.053*AO2</f>
        <v>0</v>
      </c>
      <c r="AP5" s="1">
        <f>0.026*AP2</f>
        <v>0</v>
      </c>
      <c r="AQ5" s="1">
        <f>0.025*AQ2</f>
        <v>0</v>
      </c>
      <c r="AR5" s="1">
        <f>0.05*AR2</f>
        <v>0</v>
      </c>
      <c r="AU5" s="1">
        <f>0.046*AU2</f>
        <v>0</v>
      </c>
      <c r="AV5" s="1">
        <f>0.022*AV2</f>
        <v>0</v>
      </c>
      <c r="AW5" s="1">
        <f>0.022*AW2</f>
        <v>0</v>
      </c>
      <c r="AX5" s="1">
        <f>0.033*AX2</f>
        <v>0</v>
      </c>
      <c r="AY5" s="1">
        <f>0.021*AY2</f>
        <v>0</v>
      </c>
      <c r="AZ5" s="1">
        <f>0.035*AZ2</f>
        <v>0</v>
      </c>
      <c r="BA5" s="1">
        <f>0.042*BA2</f>
        <v>0</v>
      </c>
      <c r="BB5" s="1">
        <f>0.022*BB2</f>
        <v>0</v>
      </c>
      <c r="BC5" s="1">
        <f>0.026*BC2</f>
        <v>0</v>
      </c>
      <c r="BD5" s="1">
        <f>0.024*BD2</f>
        <v>0</v>
      </c>
      <c r="BE5" s="1">
        <f>0.03*BE2</f>
        <v>0</v>
      </c>
      <c r="BF5" s="1">
        <f>0.022*BF2</f>
        <v>0</v>
      </c>
      <c r="BG5" s="1">
        <f>0.117*BG2</f>
        <v>0</v>
      </c>
      <c r="BH5" s="1">
        <f>0.022*BH2</f>
        <v>0</v>
      </c>
      <c r="BJ5" s="1">
        <f>0.041*BJ2</f>
        <v>0</v>
      </c>
      <c r="BK5" s="1">
        <f>0.028*BK2</f>
        <v>0</v>
      </c>
      <c r="BL5" s="1">
        <f>0.033*BL2</f>
        <v>0</v>
      </c>
      <c r="BM5" s="1">
        <f>0.058*BM2</f>
        <v>0</v>
      </c>
      <c r="BN5" s="1">
        <f>0.021*BN2</f>
        <v>0</v>
      </c>
      <c r="BO5" s="1">
        <f>0.021*BO2</f>
        <v>0</v>
      </c>
      <c r="BP5" s="1">
        <f>0.023*BP2</f>
        <v>0</v>
      </c>
      <c r="BQ5" s="1">
        <f>0.024*BQ2</f>
        <v>0</v>
      </c>
      <c r="BS5" s="1">
        <f>0.026*BS2</f>
        <v>0</v>
      </c>
      <c r="BT5" s="1">
        <f>0.044*BT2</f>
        <v>0</v>
      </c>
      <c r="BU5" s="1">
        <f>0.032*BU2</f>
        <v>0</v>
      </c>
      <c r="BV5" s="1">
        <f>0.03*BV2</f>
        <v>0</v>
      </c>
      <c r="CN5" s="1">
        <f>0.061*CN2</f>
        <v>0</v>
      </c>
      <c r="CO5" s="1">
        <f>0.0361*CO2</f>
        <v>0</v>
      </c>
      <c r="CP5" s="1">
        <f>0.0536*CP2</f>
        <v>0</v>
      </c>
      <c r="CQ5" s="1">
        <f>0.0652*CQ2</f>
        <v>0</v>
      </c>
      <c r="CR5" s="1">
        <f>0.046*CR2</f>
        <v>0</v>
      </c>
      <c r="CS5" s="1">
        <f>0.0508*CS2</f>
        <v>0</v>
      </c>
      <c r="CT5" s="1">
        <f>0.0385*CT2</f>
        <v>0</v>
      </c>
      <c r="CU5" s="1">
        <f>0.0294*CU2</f>
        <v>0</v>
      </c>
      <c r="CV5" s="1">
        <f>0.0361*CV2</f>
        <v>0</v>
      </c>
      <c r="CW5" s="1">
        <f>0.0361*CW2</f>
        <v>0</v>
      </c>
      <c r="CX5" s="1">
        <f>0.036*CX2</f>
        <v>0</v>
      </c>
      <c r="DB5" s="1">
        <f>0.0375*DB2</f>
        <v>0</v>
      </c>
      <c r="DC5" s="1">
        <f>0.0612*DC2</f>
        <v>0</v>
      </c>
      <c r="DD5" s="1">
        <f>0.0536*DD2</f>
        <v>0</v>
      </c>
      <c r="DE5" s="1">
        <f>0.0313*DE2</f>
        <v>0</v>
      </c>
      <c r="DF5" s="1">
        <f>0.058*DF2</f>
        <v>0.058</v>
      </c>
    </row>
    <row r="6">
      <c r="A6" s="1" t="str">
        <v>Обработка</v>
      </c>
      <c r="B6" s="1" t="str">
        <v>Лазер</v>
      </c>
      <c r="C6" s="1">
        <f>SUM(D6:PE6)</f>
        <v>37.83</v>
      </c>
      <c r="D6" s="1">
        <f>2.23*D2</f>
        <v>2.23</v>
      </c>
      <c r="E6" s="1">
        <f>1.8*E2</f>
        <v>3.6</v>
      </c>
      <c r="F6" s="1">
        <f>2*F2</f>
        <v>4</v>
      </c>
      <c r="G6" s="1">
        <f>1.9*G2</f>
        <v>7.6</v>
      </c>
      <c r="H6" s="1">
        <f>3.5*H2</f>
        <v>17.5</v>
      </c>
      <c r="I6" s="1">
        <f>3.5*I2</f>
        <v>0</v>
      </c>
      <c r="J6" s="1">
        <f>2.1*J2</f>
        <v>0</v>
      </c>
      <c r="K6" s="1">
        <f>2.1*K2</f>
        <v>0</v>
      </c>
      <c r="M6" s="1">
        <f>5.1*M2</f>
        <v>0</v>
      </c>
      <c r="N6" s="1">
        <f>6.2*N2</f>
        <v>0</v>
      </c>
      <c r="O6" s="1">
        <f>2.7*O2</f>
        <v>0</v>
      </c>
      <c r="P6" s="1">
        <f>2.3*P2</f>
        <v>0</v>
      </c>
      <c r="Q6" s="1">
        <f>2.7*Q2</f>
        <v>0</v>
      </c>
      <c r="R6" s="1">
        <f>2.9*R2</f>
        <v>0</v>
      </c>
      <c r="U6" s="1">
        <f>2.6*U2</f>
        <v>0</v>
      </c>
      <c r="V6" s="1">
        <f>2.2*V2</f>
        <v>0</v>
      </c>
      <c r="W6" s="1">
        <f>2*W2</f>
        <v>0</v>
      </c>
      <c r="X6" s="1">
        <f>1.7*X2</f>
        <v>0</v>
      </c>
      <c r="Y6" s="1">
        <f>2.5*Y2</f>
        <v>0</v>
      </c>
      <c r="Z6" s="1">
        <f>2.4*Z2</f>
        <v>0</v>
      </c>
      <c r="AA6" s="1">
        <f>2*AA2</f>
        <v>0</v>
      </c>
      <c r="AC6" s="1">
        <f>2*AC2</f>
        <v>0</v>
      </c>
      <c r="AD6" s="1">
        <f>2*AD2</f>
        <v>0</v>
      </c>
      <c r="AE6" s="1">
        <f>1.9*AE2</f>
        <v>0</v>
      </c>
      <c r="AF6" s="1">
        <f>2.1*AF2</f>
        <v>0</v>
      </c>
      <c r="AG6" s="1">
        <f>2*AG2</f>
        <v>0</v>
      </c>
      <c r="AH6" s="1">
        <f>2*AH2</f>
        <v>0</v>
      </c>
      <c r="AI6" s="1">
        <f>2.1*AI2</f>
        <v>0</v>
      </c>
      <c r="AJ6" s="1">
        <f>2.4*AJ2</f>
        <v>0</v>
      </c>
      <c r="AK6" s="1">
        <f>2.4*AK2</f>
        <v>0</v>
      </c>
      <c r="AM6" s="1">
        <f>2.6*AM2</f>
        <v>0</v>
      </c>
      <c r="AN6" s="1">
        <f>4.5*AN2</f>
        <v>0</v>
      </c>
      <c r="AO6" s="1">
        <f>2.9*AO2</f>
        <v>0</v>
      </c>
      <c r="AP6" s="1">
        <f>2.6*AP2</f>
        <v>0</v>
      </c>
      <c r="AQ6" s="1">
        <f>2*AQ2</f>
        <v>0</v>
      </c>
      <c r="AR6" s="1">
        <f>1.75*AR2</f>
        <v>0</v>
      </c>
      <c r="AU6" s="1">
        <f>2.4*AU2</f>
        <v>0</v>
      </c>
      <c r="AV6" s="1">
        <f>2.52*AV2</f>
        <v>0</v>
      </c>
      <c r="AW6" s="1">
        <f>2.52*AW2</f>
        <v>0</v>
      </c>
      <c r="AX6" s="1">
        <f>2.4*AX2</f>
        <v>0</v>
      </c>
      <c r="AY6" s="1">
        <f>1.52*AY2</f>
        <v>0</v>
      </c>
      <c r="AZ6" s="1">
        <f>1.6*AZ2</f>
        <v>0</v>
      </c>
      <c r="BA6" s="1">
        <f>2.3*BA2</f>
        <v>0</v>
      </c>
      <c r="BB6" s="1">
        <f>1.7*BB2</f>
        <v>0</v>
      </c>
      <c r="BC6" s="1">
        <f>1.75*BC2</f>
        <v>0</v>
      </c>
      <c r="BD6" s="1">
        <f>2*BD2</f>
        <v>0</v>
      </c>
      <c r="BE6" s="1">
        <f>1.5*BE2</f>
        <v>0</v>
      </c>
      <c r="BF6" s="1">
        <f>2*BF2</f>
        <v>0</v>
      </c>
      <c r="BG6" s="1">
        <f>2.7*BG2</f>
        <v>0</v>
      </c>
      <c r="BH6" s="1">
        <f>2.4*BH2</f>
        <v>0</v>
      </c>
      <c r="BJ6" s="1">
        <f>2.2*BJ2</f>
        <v>0</v>
      </c>
      <c r="BK6" s="1">
        <f>2.2*BK2</f>
        <v>0</v>
      </c>
      <c r="BL6" s="1">
        <f>2.2*BL2</f>
        <v>0</v>
      </c>
      <c r="BM6" s="1">
        <f>3.7*BM2</f>
        <v>0</v>
      </c>
      <c r="BN6" s="1">
        <f>1.8*BN2</f>
        <v>0</v>
      </c>
      <c r="BO6" s="1">
        <f>1.62*BO2</f>
        <v>0</v>
      </c>
      <c r="BP6" s="1">
        <f>1.8*BP2</f>
        <v>0</v>
      </c>
      <c r="BQ6" s="1">
        <f>1.7*BQ2</f>
        <v>0</v>
      </c>
      <c r="BS6" s="1">
        <f>2.6*BS2</f>
        <v>0</v>
      </c>
      <c r="BT6" s="1">
        <f>2.7*BT2</f>
        <v>0</v>
      </c>
      <c r="BU6" s="1">
        <f>1.6*BU2</f>
        <v>0</v>
      </c>
      <c r="BV6" s="1">
        <f>2*BV2</f>
        <v>0</v>
      </c>
      <c r="CN6" s="1">
        <f>5.81*CN2</f>
        <v>0</v>
      </c>
      <c r="CO6" s="1">
        <f>2.1*CO2</f>
        <v>0</v>
      </c>
      <c r="CP6" s="1">
        <f>2.5*CP2</f>
        <v>0</v>
      </c>
      <c r="CQ6" s="1">
        <f>2.62*CQ2</f>
        <v>0</v>
      </c>
      <c r="CR6" s="1">
        <f>2.171*CR2</f>
        <v>0</v>
      </c>
      <c r="CS6" s="1">
        <f>2.4*CS2</f>
        <v>0</v>
      </c>
      <c r="CT6" s="1">
        <f>1.68*CT2</f>
        <v>0</v>
      </c>
      <c r="CU6" s="1">
        <f>1.77*CU2</f>
        <v>0</v>
      </c>
      <c r="CV6" s="1">
        <f>2.164*CV2</f>
        <v>0</v>
      </c>
      <c r="CW6" s="1">
        <f>2.163*CW2</f>
        <v>0</v>
      </c>
      <c r="CX6" s="1">
        <f>2.161*CX2</f>
        <v>0</v>
      </c>
      <c r="DB6" s="1">
        <f>1.69*DB2</f>
        <v>0</v>
      </c>
      <c r="DC6" s="1">
        <f>2.56*DC2</f>
        <v>0</v>
      </c>
      <c r="DD6" s="1">
        <f>2.8*DD2</f>
        <v>0</v>
      </c>
      <c r="DE6" s="1">
        <f>2.3*DE2</f>
        <v>0</v>
      </c>
      <c r="DF6" s="1">
        <f>2.9*DF2</f>
        <v>2.9</v>
      </c>
    </row>
    <row r="7">
      <c r="A7" s="1" t="str">
        <v>Оргстекло 1,8 мм (Акрил экструз. TUСRYL /EU4 1,8мм 2050х3050ммпрозр.)</v>
      </c>
      <c r="B7" s="1" t="str">
        <v>м2</v>
      </c>
      <c r="C7" s="1">
        <f>SUM(D7:PE7)*1.1</f>
        <v>0</v>
      </c>
      <c r="L7" s="1">
        <f>0.02*L2</f>
        <v>0</v>
      </c>
      <c r="S7" s="1">
        <f>0.06*S2</f>
        <v>0</v>
      </c>
      <c r="T7" s="1">
        <f>0.105*T2</f>
        <v>0</v>
      </c>
      <c r="AB7" s="1">
        <f>0.053*AB2</f>
        <v>0</v>
      </c>
      <c r="AL7" s="1">
        <f>0.09*AL2</f>
        <v>0</v>
      </c>
      <c r="AS7" s="1">
        <f>0.085*AS2</f>
        <v>0</v>
      </c>
      <c r="BW7" s="1">
        <f>0.04*BW2</f>
        <v>0</v>
      </c>
      <c r="CE7" s="1">
        <f>0.041*CE2</f>
        <v>0</v>
      </c>
      <c r="CF7" s="1">
        <f>0.05*CF2</f>
        <v>0</v>
      </c>
      <c r="CG7" s="1">
        <f>0.031*CG2</f>
        <v>0</v>
      </c>
      <c r="CH7" s="1">
        <f>0.081*CH2</f>
        <v>0</v>
      </c>
      <c r="CM7" s="1">
        <f>0.038*CM2</f>
        <v>0</v>
      </c>
      <c r="CY7" s="1">
        <f>0.0236*CY2</f>
        <v>0</v>
      </c>
    </row>
    <row r="8">
      <c r="A8" s="1" t="str">
        <v>Обработка</v>
      </c>
      <c r="B8" s="1" t="str">
        <v>Лазер</v>
      </c>
      <c r="C8" s="1">
        <f>SUM(D8:PE8)</f>
        <v>0</v>
      </c>
      <c r="L8" s="1">
        <f>1*L2</f>
        <v>0</v>
      </c>
      <c r="T8" s="1">
        <f>1.4*T2</f>
        <v>0</v>
      </c>
      <c r="AB8" s="1">
        <f>1.2*AB2</f>
        <v>0</v>
      </c>
      <c r="AL8" s="1">
        <f>1.31*AL2</f>
        <v>0</v>
      </c>
      <c r="AS8" s="1">
        <f>1.32*AS2</f>
        <v>0</v>
      </c>
      <c r="BW8" s="1">
        <f>1.1*BW2</f>
        <v>0</v>
      </c>
      <c r="CE8" s="1">
        <f>1.1*CE2</f>
        <v>0</v>
      </c>
      <c r="CF8" s="1">
        <f>0.124*CF2</f>
        <v>0</v>
      </c>
      <c r="CG8" s="1">
        <f>0.55*CG2</f>
        <v>0</v>
      </c>
      <c r="CH8" s="1">
        <f>1.22*CH2</f>
        <v>0</v>
      </c>
      <c r="CM8" s="1">
        <f>1.1*CM2</f>
        <v>0</v>
      </c>
      <c r="CY8" s="1">
        <f>0.942*CY2</f>
        <v>0</v>
      </c>
    </row>
    <row r="9">
      <c r="A9" s="1" t="str">
        <v>ПЭТ 0,7 мм</v>
      </c>
      <c r="B9" s="1" t="str">
        <v>м2</v>
      </c>
      <c r="C9" s="1">
        <f>SUM(D9:PE9)*1.1</f>
        <v>0</v>
      </c>
      <c r="P9" s="1">
        <f>0.01*P2</f>
        <v>0</v>
      </c>
      <c r="Q9" s="1">
        <f>0.016*Q2</f>
        <v>0</v>
      </c>
      <c r="R9" s="1">
        <f>0.03*R2</f>
        <v>0</v>
      </c>
      <c r="AM9" s="1">
        <f>0.022*AM2</f>
        <v>0</v>
      </c>
      <c r="AO9" s="1">
        <f>0.031*AO2</f>
        <v>0</v>
      </c>
      <c r="AX9" s="1">
        <f>0.005*AX2</f>
        <v>0</v>
      </c>
      <c r="BJ9" s="1">
        <f>0.012*BJ2</f>
        <v>0</v>
      </c>
      <c r="BT9" s="1">
        <f>0.013*BT2</f>
        <v>0</v>
      </c>
      <c r="CP9" s="1">
        <f>0.038*CP2</f>
        <v>0</v>
      </c>
      <c r="CR9" s="1">
        <f>0.0169*CR2</f>
        <v>0</v>
      </c>
      <c r="CS9" s="1">
        <f>0.0303*CS2</f>
        <v>0</v>
      </c>
    </row>
    <row r="10">
      <c r="A10" s="1" t="str">
        <v>Обработка</v>
      </c>
      <c r="B10" s="1" t="str">
        <v>Лазер</v>
      </c>
      <c r="C10" s="1">
        <f>SUM(D10:PE10)</f>
        <v>0</v>
      </c>
      <c r="P10" s="1">
        <f>0.5*P2</f>
        <v>0</v>
      </c>
      <c r="Q10" s="1">
        <f>0.75*Q2</f>
        <v>0</v>
      </c>
      <c r="R10" s="1">
        <f>1.15*R2</f>
        <v>0</v>
      </c>
      <c r="AM10" s="1">
        <f>0.9*AM2</f>
        <v>0</v>
      </c>
      <c r="AO10" s="1">
        <f>1.2*AO2</f>
        <v>0</v>
      </c>
      <c r="BJ10" s="1">
        <f>0.63*BJ2</f>
        <v>0</v>
      </c>
      <c r="BT10" s="1">
        <f>0.69*BT2</f>
        <v>0</v>
      </c>
      <c r="CP10" s="1">
        <f>1.136*CP2</f>
        <v>0</v>
      </c>
      <c r="CR10" s="1">
        <f>0.725*CR2</f>
        <v>0</v>
      </c>
      <c r="CS10" s="1">
        <f>1.04*CS2</f>
        <v>0</v>
      </c>
    </row>
    <row r="11">
      <c r="A11" s="1" t="str">
        <v>ПЭТ 0,5 мм</v>
      </c>
      <c r="B11" s="1" t="str">
        <v>м2</v>
      </c>
      <c r="C11" s="1">
        <f>SUM(D11:PE11)*1.1</f>
        <v>0</v>
      </c>
      <c r="BX11" s="1">
        <f>0.06*BX2</f>
        <v>0</v>
      </c>
      <c r="BZ11" s="1">
        <f>0.09*BZ2</f>
        <v>0</v>
      </c>
      <c r="CC11" s="1">
        <f>0.047*CC2</f>
        <v>0</v>
      </c>
      <c r="CI11" s="1">
        <f>0.084*CI2</f>
        <v>0</v>
      </c>
      <c r="CK11" s="1">
        <f>0.07*CK2</f>
        <v>0</v>
      </c>
      <c r="CZ11" s="1">
        <f>0.092*CZ2</f>
        <v>0</v>
      </c>
    </row>
    <row r="12">
      <c r="A12" s="1" t="str">
        <v>Обработка</v>
      </c>
      <c r="B12" s="1" t="str">
        <v>Лазер</v>
      </c>
      <c r="C12" s="1">
        <f>SUM(D12:PE12)</f>
        <v>0</v>
      </c>
      <c r="BX12" s="1">
        <f>2.2*BX2</f>
        <v>0</v>
      </c>
      <c r="BZ12" s="1">
        <f>2.55*BZ2</f>
        <v>0</v>
      </c>
      <c r="CC12" s="1">
        <f>1.35*CC2</f>
        <v>0</v>
      </c>
      <c r="CI12" s="1">
        <f>2*CI2</f>
        <v>0</v>
      </c>
      <c r="CK12" s="1">
        <f>1.75*CK2</f>
        <v>0</v>
      </c>
    </row>
    <row r="13">
      <c r="A13" s="1" t="str">
        <v>Полистирол белый 1 мм</v>
      </c>
      <c r="B13" s="1" t="str">
        <v>м2</v>
      </c>
      <c r="C13" s="1">
        <f>SUM(D13:PE13)*1.1</f>
        <v>0</v>
      </c>
      <c r="BX13" s="1">
        <f>0.03*BX2</f>
        <v>0</v>
      </c>
      <c r="BZ13" s="1">
        <f>0.04*BZ2</f>
        <v>0</v>
      </c>
      <c r="CC13" s="1">
        <f>0.02*CC2</f>
        <v>0</v>
      </c>
      <c r="CI13" s="1">
        <f>0.037*CI2</f>
        <v>0</v>
      </c>
      <c r="CK13" s="1">
        <f>0.035*CK2</f>
        <v>0</v>
      </c>
      <c r="CZ13" s="1">
        <f>0.0461*CZ2</f>
        <v>0</v>
      </c>
    </row>
    <row r="14">
      <c r="A14" s="1" t="str">
        <v>Обработка</v>
      </c>
      <c r="B14" s="1" t="str">
        <v>Фрезер</v>
      </c>
      <c r="C14" s="1">
        <f>SUM(D14:PE14)</f>
        <v>0</v>
      </c>
      <c r="BX14" s="1">
        <f>2*BX2</f>
        <v>0</v>
      </c>
      <c r="BZ14" s="1">
        <f>2.4*BZ2</f>
        <v>0</v>
      </c>
      <c r="CC14" s="1">
        <f>1.3*CC2</f>
        <v>0</v>
      </c>
      <c r="CI14" s="1">
        <f>1.9*CI2</f>
        <v>0</v>
      </c>
      <c r="CK14" s="1">
        <f>1.66*CK2</f>
        <v>0</v>
      </c>
      <c r="CZ14" s="1">
        <f>2.1*CZ2</f>
        <v>0</v>
      </c>
    </row>
    <row r="15">
      <c r="A15" s="1" t="str">
        <v>Полистирол белый 2 мм</v>
      </c>
      <c r="B15" s="1" t="str">
        <v>м2</v>
      </c>
      <c r="C15" s="1">
        <f>SUM(D15:PE15)*1.1</f>
        <v>0</v>
      </c>
      <c r="BX15" s="1">
        <f>0.37*BX2</f>
        <v>0</v>
      </c>
      <c r="BY15" s="1">
        <f>0.19*BY2</f>
        <v>0</v>
      </c>
      <c r="BZ15" s="1">
        <f>0.43*BZ2</f>
        <v>0</v>
      </c>
      <c r="CA15" s="1">
        <f>0.23*CA2</f>
        <v>0</v>
      </c>
      <c r="CC15" s="1">
        <f>0.23*CC2</f>
        <v>0</v>
      </c>
      <c r="CD15" s="1">
        <f>0.12*CD2</f>
        <v>0</v>
      </c>
      <c r="CI15" s="1">
        <f>0.5*CI2</f>
        <v>0</v>
      </c>
      <c r="CJ15" s="1">
        <f>0.231*CJ2</f>
        <v>0</v>
      </c>
      <c r="CK15" s="1">
        <f>0.43*CK2</f>
        <v>0</v>
      </c>
      <c r="CL15" s="1">
        <f>0.2*CL2</f>
        <v>0</v>
      </c>
      <c r="CZ15" s="1">
        <f>0.5*CZ2</f>
        <v>0</v>
      </c>
      <c r="DA15" s="1">
        <f>0.27*DA2</f>
        <v>0</v>
      </c>
    </row>
    <row r="16">
      <c r="A16" s="1" t="str">
        <v>Обработка</v>
      </c>
      <c r="B16" s="1" t="str">
        <v>Фрезер</v>
      </c>
      <c r="C16" s="1">
        <f>SUM(D16:PE16)</f>
        <v>0</v>
      </c>
      <c r="BX16" s="1">
        <f>7.4*BX2</f>
        <v>0</v>
      </c>
      <c r="BY16" s="1">
        <f>2.4*BY2</f>
        <v>0</v>
      </c>
      <c r="BZ16" s="1">
        <f>8.4*BZ2</f>
        <v>0</v>
      </c>
      <c r="CA16" s="1">
        <f>2.8*CA2</f>
        <v>0</v>
      </c>
      <c r="CC16" s="1">
        <f>5.11*CC2</f>
        <v>0</v>
      </c>
      <c r="CD16" s="1">
        <f>1.6*CD2</f>
        <v>0</v>
      </c>
      <c r="CI16" s="1">
        <f>6.93*CI2</f>
        <v>0</v>
      </c>
      <c r="CJ16" s="1">
        <f>2.2*CJ2</f>
        <v>0</v>
      </c>
      <c r="CK16" s="1">
        <f>6.33*CK2</f>
        <v>0</v>
      </c>
      <c r="CL16" s="1">
        <f>1.97*CL2</f>
        <v>0</v>
      </c>
      <c r="CZ16" s="1">
        <f>7.28*CZ2</f>
        <v>0</v>
      </c>
      <c r="DA16" s="1">
        <f>2.35*DA2</f>
        <v>0</v>
      </c>
    </row>
    <row r="17">
      <c r="A17" s="1" t="str">
        <v>Полистирол белый 5 мм</v>
      </c>
      <c r="B17" s="1" t="str">
        <v>м2</v>
      </c>
      <c r="C17" s="1">
        <f>SUM(D17:PE17)*1.1</f>
        <v>0</v>
      </c>
      <c r="P17" s="1">
        <f>0.003*P2</f>
        <v>0</v>
      </c>
      <c r="Q17" s="1">
        <f>0.005*Q2</f>
        <v>0</v>
      </c>
      <c r="R17" s="1">
        <f>0.011*R2</f>
        <v>0</v>
      </c>
      <c r="AM17" s="1">
        <f>0.008*AM2</f>
        <v>0</v>
      </c>
      <c r="AO17" s="1">
        <f>0.011*AO2</f>
        <v>0</v>
      </c>
      <c r="AX17" s="1">
        <f>0.002*AX2</f>
        <v>0</v>
      </c>
      <c r="BJ17" s="1">
        <f>0.004*BJ2</f>
        <v>0</v>
      </c>
      <c r="BT17" s="1">
        <f>0.004*BT2</f>
        <v>0</v>
      </c>
      <c r="CP17" s="1">
        <f>0.0139*CP2</f>
        <v>0</v>
      </c>
      <c r="CR17" s="1">
        <f>0.00625*CR2</f>
        <v>0</v>
      </c>
      <c r="CS17" s="1">
        <f>0.0115*CS2</f>
        <v>0</v>
      </c>
    </row>
    <row r="18">
      <c r="A18" s="1" t="str">
        <v>Обработка</v>
      </c>
      <c r="B18" s="1" t="str">
        <v>Фрезер</v>
      </c>
      <c r="C18" s="1">
        <f>SUM(D18:PE18)</f>
        <v>0</v>
      </c>
      <c r="P18" s="1">
        <f>0.51*P2</f>
        <v>0</v>
      </c>
      <c r="Q18" s="1">
        <f>0.7*Q2</f>
        <v>0</v>
      </c>
      <c r="R18" s="1">
        <f>1.2*R2</f>
        <v>0</v>
      </c>
      <c r="AM18" s="1">
        <f>0.881*AM2</f>
        <v>0</v>
      </c>
      <c r="AO18" s="1">
        <f>1.1*AO2</f>
        <v>0</v>
      </c>
      <c r="AX18" s="1">
        <f>0.34*AX2</f>
        <v>0</v>
      </c>
      <c r="BJ18" s="1">
        <f>0.541*BJ2</f>
        <v>0</v>
      </c>
      <c r="BT18" s="1">
        <f>0.55*BT2</f>
        <v>0</v>
      </c>
      <c r="CP18" s="1">
        <f>0.81*CP2</f>
        <v>0</v>
      </c>
      <c r="CR18" s="1">
        <f>0.584*CR2</f>
        <v>0</v>
      </c>
      <c r="CS18" s="1">
        <f>0.874*CS2</f>
        <v>0</v>
      </c>
    </row>
    <row r="19">
      <c r="A19" s="1" t="str">
        <v>Полистирол белый 6 мм</v>
      </c>
      <c r="B19" s="1" t="str">
        <v>м2</v>
      </c>
      <c r="C19" s="1">
        <f>SUM(D19:PE19)*1.1</f>
        <v>0</v>
      </c>
      <c r="P19" s="1">
        <f>0.01*P2</f>
        <v>0</v>
      </c>
      <c r="Q19" s="1">
        <f>0.016*Q2</f>
        <v>0</v>
      </c>
      <c r="R19" s="1">
        <f>0.03*R2</f>
        <v>0</v>
      </c>
      <c r="AM19" s="1">
        <f>0.02*AM2</f>
        <v>0</v>
      </c>
      <c r="AO19" s="1">
        <f>0.026*AO2</f>
        <v>0</v>
      </c>
      <c r="AX19" s="1">
        <f>0.006*AX2</f>
        <v>0</v>
      </c>
      <c r="BJ19" s="1">
        <f>0.011*BJ2</f>
        <v>0</v>
      </c>
      <c r="BT19" s="1">
        <f>0.015*BT2</f>
        <v>0</v>
      </c>
      <c r="CP19" s="1">
        <f>0.036*CP2</f>
        <v>0</v>
      </c>
      <c r="CR19" s="1">
        <f>0.0166*CR2</f>
        <v>0</v>
      </c>
      <c r="CS19" s="1">
        <f>0.0286*CS2</f>
        <v>0</v>
      </c>
    </row>
    <row r="20">
      <c r="A20" s="1" t="str">
        <v>Обработка</v>
      </c>
      <c r="B20" s="1" t="str">
        <v>Фрезер</v>
      </c>
      <c r="C20" s="1">
        <f>SUM(D20:PE20)</f>
        <v>0</v>
      </c>
      <c r="P20" s="1">
        <f>0.8*P2</f>
        <v>0</v>
      </c>
      <c r="Q20" s="1">
        <f>0.91*Q2</f>
        <v>0</v>
      </c>
      <c r="R20" s="1">
        <f>1.33*R2</f>
        <v>0</v>
      </c>
      <c r="AM20" s="1">
        <f>1.1*AM2</f>
        <v>0</v>
      </c>
      <c r="AO20" s="1">
        <f>1.3*AO2</f>
        <v>0</v>
      </c>
      <c r="AX20" s="1">
        <f>0.66*AX2</f>
        <v>0</v>
      </c>
      <c r="BJ20" s="1">
        <f>0.83*BJ2</f>
        <v>0</v>
      </c>
      <c r="BT20" s="1">
        <f>0.9*BT2</f>
        <v>0</v>
      </c>
      <c r="CP20" s="1">
        <f>1.36*CP2</f>
        <v>0</v>
      </c>
      <c r="CR20" s="1">
        <f>0.915*CR2</f>
        <v>0</v>
      </c>
      <c r="CS20" s="1">
        <f>1.224*CS2</f>
        <v>0</v>
      </c>
    </row>
    <row r="21">
      <c r="A21" s="1" t="str">
        <v>Магнитный винил матовый 0,5 (рулон 600 мм) без клея</v>
      </c>
      <c r="B21" s="1" t="str">
        <v>м2</v>
      </c>
      <c r="C21" s="1">
        <f>SUM(D21:PE21)*1.1</f>
        <v>0</v>
      </c>
      <c r="AT21" s="1">
        <f>0.15*AT2</f>
        <v>0</v>
      </c>
      <c r="CB21" s="1">
        <f>0.3*CB2</f>
        <v>0</v>
      </c>
    </row>
    <row r="22">
      <c r="A22" s="1" t="str">
        <v>Обработка</v>
      </c>
      <c r="B22" s="1" t="str">
        <v>Эско</v>
      </c>
      <c r="C22" s="1">
        <f>SUM(D22:PE22)</f>
        <v>0</v>
      </c>
      <c r="AT22" s="1">
        <f>1.6*AT2</f>
        <v>0</v>
      </c>
      <c r="CB22" s="1">
        <f>2.1*CB2</f>
        <v>0</v>
      </c>
    </row>
    <row r="23">
      <c r="A23" s="1" t="str">
        <v>Бумага для Ролланд (ЗАКЛАДЫВАЕТСЯ В ЗАВИСИМОСТИ ОТ ТИРАЖА, ЕСЛИ ТИРАЖ БОЛЬШОЙ, ТО ПРОИЗВОДИТСЯ НА ПОДРЯДЕ)</v>
      </c>
      <c r="B23" s="1" t="str">
        <v>м2</v>
      </c>
      <c r="C23" s="1">
        <f>SUM(D23:PE23)*1.1</f>
        <v>0</v>
      </c>
      <c r="CZ23" s="1">
        <f>0.037*CZ2</f>
        <v>0</v>
      </c>
    </row>
    <row r="24">
      <c r="A24" s="1" t="str">
        <v>Обработка</v>
      </c>
      <c r="B24" s="1" t="str">
        <v>Эско</v>
      </c>
      <c r="C24" s="1">
        <f>SUM(D24:PE24)*1.1</f>
        <v>0</v>
      </c>
      <c r="AT24" s="1">
        <f>1.6*AT4</f>
        <v>0</v>
      </c>
      <c r="CB24" s="1">
        <f>2.1*CB4</f>
        <v>0</v>
      </c>
      <c r="CZ24" s="1">
        <f>2.1*CZ2</f>
        <v>0</v>
      </c>
    </row>
    <row r="25">
      <c r="C25" s="1">
        <f>SUM(D25:PE25)*1.1</f>
        <v>0</v>
      </c>
    </row>
    <row r="26">
      <c r="A26" s="1" t="str">
        <v>Скотч 3м, 6 мм</v>
      </c>
      <c r="B26" s="1" t="str">
        <v>мп</v>
      </c>
      <c r="C26" s="1">
        <f>SUM(D26:PE26)*1.1</f>
        <v>0</v>
      </c>
      <c r="P26" s="1">
        <f>0.35*P2</f>
        <v>0</v>
      </c>
      <c r="Q26" s="1">
        <f>0.36*Q2</f>
        <v>0</v>
      </c>
      <c r="R26" s="1">
        <f>0.76*R2</f>
        <v>0</v>
      </c>
      <c r="AM26" s="1">
        <f>0.4*AM2</f>
        <v>0</v>
      </c>
      <c r="AO26" s="1">
        <f>0.7*AO2</f>
        <v>0</v>
      </c>
      <c r="AX26" s="1">
        <f>0.25*AX2</f>
        <v>0</v>
      </c>
      <c r="BJ26" s="1">
        <f>0.45*BJ2</f>
        <v>0</v>
      </c>
      <c r="BT26" s="1">
        <f>0.4*BT2</f>
        <v>0</v>
      </c>
      <c r="CR26" s="1">
        <f>0.508*CR2</f>
        <v>0</v>
      </c>
      <c r="CS26" s="1">
        <f>0.675*CS2</f>
        <v>0</v>
      </c>
    </row>
    <row r="27">
      <c r="A27" s="1" t="str">
        <v>Скотч 3м, 9 мм</v>
      </c>
      <c r="B27" s="1" t="str">
        <v>мп</v>
      </c>
      <c r="C27" s="1">
        <f>SUM(D27:PE27)*1.1</f>
        <v>0</v>
      </c>
      <c r="L27" s="1">
        <f>0.05*L2</f>
        <v>0</v>
      </c>
      <c r="N27" s="1">
        <f>2.2*N2</f>
        <v>0</v>
      </c>
      <c r="S27" s="1">
        <f>0.14*S2</f>
        <v>0</v>
      </c>
      <c r="T27" s="1">
        <f>0.25*T2</f>
        <v>0</v>
      </c>
      <c r="AB27" s="1">
        <f>0.13*AB2</f>
        <v>0</v>
      </c>
      <c r="AL27" s="1">
        <f>0.215*AL2</f>
        <v>0</v>
      </c>
      <c r="AS27" s="1">
        <f>0.2*AS2</f>
        <v>0</v>
      </c>
      <c r="BM27" s="1">
        <f>0.18*BM2</f>
        <v>0</v>
      </c>
      <c r="BW27" s="1">
        <f>0.09*BW2</f>
        <v>0</v>
      </c>
      <c r="BX27" s="1">
        <f>2*BX2</f>
        <v>0</v>
      </c>
      <c r="BZ27" s="1">
        <f>2.4*BZ2</f>
        <v>0</v>
      </c>
      <c r="CA27" s="1">
        <f>1.2*CA2</f>
        <v>0</v>
      </c>
      <c r="CC27" s="1">
        <f>1.2*CC2</f>
        <v>0</v>
      </c>
      <c r="CD27" s="1">
        <f>0.6*CD2</f>
        <v>0</v>
      </c>
      <c r="CH27" s="1">
        <f>0.18*CH2</f>
        <v>0</v>
      </c>
      <c r="CI27" s="1">
        <f>2*CI2</f>
        <v>0</v>
      </c>
      <c r="CJ27" s="1">
        <f>1*CJ2</f>
        <v>0</v>
      </c>
      <c r="CK27" s="1">
        <f>1.6*CK2</f>
        <v>0</v>
      </c>
      <c r="CL27" s="1">
        <f>0.8*CL2</f>
        <v>0</v>
      </c>
      <c r="CM27" s="1">
        <f>0.1*CM2</f>
        <v>0</v>
      </c>
      <c r="CP27" s="1">
        <f>0.865*CP2</f>
        <v>0</v>
      </c>
      <c r="CY27" s="1">
        <f>0.045*CY2</f>
        <v>0</v>
      </c>
      <c r="CZ27" s="1">
        <f>3*CZ2</f>
        <v>0</v>
      </c>
    </row>
    <row r="28">
      <c r="C28" s="1">
        <f>SUM(D28:PE28)*1.1</f>
        <v>0</v>
      </c>
    </row>
    <row r="29">
      <c r="A29" s="1" t="str">
        <v>Термоклей</v>
      </c>
      <c r="B29" s="1" t="str">
        <v>Стержень</v>
      </c>
      <c r="C29" s="1">
        <f>SUM(D29:PE29)*1.1</f>
        <v>0</v>
      </c>
      <c r="J29" s="1">
        <f>0.1*J2</f>
        <v>0</v>
      </c>
      <c r="K29" s="1">
        <f>0.1*K2</f>
        <v>0</v>
      </c>
      <c r="BK29" s="1">
        <f>0.2*BK2</f>
        <v>0</v>
      </c>
    </row>
    <row r="30">
      <c r="A30" s="1" t="str">
        <v>Гибы</v>
      </c>
      <c r="B30" s="1" t="str">
        <v>гибов</v>
      </c>
      <c r="C30" s="1">
        <f>SUM(D30:PE30)</f>
        <v>45</v>
      </c>
      <c r="D30" s="1">
        <f>3*D2</f>
        <v>3</v>
      </c>
      <c r="E30" s="1">
        <f>3*E2</f>
        <v>6</v>
      </c>
      <c r="F30" s="1">
        <f>3*F2</f>
        <v>6</v>
      </c>
      <c r="G30" s="1">
        <f>3*G2</f>
        <v>12</v>
      </c>
      <c r="H30" s="1">
        <f>3*H2</f>
        <v>15</v>
      </c>
      <c r="I30" s="1">
        <f>3*I2</f>
        <v>0</v>
      </c>
      <c r="J30" s="1">
        <f>1*J2</f>
        <v>0</v>
      </c>
      <c r="K30" s="1">
        <f>1*K2</f>
        <v>0</v>
      </c>
      <c r="L30" s="1">
        <f>2*L2</f>
        <v>0</v>
      </c>
      <c r="M30" s="1">
        <f>3*M2</f>
        <v>0</v>
      </c>
      <c r="N30" s="1">
        <f>5*N2</f>
        <v>0</v>
      </c>
      <c r="O30" s="1">
        <f>3*O2</f>
        <v>0</v>
      </c>
      <c r="P30" s="1">
        <f>2*P2</f>
        <v>0</v>
      </c>
      <c r="Q30" s="1">
        <f>4*Q2</f>
        <v>0</v>
      </c>
      <c r="R30" s="1">
        <f>2*R2</f>
        <v>0</v>
      </c>
      <c r="S30" s="1">
        <f>0*S2</f>
        <v>0</v>
      </c>
      <c r="T30" s="1">
        <f>2*T2</f>
        <v>0</v>
      </c>
      <c r="U30" s="1">
        <f>3*U2</f>
        <v>0</v>
      </c>
      <c r="V30" s="1">
        <f>4*V2</f>
        <v>0</v>
      </c>
      <c r="W30" s="1">
        <f>4*W2</f>
        <v>0</v>
      </c>
      <c r="X30" s="1">
        <f>2*X2</f>
        <v>0</v>
      </c>
      <c r="Y30" s="1">
        <f>3*Y2</f>
        <v>0</v>
      </c>
      <c r="Z30" s="1">
        <f>3*Z2</f>
        <v>0</v>
      </c>
      <c r="AA30" s="1">
        <f>4*AA2</f>
        <v>0</v>
      </c>
      <c r="AB30" s="1">
        <f>2*AB2</f>
        <v>0</v>
      </c>
      <c r="AC30" s="1">
        <f>3*AC2</f>
        <v>0</v>
      </c>
      <c r="AD30" s="1">
        <f>3*AD2</f>
        <v>0</v>
      </c>
      <c r="AE30" s="1">
        <f>3*AE2</f>
        <v>0</v>
      </c>
      <c r="AF30" s="1">
        <f>3*AF2</f>
        <v>0</v>
      </c>
      <c r="AG30" s="1">
        <f>3*AG2</f>
        <v>0</v>
      </c>
      <c r="AH30" s="1">
        <f>3*AH2</f>
        <v>0</v>
      </c>
      <c r="AI30" s="1">
        <f>2*AI2</f>
        <v>0</v>
      </c>
      <c r="AJ30" s="1">
        <f>4*AJ2</f>
        <v>0</v>
      </c>
      <c r="AK30" s="1">
        <f>4*AK2</f>
        <v>0</v>
      </c>
      <c r="AL30" s="1">
        <f>2*AL2</f>
        <v>0</v>
      </c>
      <c r="AM30" s="1">
        <f>4*AM2</f>
        <v>0</v>
      </c>
      <c r="AN30" s="1">
        <f>2*AN2</f>
        <v>0</v>
      </c>
      <c r="AO30" s="1">
        <f>4*AO2</f>
        <v>0</v>
      </c>
      <c r="AP30" s="1">
        <f>3*AP2</f>
        <v>0</v>
      </c>
      <c r="AQ30" s="1">
        <f>3*AQ2</f>
        <v>0</v>
      </c>
      <c r="AR30" s="1">
        <f>4*AR2</f>
        <v>0</v>
      </c>
      <c r="AS30" s="1">
        <f>2*AS2</f>
        <v>0</v>
      </c>
      <c r="AT30" s="1">
        <f>0*AT2</f>
        <v>0</v>
      </c>
      <c r="AU30" s="1">
        <f>2*AU2</f>
        <v>0</v>
      </c>
      <c r="AV30" s="1">
        <f>3*AV2</f>
        <v>0</v>
      </c>
      <c r="AW30" s="1">
        <f>3*AW2</f>
        <v>0</v>
      </c>
      <c r="AX30" s="1">
        <f>3*AX2</f>
        <v>0</v>
      </c>
      <c r="AY30" s="1">
        <f>3*AY2</f>
        <v>0</v>
      </c>
      <c r="AZ30" s="1">
        <f>3*AZ2</f>
        <v>0</v>
      </c>
      <c r="BA30" s="1">
        <f>3*BA2</f>
        <v>0</v>
      </c>
      <c r="BB30" s="1">
        <f>3*BB2</f>
        <v>0</v>
      </c>
      <c r="BC30" s="1">
        <f>3*BC2</f>
        <v>0</v>
      </c>
      <c r="BD30" s="1">
        <f>3*BD2</f>
        <v>0</v>
      </c>
      <c r="BE30" s="1">
        <f>4*BE2</f>
        <v>0</v>
      </c>
      <c r="BF30" s="1">
        <f>3*BF2</f>
        <v>0</v>
      </c>
      <c r="BG30" s="1">
        <f>3*BG2</f>
        <v>0</v>
      </c>
      <c r="BH30" s="1">
        <f>3*BH2</f>
        <v>0</v>
      </c>
      <c r="BI30" s="1">
        <f>3*BI2</f>
        <v>0</v>
      </c>
      <c r="BJ30" s="1">
        <f>4*BJ2</f>
        <v>0</v>
      </c>
      <c r="BK30" s="1">
        <f>1*BK2</f>
        <v>0</v>
      </c>
      <c r="BL30" s="1">
        <f>4*BL2</f>
        <v>0</v>
      </c>
      <c r="BM30" s="1">
        <f>3*BM2</f>
        <v>0</v>
      </c>
      <c r="BN30" s="1">
        <f>3*BN2</f>
        <v>0</v>
      </c>
      <c r="BO30" s="1">
        <f>3*BO2</f>
        <v>0</v>
      </c>
      <c r="BP30" s="1">
        <f>2*BP2</f>
        <v>0</v>
      </c>
      <c r="BQ30" s="1">
        <f>3*BQ2</f>
        <v>0</v>
      </c>
      <c r="BR30" s="1">
        <f>3*BR2</f>
        <v>0</v>
      </c>
      <c r="BS30" s="1">
        <f>4*BS2</f>
        <v>0</v>
      </c>
      <c r="BT30" s="1">
        <f>4*BT2</f>
        <v>0</v>
      </c>
      <c r="BU30" s="1">
        <f>3*BU2</f>
        <v>0</v>
      </c>
      <c r="BV30" s="1">
        <f>4*BV2</f>
        <v>0</v>
      </c>
      <c r="BW30" s="1">
        <f>2*BW2</f>
        <v>0</v>
      </c>
      <c r="BX30" s="1">
        <f>6*BX2</f>
        <v>0</v>
      </c>
      <c r="BZ30" s="1">
        <f>6*BZ2</f>
        <v>0</v>
      </c>
      <c r="CC30" s="1">
        <f>6*CC2</f>
        <v>0</v>
      </c>
      <c r="CE30" s="1">
        <f>2*CE2</f>
        <v>0</v>
      </c>
      <c r="CF30" s="1">
        <f>2*CF2</f>
        <v>0</v>
      </c>
      <c r="CG30" s="1">
        <f>2*CG2</f>
        <v>0</v>
      </c>
      <c r="CH30" s="1">
        <f>2*CH2</f>
        <v>0</v>
      </c>
      <c r="CI30" s="1">
        <f>6*CI2</f>
        <v>0</v>
      </c>
      <c r="CK30" s="1">
        <f>6*CK2</f>
        <v>0</v>
      </c>
      <c r="CM30" s="1">
        <f>2*CM2</f>
        <v>0</v>
      </c>
      <c r="CN30" s="1">
        <f>3*CN2</f>
        <v>0</v>
      </c>
      <c r="CO30" s="1">
        <f>3*CO2</f>
        <v>0</v>
      </c>
      <c r="CP30" s="1">
        <f>3*CP2</f>
        <v>0</v>
      </c>
      <c r="CQ30" s="1">
        <f>3*CQ2</f>
        <v>0</v>
      </c>
      <c r="CR30" s="1">
        <f>3*CR2</f>
        <v>0</v>
      </c>
      <c r="CS30" s="1">
        <f>3*CS2</f>
        <v>0</v>
      </c>
      <c r="CT30" s="1">
        <f>3*CT2</f>
        <v>0</v>
      </c>
      <c r="CU30" s="1">
        <f>3*CU2</f>
        <v>0</v>
      </c>
      <c r="CV30" s="1">
        <f>3*CV2</f>
        <v>0</v>
      </c>
      <c r="CW30" s="1">
        <f>3*CW2</f>
        <v>0</v>
      </c>
      <c r="CX30" s="1">
        <f>3*CX2</f>
        <v>0</v>
      </c>
      <c r="CY30" s="1">
        <f>3*CY2</f>
        <v>0</v>
      </c>
      <c r="CZ30" s="1">
        <f>6*CZ2</f>
        <v>0</v>
      </c>
      <c r="DB30" s="1">
        <f>3*DB2</f>
        <v>0</v>
      </c>
      <c r="DC30" s="1">
        <f>3*DC2</f>
        <v>0</v>
      </c>
      <c r="DD30" s="1">
        <f>3*DD2</f>
        <v>0</v>
      </c>
      <c r="DE30" s="1">
        <f>4*DE2</f>
        <v>0</v>
      </c>
      <c r="DF30" s="1">
        <f>3*DF2</f>
        <v>3</v>
      </c>
    </row>
    <row r="31">
      <c r="A31" s="1" t="str">
        <v>Количество деталей на чистку</v>
      </c>
      <c r="B31" s="1" t="str">
        <v>деталей</v>
      </c>
      <c r="C31" s="1">
        <f>SUM(D31:PE31)</f>
        <v>211</v>
      </c>
      <c r="D31" s="1">
        <f>18*D2</f>
        <v>18</v>
      </c>
      <c r="E31" s="1">
        <f>13*E2</f>
        <v>26</v>
      </c>
      <c r="F31" s="1">
        <f>14*F2</f>
        <v>28</v>
      </c>
      <c r="G31" s="1">
        <f>18*G2</f>
        <v>72</v>
      </c>
      <c r="H31" s="1">
        <f>11*H2</f>
        <v>55</v>
      </c>
      <c r="I31" s="1">
        <f>11*I2</f>
        <v>0</v>
      </c>
      <c r="J31" s="1">
        <f>3*J2</f>
        <v>0</v>
      </c>
      <c r="K31" s="1">
        <f>3*K2</f>
        <v>0</v>
      </c>
      <c r="L31" s="1">
        <f>1*L2</f>
        <v>0</v>
      </c>
      <c r="M31" s="1">
        <f>14*M2</f>
        <v>0</v>
      </c>
      <c r="N31" s="1">
        <f>25*N2</f>
        <v>0</v>
      </c>
      <c r="O31" s="1">
        <f>8*O2</f>
        <v>0</v>
      </c>
      <c r="P31" s="1">
        <f>13*P2</f>
        <v>0</v>
      </c>
      <c r="Q31" s="1">
        <f>17*Q2</f>
        <v>0</v>
      </c>
      <c r="R31" s="1">
        <f>17*R2</f>
        <v>0</v>
      </c>
      <c r="S31" s="1">
        <f>0*S2</f>
        <v>0</v>
      </c>
      <c r="T31" s="1">
        <f>1*T2</f>
        <v>0</v>
      </c>
      <c r="U31" s="1">
        <f>10*U2</f>
        <v>0</v>
      </c>
      <c r="V31" s="1">
        <f>21*V2</f>
        <v>0</v>
      </c>
      <c r="W31" s="1">
        <f>6*W2</f>
        <v>0</v>
      </c>
      <c r="X31" s="1">
        <f>11*X2</f>
        <v>0</v>
      </c>
      <c r="Y31" s="1">
        <f>9*Y2</f>
        <v>0</v>
      </c>
      <c r="Z31" s="1">
        <f>9*Z2</f>
        <v>0</v>
      </c>
      <c r="AA31" s="1">
        <f>5*AA2</f>
        <v>0</v>
      </c>
      <c r="AB31" s="1">
        <f>1*AB2</f>
        <v>0</v>
      </c>
      <c r="AC31" s="1">
        <f>14*AC2</f>
        <v>0</v>
      </c>
      <c r="AD31" s="1">
        <f>14*AD2</f>
        <v>0</v>
      </c>
      <c r="AE31" s="1">
        <f>4*AE2</f>
        <v>0</v>
      </c>
      <c r="AF31" s="1">
        <f>4*AF2</f>
        <v>0</v>
      </c>
      <c r="AG31" s="1">
        <f>4*AG2</f>
        <v>0</v>
      </c>
      <c r="AH31" s="1">
        <f>4*AH2</f>
        <v>0</v>
      </c>
      <c r="AI31" s="1">
        <f>4*AI2</f>
        <v>0</v>
      </c>
      <c r="AJ31" s="1">
        <f>5*AJ2</f>
        <v>0</v>
      </c>
      <c r="AK31" s="1">
        <f>5*AK2</f>
        <v>0</v>
      </c>
      <c r="AL31" s="1">
        <f>1*AL2</f>
        <v>0</v>
      </c>
      <c r="AM31" s="1">
        <f>16*AM2</f>
        <v>0</v>
      </c>
      <c r="AN31" s="1">
        <f>4*AN2</f>
        <v>0</v>
      </c>
      <c r="AO31" s="1">
        <f>18*AO2</f>
        <v>0</v>
      </c>
      <c r="AP31" s="1">
        <f>6*AP2</f>
        <v>0</v>
      </c>
      <c r="AQ31" s="1">
        <f>5*AQ2</f>
        <v>0</v>
      </c>
      <c r="AR31" s="1">
        <f>9*AR2</f>
        <v>0</v>
      </c>
      <c r="AS31" s="1">
        <f>1*AS2</f>
        <v>0</v>
      </c>
      <c r="AT31" s="1">
        <f>0*AT2</f>
        <v>0</v>
      </c>
      <c r="AU31" s="1">
        <f>17*AU2</f>
        <v>0</v>
      </c>
      <c r="AV31" s="1">
        <f>7*AV2</f>
        <v>0</v>
      </c>
      <c r="AW31" s="1">
        <f>7*AW2</f>
        <v>0</v>
      </c>
      <c r="AX31" s="1">
        <f>12*AX2</f>
        <v>0</v>
      </c>
      <c r="AY31" s="1">
        <f>4*AY2</f>
        <v>0</v>
      </c>
      <c r="AZ31" s="1">
        <f>12*AZ2</f>
        <v>0</v>
      </c>
      <c r="BA31" s="1">
        <f>7*BA2</f>
        <v>0</v>
      </c>
      <c r="BB31" s="1">
        <f>4*BB2</f>
        <v>0</v>
      </c>
      <c r="BC31" s="1">
        <f>13*BC2</f>
        <v>0</v>
      </c>
      <c r="BD31" s="1">
        <f>6*BD2</f>
        <v>0</v>
      </c>
      <c r="BE31" s="1">
        <f>7*BE2</f>
        <v>0</v>
      </c>
      <c r="BF31" s="1">
        <f>5*BF2</f>
        <v>0</v>
      </c>
      <c r="BG31" s="1">
        <f>5*BG2</f>
        <v>0</v>
      </c>
      <c r="BH31" s="1">
        <f>6*BH2</f>
        <v>0</v>
      </c>
      <c r="BI31" s="1">
        <f>13*BI2</f>
        <v>0</v>
      </c>
      <c r="BJ31" s="1">
        <f>18*BJ2</f>
        <v>0</v>
      </c>
      <c r="BK31" s="1">
        <f>3*BK2</f>
        <v>0</v>
      </c>
      <c r="BL31" s="1">
        <f>7*BL2</f>
        <v>0</v>
      </c>
      <c r="BM31" s="1">
        <f>9*BM2</f>
        <v>0</v>
      </c>
      <c r="BN31" s="1">
        <f>5*BN2</f>
        <v>0</v>
      </c>
      <c r="BO31" s="1">
        <f>4*BO2</f>
        <v>0</v>
      </c>
      <c r="BP31" s="1">
        <f>9*BP2</f>
        <v>0</v>
      </c>
      <c r="BQ31" s="1">
        <f>12*BQ2</f>
        <v>0</v>
      </c>
      <c r="BR31" s="1">
        <f>7*BR2</f>
        <v>0</v>
      </c>
      <c r="BS31" s="1">
        <f>5*BS2</f>
        <v>0</v>
      </c>
      <c r="BT31" s="1">
        <f>15*BT2</f>
        <v>0</v>
      </c>
      <c r="BU31" s="1">
        <f>10*BU2</f>
        <v>0</v>
      </c>
      <c r="BV31" s="1">
        <f>5*BV2</f>
        <v>0</v>
      </c>
      <c r="BW31" s="1">
        <f>1*BW2</f>
        <v>0</v>
      </c>
      <c r="BX31" s="1">
        <f>3*BX2</f>
        <v>0</v>
      </c>
      <c r="BY31" s="1">
        <f>1*BY2</f>
        <v>0</v>
      </c>
      <c r="BZ31" s="1">
        <f>6*BZ2</f>
        <v>0</v>
      </c>
      <c r="CA31" s="1">
        <f>1*CA2</f>
        <v>0</v>
      </c>
      <c r="CB31" s="1">
        <f>0*CB2</f>
        <v>0</v>
      </c>
      <c r="CC31" s="1">
        <f>3*CC2</f>
        <v>0</v>
      </c>
      <c r="CD31" s="1">
        <f>1*CD2</f>
        <v>0</v>
      </c>
      <c r="CE31" s="1">
        <f>1*CE2</f>
        <v>0</v>
      </c>
      <c r="CF31" s="1">
        <f>1*CF2</f>
        <v>0</v>
      </c>
      <c r="CG31" s="1">
        <f>1*CG2</f>
        <v>0</v>
      </c>
      <c r="CH31" s="1">
        <f>1*CH2</f>
        <v>0</v>
      </c>
      <c r="CI31" s="1">
        <f>3*CI2</f>
        <v>0</v>
      </c>
      <c r="CJ31" s="1">
        <f>1*CJ2</f>
        <v>0</v>
      </c>
      <c r="CK31" s="1">
        <f>3*CK2</f>
        <v>0</v>
      </c>
      <c r="CL31" s="1">
        <f>1*CL2</f>
        <v>0</v>
      </c>
      <c r="CM31" s="1">
        <f>1*CL2</f>
        <v>0</v>
      </c>
      <c r="CN31" s="1">
        <f>9*CN2</f>
        <v>0</v>
      </c>
      <c r="CO31" s="1">
        <f>4*CO2</f>
        <v>0</v>
      </c>
      <c r="CP31" s="1">
        <f>14*CP2</f>
        <v>0</v>
      </c>
      <c r="CQ31" s="1">
        <f>10*CQ2</f>
        <v>0</v>
      </c>
      <c r="CR31" s="1">
        <f>13*CR2</f>
        <v>0</v>
      </c>
      <c r="CS31" s="1">
        <f>13*CS2</f>
        <v>0</v>
      </c>
      <c r="CT31" s="1">
        <f>17*CT2</f>
        <v>0</v>
      </c>
      <c r="CU31" s="1">
        <f>5*CU2</f>
        <v>0</v>
      </c>
      <c r="CV31" s="1">
        <f>5*CV2</f>
        <v>0</v>
      </c>
      <c r="CW31" s="1">
        <f>4*CW2</f>
        <v>0</v>
      </c>
      <c r="CX31" s="1">
        <f>4*CX2</f>
        <v>0</v>
      </c>
      <c r="CY31" s="1">
        <f>1*CY2</f>
        <v>0</v>
      </c>
      <c r="CZ31" s="1">
        <f>3*CZ2</f>
        <v>0</v>
      </c>
      <c r="DA31" s="1">
        <f>1*DA2</f>
        <v>0</v>
      </c>
      <c r="DB31" s="1">
        <f>17*DB2</f>
        <v>0</v>
      </c>
      <c r="DC31" s="1">
        <f>9*DC2</f>
        <v>0</v>
      </c>
      <c r="DD31" s="1">
        <f>13*DD2</f>
        <v>0</v>
      </c>
      <c r="DE31" s="1">
        <f>7*DE2</f>
        <v>0</v>
      </c>
      <c r="DF31" s="1">
        <f>12*DF2</f>
        <v>12</v>
      </c>
    </row>
    <row r="32">
      <c r="A32" s="1" t="str">
        <v>Печать</v>
      </c>
      <c r="B32" s="1" t="str">
        <v>CMYK</v>
      </c>
      <c r="C32" s="1">
        <f>SUM(D32:PE32)</f>
        <v>0</v>
      </c>
      <c r="P32" s="1">
        <f>0.001*P2</f>
        <v>0</v>
      </c>
      <c r="Q32" s="1">
        <f>0.001*Q2</f>
        <v>0</v>
      </c>
      <c r="R32" s="1">
        <f>0.001*R2</f>
        <v>0</v>
      </c>
      <c r="AM32" s="1">
        <f>0.001*AM2</f>
        <v>0</v>
      </c>
      <c r="AT32" s="1">
        <f>0.12*AT2</f>
        <v>0</v>
      </c>
      <c r="AX32" s="1">
        <f>0.001*AX2</f>
        <v>0</v>
      </c>
      <c r="BJ32" s="1">
        <f>0.001*BJ2</f>
        <v>0</v>
      </c>
      <c r="BT32" s="1">
        <f>0.001*BT2</f>
        <v>0</v>
      </c>
      <c r="BX32" s="1">
        <f>0.03*BX2</f>
        <v>0</v>
      </c>
      <c r="BY32" s="1">
        <f>0.19*BY2</f>
        <v>0</v>
      </c>
      <c r="BZ32" s="1">
        <f>0.036*BZ2</f>
        <v>0</v>
      </c>
      <c r="CA32" s="1">
        <f>0.227*CA2</f>
        <v>0</v>
      </c>
      <c r="CB32" s="1">
        <f>0.25*CB2</f>
        <v>0</v>
      </c>
      <c r="CC32" s="1">
        <f>0.018*CC2</f>
        <v>0</v>
      </c>
      <c r="CD32" s="1">
        <f>0.115*CD2</f>
        <v>0</v>
      </c>
      <c r="CI32" s="1">
        <f>0.028*CI2</f>
        <v>0</v>
      </c>
      <c r="CJ32" s="1">
        <f>0.174*CJ2</f>
        <v>0</v>
      </c>
      <c r="CK32" s="1">
        <f>0.024*CK2</f>
        <v>0</v>
      </c>
      <c r="CL32" s="1">
        <f>0.151*CL2</f>
        <v>0</v>
      </c>
      <c r="CM32" s="1">
        <f>2*CM2</f>
        <v>0</v>
      </c>
      <c r="CP32" s="1">
        <f>0.001*CP2</f>
        <v>0</v>
      </c>
      <c r="CR32" s="1">
        <f>0.001*CR2</f>
        <v>0</v>
      </c>
      <c r="CS32" s="1">
        <f>0.001*CS2</f>
        <v>0</v>
      </c>
      <c r="CY32" s="1">
        <f>2*CY2</f>
        <v>0</v>
      </c>
      <c r="CZ32" s="1">
        <f>0.03*CZ2</f>
        <v>0</v>
      </c>
      <c r="DA32" s="1">
        <f>0.187*DA2</f>
        <v>0</v>
      </c>
    </row>
    <row r="33">
      <c r="B33" s="1" t="str">
        <v xml:space="preserve">White </v>
      </c>
      <c r="C33" s="1">
        <f>SUM(D33:PE33)</f>
        <v>0</v>
      </c>
    </row>
    <row r="34">
      <c r="B34" s="1" t="str">
        <v>Ролланд</v>
      </c>
      <c r="C34" s="1">
        <f>SUM(D34:PE34)</f>
        <v>0</v>
      </c>
      <c r="BX34" s="1">
        <f>0.03*BX2</f>
        <v>0</v>
      </c>
      <c r="CZ34" s="1">
        <f>0.037*CZ2</f>
        <v>0</v>
      </c>
    </row>
    <row r="35">
      <c r="B35" s="1" t="str">
        <v>Лак матовый</v>
      </c>
      <c r="C35" s="1">
        <f>SUM(D35:PE35)</f>
        <v>0.159</v>
      </c>
      <c r="D35" s="1">
        <f>0.012*D2</f>
        <v>0.012</v>
      </c>
      <c r="H35" s="1">
        <f>0.023*H2</f>
        <v>0.11499999999999999</v>
      </c>
      <c r="I35" s="1">
        <f>0.023*I2</f>
        <v>0</v>
      </c>
      <c r="J35" s="1">
        <f>0.009*J2</f>
        <v>0</v>
      </c>
      <c r="K35" s="1">
        <f>0.009*K2</f>
        <v>0</v>
      </c>
      <c r="O35" s="1">
        <f>0.014*O2</f>
        <v>0</v>
      </c>
      <c r="U35" s="1">
        <f>0.043*U2</f>
        <v>0</v>
      </c>
      <c r="W35" s="1">
        <f>0.017*W2</f>
        <v>0</v>
      </c>
      <c r="Y35" s="1">
        <f>0.033*Y2</f>
        <v>0</v>
      </c>
      <c r="Z35" s="1">
        <f>0.021*Z2</f>
        <v>0</v>
      </c>
      <c r="AA35" s="1">
        <f>0.024*AA2</f>
        <v>0</v>
      </c>
      <c r="AE35" s="1">
        <f>0.021*AE2</f>
        <v>0</v>
      </c>
      <c r="AF35" s="1">
        <f>0.03*AF2</f>
        <v>0</v>
      </c>
      <c r="AG35" s="1">
        <f>0.028*AG2</f>
        <v>0</v>
      </c>
      <c r="AH35" s="1">
        <f>0.017*AH2</f>
        <v>0</v>
      </c>
      <c r="AI35" s="1">
        <f>0.027*AI2</f>
        <v>0</v>
      </c>
      <c r="AJ35" s="1">
        <f>0.023*AJ2</f>
        <v>0</v>
      </c>
      <c r="AK35" s="1">
        <f>0.02*AK2</f>
        <v>0</v>
      </c>
      <c r="AN35" s="1">
        <f>0.026*AN2</f>
        <v>0</v>
      </c>
      <c r="AO35" s="1">
        <f>0.001*AO2</f>
        <v>0</v>
      </c>
      <c r="AP35" s="1">
        <f>0.03*AP2</f>
        <v>0</v>
      </c>
      <c r="AQ35" s="1">
        <f>0.012*AQ2</f>
        <v>0</v>
      </c>
      <c r="AR35" s="1">
        <f>0.026*AR2</f>
        <v>0</v>
      </c>
      <c r="AV35" s="1">
        <f>0.011*AV2</f>
        <v>0</v>
      </c>
      <c r="AW35" s="1">
        <f>0.011*AW2</f>
        <v>0</v>
      </c>
      <c r="AY35" s="1">
        <f>0.01*AY2</f>
        <v>0</v>
      </c>
      <c r="BA35" s="1">
        <f>0.02*BA2</f>
        <v>0</v>
      </c>
      <c r="BB35" s="1">
        <f>0.007*BB2</f>
        <v>0</v>
      </c>
      <c r="BC35" s="1">
        <f>0.01*BC2</f>
        <v>0</v>
      </c>
      <c r="BD35" s="1">
        <f>0.01*BD2</f>
        <v>0</v>
      </c>
      <c r="BF35" s="1">
        <f>0.012*BF2</f>
        <v>0</v>
      </c>
      <c r="BG35" s="1">
        <f>0.012*BG2</f>
        <v>0</v>
      </c>
      <c r="BH35" s="1">
        <f>0.012*BH2</f>
        <v>0</v>
      </c>
      <c r="BK35" s="1">
        <f>0.011*BK2</f>
        <v>0</v>
      </c>
      <c r="BL35" s="1">
        <f>0.012*BL2</f>
        <v>0</v>
      </c>
      <c r="BM35" s="1">
        <f>0.011*BM2</f>
        <v>0</v>
      </c>
      <c r="BN35" s="1">
        <f>0.008*BN2</f>
        <v>0</v>
      </c>
      <c r="BO35" s="1">
        <f>0.007*BO2</f>
        <v>0</v>
      </c>
      <c r="BP35" s="1">
        <f>0.001*BP2</f>
        <v>0</v>
      </c>
      <c r="BQ35" s="1">
        <f>0.005*BQ2</f>
        <v>0</v>
      </c>
      <c r="BS35" s="1">
        <f>0.011*BS2</f>
        <v>0</v>
      </c>
      <c r="BV35" s="1">
        <f>0.02*BV2</f>
        <v>0</v>
      </c>
      <c r="CN35" s="1">
        <f>0.037*CN2</f>
        <v>0</v>
      </c>
      <c r="CO35" s="1">
        <f>0.037*CO2</f>
        <v>0</v>
      </c>
      <c r="CQ35" s="1">
        <f>0.046*CQ2</f>
        <v>0</v>
      </c>
      <c r="CU35" s="1">
        <f>0.018*CU2</f>
        <v>0</v>
      </c>
      <c r="CV35" s="1">
        <f>0.037*CV2</f>
        <v>0</v>
      </c>
      <c r="CW35" s="1">
        <f>0.037*CW2</f>
        <v>0</v>
      </c>
      <c r="CX35" s="1">
        <f>0.037*CX2</f>
        <v>0</v>
      </c>
      <c r="DC35" s="1">
        <f>0.035*DC2</f>
        <v>0</v>
      </c>
      <c r="DD35" s="1">
        <f>0.021*DD2</f>
        <v>0</v>
      </c>
      <c r="DE35" s="1">
        <f>0.008*DE2</f>
        <v>0</v>
      </c>
      <c r="DF35" s="1">
        <f>0.032*DF2</f>
        <v>0.032</v>
      </c>
    </row>
    <row r="36">
      <c r="A36" s="1" t="str">
        <v>Имидж ПОДРЯД</v>
      </c>
      <c r="B36" s="1" t="str">
        <v>шт</v>
      </c>
      <c r="C36" s="1">
        <f>SUM(D36:PE36)</f>
        <v>0</v>
      </c>
      <c r="L36" s="1">
        <f>1*L2</f>
        <v>0</v>
      </c>
      <c r="S36" s="1">
        <f>1*S2</f>
        <v>0</v>
      </c>
      <c r="T36" s="1">
        <f>1*T2</f>
        <v>0</v>
      </c>
      <c r="AB36" s="1">
        <f>1*AB2</f>
        <v>0</v>
      </c>
      <c r="AL36" s="1">
        <f>1*AL2</f>
        <v>0</v>
      </c>
      <c r="AS36" s="1">
        <f>1*AS2</f>
        <v>0</v>
      </c>
      <c r="BW36" s="1">
        <f>1*BW2</f>
        <v>0</v>
      </c>
      <c r="BZ36" s="1">
        <f>1*BZ2</f>
        <v>0</v>
      </c>
      <c r="CC36" s="1">
        <f>1*CC2</f>
        <v>0</v>
      </c>
      <c r="CE36" s="1">
        <f>1*CE2</f>
        <v>0</v>
      </c>
      <c r="CF36" s="1">
        <f>1*CF2</f>
        <v>0</v>
      </c>
      <c r="CG36" s="1">
        <f>1*CG2</f>
        <v>0</v>
      </c>
      <c r="CH36" s="1">
        <f>1*CH2</f>
        <v>0</v>
      </c>
      <c r="CI36" s="1">
        <f>1*CI2</f>
        <v>0</v>
      </c>
      <c r="CK36" s="1">
        <f>1*CK2</f>
        <v>0</v>
      </c>
    </row>
    <row r="38">
      <c r="A38" s="1" t="str">
        <v xml:space="preserve">Габариты </v>
      </c>
      <c r="B38" s="1" t="str">
        <v>Ширина (сумм)</v>
      </c>
      <c r="C38" s="1">
        <f>SUM(D38:PE38)</f>
        <v>930</v>
      </c>
      <c r="D38" s="1">
        <f>IF(D$2&gt;0,210,0)</f>
        <v>210</v>
      </c>
      <c r="E38" s="1">
        <f>IF(E$2&gt;0,120,0)</f>
        <v>120</v>
      </c>
      <c r="F38" s="1">
        <f>IF(F$2&gt;0,180,0)</f>
        <v>180</v>
      </c>
      <c r="G38" s="1">
        <f>IF(G$2&gt;0,110,0)</f>
        <v>110</v>
      </c>
      <c r="H38" s="1">
        <f>IF(H$2&gt;0,130,0)</f>
        <v>130</v>
      </c>
      <c r="I38" s="1">
        <f>IF(I$2&gt;0,130,0)</f>
        <v>0</v>
      </c>
      <c r="J38" s="1">
        <f>IF(J$2&gt;0,50,0)</f>
        <v>0</v>
      </c>
      <c r="K38" s="1">
        <f>IF(K$2&gt;0,50,0)</f>
        <v>0</v>
      </c>
      <c r="L38" s="1">
        <f>IF(L$2&gt;0,50,0)</f>
        <v>0</v>
      </c>
      <c r="M38" s="1">
        <f>IF(M$2&gt;0,160,0)</f>
        <v>0</v>
      </c>
      <c r="N38" s="1">
        <f>IF(N$2&gt;0,258,0)</f>
        <v>0</v>
      </c>
      <c r="O38" s="1">
        <f>IF(O$2&gt;0,80,0)</f>
        <v>0</v>
      </c>
      <c r="P38" s="1">
        <f>IF(P$2&gt;0,82,0)</f>
        <v>0</v>
      </c>
      <c r="Q38" s="1">
        <f>IF(Q$2&gt;0,110,0)</f>
        <v>0</v>
      </c>
      <c r="R38" s="1">
        <f>IF(R$2&gt;0,230,0)</f>
        <v>0</v>
      </c>
      <c r="S38" s="1">
        <f>IF(S$2&gt;0,140,0)</f>
        <v>0</v>
      </c>
      <c r="T38" s="1">
        <f>IF(T$2&gt;0,248,0)</f>
        <v>0</v>
      </c>
      <c r="U38" s="1">
        <f>IF(U$2&gt;0,220,0)</f>
        <v>0</v>
      </c>
      <c r="V38" s="1">
        <f>IF(V$2&gt;0,138,0)</f>
        <v>0</v>
      </c>
      <c r="W38" s="1">
        <f>IF(W$2&gt;0,75,0)</f>
        <v>0</v>
      </c>
      <c r="X38" s="1">
        <f>IF(X$2&gt;0,50,0)</f>
        <v>0</v>
      </c>
      <c r="Y38" s="1">
        <f>IF(Y$2&gt;0,88,0)</f>
        <v>0</v>
      </c>
      <c r="Z38" s="1">
        <f>IF(Z$2&gt;0,110,0)</f>
        <v>0</v>
      </c>
      <c r="AA38" s="1">
        <f>IF(AA$2&gt;0,90,0)</f>
        <v>0</v>
      </c>
      <c r="AB38" s="1">
        <f>IF(AB$2&gt;0,130,0)</f>
        <v>0</v>
      </c>
      <c r="AC38" s="1">
        <f>IF(AC$2&gt;0,112,0)</f>
        <v>0</v>
      </c>
      <c r="AD38" s="1">
        <f>IF(AD$2&gt;0,112,0)</f>
        <v>0</v>
      </c>
      <c r="AE38" s="1">
        <f>IF(AE$2&gt;0,116,0)</f>
        <v>0</v>
      </c>
      <c r="AF38" s="1">
        <f>IF(AF$2&gt;0,143,0)</f>
        <v>0</v>
      </c>
      <c r="AG38" s="1">
        <f>IF(AG$2&gt;0,150,0)</f>
        <v>0</v>
      </c>
      <c r="AH38" s="1">
        <f>IF(AH$2&gt;0,90,0)</f>
        <v>0</v>
      </c>
      <c r="AI38" s="1">
        <f>IF(AI$2&gt;0,135,0)</f>
        <v>0</v>
      </c>
      <c r="AJ38" s="1">
        <f>IF(AJ$2&gt;0,130,0)</f>
        <v>0</v>
      </c>
      <c r="AK38" s="1">
        <f>IF(AK$2&gt;0,100,0)</f>
        <v>0</v>
      </c>
      <c r="AM38" s="1">
        <f>IF(AM$2&gt;0,132,0)</f>
        <v>0</v>
      </c>
      <c r="AN38" s="1">
        <f>IF(AN$2&gt;0,135,0)</f>
        <v>0</v>
      </c>
      <c r="AO38" s="1">
        <f>IF(AO$2&gt;0,210,0)</f>
        <v>0</v>
      </c>
      <c r="AP38" s="1">
        <f>IF(AP$2&gt;0,150,0)</f>
        <v>0</v>
      </c>
      <c r="AQ38" s="1">
        <f>IF(AQ$2&gt;0,64,0)</f>
        <v>0</v>
      </c>
      <c r="AR38" s="1">
        <f>IF(AR$2&gt;0,140,0)</f>
        <v>0</v>
      </c>
      <c r="AS38" s="1">
        <f>IF(AS$2&gt;0,215,0)</f>
        <v>0</v>
      </c>
      <c r="AU38" s="1">
        <f>IF(AU$2&gt;0,125,0)</f>
        <v>0</v>
      </c>
      <c r="AV38" s="1">
        <f>IF(AV$2&gt;0,60,0)</f>
        <v>0</v>
      </c>
      <c r="AW38" s="1">
        <f>IF(AW$2&gt;0,60,0)</f>
        <v>0</v>
      </c>
      <c r="AX38" s="1">
        <f>IF(AX$2&gt;0,50,0)</f>
        <v>0</v>
      </c>
      <c r="AY38" s="1">
        <f>IF(AY$2&gt;0,40,0)</f>
        <v>0</v>
      </c>
      <c r="AZ38" s="1">
        <f>IF(AZ$2&gt;0,109,0)</f>
        <v>0</v>
      </c>
      <c r="BA38" s="1">
        <f>IF(BA$2&gt;0,100,0)</f>
        <v>0</v>
      </c>
      <c r="BB38" s="1">
        <f>IF(BB$2&gt;0,40,0)</f>
        <v>0</v>
      </c>
      <c r="BC38" s="1">
        <f>IF(BC$2&gt;0,84,0)</f>
        <v>0</v>
      </c>
      <c r="BD38" s="1">
        <f>IF(BD$2&gt;0,55,0)</f>
        <v>0</v>
      </c>
      <c r="BE38" s="1">
        <f>IF(BE$2&gt;0,40,0)</f>
        <v>0</v>
      </c>
      <c r="BF38" s="1">
        <f>IF(BF$2&gt;0,64,0)</f>
        <v>0</v>
      </c>
      <c r="BG38" s="1">
        <f>IF(BG$2&gt;0,60,0)</f>
        <v>0</v>
      </c>
      <c r="BH38" s="1">
        <f>IF(BH$2&gt;0,62,0)</f>
        <v>0</v>
      </c>
      <c r="BI38" s="1">
        <f>IF(BI$2&gt;0,65,0)</f>
        <v>0</v>
      </c>
      <c r="BJ38" s="1">
        <f>IF(BJ$2&gt;0,80,0)</f>
        <v>0</v>
      </c>
      <c r="BK38" s="1">
        <f>IF(BK$2&gt;0,60,0)</f>
        <v>0</v>
      </c>
      <c r="BL38" s="1">
        <f>IF(BL$2&gt;0,50,0)</f>
        <v>0</v>
      </c>
      <c r="BM38" s="1">
        <f>IF(BM$2&gt;0,90,0)</f>
        <v>0</v>
      </c>
      <c r="BN38" s="1">
        <f>IF(BN$2&gt;0,46,0)</f>
        <v>0</v>
      </c>
      <c r="BO38" s="1">
        <f>IF(BO$2&gt;0,40,0)</f>
        <v>0</v>
      </c>
      <c r="BP38" s="1">
        <f>IF(BP$2&gt;0,30,0)</f>
        <v>0</v>
      </c>
      <c r="BQ38" s="1">
        <f>IF(BQ$2&gt;0,60,0)</f>
        <v>0</v>
      </c>
      <c r="BR38" s="1">
        <f>IF(BR$2&gt;0,72,0)</f>
        <v>0</v>
      </c>
      <c r="BS38" s="1">
        <f>IF(BS$2&gt;0,64,0)</f>
        <v>0</v>
      </c>
      <c r="BT38" s="1">
        <f>IF(BT$2&gt;0,116,0)</f>
        <v>0</v>
      </c>
      <c r="BU38" s="1">
        <f>IF(BU$2&gt;0,65,0)</f>
        <v>0</v>
      </c>
      <c r="BV38" s="1">
        <f>IF(BV$2&gt;0,75,0)</f>
        <v>0</v>
      </c>
      <c r="BW38" s="1">
        <f>IF(BW$2&gt;0,90,0)</f>
        <v>0</v>
      </c>
      <c r="BZ38" s="1">
        <f>IF(BZ$2&gt;0,1200,0)</f>
        <v>0</v>
      </c>
      <c r="CA38" s="1">
        <f>IF(CA$2&gt;0,1200,0)</f>
        <v>0</v>
      </c>
      <c r="CB38" s="1">
        <f>IF(CB$2&gt;0,200,0)</f>
        <v>0</v>
      </c>
      <c r="CE38" s="1">
        <f>IF(CE$2&gt;0,94,0)</f>
        <v>0</v>
      </c>
      <c r="CF38" s="1">
        <f>IF(CF$2&gt;0,120,0)</f>
        <v>0</v>
      </c>
      <c r="CG38" s="1">
        <f>IF(CG$2&gt;0,46,0)</f>
        <v>0</v>
      </c>
      <c r="CH38" s="1">
        <f>IF(CH$2&gt;0,180,0)</f>
        <v>0</v>
      </c>
      <c r="CI38" s="1">
        <f>IF(CI$2&gt;0,920,0)</f>
        <v>0</v>
      </c>
      <c r="CJ38" s="1">
        <f>IF(CJ$2&gt;0,920,0)</f>
        <v>0</v>
      </c>
      <c r="CK38" s="1">
        <f>IF(CK$2&gt;0,800,0)</f>
        <v>0</v>
      </c>
      <c r="CL38" s="1">
        <f>IF(CL$2&gt;0,800,0)</f>
        <v>0</v>
      </c>
      <c r="CM38" s="1">
        <f>IF(CM$2&gt;0,100,0)</f>
        <v>0</v>
      </c>
      <c r="CN38" s="1">
        <f>IF(CN$2&gt;0,200,0)</f>
        <v>0</v>
      </c>
      <c r="CO38" s="1">
        <f>IF(CO$2&gt;0,200,0)</f>
        <v>0</v>
      </c>
      <c r="CP38" s="1">
        <f>IF(CP$2&gt;0,250,0)</f>
        <v>0</v>
      </c>
      <c r="CQ38" s="1">
        <f>IF(CQ$2&gt;0,250,0)</f>
        <v>0</v>
      </c>
      <c r="CR38" s="1">
        <f>IF(CR$2&gt;0,140,0)</f>
        <v>0</v>
      </c>
      <c r="CS38" s="1">
        <f>IF(CS$2&gt;0,210,0)</f>
        <v>0</v>
      </c>
      <c r="CT38" s="1">
        <f>IF(CT$2&gt;0,140,0)</f>
        <v>0</v>
      </c>
      <c r="CU38" s="1">
        <f>IF(CU$2&gt;0,100,0)</f>
        <v>0</v>
      </c>
      <c r="CV38" s="1">
        <f>IF(CV$2&gt;0,200,0)</f>
        <v>0</v>
      </c>
      <c r="CW38" s="1">
        <f>IF(CW$2&gt;0,200,0)</f>
        <v>0</v>
      </c>
      <c r="CX38" s="1">
        <f>IF(CX$2&gt;0,200,0)</f>
        <v>0</v>
      </c>
      <c r="CY38" s="1">
        <f>IF(CY$2&gt;0,45,0)</f>
        <v>0</v>
      </c>
      <c r="CZ38" s="1">
        <f>IF(CZ$2&gt;0,990,0)</f>
        <v>0</v>
      </c>
      <c r="DA38" s="1">
        <f>IF(DA$2&gt;0,984,0)</f>
        <v>0</v>
      </c>
      <c r="DB38" s="1">
        <f>IF(DB$2&gt;0,140,0)</f>
        <v>0</v>
      </c>
      <c r="DC38" s="1">
        <f>IF(DC$2&gt;0,200,0)</f>
        <v>0</v>
      </c>
      <c r="DD38" s="1">
        <f>IF(DD$2&gt;0,130,0)</f>
        <v>0</v>
      </c>
      <c r="DE38" s="1">
        <f>IF(DE$2&gt;0,50,0)</f>
        <v>0</v>
      </c>
      <c r="DF38" s="1">
        <f>IF(DF$2&gt;0,180,0)</f>
        <v>180</v>
      </c>
    </row>
    <row r="39">
      <c r="B39" s="1" t="str">
        <v>Глубина (макс)</v>
      </c>
      <c r="C39" s="1">
        <f>MAX(D39:PE39)</f>
        <v>198</v>
      </c>
      <c r="D39" s="1">
        <f>IF(D$2&gt;0,198,0)</f>
        <v>198</v>
      </c>
      <c r="E39" s="1">
        <f>IF(E$2&gt;0,198,0)</f>
        <v>198</v>
      </c>
      <c r="F39" s="1">
        <f>IF(F$2&gt;0,198,0)</f>
        <v>198</v>
      </c>
      <c r="G39" s="1">
        <f>IF(G$2&gt;0,198,0)</f>
        <v>198</v>
      </c>
      <c r="H39" s="1">
        <f>IF(H$2&gt;0,198,0)</f>
        <v>198</v>
      </c>
      <c r="I39" s="1">
        <f>IF(I$2&gt;0,198,0)</f>
        <v>0</v>
      </c>
      <c r="J39" s="1">
        <f>IF(J$2&gt;0,198,0)</f>
        <v>0</v>
      </c>
      <c r="K39" s="1">
        <f>IF(K$2&gt;0,198,0)</f>
        <v>0</v>
      </c>
      <c r="L39" s="1">
        <f>IF(L$2&gt;0,198,0)</f>
        <v>0</v>
      </c>
      <c r="M39" s="1">
        <f>IF(M$2&gt;0,198,0)</f>
        <v>0</v>
      </c>
      <c r="N39" s="1">
        <f>IF(N$2&gt;0,198,0)</f>
        <v>0</v>
      </c>
      <c r="O39" s="1">
        <f>IF(O$2&gt;0,198,0)</f>
        <v>0</v>
      </c>
      <c r="P39" s="1">
        <f>IF(P$2&gt;0,220,0)</f>
        <v>0</v>
      </c>
      <c r="Q39" s="1">
        <f>IF(Q$2&gt;0,220,0)</f>
        <v>0</v>
      </c>
      <c r="R39" s="1">
        <f>IF(R$2&gt;0,220,0)</f>
        <v>0</v>
      </c>
      <c r="S39" s="1">
        <f>IF(S$2&gt;0,198,0)</f>
        <v>0</v>
      </c>
      <c r="T39" s="1">
        <f>IF(T$2&gt;0,198,0)</f>
        <v>0</v>
      </c>
      <c r="U39" s="1">
        <f>IF(U$2&gt;0,198,0)</f>
        <v>0</v>
      </c>
      <c r="V39" s="1">
        <f>IF(V$2&gt;0,198,0)</f>
        <v>0</v>
      </c>
      <c r="W39" s="1">
        <f>IF(W$2&gt;0,198,0)</f>
        <v>0</v>
      </c>
      <c r="X39" s="1">
        <f>IF(X$2&gt;0,198,0)</f>
        <v>0</v>
      </c>
      <c r="Y39" s="1">
        <f>IF(Y$2&gt;0,198,0)</f>
        <v>0</v>
      </c>
      <c r="Z39" s="1">
        <f>IF(Z$2&gt;0,198,0)</f>
        <v>0</v>
      </c>
      <c r="AA39" s="1">
        <f>IF(AA$2&gt;0,198,0)</f>
        <v>0</v>
      </c>
      <c r="AB39" s="1">
        <f>IF(AB$2&gt;0,198,0)</f>
        <v>0</v>
      </c>
      <c r="AC39" s="1">
        <f>IF(AC$2&gt;0,198,0)</f>
        <v>0</v>
      </c>
      <c r="AD39" s="1">
        <f>IF(AD$2&gt;0,198,0)</f>
        <v>0</v>
      </c>
      <c r="AE39" s="1">
        <f>IF(AE$2&gt;0,198,0)</f>
        <v>0</v>
      </c>
      <c r="AF39" s="1">
        <f>IF(AF$2&gt;0,198,0)</f>
        <v>0</v>
      </c>
      <c r="AG39" s="1">
        <f>IF(AG$2&gt;0,198,0)</f>
        <v>0</v>
      </c>
      <c r="AH39" s="1">
        <f>IF(AH$2&gt;0,198,0)</f>
        <v>0</v>
      </c>
      <c r="AI39" s="1">
        <f>IF(AI$2&gt;0,198,0)</f>
        <v>0</v>
      </c>
      <c r="AJ39" s="1">
        <f>IF(AJ$2&gt;0,198,0)</f>
        <v>0</v>
      </c>
      <c r="AK39" s="1">
        <f>IF(AK$2&gt;0,198,0)</f>
        <v>0</v>
      </c>
      <c r="AM39" s="1">
        <f>IF(AM$2&gt;0,217,0)</f>
        <v>0</v>
      </c>
      <c r="AN39" s="1">
        <f>IF(AN$2&gt;0,198,0)</f>
        <v>0</v>
      </c>
      <c r="AO39" s="1">
        <f>IF(AO$2&gt;0,217,0)</f>
        <v>0</v>
      </c>
      <c r="AP39" s="1">
        <f>IF(AP$2&gt;0,198,0)</f>
        <v>0</v>
      </c>
      <c r="AQ39" s="1">
        <f>IF(AQ$2&gt;0,198,0)</f>
        <v>0</v>
      </c>
      <c r="AR39" s="1">
        <f>IF(AR$2&gt;0,198,0)</f>
        <v>0</v>
      </c>
      <c r="AS39" s="1">
        <f>IF(AS$2&gt;0,198,0)</f>
        <v>0</v>
      </c>
      <c r="AU39" s="1">
        <f>IF(AU$2&gt;0,198,0)</f>
        <v>0</v>
      </c>
      <c r="AV39" s="1">
        <f>IF(AV$2&gt;0,198,0)</f>
        <v>0</v>
      </c>
      <c r="AW39" s="1">
        <f>IF(AW$2&gt;0,198,0)</f>
        <v>0</v>
      </c>
      <c r="AX39" s="1">
        <f>IF(AX$2&gt;0,217,0)</f>
        <v>0</v>
      </c>
      <c r="AY39" s="1">
        <f>IF(AY$2&gt;0,198,0)</f>
        <v>0</v>
      </c>
      <c r="AZ39" s="1">
        <f>IF(AZ$2&gt;0,198,0)</f>
        <v>0</v>
      </c>
      <c r="BA39" s="1">
        <f>IF(BA$2&gt;0,198,0)</f>
        <v>0</v>
      </c>
      <c r="BB39" s="1">
        <f>IF(BB$2&gt;0,198,0)</f>
        <v>0</v>
      </c>
      <c r="BC39" s="1">
        <f>IF(BC$2&gt;0,198,0)</f>
        <v>0</v>
      </c>
      <c r="BD39" s="1">
        <f>IF(BD$2&gt;0,198,0)</f>
        <v>0</v>
      </c>
      <c r="BE39" s="1">
        <f>IF(BE$2&gt;0,198,0)</f>
        <v>0</v>
      </c>
      <c r="BF39" s="1">
        <f>IF(BF$2&gt;0,198,0)</f>
        <v>0</v>
      </c>
      <c r="BG39" s="1">
        <f>IF(BG$2&gt;0,198,0)</f>
        <v>0</v>
      </c>
      <c r="BH39" s="1">
        <f>IF(BH$2&gt;0,198,0)</f>
        <v>0</v>
      </c>
      <c r="BI39" s="1">
        <f>IF(BI$2&gt;0,198,0)</f>
        <v>0</v>
      </c>
      <c r="BJ39" s="1">
        <f>IF(BJ$2&gt;0,217,0)</f>
        <v>0</v>
      </c>
      <c r="BK39" s="1">
        <f>IF(BK$2&gt;0,198,0)</f>
        <v>0</v>
      </c>
      <c r="BL39" s="1">
        <f>IF(BL$2&gt;0,198,0)</f>
        <v>0</v>
      </c>
      <c r="BM39" s="1">
        <f>IF(BM$2&gt;0,198,0)</f>
        <v>0</v>
      </c>
      <c r="BN39" s="1">
        <f>IF(BN$2&gt;0,198,0)</f>
        <v>0</v>
      </c>
      <c r="BO39" s="1">
        <f>IF(BO$2&gt;0,198,0)</f>
        <v>0</v>
      </c>
      <c r="BP39" s="1">
        <f>IF(BP$2&gt;0,198,0)</f>
        <v>0</v>
      </c>
      <c r="BQ39" s="1">
        <f>IF(BQ$2&gt;0,198,0)</f>
        <v>0</v>
      </c>
      <c r="BR39" s="1">
        <f>IF(BR$2&gt;0,198,0)</f>
        <v>0</v>
      </c>
      <c r="BS39" s="1">
        <f>IF(BS$2&gt;0,198,0)</f>
        <v>0</v>
      </c>
      <c r="BT39" s="1">
        <f>IF(BT$2&gt;0,217,0)</f>
        <v>0</v>
      </c>
      <c r="BU39" s="1">
        <f>IF(BU$2&gt;0,198,0)</f>
        <v>0</v>
      </c>
      <c r="BV39" s="1">
        <f>IF(BV$2&gt;0,198,0)</f>
        <v>0</v>
      </c>
      <c r="BW39" s="1">
        <f>IF(BW$2&gt;0,198,0)</f>
        <v>0</v>
      </c>
      <c r="BZ39" s="1">
        <f>IF(BZ$2&gt;0,241,0)</f>
        <v>0</v>
      </c>
      <c r="CA39" s="1">
        <f>IF(CA$2&gt;0,190,0)</f>
        <v>0</v>
      </c>
      <c r="CB39" s="1">
        <f>IF(CB$2&gt;0,60,0)</f>
        <v>0</v>
      </c>
      <c r="CE39" s="1">
        <f>IF(CE$2&gt;0,198,0)</f>
        <v>0</v>
      </c>
      <c r="CF39" s="1">
        <f>IF(CF$2&gt;0,198,0)</f>
        <v>0</v>
      </c>
      <c r="CG39" s="1">
        <f>IF(CG$2&gt;0,198,0)</f>
        <v>0</v>
      </c>
      <c r="CH39" s="1">
        <f>IF(CH$2&gt;0,198,0)</f>
        <v>0</v>
      </c>
      <c r="CI39" s="1">
        <f>IF(CI$2&gt;0,232,0)</f>
        <v>0</v>
      </c>
      <c r="CJ39" s="1">
        <f>IF(CJ$2&gt;0,2,0)</f>
        <v>0</v>
      </c>
      <c r="CK39" s="1">
        <f>IF(CK$2&gt;0,232,0)</f>
        <v>0</v>
      </c>
      <c r="CL39" s="1">
        <f>IF(CL$2&gt;0,2,0)</f>
        <v>0</v>
      </c>
      <c r="CM39" s="1">
        <f>IF(CM$2&gt;0,198,0)</f>
        <v>0</v>
      </c>
      <c r="CN39" s="1">
        <f>IF(CN$2&gt;0,198,0)</f>
        <v>0</v>
      </c>
      <c r="CO39" s="1">
        <f>IF(CO$2&gt;0,198,0)</f>
        <v>0</v>
      </c>
      <c r="CP39" s="1">
        <f>IF(CP$2&gt;0,230,0)</f>
        <v>0</v>
      </c>
      <c r="CQ39" s="1">
        <f>IF(CQ$2&gt;0,198,0)</f>
        <v>0</v>
      </c>
      <c r="CR39" s="1">
        <f>IF(CR$2&gt;0,230,0)</f>
        <v>0</v>
      </c>
      <c r="CS39" s="1">
        <f>IF(CS$2&gt;0,230,0)</f>
        <v>0</v>
      </c>
      <c r="CT39" s="1">
        <f>IF(CT$2&gt;0,198,0)</f>
        <v>0</v>
      </c>
      <c r="CU39" s="1">
        <f>IF(CU$2&gt;0,198,0)</f>
        <v>0</v>
      </c>
      <c r="CV39" s="1">
        <f>IF(CV$2&gt;0,198,0)</f>
        <v>0</v>
      </c>
      <c r="CW39" s="1">
        <f>IF(CW$2&gt;0,198,0)</f>
        <v>0</v>
      </c>
      <c r="CX39" s="1">
        <f>IF(CX$2&gt;0,198,0)</f>
        <v>0</v>
      </c>
      <c r="CY39" s="1">
        <f>IF(CY$2&gt;0,198,0)</f>
        <v>0</v>
      </c>
      <c r="CZ39" s="1">
        <f>IF(CZ$2&gt;0,243,0)</f>
        <v>0</v>
      </c>
      <c r="DA39" s="1">
        <f>IF(DA$2&gt;0,190,0)</f>
        <v>0</v>
      </c>
      <c r="DB39" s="1">
        <f>IF(DB$2&gt;0,198,0)</f>
        <v>0</v>
      </c>
      <c r="DC39" s="1">
        <f>IF(DC$2&gt;0,198,0)</f>
        <v>0</v>
      </c>
      <c r="DD39" s="1">
        <f>IF(DD$2&gt;0,198,0)</f>
        <v>0</v>
      </c>
      <c r="DE39" s="1">
        <f>IF(DE$2&gt;0,198,0)</f>
        <v>0</v>
      </c>
      <c r="DF39" s="1">
        <f>IF(DF$2&gt;0,198,0)</f>
        <v>198</v>
      </c>
    </row>
    <row r="40">
      <c r="B40" s="1" t="str">
        <v>Высота (макс)</v>
      </c>
      <c r="C40" s="1">
        <f>MAX(D40:LL40)</f>
        <v>92</v>
      </c>
      <c r="D40" s="1">
        <f>IF(D$2&gt;0,90,0)</f>
        <v>90</v>
      </c>
      <c r="E40" s="1">
        <f>IF(E$2&gt;0,92,0)</f>
        <v>92</v>
      </c>
      <c r="F40" s="1">
        <f>IF(F$2&gt;0,90,0)</f>
        <v>90</v>
      </c>
      <c r="G40" s="1">
        <f>IF(G$2&gt;0,90,0)</f>
        <v>90</v>
      </c>
      <c r="H40" s="1">
        <f>IF(H$2&gt;0,90,0)</f>
        <v>90</v>
      </c>
      <c r="I40" s="1">
        <f>IF(I$2&gt;0,90,0)</f>
        <v>0</v>
      </c>
      <c r="J40" s="1">
        <f>IF(J$2&gt;0,32,0)</f>
        <v>0</v>
      </c>
      <c r="K40" s="1">
        <f>IF(K$2&gt;0,32,0)</f>
        <v>0</v>
      </c>
      <c r="L40" s="1">
        <f>IF(L$2&gt;0,85,0)</f>
        <v>0</v>
      </c>
      <c r="M40" s="1">
        <f>IF(M$2&gt;0,72,0)</f>
        <v>0</v>
      </c>
      <c r="N40" s="1">
        <f>IF(N$2&gt;0,101,0)</f>
        <v>0</v>
      </c>
      <c r="O40" s="1">
        <f>IF(O$2&gt;0,84,0)</f>
        <v>0</v>
      </c>
      <c r="P40" s="1">
        <f>IF(P$2&gt;0,72,0)</f>
        <v>0</v>
      </c>
      <c r="Q40" s="1">
        <f>IF(Q$2&gt;0,88,0)</f>
        <v>0</v>
      </c>
      <c r="R40" s="1">
        <f>IF(R$2&gt;0,88,0)</f>
        <v>0</v>
      </c>
      <c r="S40" s="1">
        <f>IF(S$2&gt;0,95,0)</f>
        <v>0</v>
      </c>
      <c r="T40" s="1">
        <f>IF(T$2&gt;0,85,0)</f>
        <v>0</v>
      </c>
      <c r="U40" s="1">
        <f>IF(U$2&gt;0,87,0)</f>
        <v>0</v>
      </c>
      <c r="V40" s="1">
        <f>IF(V$2&gt;0,72,0)</f>
        <v>0</v>
      </c>
      <c r="W40" s="1">
        <f>IF(W$2&gt;0,87,0)</f>
        <v>0</v>
      </c>
      <c r="X40" s="1">
        <f>IF(X$2&gt;0,72,0)</f>
        <v>0</v>
      </c>
      <c r="Y40" s="1">
        <f>IF(Y$2&gt;0,87,0)</f>
        <v>0</v>
      </c>
      <c r="Z40" s="1">
        <f>IF(Z$2&gt;0,87,0)</f>
        <v>0</v>
      </c>
      <c r="AA40" s="1">
        <f>IF(AA$2&gt;0,63,0)</f>
        <v>0</v>
      </c>
      <c r="AB40" s="1">
        <f>IF(AB$2&gt;0,85,0)</f>
        <v>0</v>
      </c>
      <c r="AC40" s="1">
        <f>IF(AC$2&gt;0,90,0)</f>
        <v>0</v>
      </c>
      <c r="AD40" s="1">
        <f>IF(AD$2&gt;0,90,0)</f>
        <v>0</v>
      </c>
      <c r="AE40" s="1">
        <f>IF(AE$2&gt;0,49,0)</f>
        <v>0</v>
      </c>
      <c r="AF40" s="1">
        <f>IF(AF$2&gt;0,49,0)</f>
        <v>0</v>
      </c>
      <c r="AG40" s="1">
        <f>IF(AG$2&gt;0,49,0)</f>
        <v>0</v>
      </c>
      <c r="AH40" s="1">
        <f>IF(AH$2&gt;0,49,0)</f>
        <v>0</v>
      </c>
      <c r="AI40" s="1">
        <f>IF(AI$2&gt;0,49,0)</f>
        <v>0</v>
      </c>
      <c r="AJ40" s="1">
        <f>IF(AJ$2&gt;0,59,0)</f>
        <v>0</v>
      </c>
      <c r="AK40" s="1">
        <f>IF(AK$2&gt;0,59,0)</f>
        <v>0</v>
      </c>
      <c r="AM40" s="1">
        <f>IF(AM$2&gt;0,89,0)</f>
        <v>0</v>
      </c>
      <c r="AN40" s="1">
        <f>IF(AN$2&gt;0,32,0)</f>
        <v>0</v>
      </c>
      <c r="AO40" s="1">
        <f>IF(AO$2&gt;0,89,0)</f>
        <v>0</v>
      </c>
      <c r="AP40" s="1">
        <f>IF(AP$2&gt;0,49,0)</f>
        <v>0</v>
      </c>
      <c r="AQ40" s="1">
        <f>IF(AQ$2&gt;0,49,0)</f>
        <v>0</v>
      </c>
      <c r="AR40" s="1">
        <f>IF(AR$2&gt;0,89,0)</f>
        <v>0</v>
      </c>
      <c r="AS40" s="1">
        <f>IF(AS$2&gt;0,85,0)</f>
        <v>0</v>
      </c>
      <c r="AU40" s="1">
        <f>IF(AU$2&gt;0,90,0)</f>
        <v>0</v>
      </c>
      <c r="AV40" s="1">
        <f>IF(AV$2&gt;0,50,0)</f>
        <v>0</v>
      </c>
      <c r="AW40" s="1">
        <f>IF(AW$2&gt;0,50,0)</f>
        <v>0</v>
      </c>
      <c r="AX40" s="1">
        <f>IF(AX$2&gt;0,77,0)</f>
        <v>0</v>
      </c>
      <c r="AY40" s="1">
        <f>IF(AY$2&gt;0,50,0)</f>
        <v>0</v>
      </c>
      <c r="AZ40" s="1">
        <f>IF(AZ$2&gt;0,72,0)</f>
        <v>0</v>
      </c>
      <c r="BA40" s="1">
        <f>IF(BA$2&gt;0,87,0)</f>
        <v>0</v>
      </c>
      <c r="BB40" s="1">
        <f>IF(BB$2&gt;0,52,0)</f>
        <v>0</v>
      </c>
      <c r="BC40" s="1">
        <f>IF(BC$2&gt;0,55,0)</f>
        <v>0</v>
      </c>
      <c r="BD40" s="1">
        <f>IF(BD$2&gt;0,55,0)</f>
        <v>0</v>
      </c>
      <c r="BE40" s="1">
        <f>IF(BE$2&gt;0,72,0)</f>
        <v>0</v>
      </c>
      <c r="BF40" s="1">
        <f>IF(BF$2&gt;0,50,0)</f>
        <v>0</v>
      </c>
      <c r="BG40" s="1">
        <f>IF(BG$2&gt;0,50,0)</f>
        <v>0</v>
      </c>
      <c r="BH40" s="1">
        <f>IF(BH$2&gt;0,50,0)</f>
        <v>0</v>
      </c>
      <c r="BI40" s="1">
        <f>IF(BI$2&gt;0,72,0)</f>
        <v>0</v>
      </c>
      <c r="BJ40" s="1">
        <f>IF(BJ$2&gt;0,89,0)</f>
        <v>0</v>
      </c>
      <c r="BK40" s="1">
        <f>IF(BK$2&gt;0,32,0)</f>
        <v>0</v>
      </c>
      <c r="BL40" s="1">
        <f>IF(BL$2&gt;0,76,0)</f>
        <v>0</v>
      </c>
      <c r="BM40" s="1">
        <f>IF(BM$2&gt;0,72,0)</f>
        <v>0</v>
      </c>
      <c r="BN40" s="1">
        <f>IF(BN$2&gt;0,49,0)</f>
        <v>0</v>
      </c>
      <c r="BO40" s="1">
        <f>IF(BO$2&gt;0,49,0)</f>
        <v>0</v>
      </c>
      <c r="BP40" s="1">
        <f>IF(BP$2&gt;0,72,0)</f>
        <v>0</v>
      </c>
      <c r="BQ40" s="1">
        <f>IF(BQ$2&gt;0,55,0)</f>
        <v>0</v>
      </c>
      <c r="BR40" s="1">
        <f>IF(BR$2&gt;0,32,0)</f>
        <v>0</v>
      </c>
      <c r="BS40" s="1">
        <f>IF(BS$2&gt;0,59,0)</f>
        <v>0</v>
      </c>
      <c r="BT40" s="1">
        <f>IF(BT$2&gt;0,89,0)</f>
        <v>0</v>
      </c>
      <c r="BU40" s="1">
        <f>IF(BU$2&gt;0,72,0)</f>
        <v>0</v>
      </c>
      <c r="BV40" s="1">
        <f>IF(BV$2&gt;0,63,0)</f>
        <v>0</v>
      </c>
      <c r="BW40" s="1">
        <f>IF(BW$2&gt;0,85,0)</f>
        <v>0</v>
      </c>
      <c r="BZ40" s="1">
        <f>IF(BZ$2&gt;0,30,0)</f>
        <v>0</v>
      </c>
      <c r="CA40" s="1">
        <f>IF(CA$2&gt;0,2,0)</f>
        <v>0</v>
      </c>
      <c r="CB40" s="1">
        <f>IF(CB$2&gt;0,60,0)</f>
        <v>0</v>
      </c>
      <c r="CE40" s="1">
        <f>IF(CE$2&gt;0,85,0)</f>
        <v>0</v>
      </c>
      <c r="CF40" s="1">
        <f>IF(CF$2&gt;0,85,0)</f>
        <v>0</v>
      </c>
      <c r="CG40" s="1">
        <f>IF(CG$2&gt;0,85,0)</f>
        <v>0</v>
      </c>
      <c r="CH40" s="1">
        <f>IF(CH$2&gt;0,85,0)</f>
        <v>0</v>
      </c>
      <c r="CI40" s="1">
        <f>IF(CI$2&gt;0,31,0)</f>
        <v>0</v>
      </c>
      <c r="CJ40" s="1">
        <f>IF(CJ$2&gt;0,190,0)</f>
        <v>0</v>
      </c>
      <c r="CK40" s="1">
        <f>IF(CK$2&gt;0,31,0)</f>
        <v>0</v>
      </c>
      <c r="CL40" s="1">
        <f>IF(CL$2&gt;0,190,0)</f>
        <v>0</v>
      </c>
      <c r="CM40" s="1">
        <f>IF(CM$2&gt;0,85,0)</f>
        <v>0</v>
      </c>
      <c r="CN40" s="1">
        <f>IF(CN$2&gt;0,87,0)</f>
        <v>0</v>
      </c>
      <c r="CO40" s="1">
        <f>IF(CO$2&gt;0,50,0)</f>
        <v>0</v>
      </c>
      <c r="CP40" s="1">
        <f>IF(CP$2&gt;0,69,0)</f>
        <v>0</v>
      </c>
      <c r="CQ40" s="1">
        <f>IF(CQ$2&gt;0,87,0)</f>
        <v>0</v>
      </c>
      <c r="CR40" s="1">
        <f>IF(CR$2&gt;0,69,0)</f>
        <v>0</v>
      </c>
      <c r="CS40" s="1">
        <f>IF(CS$2&gt;0,69,0)</f>
        <v>0</v>
      </c>
      <c r="CT40" s="1">
        <f>IF(CT$2&gt;0,57,0)</f>
        <v>0</v>
      </c>
      <c r="CU40" s="1">
        <f>IF(CU$2&gt;0,49,0)</f>
        <v>0</v>
      </c>
      <c r="CV40" s="1">
        <f>IF(CV$2&gt;0,50,0)</f>
        <v>0</v>
      </c>
      <c r="CW40" s="1">
        <f>IF(CW$2&gt;0,50,0)</f>
        <v>0</v>
      </c>
      <c r="CX40" s="1">
        <f>IF(CX$2&gt;0,49,0)</f>
        <v>0</v>
      </c>
      <c r="CY40" s="1">
        <f>IF(CY$2&gt;0,85,0)</f>
        <v>0</v>
      </c>
      <c r="CZ40" s="1">
        <f>IF(CZ$2&gt;0,30,0)</f>
        <v>0</v>
      </c>
      <c r="DA40" s="1">
        <f>IF(DA$2&gt;0,2,0)</f>
        <v>0</v>
      </c>
      <c r="DB40" s="1">
        <f>IF(DB$2&gt;0,57,0)</f>
        <v>0</v>
      </c>
      <c r="DC40" s="1">
        <f>IF(DC$2&gt;0,87,0)</f>
        <v>0</v>
      </c>
      <c r="DD40" s="1">
        <f>IF(DD$2&gt;0,84,0)</f>
        <v>0</v>
      </c>
      <c r="DE40" s="1">
        <f>IF(DE$2&gt;0,63,0)</f>
        <v>0</v>
      </c>
      <c r="DF40" s="1">
        <f>IF(DF$2&gt;0,84,0)</f>
        <v>84</v>
      </c>
    </row>
    <row r="41">
      <c r="A41" s="1" t="str">
        <v>Упаковка</v>
      </c>
    </row>
    <row r="42">
      <c r="C42" s="1">
        <f>SUM(D42:AN42)*1.1</f>
        <v>0</v>
      </c>
      <c r="D42" s="1">
        <v>0</v>
      </c>
    </row>
    <row r="43">
      <c r="A43" s="1" t="str">
        <v>Комплект 120х5</v>
      </c>
      <c r="C43" s="1">
        <f>SUM(D43:AN43)*1.1</f>
        <v>0</v>
      </c>
    </row>
    <row r="44">
      <c r="A44" s="1" t="str">
        <v>ВПП</v>
      </c>
      <c r="B44" s="1" t="str">
        <v>мп</v>
      </c>
      <c r="C44" s="1">
        <f>SUM(D44:AN44)*1.1</f>
        <v>0</v>
      </c>
      <c r="D44" s="1">
        <f>5*D42</f>
        <v>0</v>
      </c>
    </row>
    <row r="45">
      <c r="A45" s="1" t="str">
        <v>Коробка  1220х260х120</v>
      </c>
      <c r="B45" s="1" t="str">
        <v>шт</v>
      </c>
      <c r="C45" s="1">
        <f>SUM(D45:AN45)</f>
        <v>0</v>
      </c>
      <c r="D45" s="1">
        <f>5*D42</f>
        <v>0</v>
      </c>
    </row>
    <row r="47">
      <c r="C47" s="1">
        <f>SUM(D47:AN47)*1.1</f>
        <v>0</v>
      </c>
      <c r="D47" s="1">
        <v>0</v>
      </c>
    </row>
    <row r="48">
      <c r="A48" s="1" t="str">
        <v>Комплект 60х5</v>
      </c>
      <c r="C48" s="1">
        <f>SUM(D48:AN48)*1.1</f>
        <v>0</v>
      </c>
    </row>
    <row r="49">
      <c r="A49" s="1" t="str">
        <v>ВПП</v>
      </c>
      <c r="B49" s="1" t="str">
        <v>мп</v>
      </c>
      <c r="C49" s="1">
        <f>SUM(D49:AN49)*1.1</f>
        <v>0</v>
      </c>
      <c r="D49" s="1">
        <f>5*D47</f>
        <v>0</v>
      </c>
    </row>
    <row r="50">
      <c r="A50" s="1" t="str">
        <v>Коробка  620х260х120</v>
      </c>
      <c r="B50" s="1" t="str">
        <v>шт</v>
      </c>
      <c r="C50" s="1">
        <f>SUM(D50:AN50)</f>
        <v>0</v>
      </c>
      <c r="D50" s="1">
        <f>5*D47</f>
        <v>0</v>
      </c>
    </row>
    <row r="52">
      <c r="C52" s="1">
        <f>SUM(D52:AN52)*1.1</f>
        <v>0</v>
      </c>
      <c r="D52" s="1">
        <v>0</v>
      </c>
    </row>
    <row r="53">
      <c r="A53" s="1" t="str">
        <v>Комплект 120х1</v>
      </c>
      <c r="C53" s="1">
        <f>SUM(D53:AN53)*1.1</f>
        <v>0</v>
      </c>
    </row>
    <row r="54">
      <c r="A54" s="1" t="str">
        <v>ВПП</v>
      </c>
      <c r="B54" s="1" t="str">
        <v>мп</v>
      </c>
      <c r="C54" s="1">
        <f>SUM(D54:AN54)*1.1</f>
        <v>0</v>
      </c>
      <c r="D54" s="1">
        <f>D52</f>
        <v>0</v>
      </c>
    </row>
    <row r="55">
      <c r="A55" s="1" t="str">
        <v>Коробка  1220х260х120</v>
      </c>
      <c r="B55" s="1" t="str">
        <v>шт</v>
      </c>
      <c r="C55" s="1">
        <f>SUM(D55:AN55)</f>
        <v>0</v>
      </c>
      <c r="D55" s="1">
        <f>D52</f>
        <v>0</v>
      </c>
    </row>
  </sheetData>
  <autoFilter ref="B1:B57"/>
  <mergeCells count="2">
    <mergeCell ref="A32:A35"/>
    <mergeCell ref="A38:A40"/>
  </mergeCells>
  <pageMargins left="0.7" right="0.7" top="0.75" bottom="0.75" header="0.511805555555555" footer="0.511805555555555"/>
  <ignoredErrors>
    <ignoredError numberStoredAsText="1" sqref="A1:DJ57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2006-09-28T05:33:49Z</dcterms:created>
  <dcterms:modified xsi:type="dcterms:W3CDTF">2024-02-18T15:42:30Z</dcterms:modified>
  <cp:revision>1</cp:revision>
  <dc:creator>Киселев Антон Викторович</dc:creator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