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antonglad/Master/"/>
    </mc:Choice>
  </mc:AlternateContent>
  <xr:revisionPtr revIDLastSave="0" documentId="13_ncr:1_{B1C2F4AA-4045-A04B-954E-6FA9EE4C0C3F}" xr6:coauthVersionLast="44" xr6:coauthVersionMax="47" xr10:uidLastSave="{00000000-0000-0000-0000-000000000000}"/>
  <bookViews>
    <workbookView xWindow="0" yWindow="0" windowWidth="28800" windowHeight="18000" xr2:uid="{94A590A3-A19D-4EDC-866B-407362CF22C8}"/>
  </bookViews>
  <sheets>
    <sheet name="Data" sheetId="1" r:id="rId1"/>
    <sheet name="Not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1" i="1" l="1"/>
  <c r="K2" i="1"/>
  <c r="K3" i="1"/>
  <c r="K4" i="1"/>
  <c r="K20" i="1"/>
  <c r="K21" i="1"/>
  <c r="K22" i="1"/>
  <c r="K23" i="1"/>
  <c r="K24" i="1"/>
  <c r="K25" i="1"/>
  <c r="K26" i="1"/>
  <c r="K27" i="1"/>
  <c r="K28" i="1"/>
  <c r="K29" i="1"/>
  <c r="K30" i="1"/>
  <c r="K31" i="1"/>
  <c r="M20" i="1"/>
  <c r="M21" i="1"/>
  <c r="M22" i="1"/>
  <c r="M25" i="1"/>
  <c r="M26" i="1"/>
  <c r="M27" i="1"/>
  <c r="M28" i="1"/>
  <c r="M29" i="1"/>
  <c r="M30" i="1"/>
  <c r="M31" i="1"/>
  <c r="O91" i="1" l="1"/>
  <c r="P91" i="1" s="1"/>
  <c r="G91" i="1"/>
  <c r="J91" i="1"/>
  <c r="N91" i="1"/>
  <c r="L91" i="1"/>
  <c r="R91" i="1"/>
  <c r="R90" i="1"/>
  <c r="P90" i="1"/>
  <c r="N90" i="1"/>
  <c r="L90" i="1"/>
  <c r="J90" i="1"/>
  <c r="G90" i="1"/>
  <c r="R89" i="1"/>
  <c r="L89" i="1"/>
  <c r="G89" i="1"/>
  <c r="J89" i="1"/>
  <c r="N89" i="1"/>
  <c r="P89" i="1"/>
  <c r="R88" i="1"/>
  <c r="J88" i="1"/>
  <c r="G88" i="1"/>
  <c r="P88" i="1"/>
  <c r="N88" i="1"/>
  <c r="L88" i="1"/>
  <c r="R87" i="1"/>
  <c r="P87" i="1"/>
  <c r="N87" i="1"/>
  <c r="L87" i="1"/>
  <c r="J87" i="1"/>
  <c r="G87" i="1"/>
  <c r="G86" i="1"/>
  <c r="J86" i="1"/>
  <c r="L86" i="1"/>
  <c r="P86" i="1"/>
  <c r="N86" i="1"/>
  <c r="R86" i="1"/>
  <c r="G85" i="1"/>
  <c r="J85" i="1"/>
  <c r="P85" i="1"/>
  <c r="N85" i="1"/>
  <c r="L85" i="1"/>
  <c r="R85" i="1"/>
  <c r="P84" i="1"/>
  <c r="N84" i="1"/>
  <c r="R84" i="1"/>
  <c r="L84" i="1"/>
  <c r="J84" i="1"/>
  <c r="G84" i="1"/>
  <c r="G83" i="1"/>
  <c r="J83" i="1"/>
  <c r="L83" i="1"/>
  <c r="N83" i="1"/>
  <c r="P83" i="1"/>
  <c r="R83" i="1"/>
  <c r="R82" i="1"/>
  <c r="G82" i="1"/>
  <c r="J82" i="1"/>
  <c r="P82" i="1"/>
  <c r="N82" i="1"/>
  <c r="L82" i="1"/>
  <c r="L81" i="1"/>
  <c r="G81" i="1"/>
  <c r="J81" i="1"/>
  <c r="N81" i="1"/>
  <c r="P81" i="1"/>
  <c r="R81" i="1"/>
  <c r="R80" i="1"/>
  <c r="P80" i="1"/>
  <c r="N80" i="1"/>
  <c r="L80" i="1"/>
  <c r="J80" i="1"/>
  <c r="G80" i="1"/>
  <c r="G79" i="1"/>
  <c r="J79" i="1"/>
  <c r="L79" i="1"/>
  <c r="N79" i="1"/>
  <c r="P79" i="1"/>
  <c r="R79" i="1"/>
  <c r="R78" i="1"/>
  <c r="P78" i="1"/>
  <c r="N78" i="1"/>
  <c r="L78" i="1"/>
  <c r="J78" i="1"/>
  <c r="G78" i="1"/>
  <c r="R77" i="1"/>
  <c r="P77" i="1"/>
  <c r="N77" i="1"/>
  <c r="L77" i="1"/>
  <c r="J77" i="1"/>
  <c r="G77" i="1"/>
  <c r="P76" i="1"/>
  <c r="N76" i="1"/>
  <c r="L76" i="1"/>
  <c r="G76" i="1"/>
  <c r="J76" i="1"/>
  <c r="R76" i="1"/>
  <c r="R75" i="1"/>
  <c r="P75" i="1"/>
  <c r="N75" i="1"/>
  <c r="L75" i="1"/>
  <c r="J75" i="1"/>
  <c r="G75" i="1"/>
  <c r="G74" i="1"/>
  <c r="J74" i="1"/>
  <c r="L74" i="1"/>
  <c r="P74" i="1"/>
  <c r="N74" i="1"/>
  <c r="R74" i="1"/>
  <c r="G73" i="1"/>
  <c r="J73" i="1"/>
  <c r="L73" i="1"/>
  <c r="P72" i="1"/>
  <c r="N72" i="1"/>
  <c r="R72" i="1"/>
  <c r="L72" i="1"/>
  <c r="J72" i="1"/>
  <c r="G72" i="1"/>
  <c r="P73" i="1"/>
  <c r="N73" i="1"/>
  <c r="R73" i="1"/>
  <c r="G71" i="1"/>
  <c r="J71" i="1"/>
  <c r="L71" i="1"/>
  <c r="P71" i="1"/>
  <c r="N71" i="1"/>
  <c r="R71" i="1"/>
  <c r="L70" i="1"/>
  <c r="J70" i="1"/>
  <c r="G70" i="1"/>
  <c r="N70" i="1"/>
  <c r="P70" i="1"/>
  <c r="R70" i="1"/>
  <c r="L69" i="1"/>
  <c r="G69" i="1"/>
  <c r="J69" i="1"/>
  <c r="N69" i="1"/>
  <c r="P69" i="1"/>
  <c r="R69" i="1"/>
  <c r="L68" i="1"/>
  <c r="G68" i="1"/>
  <c r="J68" i="1"/>
  <c r="P68" i="1"/>
  <c r="N68" i="1"/>
  <c r="R68" i="1"/>
  <c r="G67" i="1"/>
  <c r="J67" i="1"/>
  <c r="L67" i="1"/>
  <c r="P67" i="1"/>
  <c r="N67" i="1"/>
  <c r="R67" i="1"/>
  <c r="I97" i="1" l="1"/>
  <c r="D88" i="1"/>
  <c r="D85" i="1"/>
  <c r="D76" i="1"/>
  <c r="D90" i="1"/>
  <c r="D89" i="1"/>
  <c r="D87" i="1"/>
  <c r="D86" i="1"/>
  <c r="D84" i="1"/>
  <c r="D83" i="1"/>
  <c r="D82" i="1"/>
  <c r="D81" i="1"/>
  <c r="D80" i="1"/>
  <c r="D68" i="1"/>
  <c r="D67" i="1"/>
  <c r="D79" i="1"/>
  <c r="D78" i="1"/>
  <c r="D77" i="1"/>
  <c r="D75" i="1"/>
  <c r="D74" i="1"/>
  <c r="D73" i="1"/>
  <c r="D72" i="1"/>
  <c r="D71" i="1"/>
  <c r="D70" i="1"/>
  <c r="D69" i="1"/>
  <c r="R66" i="1"/>
  <c r="P66" i="1"/>
  <c r="N66" i="1"/>
  <c r="L66" i="1"/>
  <c r="J66" i="1"/>
  <c r="G66" i="1"/>
  <c r="D66" i="1" l="1"/>
  <c r="L65" i="1"/>
  <c r="J65" i="1"/>
  <c r="G65" i="1"/>
  <c r="P65" i="1"/>
  <c r="N65" i="1"/>
  <c r="R65" i="1"/>
  <c r="D65" i="1" l="1"/>
  <c r="G64" i="1"/>
  <c r="J64" i="1"/>
  <c r="P64" i="1"/>
  <c r="N64" i="1"/>
  <c r="L64" i="1"/>
  <c r="R64" i="1"/>
  <c r="D64" i="1" l="1"/>
  <c r="J63" i="1"/>
  <c r="G63" i="1"/>
  <c r="L63" i="1"/>
  <c r="N63" i="1"/>
  <c r="P63" i="1"/>
  <c r="R63" i="1"/>
  <c r="D63" i="1" l="1"/>
  <c r="J62" i="1"/>
  <c r="G62" i="1"/>
  <c r="L62" i="1"/>
  <c r="P62" i="1"/>
  <c r="N62" i="1"/>
  <c r="R62" i="1"/>
  <c r="L60" i="1"/>
  <c r="R60" i="1"/>
  <c r="R61" i="1"/>
  <c r="D61" i="1" s="1"/>
  <c r="N61" i="1"/>
  <c r="P61" i="1" s="1"/>
  <c r="D62" i="1" l="1"/>
  <c r="N60" i="1"/>
  <c r="P60" i="1" s="1"/>
  <c r="D60" i="1"/>
  <c r="N59" i="1" l="1"/>
  <c r="P59" i="1" s="1"/>
  <c r="D59" i="1"/>
  <c r="N58" i="1" l="1"/>
  <c r="P58" i="1" s="1"/>
  <c r="D58" i="1"/>
  <c r="N57" i="1" l="1"/>
  <c r="P57" i="1" s="1"/>
  <c r="D57" i="1"/>
  <c r="N56" i="1"/>
  <c r="P56" i="1" s="1"/>
  <c r="D56" i="1"/>
  <c r="N55" i="1" l="1"/>
  <c r="P55" i="1" s="1"/>
  <c r="D55" i="1"/>
  <c r="L7" i="1" l="1"/>
  <c r="D7" i="1" s="1"/>
  <c r="L6" i="1"/>
  <c r="D6" i="1" s="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4" i="1"/>
  <c r="L5" i="1"/>
  <c r="N54" i="1"/>
  <c r="P54" i="1" s="1"/>
  <c r="N53" i="1"/>
  <c r="P53" i="1" s="1"/>
  <c r="N52" i="1"/>
  <c r="P52" i="1" s="1"/>
  <c r="N51" i="1"/>
  <c r="P51" i="1" s="1"/>
  <c r="N50" i="1"/>
  <c r="P50" i="1" s="1"/>
  <c r="N49" i="1"/>
  <c r="P49" i="1" s="1"/>
  <c r="N48" i="1"/>
  <c r="P48" i="1" s="1"/>
  <c r="N47" i="1"/>
  <c r="P47" i="1" s="1"/>
  <c r="N46" i="1"/>
  <c r="P46" i="1" s="1"/>
  <c r="N45" i="1"/>
  <c r="P45" i="1" s="1"/>
  <c r="N44" i="1"/>
  <c r="P44" i="1" s="1"/>
  <c r="N43" i="1"/>
  <c r="P43" i="1" s="1"/>
  <c r="N42" i="1"/>
  <c r="P42" i="1" s="1"/>
  <c r="N41" i="1"/>
  <c r="P41" i="1" s="1"/>
  <c r="N40" i="1"/>
  <c r="P40" i="1" s="1"/>
  <c r="N39" i="1"/>
  <c r="P39" i="1" s="1"/>
  <c r="N38" i="1"/>
  <c r="P38" i="1" s="1"/>
  <c r="N37" i="1"/>
  <c r="P37" i="1" s="1"/>
  <c r="N36" i="1"/>
  <c r="P36" i="1" s="1"/>
  <c r="N35" i="1"/>
  <c r="P35" i="1" s="1"/>
  <c r="N34" i="1"/>
  <c r="P34" i="1" s="1"/>
  <c r="N33" i="1"/>
  <c r="P33" i="1" s="1"/>
  <c r="N32" i="1"/>
  <c r="P32" i="1" s="1"/>
  <c r="N19" i="1"/>
  <c r="P19" i="1" s="1"/>
  <c r="N18" i="1"/>
  <c r="P18" i="1" s="1"/>
  <c r="N17" i="1"/>
  <c r="P17" i="1" s="1"/>
  <c r="N16" i="1"/>
  <c r="P16" i="1" s="1"/>
  <c r="N15" i="1"/>
  <c r="P15" i="1" s="1"/>
  <c r="N14" i="1"/>
  <c r="P14" i="1" s="1"/>
  <c r="N13" i="1"/>
  <c r="P13" i="1" s="1"/>
  <c r="N12" i="1"/>
  <c r="P12" i="1" s="1"/>
  <c r="N11" i="1"/>
  <c r="P11" i="1" s="1"/>
  <c r="N10" i="1"/>
  <c r="P10" i="1" s="1"/>
  <c r="N9" i="1"/>
  <c r="P9" i="1" s="1"/>
  <c r="N8" i="1"/>
  <c r="P8" i="1" s="1"/>
  <c r="D5" i="1" l="1"/>
  <c r="T31" i="1" l="1"/>
  <c r="B31" i="1"/>
  <c r="Q31" i="1"/>
  <c r="T30" i="1"/>
  <c r="Q30" i="1"/>
  <c r="B30" i="1"/>
  <c r="T29" i="1"/>
  <c r="Q29" i="1"/>
  <c r="B29" i="1"/>
  <c r="T28" i="1"/>
  <c r="Q28" i="1"/>
  <c r="B28" i="1"/>
  <c r="T27" i="1"/>
  <c r="Q27" i="1"/>
  <c r="B27" i="1"/>
  <c r="T26" i="1"/>
  <c r="Q26" i="1"/>
  <c r="B25" i="1"/>
  <c r="B26" i="1"/>
  <c r="T25" i="1"/>
  <c r="Q25" i="1"/>
  <c r="T24" i="1"/>
  <c r="Q24" i="1"/>
  <c r="B24" i="1"/>
  <c r="N24" i="1" s="1"/>
  <c r="P24" i="1" s="1"/>
  <c r="T23" i="1"/>
  <c r="Q23" i="1"/>
  <c r="B23" i="1"/>
  <c r="N23" i="1" s="1"/>
  <c r="P23" i="1" s="1"/>
  <c r="T22" i="1"/>
  <c r="Q22" i="1"/>
  <c r="B22" i="1"/>
  <c r="T21" i="1"/>
  <c r="Q21" i="1"/>
  <c r="B21" i="1"/>
  <c r="T20" i="1"/>
  <c r="Q20" i="1"/>
  <c r="B20" i="1"/>
  <c r="T7" i="1"/>
  <c r="Q7" i="1"/>
  <c r="C7" i="1"/>
  <c r="B7" i="1"/>
  <c r="K7" i="1" s="1"/>
  <c r="T6" i="1"/>
  <c r="Q6" i="1"/>
  <c r="B6" i="1"/>
  <c r="K6" i="1" s="1"/>
  <c r="C6" i="1"/>
  <c r="T5" i="1"/>
  <c r="Q5" i="1"/>
  <c r="C5" i="1"/>
  <c r="B5" i="1"/>
  <c r="K5" i="1" s="1"/>
  <c r="T4" i="1"/>
  <c r="Q4" i="1"/>
  <c r="C4" i="1"/>
  <c r="B4" i="1"/>
  <c r="N4" i="1" s="1"/>
  <c r="P4" i="1" s="1"/>
  <c r="T3" i="1"/>
  <c r="Q3" i="1"/>
  <c r="C3" i="1"/>
  <c r="B3" i="1"/>
  <c r="N3" i="1" s="1"/>
  <c r="P3" i="1" s="1"/>
  <c r="T2" i="1"/>
  <c r="Q2" i="1"/>
  <c r="C2" i="1"/>
  <c r="B2" i="1"/>
  <c r="N2" i="1" s="1"/>
  <c r="P2" i="1" s="1"/>
  <c r="N20" i="1" l="1"/>
  <c r="P20" i="1" s="1"/>
  <c r="N31" i="1"/>
  <c r="P31" i="1" s="1"/>
  <c r="N26" i="1"/>
  <c r="P26" i="1" s="1"/>
  <c r="N25" i="1"/>
  <c r="P25" i="1" s="1"/>
  <c r="N27" i="1"/>
  <c r="P27" i="1" s="1"/>
  <c r="N28" i="1"/>
  <c r="P28" i="1" s="1"/>
  <c r="N29" i="1"/>
  <c r="P29" i="1" s="1"/>
  <c r="N30" i="1"/>
  <c r="P30" i="1" s="1"/>
  <c r="N21" i="1"/>
  <c r="P21" i="1" s="1"/>
  <c r="N7" i="1"/>
  <c r="P7" i="1" s="1"/>
  <c r="N22" i="1"/>
  <c r="P22" i="1" s="1"/>
  <c r="N5" i="1"/>
  <c r="P5" i="1" s="1"/>
  <c r="N6" i="1"/>
  <c r="P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Robbie Andrew</author>
  </authors>
  <commentList>
    <comment ref="S61" authorId="0" shapeId="0" xr:uid="{24672E49-FB62-4BA8-ABE3-B37C2C9B9653}">
      <text>
        <r>
          <rPr>
            <b/>
            <sz val="9"/>
            <color indexed="81"/>
            <rFont val="Tahoma"/>
            <charset val="1"/>
          </rPr>
          <t>Robbie Andrew:</t>
        </r>
        <r>
          <rPr>
            <sz val="9"/>
            <color indexed="81"/>
            <rFont val="Tahoma"/>
            <charset val="1"/>
          </rPr>
          <t xml:space="preserve">
Not stated, so I've assumed zero.</t>
        </r>
      </text>
    </comment>
    <comment ref="S63" authorId="0" shapeId="0" xr:uid="{306E2F66-552C-488B-B93B-902C7FAC4A1A}">
      <text>
        <r>
          <rPr>
            <b/>
            <sz val="9"/>
            <color indexed="81"/>
            <rFont val="Tahoma"/>
            <charset val="1"/>
          </rPr>
          <t>Robbie Andrew:</t>
        </r>
        <r>
          <rPr>
            <sz val="9"/>
            <color indexed="81"/>
            <rFont val="Tahoma"/>
            <charset val="1"/>
          </rPr>
          <t xml:space="preserve">
Elbiler stated as 5704, same as total nullutslipsbiler</t>
        </r>
      </text>
    </comment>
    <comment ref="S68" authorId="0" shapeId="0" xr:uid="{79039CCA-6BFD-4711-9413-CE6990A089B6}">
      <text>
        <r>
          <rPr>
            <b/>
            <sz val="9"/>
            <color indexed="81"/>
            <rFont val="Tahoma"/>
            <charset val="1"/>
          </rPr>
          <t>Robbie Andrew:</t>
        </r>
        <r>
          <rPr>
            <sz val="9"/>
            <color indexed="81"/>
            <rFont val="Tahoma"/>
            <charset val="1"/>
          </rPr>
          <t xml:space="preserve">
5461 is also reported as the number of elbiler</t>
        </r>
      </text>
    </comment>
    <comment ref="S72" authorId="0" shapeId="0" xr:uid="{1A2D129D-EE51-4872-B9FD-714C5DAEB5CD}">
      <text>
        <r>
          <rPr>
            <b/>
            <sz val="9"/>
            <color indexed="81"/>
            <rFont val="Tahoma"/>
            <charset val="1"/>
          </rPr>
          <t>Robbie Andrew:</t>
        </r>
        <r>
          <rPr>
            <sz val="9"/>
            <color indexed="81"/>
            <rFont val="Tahoma"/>
            <charset val="1"/>
          </rPr>
          <t xml:space="preserve">
Number of elbiler is the same as number of nullutslippsbiler</t>
        </r>
      </text>
    </comment>
    <comment ref="M91" authorId="0" shapeId="0" xr:uid="{B4990975-115F-47C9-9BA5-8B0B3884F41B}">
      <text>
        <r>
          <rPr>
            <b/>
            <sz val="9"/>
            <color rgb="FF000000"/>
            <rFont val="Tahoma"/>
            <charset val="1"/>
          </rPr>
          <t>Robbie Andrew:</t>
        </r>
        <r>
          <rPr>
            <sz val="9"/>
            <color rgb="FF000000"/>
            <rFont val="Tahoma"/>
            <charset val="1"/>
          </rPr>
          <t xml:space="preserve">
</t>
        </r>
        <r>
          <rPr>
            <sz val="9"/>
            <color rgb="FF000000"/>
            <rFont val="Tahoma"/>
            <charset val="1"/>
          </rPr>
          <t>OFV summary says 4706, but their overall table says total hybrid is 3293, so they have something wrong. 4706 is the number for dec 2021, so the table is wrong. The total hybrid of 3293 appears correct, since that adds up to the total cars. This site says ladbare hybrid were 4.8%, so I've used that: https://bilbransje24.no/nyheter/727451</t>
        </r>
      </text>
    </comment>
  </commentList>
</comments>
</file>

<file path=xl/sharedStrings.xml><?xml version="1.0" encoding="utf-8"?>
<sst xmlns="http://schemas.openxmlformats.org/spreadsheetml/2006/main" count="23" uniqueCount="23">
  <si>
    <t>Hydrogenbil</t>
  </si>
  <si>
    <t>Bruktimport nullutslippspersonbiler</t>
  </si>
  <si>
    <t>Nye nullutslippspersonbiler</t>
  </si>
  <si>
    <t>Hybridspersonbiler</t>
  </si>
  <si>
    <t>Ladbare hybridspersonbiler</t>
  </si>
  <si>
    <t>Nye personbiler</t>
  </si>
  <si>
    <t>Bruktimportert personbiler</t>
  </si>
  <si>
    <t>Nye ikkehybridsdiesel Andel</t>
  </si>
  <si>
    <t>Nye ikkehybridsbensin</t>
  </si>
  <si>
    <t>Nye bensinbiler Andel</t>
  </si>
  <si>
    <t>Nye diesel personbiler Andel</t>
  </si>
  <si>
    <t>Source:</t>
  </si>
  <si>
    <t>Hybrid Andel</t>
  </si>
  <si>
    <t>Nullutslipp Andel</t>
  </si>
  <si>
    <t>Opplysningsrådet for veitrafikk (OFV)</t>
  </si>
  <si>
    <t>Ladbare Andel</t>
  </si>
  <si>
    <t>Total Andel</t>
  </si>
  <si>
    <t>Ikke-ladbare Andel</t>
  </si>
  <si>
    <t>Nye ikkehybridsdiesel</t>
  </si>
  <si>
    <t>Nye ikkehybridsbensin Andel</t>
  </si>
  <si>
    <t>Ikke-ladbare hybridspersonbiler</t>
  </si>
  <si>
    <t>https://ofv.no</t>
  </si>
  <si>
    <t>Data collated by Robbie Andrew, CICERO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</si>
</sst>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charset val="1"/>
    </font>
    <font>
      <b/>
      <sz val="9"/>
      <color indexed="81"/>
      <name val="Tahoma"/>
      <charset val="1"/>
    </font>
    <font>
      <b/>
      <sz val="9"/>
      <color rgb="FF000000"/>
      <name val="Tahoma"/>
      <charset val="1"/>
    </font>
    <font>
      <sz val="9"/>
      <color rgb="FF000000"/>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5">
    <xf numFmtId="0" fontId="0" fillId="0" borderId="0" xfId="0"/>
    <xf numFmtId="10" fontId="0" fillId="0" borderId="0" xfId="0" applyNumberFormat="1"/>
    <xf numFmtId="9" fontId="0" fillId="0" borderId="0" xfId="0" applyNumberFormat="1"/>
    <xf numFmtId="0" fontId="0" fillId="0" borderId="0" xfId="0" applyAlignment="1">
      <alignment wrapText="1"/>
    </xf>
    <xf numFmtId="0" fontId="2" fillId="0" borderId="0" xfId="2"/>
    <xf numFmtId="164" fontId="0" fillId="0" borderId="0" xfId="1" applyNumberFormat="1" applyFont="1" applyAlignment="1">
      <alignment wrapText="1"/>
    </xf>
    <xf numFmtId="164" fontId="0" fillId="0" borderId="0" xfId="0" applyNumberFormat="1"/>
    <xf numFmtId="164" fontId="0" fillId="0" borderId="0" xfId="0" applyNumberFormat="1" applyAlignment="1">
      <alignment wrapText="1"/>
    </xf>
    <xf numFmtId="1" fontId="0" fillId="0" borderId="0" xfId="0" applyNumberFormat="1"/>
    <xf numFmtId="164" fontId="0" fillId="0" borderId="0" xfId="1" applyNumberFormat="1" applyFont="1"/>
    <xf numFmtId="0" fontId="0" fillId="2" borderId="0" xfId="0" applyFill="1"/>
    <xf numFmtId="165" fontId="0" fillId="0" borderId="0" xfId="0" applyNumberFormat="1"/>
    <xf numFmtId="164" fontId="0" fillId="0" borderId="0" xfId="0" applyNumberFormat="1" applyAlignment="1">
      <alignment horizontal="right"/>
    </xf>
    <xf numFmtId="0" fontId="0" fillId="0" borderId="0" xfId="0" applyAlignment="1">
      <alignment horizontal="right"/>
    </xf>
    <xf numFmtId="165" fontId="0" fillId="0" borderId="0" xfId="0" applyNumberFormat="1" applyAlignment="1">
      <alignment horizontal="right"/>
    </xf>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ofv.n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6F8-FBFE-40A4-8A3E-1BC2B49C4A9C}">
  <dimension ref="A1:T97"/>
  <sheetViews>
    <sheetView tabSelected="1" zoomScaleNormal="100" workbookViewId="0">
      <pane xSplit="1" ySplit="1" topLeftCell="D2" activePane="bottomRight" state="frozen"/>
      <selection pane="topRight" activeCell="B1" sqref="B1"/>
      <selection pane="bottomLeft" activeCell="A2" sqref="A2"/>
      <selection pane="bottomRight" activeCell="I12" sqref="I12"/>
    </sheetView>
  </sheetViews>
  <sheetFormatPr baseColWidth="10" defaultColWidth="8.83203125" defaultRowHeight="15" x14ac:dyDescent="0.2"/>
  <cols>
    <col min="2" max="2" width="12.5" customWidth="1"/>
    <col min="3" max="3" width="12.83203125" customWidth="1"/>
    <col min="5" max="5" width="14.33203125" customWidth="1"/>
    <col min="6" max="6" width="15" customWidth="1"/>
    <col min="7" max="7" width="16.33203125" customWidth="1"/>
    <col min="8" max="8" width="14.6640625" customWidth="1"/>
    <col min="9" max="9" width="16.83203125" customWidth="1"/>
    <col min="10" max="10" width="18.1640625" customWidth="1"/>
    <col min="11" max="11" width="16.83203125" customWidth="1"/>
    <col min="12" max="12" width="12.6640625" customWidth="1"/>
    <col min="13" max="13" width="15.1640625" customWidth="1"/>
    <col min="14" max="14" width="11.1640625" customWidth="1"/>
    <col min="15" max="15" width="15.83203125" customWidth="1"/>
    <col min="16" max="16" width="11.1640625" customWidth="1"/>
    <col min="17" max="17" width="20" customWidth="1"/>
    <col min="18" max="18" width="14" customWidth="1"/>
    <col min="19" max="19" width="11.5" bestFit="1" customWidth="1"/>
    <col min="20" max="20" width="20.33203125" customWidth="1"/>
  </cols>
  <sheetData>
    <row r="1" spans="1:20" ht="58.75" customHeight="1" x14ac:dyDescent="0.2">
      <c r="B1" s="3" t="s">
        <v>5</v>
      </c>
      <c r="C1" s="3" t="s">
        <v>6</v>
      </c>
      <c r="D1" s="3" t="s">
        <v>16</v>
      </c>
      <c r="E1" s="3" t="s">
        <v>10</v>
      </c>
      <c r="F1" s="3" t="s">
        <v>18</v>
      </c>
      <c r="G1" s="3" t="s">
        <v>7</v>
      </c>
      <c r="H1" s="3" t="s">
        <v>9</v>
      </c>
      <c r="I1" s="3" t="s">
        <v>8</v>
      </c>
      <c r="J1" s="3" t="s">
        <v>19</v>
      </c>
      <c r="K1" s="3" t="s">
        <v>3</v>
      </c>
      <c r="L1" s="3" t="s">
        <v>12</v>
      </c>
      <c r="M1" s="3" t="s">
        <v>4</v>
      </c>
      <c r="N1" s="3" t="s">
        <v>15</v>
      </c>
      <c r="O1" s="3" t="s">
        <v>20</v>
      </c>
      <c r="P1" s="3" t="s">
        <v>17</v>
      </c>
      <c r="Q1" s="3" t="s">
        <v>2</v>
      </c>
      <c r="R1" s="3" t="s">
        <v>13</v>
      </c>
      <c r="S1" s="3" t="s">
        <v>0</v>
      </c>
      <c r="T1" s="3" t="s">
        <v>1</v>
      </c>
    </row>
    <row r="2" spans="1:20" x14ac:dyDescent="0.2">
      <c r="A2">
        <v>201507</v>
      </c>
      <c r="B2">
        <f>B14+1354</f>
        <v>12394</v>
      </c>
      <c r="C2">
        <f>C14+885</f>
        <v>2286</v>
      </c>
      <c r="E2" s="1">
        <v>0.40400000000000003</v>
      </c>
      <c r="F2" s="1"/>
      <c r="G2" s="6">
        <v>0.39700000000000002</v>
      </c>
      <c r="H2" s="1">
        <v>0.45300000000000001</v>
      </c>
      <c r="I2" s="1"/>
      <c r="J2" s="6">
        <v>0.33300000000000002</v>
      </c>
      <c r="K2">
        <f>K14-1333</f>
        <v>1584</v>
      </c>
      <c r="L2" s="6">
        <v>0.128</v>
      </c>
      <c r="M2">
        <v>776</v>
      </c>
      <c r="N2" s="5">
        <f>M2/B2</f>
        <v>6.2610940777795707E-2</v>
      </c>
      <c r="P2" s="7">
        <f>L2-N2</f>
        <v>6.5389059222204296E-2</v>
      </c>
      <c r="Q2">
        <f>Q14+661</f>
        <v>1764</v>
      </c>
      <c r="R2" s="6">
        <v>0.14199999999999999</v>
      </c>
      <c r="T2">
        <f>T14+27</f>
        <v>369</v>
      </c>
    </row>
    <row r="3" spans="1:20" x14ac:dyDescent="0.2">
      <c r="A3">
        <v>201508</v>
      </c>
      <c r="B3">
        <f>B15-638</f>
        <v>12594</v>
      </c>
      <c r="C3">
        <f>C15+513</f>
        <v>1998</v>
      </c>
      <c r="E3" s="1">
        <v>0.38500000000000001</v>
      </c>
      <c r="F3" s="1"/>
      <c r="G3" s="6">
        <v>0.38100000000000001</v>
      </c>
      <c r="H3" s="1">
        <v>0.443</v>
      </c>
      <c r="I3" s="1"/>
      <c r="J3" s="6">
        <v>0.33900000000000002</v>
      </c>
      <c r="K3">
        <f>K15-2316</f>
        <v>1360</v>
      </c>
      <c r="L3" s="6">
        <v>0.108</v>
      </c>
      <c r="M3">
        <v>468</v>
      </c>
      <c r="N3" s="5">
        <f>M3/B3</f>
        <v>3.7160552644116246E-2</v>
      </c>
      <c r="P3" s="7">
        <f>L3-N3</f>
        <v>7.0839447355883753E-2</v>
      </c>
      <c r="Q3">
        <f>Q15+152</f>
        <v>2166</v>
      </c>
      <c r="R3" s="6">
        <v>0.17199999999999999</v>
      </c>
      <c r="T3">
        <f>T15+78</f>
        <v>572</v>
      </c>
    </row>
    <row r="4" spans="1:20" x14ac:dyDescent="0.2">
      <c r="A4">
        <v>201509</v>
      </c>
      <c r="B4">
        <f>B16-1433</f>
        <v>12421</v>
      </c>
      <c r="C4">
        <f>C16+372</f>
        <v>1898</v>
      </c>
      <c r="D4" s="2">
        <f>G4+J4+L4+R4</f>
        <v>0.999</v>
      </c>
      <c r="E4" s="1">
        <v>0.39900000000000002</v>
      </c>
      <c r="F4" s="1"/>
      <c r="G4" s="6">
        <v>0.39200000000000002</v>
      </c>
      <c r="H4" s="1">
        <v>0.42799999999999999</v>
      </c>
      <c r="I4" s="1"/>
      <c r="J4" s="6">
        <v>0.31</v>
      </c>
      <c r="K4">
        <f>K16-2425</f>
        <v>1566</v>
      </c>
      <c r="L4" s="6">
        <v>0.126</v>
      </c>
      <c r="M4">
        <v>528</v>
      </c>
      <c r="N4" s="5">
        <f>M4/B4</f>
        <v>4.2508654697689399E-2</v>
      </c>
      <c r="P4" s="7">
        <f>L4-N4</f>
        <v>8.3491345302310602E-2</v>
      </c>
      <c r="Q4">
        <f>Q16-499</f>
        <v>2130</v>
      </c>
      <c r="R4" s="6">
        <v>0.17100000000000001</v>
      </c>
      <c r="T4">
        <f>T16+53</f>
        <v>570</v>
      </c>
    </row>
    <row r="5" spans="1:20" x14ac:dyDescent="0.2">
      <c r="A5">
        <v>201510</v>
      </c>
      <c r="B5">
        <f>B17+1265</f>
        <v>13197</v>
      </c>
      <c r="C5">
        <f>C17+443</f>
        <v>1808</v>
      </c>
      <c r="D5" s="2">
        <f>G5+J5+L5+R5</f>
        <v>1</v>
      </c>
      <c r="E5" s="1">
        <v>0.40400000000000003</v>
      </c>
      <c r="F5" s="1"/>
      <c r="G5" s="6">
        <v>0.39600000000000002</v>
      </c>
      <c r="H5" s="2">
        <v>0.44</v>
      </c>
      <c r="I5" s="2"/>
      <c r="J5" s="6">
        <v>0.29699999999999999</v>
      </c>
      <c r="K5" s="8">
        <f>B5*L5</f>
        <v>2005.944</v>
      </c>
      <c r="L5" s="6">
        <f>100%-G5-J5-R5</f>
        <v>0.152</v>
      </c>
      <c r="M5">
        <v>945</v>
      </c>
      <c r="N5" s="5">
        <f>M5/B5</f>
        <v>7.1607183450784276E-2</v>
      </c>
      <c r="P5" s="7">
        <f>L5-N5</f>
        <v>8.039281654921572E-2</v>
      </c>
      <c r="Q5">
        <f>Q17+184</f>
        <v>2045</v>
      </c>
      <c r="R5" s="6">
        <v>0.155</v>
      </c>
      <c r="T5">
        <f>T17+260</f>
        <v>746</v>
      </c>
    </row>
    <row r="6" spans="1:20" x14ac:dyDescent="0.2">
      <c r="A6">
        <v>201511</v>
      </c>
      <c r="B6">
        <f>B18-594</f>
        <v>12600</v>
      </c>
      <c r="C6">
        <f>C18+233</f>
        <v>1538</v>
      </c>
      <c r="D6" s="2">
        <f>G6+J6+L6+R6</f>
        <v>1</v>
      </c>
      <c r="E6" s="1">
        <v>0.40500000000000003</v>
      </c>
      <c r="F6" s="1"/>
      <c r="G6" s="6">
        <v>0.39600000000000002</v>
      </c>
      <c r="H6" s="1">
        <v>0.436</v>
      </c>
      <c r="I6" s="1"/>
      <c r="J6" s="6">
        <v>0.28699999999999998</v>
      </c>
      <c r="K6" s="8">
        <f>B6*L6</f>
        <v>1953</v>
      </c>
      <c r="L6" s="6">
        <f>100%-G6-J6-R6</f>
        <v>0.155</v>
      </c>
      <c r="M6">
        <v>1062</v>
      </c>
      <c r="N6" s="5">
        <f>M6/B6</f>
        <v>8.4285714285714283E-2</v>
      </c>
      <c r="P6" s="7">
        <f>L6-N6</f>
        <v>7.0714285714285716E-2</v>
      </c>
      <c r="Q6">
        <f>Q18-527</f>
        <v>2040</v>
      </c>
      <c r="R6" s="6">
        <v>0.16200000000000001</v>
      </c>
      <c r="T6">
        <f>T18+159</f>
        <v>661</v>
      </c>
    </row>
    <row r="7" spans="1:20" x14ac:dyDescent="0.2">
      <c r="A7">
        <v>201512</v>
      </c>
      <c r="B7">
        <f>B19-524</f>
        <v>13078</v>
      </c>
      <c r="C7">
        <f>C19+96</f>
        <v>1233</v>
      </c>
      <c r="D7" s="2">
        <f>G7+J7+L7+R7</f>
        <v>1</v>
      </c>
      <c r="E7" s="1">
        <v>0.42499999999999999</v>
      </c>
      <c r="F7" s="1"/>
      <c r="G7" s="6">
        <v>0.41399999999999998</v>
      </c>
      <c r="H7" s="1">
        <v>0.42299999999999999</v>
      </c>
      <c r="I7" s="1"/>
      <c r="J7" s="6">
        <v>0.32300000000000001</v>
      </c>
      <c r="K7" s="8">
        <f>B7*L7</f>
        <v>1464.736000000001</v>
      </c>
      <c r="L7" s="6">
        <f>100%-G7-J7-R7</f>
        <v>0.11200000000000007</v>
      </c>
      <c r="M7">
        <v>822</v>
      </c>
      <c r="N7" s="5">
        <f>M7/B7</f>
        <v>6.2853647346689093E-2</v>
      </c>
      <c r="P7" s="7">
        <f>L7-N7</f>
        <v>4.9146352653310979E-2</v>
      </c>
      <c r="Q7">
        <f>Q19-341</f>
        <v>1978</v>
      </c>
      <c r="R7" s="6">
        <v>0.151</v>
      </c>
      <c r="T7">
        <f>T19+152</f>
        <v>513</v>
      </c>
    </row>
    <row r="8" spans="1:20" x14ac:dyDescent="0.2">
      <c r="A8">
        <v>201601</v>
      </c>
      <c r="B8">
        <v>10991</v>
      </c>
      <c r="C8">
        <v>1219</v>
      </c>
      <c r="D8" s="2">
        <f>G8+J8+L8+R8</f>
        <v>1</v>
      </c>
      <c r="E8" s="2">
        <v>0.38</v>
      </c>
      <c r="F8" s="2"/>
      <c r="G8" s="12">
        <v>0.32300000000000001</v>
      </c>
      <c r="H8" s="13"/>
      <c r="I8" s="14"/>
      <c r="J8" s="12">
        <v>0.32300000000000001</v>
      </c>
      <c r="K8">
        <v>1992</v>
      </c>
      <c r="L8" s="6">
        <v>0.18099999999999999</v>
      </c>
      <c r="M8">
        <v>897</v>
      </c>
      <c r="N8" s="5">
        <f>M8/B8</f>
        <v>8.1612228186698207E-2</v>
      </c>
      <c r="P8" s="7">
        <f>L8-N8</f>
        <v>9.9387771813301787E-2</v>
      </c>
      <c r="Q8">
        <v>1906</v>
      </c>
      <c r="R8" s="6">
        <v>0.17299999999999999</v>
      </c>
      <c r="S8">
        <v>1</v>
      </c>
      <c r="T8">
        <v>404</v>
      </c>
    </row>
    <row r="9" spans="1:20" x14ac:dyDescent="0.2">
      <c r="A9">
        <v>201602</v>
      </c>
      <c r="B9">
        <v>12222</v>
      </c>
      <c r="C9">
        <v>1233</v>
      </c>
      <c r="D9" s="2">
        <f>G9+J9+L9+R9</f>
        <v>1.0010000000000001</v>
      </c>
      <c r="E9" s="1">
        <v>0.34200000000000003</v>
      </c>
      <c r="F9" s="1"/>
      <c r="G9" s="6">
        <v>0.34200000000000003</v>
      </c>
      <c r="J9" s="6">
        <v>0.27200000000000002</v>
      </c>
      <c r="K9">
        <v>2794</v>
      </c>
      <c r="L9" s="6">
        <v>0.22900000000000001</v>
      </c>
      <c r="M9">
        <v>1563</v>
      </c>
      <c r="N9" s="5">
        <f>M9/B9</f>
        <v>0.12788414334806086</v>
      </c>
      <c r="P9" s="7">
        <f>L9-N9</f>
        <v>0.10111585665193915</v>
      </c>
      <c r="Q9">
        <v>1927</v>
      </c>
      <c r="R9" s="6">
        <v>0.158</v>
      </c>
      <c r="S9">
        <v>2</v>
      </c>
      <c r="T9">
        <v>371</v>
      </c>
    </row>
    <row r="10" spans="1:20" x14ac:dyDescent="0.2">
      <c r="A10">
        <v>201603</v>
      </c>
      <c r="B10">
        <v>13875</v>
      </c>
      <c r="C10">
        <v>1253</v>
      </c>
      <c r="D10" s="2">
        <f>G10+J10+L10+R10</f>
        <v>1</v>
      </c>
      <c r="E10" s="1">
        <v>0.30099999999999999</v>
      </c>
      <c r="F10" s="1"/>
      <c r="G10" s="6">
        <v>0.29499999999999998</v>
      </c>
      <c r="J10" s="6">
        <v>0.27300000000000002</v>
      </c>
      <c r="K10">
        <v>3396</v>
      </c>
      <c r="L10" s="6">
        <v>0.245</v>
      </c>
      <c r="M10">
        <v>2051</v>
      </c>
      <c r="N10" s="5">
        <f>M10/B10</f>
        <v>0.14781981981981981</v>
      </c>
      <c r="P10" s="7">
        <f>L10-N10</f>
        <v>9.7180180180180181E-2</v>
      </c>
      <c r="Q10">
        <v>2597</v>
      </c>
      <c r="R10" s="6">
        <v>0.187</v>
      </c>
      <c r="S10">
        <v>2</v>
      </c>
      <c r="T10">
        <v>465</v>
      </c>
    </row>
    <row r="11" spans="1:20" x14ac:dyDescent="0.2">
      <c r="A11">
        <v>201604</v>
      </c>
      <c r="B11">
        <v>14116</v>
      </c>
      <c r="C11">
        <v>1451</v>
      </c>
      <c r="D11" s="2">
        <f>G11+J11+L11+R11</f>
        <v>0.999</v>
      </c>
      <c r="E11" s="1">
        <v>0.30299999999999999</v>
      </c>
      <c r="F11" s="1"/>
      <c r="G11" s="6">
        <v>0.30499999999999999</v>
      </c>
      <c r="H11" s="1">
        <v>0.39800000000000002</v>
      </c>
      <c r="I11" s="1"/>
      <c r="J11" s="6">
        <v>0.30199999999999999</v>
      </c>
      <c r="K11">
        <v>3550</v>
      </c>
      <c r="L11" s="6">
        <v>0.251</v>
      </c>
      <c r="M11">
        <v>2224</v>
      </c>
      <c r="N11" s="5">
        <f>M11/B11</f>
        <v>0.15755171436667612</v>
      </c>
      <c r="P11" s="7">
        <f>L11-N11</f>
        <v>9.3448285633323885E-2</v>
      </c>
      <c r="Q11">
        <v>1993</v>
      </c>
      <c r="R11" s="6">
        <v>0.14099999999999999</v>
      </c>
      <c r="S11">
        <v>2</v>
      </c>
      <c r="T11">
        <v>433</v>
      </c>
    </row>
    <row r="12" spans="1:20" x14ac:dyDescent="0.2">
      <c r="A12">
        <v>201605</v>
      </c>
      <c r="B12">
        <v>12864</v>
      </c>
      <c r="C12">
        <v>1432</v>
      </c>
      <c r="D12" s="2">
        <f>G12+J12+L12+R12</f>
        <v>1</v>
      </c>
      <c r="E12" s="1">
        <v>0.30499999999999999</v>
      </c>
      <c r="F12" s="1"/>
      <c r="G12" s="6">
        <v>0.30099999999999999</v>
      </c>
      <c r="H12" s="1">
        <v>0.58399999999999996</v>
      </c>
      <c r="I12" s="1"/>
      <c r="J12" s="6">
        <v>0.32</v>
      </c>
      <c r="K12">
        <v>3449</v>
      </c>
      <c r="L12" s="6">
        <v>0.26800000000000002</v>
      </c>
      <c r="M12">
        <v>1872</v>
      </c>
      <c r="N12" s="5">
        <f>M12/B12</f>
        <v>0.1455223880597015</v>
      </c>
      <c r="P12" s="7">
        <f>L12-N12</f>
        <v>0.12247761194029852</v>
      </c>
      <c r="Q12">
        <v>1423</v>
      </c>
      <c r="R12" s="6">
        <v>0.111</v>
      </c>
      <c r="S12">
        <v>0</v>
      </c>
      <c r="T12">
        <v>466</v>
      </c>
    </row>
    <row r="13" spans="1:20" x14ac:dyDescent="0.2">
      <c r="A13">
        <v>201606</v>
      </c>
      <c r="B13">
        <v>13681</v>
      </c>
      <c r="C13">
        <v>1512</v>
      </c>
      <c r="D13" s="2">
        <f>G13+J13+L13+R13</f>
        <v>0.999</v>
      </c>
      <c r="E13" s="1">
        <v>0.311</v>
      </c>
      <c r="F13" s="1"/>
      <c r="G13" s="6">
        <v>0.30599999999999999</v>
      </c>
      <c r="H13" s="1">
        <v>0.54400000000000004</v>
      </c>
      <c r="I13" s="1"/>
      <c r="J13" s="6">
        <v>0.32200000000000001</v>
      </c>
      <c r="K13">
        <v>3174</v>
      </c>
      <c r="L13" s="6">
        <v>0.23200000000000001</v>
      </c>
      <c r="M13">
        <v>1672</v>
      </c>
      <c r="N13" s="5">
        <f>M13/B13</f>
        <v>0.12221328850230247</v>
      </c>
      <c r="P13" s="7">
        <f>L13-N13</f>
        <v>0.10978671149769755</v>
      </c>
      <c r="Q13">
        <v>1906</v>
      </c>
      <c r="R13" s="6">
        <v>0.13900000000000001</v>
      </c>
      <c r="S13">
        <v>1</v>
      </c>
      <c r="T13">
        <v>440</v>
      </c>
    </row>
    <row r="14" spans="1:20" x14ac:dyDescent="0.2">
      <c r="A14">
        <v>201607</v>
      </c>
      <c r="B14">
        <v>11040</v>
      </c>
      <c r="C14">
        <v>1401</v>
      </c>
      <c r="D14" s="2">
        <f>G14+J14+L14+R14</f>
        <v>1</v>
      </c>
      <c r="E14" s="1">
        <v>0.32100000000000001</v>
      </c>
      <c r="F14" s="1"/>
      <c r="G14" s="6">
        <v>0.31</v>
      </c>
      <c r="H14" s="1">
        <v>0.57899999999999996</v>
      </c>
      <c r="I14" s="1"/>
      <c r="J14" s="6">
        <v>0.32600000000000001</v>
      </c>
      <c r="K14">
        <v>2917</v>
      </c>
      <c r="L14" s="6">
        <v>0.26400000000000001</v>
      </c>
      <c r="M14">
        <v>1865</v>
      </c>
      <c r="N14" s="5">
        <f>M14/B14</f>
        <v>0.16893115942028986</v>
      </c>
      <c r="P14" s="7">
        <f>L14-N14</f>
        <v>9.5068840579710157E-2</v>
      </c>
      <c r="Q14">
        <v>1103</v>
      </c>
      <c r="R14" s="6">
        <v>0.1</v>
      </c>
      <c r="S14">
        <v>0</v>
      </c>
      <c r="T14">
        <v>342</v>
      </c>
    </row>
    <row r="15" spans="1:20" x14ac:dyDescent="0.2">
      <c r="A15">
        <v>201608</v>
      </c>
      <c r="B15">
        <v>13232</v>
      </c>
      <c r="C15">
        <v>1485</v>
      </c>
      <c r="D15" s="2">
        <f>G15+J15+L15+R15</f>
        <v>1</v>
      </c>
      <c r="E15" s="2">
        <v>0.28999999999999998</v>
      </c>
      <c r="F15" s="2"/>
      <c r="G15" s="6">
        <v>0.28299999999999997</v>
      </c>
      <c r="H15" s="1">
        <v>0.55700000000000005</v>
      </c>
      <c r="I15" s="1"/>
      <c r="J15" s="6">
        <v>0.28699999999999998</v>
      </c>
      <c r="K15">
        <v>3676</v>
      </c>
      <c r="L15" s="6">
        <v>0.27800000000000002</v>
      </c>
      <c r="M15">
        <v>1762</v>
      </c>
      <c r="N15" s="5">
        <f>M15/B15</f>
        <v>0.1331620314389359</v>
      </c>
      <c r="P15" s="7">
        <f>L15-N15</f>
        <v>0.14483796856106412</v>
      </c>
      <c r="Q15">
        <v>2014</v>
      </c>
      <c r="R15" s="6">
        <v>0.152</v>
      </c>
      <c r="S15">
        <v>4</v>
      </c>
      <c r="T15">
        <v>494</v>
      </c>
    </row>
    <row r="16" spans="1:20" x14ac:dyDescent="0.2">
      <c r="A16">
        <v>201609</v>
      </c>
      <c r="B16">
        <v>13854</v>
      </c>
      <c r="C16">
        <v>1526</v>
      </c>
      <c r="D16" s="2">
        <f>G16+J16+L16+R16</f>
        <v>1</v>
      </c>
      <c r="E16" s="1">
        <v>0.27700000000000002</v>
      </c>
      <c r="F16" s="1"/>
      <c r="G16" s="6">
        <v>0.26400000000000001</v>
      </c>
      <c r="H16" s="1">
        <v>0.53300000000000003</v>
      </c>
      <c r="I16" s="1"/>
      <c r="J16" s="6">
        <v>0.25800000000000001</v>
      </c>
      <c r="K16">
        <v>3991</v>
      </c>
      <c r="L16" s="6">
        <v>0.28799999999999998</v>
      </c>
      <c r="M16">
        <v>1923</v>
      </c>
      <c r="N16" s="5">
        <f>M16/B16</f>
        <v>0.13880467734950194</v>
      </c>
      <c r="P16" s="7">
        <f>L16-N16</f>
        <v>0.14919532265049804</v>
      </c>
      <c r="Q16">
        <v>2629</v>
      </c>
      <c r="R16" s="6">
        <v>0.19</v>
      </c>
      <c r="S16">
        <v>1</v>
      </c>
      <c r="T16">
        <v>517</v>
      </c>
    </row>
    <row r="17" spans="1:20" x14ac:dyDescent="0.2">
      <c r="A17">
        <v>201610</v>
      </c>
      <c r="B17">
        <v>11932</v>
      </c>
      <c r="C17">
        <v>1365</v>
      </c>
      <c r="D17" s="2">
        <f>G17+J17+L17+R17</f>
        <v>1</v>
      </c>
      <c r="E17" s="1">
        <v>0.29699999999999999</v>
      </c>
      <c r="F17" s="1"/>
      <c r="G17" s="6">
        <v>0.28799999999999998</v>
      </c>
      <c r="H17" s="1">
        <v>0.54700000000000004</v>
      </c>
      <c r="I17" s="1"/>
      <c r="J17" s="6">
        <v>0.28699999999999998</v>
      </c>
      <c r="K17">
        <v>3209</v>
      </c>
      <c r="L17" s="6">
        <v>0.26900000000000002</v>
      </c>
      <c r="M17">
        <v>1765</v>
      </c>
      <c r="N17" s="5">
        <f>M17/B17</f>
        <v>0.14792155548105934</v>
      </c>
      <c r="P17" s="7">
        <f>L17-N17</f>
        <v>0.12107844451894068</v>
      </c>
      <c r="Q17">
        <v>1861</v>
      </c>
      <c r="R17" s="6">
        <v>0.156</v>
      </c>
      <c r="S17">
        <v>4</v>
      </c>
      <c r="T17">
        <v>486</v>
      </c>
    </row>
    <row r="18" spans="1:20" x14ac:dyDescent="0.2">
      <c r="A18">
        <v>201611</v>
      </c>
      <c r="B18">
        <v>13194</v>
      </c>
      <c r="C18">
        <v>1305</v>
      </c>
      <c r="D18" s="2">
        <f>G18+J18+L18+R18</f>
        <v>0.99900000000000011</v>
      </c>
      <c r="E18" s="1">
        <v>0.29499999999999998</v>
      </c>
      <c r="F18" s="1"/>
      <c r="G18" s="6">
        <v>0.28699999999999998</v>
      </c>
      <c r="H18" s="2">
        <v>0.51</v>
      </c>
      <c r="I18" s="2"/>
      <c r="J18" s="6">
        <v>0.27700000000000002</v>
      </c>
      <c r="K18">
        <v>3181</v>
      </c>
      <c r="L18" s="6">
        <v>0.24099999999999999</v>
      </c>
      <c r="M18">
        <v>1730</v>
      </c>
      <c r="N18" s="5">
        <f>M18/B18</f>
        <v>0.13112020615431258</v>
      </c>
      <c r="P18" s="7">
        <f>L18-N18</f>
        <v>0.10987979384568741</v>
      </c>
      <c r="Q18">
        <v>2567</v>
      </c>
      <c r="R18" s="6">
        <v>0.19400000000000001</v>
      </c>
      <c r="S18">
        <v>3</v>
      </c>
      <c r="T18">
        <v>502</v>
      </c>
    </row>
    <row r="19" spans="1:20" x14ac:dyDescent="0.2">
      <c r="A19">
        <v>201612</v>
      </c>
      <c r="B19">
        <v>13602</v>
      </c>
      <c r="C19">
        <v>1137</v>
      </c>
      <c r="D19" s="2">
        <f>G19+J19+L19+R19</f>
        <v>0.999</v>
      </c>
      <c r="E19" s="1">
        <v>0.35499999999999998</v>
      </c>
      <c r="F19" s="1"/>
      <c r="G19" s="6">
        <v>0.35199999999999998</v>
      </c>
      <c r="H19" s="1">
        <v>0.47299999999999998</v>
      </c>
      <c r="I19" s="1"/>
      <c r="J19" s="6">
        <v>0.28599999999999998</v>
      </c>
      <c r="K19">
        <v>2597</v>
      </c>
      <c r="L19" s="6">
        <v>0.191</v>
      </c>
      <c r="M19">
        <v>1280</v>
      </c>
      <c r="N19" s="5">
        <f>M19/B19</f>
        <v>9.4103808263490657E-2</v>
      </c>
      <c r="P19" s="7">
        <f>L19-N19</f>
        <v>9.6896191736509346E-2</v>
      </c>
      <c r="Q19">
        <v>2319</v>
      </c>
      <c r="R19" s="6">
        <v>0.17</v>
      </c>
      <c r="S19">
        <v>3</v>
      </c>
      <c r="T19">
        <v>361</v>
      </c>
    </row>
    <row r="20" spans="1:20" x14ac:dyDescent="0.2">
      <c r="A20">
        <v>201701</v>
      </c>
      <c r="B20">
        <f>B32+3848</f>
        <v>13055</v>
      </c>
      <c r="C20">
        <v>1549</v>
      </c>
      <c r="D20" s="2">
        <f>G20+J20+L20+R20</f>
        <v>1</v>
      </c>
      <c r="G20" s="6">
        <v>0.23899999999999999</v>
      </c>
      <c r="J20" s="6">
        <v>0.247</v>
      </c>
      <c r="K20">
        <f>K32+1622</f>
        <v>4419</v>
      </c>
      <c r="L20" s="6">
        <v>0.33800000000000002</v>
      </c>
      <c r="M20">
        <f>M32+1044</f>
        <v>2609</v>
      </c>
      <c r="N20" s="5">
        <f>M20/B20</f>
        <v>0.19984680199157412</v>
      </c>
      <c r="P20" s="7">
        <f>L20-N20</f>
        <v>0.1381531980084259</v>
      </c>
      <c r="Q20">
        <f>Q32+167</f>
        <v>2295</v>
      </c>
      <c r="R20" s="6">
        <v>0.17599999999999999</v>
      </c>
      <c r="S20">
        <v>6</v>
      </c>
      <c r="T20">
        <f>T32-396</f>
        <v>494</v>
      </c>
    </row>
    <row r="21" spans="1:20" x14ac:dyDescent="0.2">
      <c r="A21">
        <v>201702</v>
      </c>
      <c r="B21">
        <f>B33+1597</f>
        <v>11788</v>
      </c>
      <c r="C21">
        <v>1432</v>
      </c>
      <c r="D21" s="2">
        <f>G21+J21+L21+R21</f>
        <v>1</v>
      </c>
      <c r="G21" s="6">
        <v>0.27300000000000002</v>
      </c>
      <c r="J21" s="6">
        <v>0.249</v>
      </c>
      <c r="K21">
        <f>K33+321</f>
        <v>3774</v>
      </c>
      <c r="L21" s="6">
        <v>0.32</v>
      </c>
      <c r="M21">
        <f>M33-197</f>
        <v>2053</v>
      </c>
      <c r="N21" s="5">
        <f>M21/B21</f>
        <v>0.17416016287750255</v>
      </c>
      <c r="P21" s="7">
        <f>L21-N21</f>
        <v>0.14583983712249746</v>
      </c>
      <c r="Q21">
        <f>Q33-336</f>
        <v>1864</v>
      </c>
      <c r="R21" s="6">
        <v>0.158</v>
      </c>
      <c r="S21">
        <v>2</v>
      </c>
      <c r="T21">
        <f>T33-370</f>
        <v>503</v>
      </c>
    </row>
    <row r="22" spans="1:20" x14ac:dyDescent="0.2">
      <c r="A22">
        <v>201703</v>
      </c>
      <c r="B22">
        <f>B34-1003</f>
        <v>13398</v>
      </c>
      <c r="C22">
        <v>1797</v>
      </c>
      <c r="D22" s="2">
        <f>G22+J22+L22+R22</f>
        <v>1</v>
      </c>
      <c r="G22" s="6">
        <v>0.246</v>
      </c>
      <c r="J22" s="6">
        <v>0.26400000000000001</v>
      </c>
      <c r="K22">
        <f>K34-122</f>
        <v>3729</v>
      </c>
      <c r="L22" s="6">
        <v>0.27800000000000002</v>
      </c>
      <c r="M22">
        <f>M34-838</f>
        <v>1834</v>
      </c>
      <c r="N22" s="5">
        <f>M22/B22</f>
        <v>0.13688610240334378</v>
      </c>
      <c r="P22" s="7">
        <f>L22-N22</f>
        <v>0.14111389759665624</v>
      </c>
      <c r="Q22">
        <f>Q34-2532</f>
        <v>2834</v>
      </c>
      <c r="R22" s="6">
        <v>0.21199999999999999</v>
      </c>
      <c r="S22">
        <v>3</v>
      </c>
      <c r="T22">
        <f>T34-257</f>
        <v>574</v>
      </c>
    </row>
    <row r="23" spans="1:20" x14ac:dyDescent="0.2">
      <c r="A23">
        <v>201704</v>
      </c>
      <c r="B23">
        <f>B35+2716</f>
        <v>16771</v>
      </c>
      <c r="C23">
        <v>1377</v>
      </c>
      <c r="D23" s="2">
        <f>G23+J23+L23+R23</f>
        <v>1</v>
      </c>
      <c r="G23" s="6">
        <v>0.29499999999999998</v>
      </c>
      <c r="J23" s="6">
        <v>0.28299999999999997</v>
      </c>
      <c r="K23">
        <f>K35-1003</f>
        <v>3099</v>
      </c>
      <c r="L23" s="6">
        <v>0.27300000000000002</v>
      </c>
      <c r="M23">
        <v>1674</v>
      </c>
      <c r="N23" s="5">
        <f>M23/B23</f>
        <v>9.9815157116451017E-2</v>
      </c>
      <c r="P23" s="7">
        <f>L23-N23</f>
        <v>0.17318484288354902</v>
      </c>
      <c r="Q23">
        <f>Q35-1879</f>
        <v>1687</v>
      </c>
      <c r="R23" s="6">
        <v>0.14899999999999999</v>
      </c>
      <c r="S23">
        <v>4</v>
      </c>
      <c r="T23">
        <f>T35-570</f>
        <v>404</v>
      </c>
    </row>
    <row r="24" spans="1:20" x14ac:dyDescent="0.2">
      <c r="A24">
        <v>201705</v>
      </c>
      <c r="B24">
        <f>B36+1129</f>
        <v>14175</v>
      </c>
      <c r="C24">
        <v>1697</v>
      </c>
      <c r="D24" s="2">
        <f>G24+J24+L24+R24</f>
        <v>1</v>
      </c>
      <c r="G24" s="6">
        <v>0.26300000000000001</v>
      </c>
      <c r="J24" s="6">
        <v>0.27900000000000003</v>
      </c>
      <c r="K24">
        <f>K36-118</f>
        <v>4314</v>
      </c>
      <c r="L24" s="6">
        <v>0.30399999999999999</v>
      </c>
      <c r="M24">
        <v>2164</v>
      </c>
      <c r="N24" s="5">
        <f>M24/B24</f>
        <v>0.15266313932980599</v>
      </c>
      <c r="P24" s="7">
        <f>L24-N24</f>
        <v>0.151336860670194</v>
      </c>
      <c r="Q24">
        <f>Q36-735</f>
        <v>2177</v>
      </c>
      <c r="R24" s="6">
        <v>0.154</v>
      </c>
      <c r="S24">
        <v>2</v>
      </c>
      <c r="T24">
        <f>T36-523</f>
        <v>504</v>
      </c>
    </row>
    <row r="25" spans="1:20" x14ac:dyDescent="0.2">
      <c r="A25">
        <v>201706</v>
      </c>
      <c r="B25">
        <f>B37-1617</f>
        <v>14228</v>
      </c>
      <c r="C25">
        <v>1814</v>
      </c>
      <c r="D25" s="2">
        <f>G25+J25+L25+R25</f>
        <v>1</v>
      </c>
      <c r="G25" s="6">
        <v>0.24199999999999999</v>
      </c>
      <c r="J25" s="6">
        <v>0.223</v>
      </c>
      <c r="K25">
        <f>K37-2113</f>
        <v>3668</v>
      </c>
      <c r="L25" s="6">
        <v>0.25800000000000001</v>
      </c>
      <c r="M25">
        <f>M37-1940</f>
        <v>2063</v>
      </c>
      <c r="N25" s="5">
        <f>M25/B25</f>
        <v>0.1449957829631712</v>
      </c>
      <c r="P25" s="7">
        <f>L25-N25</f>
        <v>0.11300421703682881</v>
      </c>
      <c r="Q25">
        <f>Q37-25</f>
        <v>3948</v>
      </c>
      <c r="R25" s="6">
        <v>0.27700000000000002</v>
      </c>
      <c r="S25">
        <v>2</v>
      </c>
      <c r="T25">
        <f>T37-494</f>
        <v>579</v>
      </c>
    </row>
    <row r="26" spans="1:20" x14ac:dyDescent="0.2">
      <c r="A26">
        <v>201707</v>
      </c>
      <c r="B26">
        <f>B38+1865</f>
        <v>11476</v>
      </c>
      <c r="C26">
        <v>1708</v>
      </c>
      <c r="D26" s="2">
        <f>G26+J26+L26+R26</f>
        <v>1</v>
      </c>
      <c r="G26" s="6">
        <v>0.22800000000000001</v>
      </c>
      <c r="J26" s="6">
        <v>0.27300000000000002</v>
      </c>
      <c r="K26">
        <f>K38+1219</f>
        <v>3902</v>
      </c>
      <c r="L26" s="6">
        <v>0.34</v>
      </c>
      <c r="M26">
        <f>M38+696</f>
        <v>2147</v>
      </c>
      <c r="N26" s="5">
        <f>M26/B26</f>
        <v>0.1870860927152318</v>
      </c>
      <c r="P26" s="7">
        <f>L26-N26</f>
        <v>0.15291390728476822</v>
      </c>
      <c r="Q26">
        <f>Q38-469</f>
        <v>1824</v>
      </c>
      <c r="R26" s="6">
        <v>0.159</v>
      </c>
      <c r="S26">
        <v>3</v>
      </c>
      <c r="T26">
        <f>T38-286</f>
        <v>522</v>
      </c>
    </row>
    <row r="27" spans="1:20" x14ac:dyDescent="0.2">
      <c r="A27">
        <v>201708</v>
      </c>
      <c r="B27">
        <f>B39-1109</f>
        <v>13416</v>
      </c>
      <c r="C27">
        <v>2177</v>
      </c>
      <c r="D27" s="2">
        <f>G27+J27+L27+R27</f>
        <v>0.998</v>
      </c>
      <c r="G27" s="6">
        <v>0.224</v>
      </c>
      <c r="J27" s="6">
        <v>0.24099999999999999</v>
      </c>
      <c r="K27">
        <f>K39+767</f>
        <v>4400</v>
      </c>
      <c r="L27" s="6">
        <v>0.32500000000000001</v>
      </c>
      <c r="M27">
        <f>M39+657</f>
        <v>2609</v>
      </c>
      <c r="N27" s="5">
        <f>M27/B27</f>
        <v>0.19446929039952296</v>
      </c>
      <c r="P27" s="7">
        <f>L27-N27</f>
        <v>0.13053070960047705</v>
      </c>
      <c r="Q27">
        <f>Q39-1374</f>
        <v>2784</v>
      </c>
      <c r="R27" s="6">
        <v>0.20799999999999999</v>
      </c>
      <c r="S27">
        <v>4</v>
      </c>
      <c r="T27">
        <f>T39-372</f>
        <v>1025</v>
      </c>
    </row>
    <row r="28" spans="1:20" x14ac:dyDescent="0.2">
      <c r="A28">
        <v>201709</v>
      </c>
      <c r="B28">
        <f>B40+2864</f>
        <v>13484</v>
      </c>
      <c r="C28">
        <v>2030</v>
      </c>
      <c r="D28" s="2">
        <f>G28+J28+L28+R28</f>
        <v>1</v>
      </c>
      <c r="G28" s="6">
        <v>0.18</v>
      </c>
      <c r="J28" s="6">
        <v>0.22</v>
      </c>
      <c r="K28">
        <f>K40+1455</f>
        <v>4234</v>
      </c>
      <c r="L28" s="6">
        <v>0.314</v>
      </c>
      <c r="M28">
        <f>M40+1089</f>
        <v>2674</v>
      </c>
      <c r="N28" s="5">
        <f>M28/B28</f>
        <v>0.19830910708988431</v>
      </c>
      <c r="P28" s="7">
        <f>L28-N28</f>
        <v>0.11569089291011569</v>
      </c>
      <c r="Q28">
        <f>Q40-954</f>
        <v>3856</v>
      </c>
      <c r="R28" s="6">
        <v>0.28599999999999998</v>
      </c>
      <c r="S28">
        <v>6</v>
      </c>
      <c r="T28">
        <f>T40-199</f>
        <v>1053</v>
      </c>
    </row>
    <row r="29" spans="1:20" x14ac:dyDescent="0.2">
      <c r="A29">
        <v>201710</v>
      </c>
      <c r="B29">
        <f>B41+817</f>
        <v>12472</v>
      </c>
      <c r="C29">
        <v>1918</v>
      </c>
      <c r="D29" s="2">
        <f>G29+J29+L29+R29</f>
        <v>1</v>
      </c>
      <c r="G29" s="6">
        <v>0.19900000000000001</v>
      </c>
      <c r="J29" s="6">
        <v>0.22900000000000001</v>
      </c>
      <c r="K29">
        <f>K41+1159</f>
        <v>4462</v>
      </c>
      <c r="L29" s="6">
        <v>0.35799999999999998</v>
      </c>
      <c r="M29">
        <f>M41+722</f>
        <v>2692</v>
      </c>
      <c r="N29" s="5">
        <f>M29/B29</f>
        <v>0.2158434894162925</v>
      </c>
      <c r="P29" s="7">
        <f>L29-N29</f>
        <v>0.14215651058370748</v>
      </c>
      <c r="Q29">
        <f>Q41-1836</f>
        <v>2665</v>
      </c>
      <c r="R29" s="6">
        <v>0.214</v>
      </c>
      <c r="S29">
        <v>6</v>
      </c>
      <c r="T29">
        <f>T41-92</f>
        <v>1002</v>
      </c>
    </row>
    <row r="30" spans="1:20" x14ac:dyDescent="0.2">
      <c r="A30">
        <v>201711</v>
      </c>
      <c r="B30">
        <f>B42+1430</f>
        <v>13743</v>
      </c>
      <c r="C30">
        <v>1933</v>
      </c>
      <c r="D30" s="2">
        <f>G30+J30+L30+R30</f>
        <v>1</v>
      </c>
      <c r="G30" s="6">
        <v>0.21099999999999999</v>
      </c>
      <c r="J30" s="6">
        <v>0.24299999999999999</v>
      </c>
      <c r="K30">
        <f>K42+1744</f>
        <v>4790</v>
      </c>
      <c r="L30" s="6">
        <v>0.34899999999999998</v>
      </c>
      <c r="M30">
        <f>M42+1195</f>
        <v>3109</v>
      </c>
      <c r="N30" s="5">
        <f>M30/B30</f>
        <v>0.22622425962308085</v>
      </c>
      <c r="P30" s="7">
        <f>L30-N30</f>
        <v>0.12277574037691913</v>
      </c>
      <c r="Q30">
        <f>Q42-2383</f>
        <v>2707</v>
      </c>
      <c r="R30" s="6">
        <v>0.19700000000000001</v>
      </c>
      <c r="S30">
        <v>3</v>
      </c>
      <c r="T30">
        <f>T42+22</f>
        <v>1128</v>
      </c>
    </row>
    <row r="31" spans="1:20" x14ac:dyDescent="0.2">
      <c r="A31">
        <v>201712</v>
      </c>
      <c r="B31">
        <f>B43+3616</f>
        <v>16077</v>
      </c>
      <c r="C31">
        <v>1512</v>
      </c>
      <c r="D31" s="2">
        <f>G31+J31+L31+R31</f>
        <v>0.99900000000000011</v>
      </c>
      <c r="G31" s="6">
        <v>0.188</v>
      </c>
      <c r="J31" s="6">
        <v>0.22700000000000001</v>
      </c>
      <c r="K31">
        <f>K43+1949</f>
        <v>4952</v>
      </c>
      <c r="L31" s="6">
        <v>0.308</v>
      </c>
      <c r="M31">
        <f>M43+1575</f>
        <v>3605</v>
      </c>
      <c r="N31" s="5">
        <f>M31/B31</f>
        <v>0.22423337687379485</v>
      </c>
      <c r="P31" s="7">
        <f>L31-N31</f>
        <v>8.3766623126205142E-2</v>
      </c>
      <c r="Q31">
        <f>Q43-707</f>
        <v>4439</v>
      </c>
      <c r="R31" s="6">
        <v>0.27600000000000002</v>
      </c>
      <c r="S31">
        <v>14</v>
      </c>
      <c r="T31">
        <f>T43+199</f>
        <v>770</v>
      </c>
    </row>
    <row r="32" spans="1:20" x14ac:dyDescent="0.2">
      <c r="A32">
        <v>201801</v>
      </c>
      <c r="B32">
        <v>9207</v>
      </c>
      <c r="C32">
        <v>1394</v>
      </c>
      <c r="D32" s="2">
        <f>G32+J32+L32+R32</f>
        <v>0.999</v>
      </c>
      <c r="G32" s="6">
        <v>0.20200000000000001</v>
      </c>
      <c r="J32" s="6">
        <v>0.26200000000000001</v>
      </c>
      <c r="K32">
        <v>2797</v>
      </c>
      <c r="L32" s="6">
        <v>0.30399999999999999</v>
      </c>
      <c r="M32">
        <v>1565</v>
      </c>
      <c r="N32" s="5">
        <f>M32/B32</f>
        <v>0.16997936352775062</v>
      </c>
      <c r="P32" s="7">
        <f>L32-N32</f>
        <v>0.13402063647224938</v>
      </c>
      <c r="Q32">
        <v>2128</v>
      </c>
      <c r="R32" s="6">
        <v>0.23100000000000001</v>
      </c>
      <c r="S32">
        <v>2</v>
      </c>
      <c r="T32">
        <v>890</v>
      </c>
    </row>
    <row r="33" spans="1:20" x14ac:dyDescent="0.2">
      <c r="A33">
        <v>201802</v>
      </c>
      <c r="B33">
        <v>10191</v>
      </c>
      <c r="C33">
        <v>1393</v>
      </c>
      <c r="D33" s="2">
        <f>G33+J33+L33+R33</f>
        <v>1</v>
      </c>
      <c r="G33" s="6">
        <v>0.20799999999999999</v>
      </c>
      <c r="J33" s="6">
        <v>0.23699999999999999</v>
      </c>
      <c r="K33">
        <v>3453</v>
      </c>
      <c r="L33" s="6">
        <v>0.33900000000000002</v>
      </c>
      <c r="M33">
        <v>2250</v>
      </c>
      <c r="N33" s="5">
        <f>M33/B33</f>
        <v>0.22078304386223138</v>
      </c>
      <c r="P33" s="7">
        <f>L33-N33</f>
        <v>0.11821695613776864</v>
      </c>
      <c r="Q33">
        <v>2200</v>
      </c>
      <c r="R33" s="6">
        <v>0.216</v>
      </c>
      <c r="S33">
        <v>2</v>
      </c>
      <c r="T33">
        <v>873</v>
      </c>
    </row>
    <row r="34" spans="1:20" x14ac:dyDescent="0.2">
      <c r="A34">
        <v>201803</v>
      </c>
      <c r="B34">
        <v>14401</v>
      </c>
      <c r="C34">
        <v>1446</v>
      </c>
      <c r="D34" s="2">
        <f>G34+J34+L34+R34</f>
        <v>1</v>
      </c>
      <c r="G34" s="6">
        <v>0.16</v>
      </c>
      <c r="J34" s="6">
        <v>0.2</v>
      </c>
      <c r="K34">
        <v>3851</v>
      </c>
      <c r="L34" s="6">
        <v>0.26700000000000002</v>
      </c>
      <c r="M34">
        <v>2672</v>
      </c>
      <c r="N34" s="5">
        <f>M34/B34</f>
        <v>0.18554267064787167</v>
      </c>
      <c r="P34" s="7">
        <f>L34-N34</f>
        <v>8.1457329352128349E-2</v>
      </c>
      <c r="Q34">
        <v>5366</v>
      </c>
      <c r="R34" s="6">
        <v>0.373</v>
      </c>
      <c r="S34">
        <v>4</v>
      </c>
      <c r="T34">
        <v>831</v>
      </c>
    </row>
    <row r="35" spans="1:20" x14ac:dyDescent="0.2">
      <c r="A35">
        <v>201804</v>
      </c>
      <c r="B35">
        <v>14055</v>
      </c>
      <c r="C35">
        <v>1723</v>
      </c>
      <c r="D35" s="2">
        <f>G35+J35+L35+R35</f>
        <v>1</v>
      </c>
      <c r="G35" s="6">
        <v>0.193</v>
      </c>
      <c r="J35" s="6">
        <v>0.26100000000000001</v>
      </c>
      <c r="K35">
        <v>4102</v>
      </c>
      <c r="L35" s="6">
        <v>0.29199999999999998</v>
      </c>
      <c r="M35">
        <v>2549</v>
      </c>
      <c r="N35" s="5">
        <f>M35/B35</f>
        <v>0.18135894699395233</v>
      </c>
      <c r="P35" s="7">
        <f>L35-N35</f>
        <v>0.11064105300604765</v>
      </c>
      <c r="Q35">
        <v>3566</v>
      </c>
      <c r="R35" s="6">
        <v>0.254</v>
      </c>
      <c r="S35">
        <v>10</v>
      </c>
      <c r="T35">
        <v>974</v>
      </c>
    </row>
    <row r="36" spans="1:20" x14ac:dyDescent="0.2">
      <c r="A36">
        <v>201805</v>
      </c>
      <c r="B36">
        <v>13046</v>
      </c>
      <c r="C36">
        <v>1923</v>
      </c>
      <c r="D36" s="2">
        <f>G36+J36+L36+R36</f>
        <v>1</v>
      </c>
      <c r="G36" s="6">
        <v>0.17399999999999999</v>
      </c>
      <c r="J36" s="6">
        <v>0.26300000000000001</v>
      </c>
      <c r="K36">
        <v>4432</v>
      </c>
      <c r="L36" s="6">
        <v>0.34</v>
      </c>
      <c r="M36">
        <v>2604</v>
      </c>
      <c r="N36" s="5">
        <f>M36/B36</f>
        <v>0.19960141039399049</v>
      </c>
      <c r="P36" s="7">
        <f>L36-N36</f>
        <v>0.14039858960600954</v>
      </c>
      <c r="Q36">
        <v>2912</v>
      </c>
      <c r="R36" s="6">
        <v>0.223</v>
      </c>
      <c r="S36">
        <v>1</v>
      </c>
      <c r="T36">
        <v>1027</v>
      </c>
    </row>
    <row r="37" spans="1:20" x14ac:dyDescent="0.2">
      <c r="A37">
        <v>201806</v>
      </c>
      <c r="B37">
        <v>15845</v>
      </c>
      <c r="C37">
        <v>2275</v>
      </c>
      <c r="D37" s="2">
        <f>G37+J37+L37+R37</f>
        <v>1</v>
      </c>
      <c r="G37" s="6">
        <v>0.14599999999999999</v>
      </c>
      <c r="J37" s="6">
        <v>0.23799999999999999</v>
      </c>
      <c r="K37">
        <v>5781</v>
      </c>
      <c r="L37" s="6">
        <v>0.36499999999999999</v>
      </c>
      <c r="M37">
        <v>4003</v>
      </c>
      <c r="N37" s="5">
        <f>M37/B37</f>
        <v>0.25263490059955823</v>
      </c>
      <c r="P37" s="7">
        <f>L37-N37</f>
        <v>0.11236509940044176</v>
      </c>
      <c r="Q37">
        <v>3973</v>
      </c>
      <c r="R37" s="6">
        <v>0.251</v>
      </c>
      <c r="S37">
        <v>3</v>
      </c>
      <c r="T37">
        <v>1073</v>
      </c>
    </row>
    <row r="38" spans="1:20" x14ac:dyDescent="0.2">
      <c r="A38">
        <v>201807</v>
      </c>
      <c r="B38">
        <v>9611</v>
      </c>
      <c r="C38">
        <v>1798</v>
      </c>
      <c r="D38" s="2">
        <f>G38+J38+L38+R38</f>
        <v>1</v>
      </c>
      <c r="G38" s="6">
        <v>0.21199999999999999</v>
      </c>
      <c r="J38" s="6">
        <v>0.27</v>
      </c>
      <c r="K38">
        <v>2683</v>
      </c>
      <c r="L38" s="6">
        <v>0.27900000000000003</v>
      </c>
      <c r="M38">
        <v>1451</v>
      </c>
      <c r="N38" s="5">
        <f>M38/B38</f>
        <v>0.15097284361668922</v>
      </c>
      <c r="P38" s="7">
        <f>L38-N38</f>
        <v>0.1280271563833108</v>
      </c>
      <c r="Q38">
        <v>2293</v>
      </c>
      <c r="R38" s="6">
        <v>0.23899999999999999</v>
      </c>
      <c r="S38">
        <v>6</v>
      </c>
      <c r="T38">
        <v>808</v>
      </c>
    </row>
    <row r="39" spans="1:20" x14ac:dyDescent="0.2">
      <c r="A39">
        <v>201808</v>
      </c>
      <c r="B39">
        <v>14525</v>
      </c>
      <c r="C39">
        <v>2372</v>
      </c>
      <c r="D39" s="2">
        <f>G39+J39+L39+R39</f>
        <v>1</v>
      </c>
      <c r="G39" s="6">
        <v>0.21</v>
      </c>
      <c r="J39" s="6">
        <v>0.254</v>
      </c>
      <c r="K39">
        <v>3633</v>
      </c>
      <c r="L39" s="6">
        <v>0.25</v>
      </c>
      <c r="M39">
        <v>1952</v>
      </c>
      <c r="N39" s="5">
        <f>M39/B39</f>
        <v>0.13438898450946643</v>
      </c>
      <c r="P39" s="7">
        <f>L39-N39</f>
        <v>0.11561101549053357</v>
      </c>
      <c r="Q39">
        <v>4158</v>
      </c>
      <c r="R39" s="6">
        <v>0.28599999999999998</v>
      </c>
      <c r="S39">
        <v>1</v>
      </c>
      <c r="T39">
        <v>1397</v>
      </c>
    </row>
    <row r="40" spans="1:20" x14ac:dyDescent="0.2">
      <c r="A40">
        <v>201809</v>
      </c>
      <c r="B40">
        <v>10620</v>
      </c>
      <c r="C40">
        <v>2072</v>
      </c>
      <c r="D40" s="2">
        <f>G40+J40+L40+R40</f>
        <v>1</v>
      </c>
      <c r="G40" s="6">
        <v>0.124</v>
      </c>
      <c r="J40" s="6">
        <v>0.161</v>
      </c>
      <c r="K40">
        <v>2779</v>
      </c>
      <c r="L40" s="6">
        <v>0.26200000000000001</v>
      </c>
      <c r="M40">
        <v>1585</v>
      </c>
      <c r="N40" s="5">
        <f>M40/B40</f>
        <v>0.1492467043314501</v>
      </c>
      <c r="P40" s="7">
        <f>L40-N40</f>
        <v>0.11275329566854991</v>
      </c>
      <c r="Q40">
        <v>4810</v>
      </c>
      <c r="R40" s="6">
        <v>0.45300000000000001</v>
      </c>
      <c r="S40">
        <v>8</v>
      </c>
      <c r="T40">
        <v>1252</v>
      </c>
    </row>
    <row r="41" spans="1:20" x14ac:dyDescent="0.2">
      <c r="A41">
        <v>201810</v>
      </c>
      <c r="B41">
        <v>11655</v>
      </c>
      <c r="C41">
        <v>1961</v>
      </c>
      <c r="D41" s="2">
        <f>G41+J41+L41+R41</f>
        <v>0.99799999999999989</v>
      </c>
      <c r="G41" s="6">
        <v>0.14199999999999999</v>
      </c>
      <c r="J41" s="6">
        <v>0.187</v>
      </c>
      <c r="K41">
        <v>3303</v>
      </c>
      <c r="L41" s="6">
        <v>0.28299999999999997</v>
      </c>
      <c r="M41">
        <v>1970</v>
      </c>
      <c r="N41" s="5">
        <f>M41/B41</f>
        <v>0.16902616902616902</v>
      </c>
      <c r="P41" s="7">
        <f>L41-N41</f>
        <v>0.11397383097383096</v>
      </c>
      <c r="Q41">
        <v>4501</v>
      </c>
      <c r="R41" s="6">
        <v>0.38600000000000001</v>
      </c>
      <c r="S41">
        <v>4</v>
      </c>
      <c r="T41">
        <v>1094</v>
      </c>
    </row>
    <row r="42" spans="1:20" x14ac:dyDescent="0.2">
      <c r="A42">
        <v>201811</v>
      </c>
      <c r="B42">
        <v>12313</v>
      </c>
      <c r="C42">
        <v>1925</v>
      </c>
      <c r="D42" s="2">
        <f>G42+J42+L42+R42</f>
        <v>0.996</v>
      </c>
      <c r="G42" s="6">
        <v>0.16600000000000001</v>
      </c>
      <c r="J42" s="6">
        <v>0.17</v>
      </c>
      <c r="K42">
        <v>3046</v>
      </c>
      <c r="L42" s="6">
        <v>0.247</v>
      </c>
      <c r="M42">
        <v>1914</v>
      </c>
      <c r="N42" s="5">
        <f>M42/B42</f>
        <v>0.15544546414358809</v>
      </c>
      <c r="P42" s="7">
        <f>L42-N42</f>
        <v>9.1554535856411906E-2</v>
      </c>
      <c r="Q42">
        <v>5090</v>
      </c>
      <c r="R42" s="6">
        <v>0.41299999999999998</v>
      </c>
      <c r="S42">
        <v>3</v>
      </c>
      <c r="T42">
        <v>1106</v>
      </c>
    </row>
    <row r="43" spans="1:20" x14ac:dyDescent="0.2">
      <c r="A43">
        <v>201812</v>
      </c>
      <c r="B43">
        <v>12461</v>
      </c>
      <c r="C43">
        <v>1111</v>
      </c>
      <c r="D43" s="2">
        <f>G43+J43+L43+R43</f>
        <v>1</v>
      </c>
      <c r="G43" s="6">
        <v>0.20599999999999999</v>
      </c>
      <c r="J43" s="6">
        <v>0.14000000000000001</v>
      </c>
      <c r="K43">
        <v>3003</v>
      </c>
      <c r="L43" s="6">
        <v>0.24099999999999999</v>
      </c>
      <c r="M43">
        <v>2030</v>
      </c>
      <c r="N43" s="5">
        <f>M43/B43</f>
        <v>0.16290827381430062</v>
      </c>
      <c r="P43" s="7">
        <f>L43-N43</f>
        <v>7.8091726185699373E-2</v>
      </c>
      <c r="Q43">
        <v>5146</v>
      </c>
      <c r="R43" s="6">
        <v>0.41299999999999998</v>
      </c>
      <c r="S43">
        <v>7</v>
      </c>
      <c r="T43">
        <v>571</v>
      </c>
    </row>
    <row r="44" spans="1:20" x14ac:dyDescent="0.2">
      <c r="A44">
        <v>201901</v>
      </c>
      <c r="B44">
        <v>9004</v>
      </c>
      <c r="C44">
        <v>1340</v>
      </c>
      <c r="D44" s="2">
        <f>G44+J44+L44+R44</f>
        <v>0.999</v>
      </c>
      <c r="G44" s="6">
        <v>0.17399999999999999</v>
      </c>
      <c r="J44" s="6">
        <v>0.19</v>
      </c>
      <c r="K44">
        <v>2313</v>
      </c>
      <c r="L44" s="6">
        <v>0.25700000000000001</v>
      </c>
      <c r="M44">
        <v>1298</v>
      </c>
      <c r="N44" s="5">
        <f>M44/B44</f>
        <v>0.14415815193247444</v>
      </c>
      <c r="P44" s="7">
        <f>L44-N44</f>
        <v>0.11284184806752556</v>
      </c>
      <c r="Q44">
        <v>3407</v>
      </c>
      <c r="R44" s="6">
        <v>0.378</v>
      </c>
      <c r="S44">
        <v>6</v>
      </c>
      <c r="T44">
        <v>789</v>
      </c>
    </row>
    <row r="45" spans="1:20" x14ac:dyDescent="0.2">
      <c r="A45">
        <v>201902</v>
      </c>
      <c r="B45">
        <v>11106</v>
      </c>
      <c r="C45">
        <v>1195</v>
      </c>
      <c r="D45" s="2">
        <f>G45+J45+L45+R45</f>
        <v>1</v>
      </c>
      <c r="G45" s="6">
        <v>0.16800000000000001</v>
      </c>
      <c r="J45" s="6">
        <v>0.188</v>
      </c>
      <c r="K45">
        <v>2629</v>
      </c>
      <c r="L45" s="6">
        <v>0.23699999999999999</v>
      </c>
      <c r="M45">
        <v>1416</v>
      </c>
      <c r="N45" s="5">
        <f>M45/B45</f>
        <v>0.12749864937871422</v>
      </c>
      <c r="P45" s="7">
        <f>L45-N45</f>
        <v>0.10950135062128577</v>
      </c>
      <c r="Q45">
        <v>4516</v>
      </c>
      <c r="R45" s="6">
        <v>0.40699999999999997</v>
      </c>
      <c r="S45">
        <v>8</v>
      </c>
      <c r="T45">
        <v>575</v>
      </c>
    </row>
    <row r="46" spans="1:20" x14ac:dyDescent="0.2">
      <c r="A46">
        <v>201903</v>
      </c>
      <c r="B46">
        <v>18375</v>
      </c>
      <c r="C46">
        <v>1347</v>
      </c>
      <c r="D46" s="2">
        <f>G46+J46+L46+R46</f>
        <v>1</v>
      </c>
      <c r="G46" s="6">
        <v>0.104</v>
      </c>
      <c r="J46" s="6">
        <v>0.123</v>
      </c>
      <c r="K46">
        <v>3469</v>
      </c>
      <c r="L46" s="6">
        <v>0.189</v>
      </c>
      <c r="M46">
        <v>2036</v>
      </c>
      <c r="N46" s="5">
        <f>M46/B46</f>
        <v>0.11080272108843538</v>
      </c>
      <c r="P46" s="7">
        <f>L46-N46</f>
        <v>7.8197278911564624E-2</v>
      </c>
      <c r="Q46">
        <v>10732</v>
      </c>
      <c r="R46" s="6">
        <v>0.58399999999999996</v>
      </c>
      <c r="S46">
        <v>4</v>
      </c>
      <c r="T46">
        <v>632</v>
      </c>
    </row>
    <row r="47" spans="1:20" x14ac:dyDescent="0.2">
      <c r="A47">
        <v>201904</v>
      </c>
      <c r="B47">
        <v>11255</v>
      </c>
      <c r="C47">
        <v>1252</v>
      </c>
      <c r="D47" s="2">
        <f>G47+J47+L47+R47</f>
        <v>1</v>
      </c>
      <c r="G47" s="6">
        <v>0.184</v>
      </c>
      <c r="J47" s="6">
        <v>0.20399999999999999</v>
      </c>
      <c r="K47">
        <v>2429</v>
      </c>
      <c r="L47" s="6">
        <v>0.216</v>
      </c>
      <c r="M47">
        <v>1141</v>
      </c>
      <c r="N47" s="5">
        <f>M47/B47</f>
        <v>0.10137716570413149</v>
      </c>
      <c r="P47" s="7">
        <f>L47-N47</f>
        <v>0.1146228342958685</v>
      </c>
      <c r="Q47">
        <v>4462</v>
      </c>
      <c r="R47" s="6">
        <v>0.39600000000000002</v>
      </c>
      <c r="S47">
        <v>7</v>
      </c>
      <c r="T47">
        <v>535</v>
      </c>
    </row>
    <row r="48" spans="1:20" x14ac:dyDescent="0.2">
      <c r="A48">
        <v>201905</v>
      </c>
      <c r="B48">
        <v>13117</v>
      </c>
      <c r="C48">
        <v>1526</v>
      </c>
      <c r="D48" s="2">
        <f>G48+J48+L48+R48</f>
        <v>1</v>
      </c>
      <c r="G48" s="6">
        <v>0.17199999999999999</v>
      </c>
      <c r="J48" s="6">
        <v>0.184</v>
      </c>
      <c r="K48">
        <v>3792</v>
      </c>
      <c r="L48" s="6">
        <v>0.28899999999999998</v>
      </c>
      <c r="M48">
        <v>1445</v>
      </c>
      <c r="N48" s="5">
        <f>M48/B48</f>
        <v>0.11016238469162155</v>
      </c>
      <c r="P48" s="7">
        <f>L48-N48</f>
        <v>0.17883761530837844</v>
      </c>
      <c r="Q48">
        <v>4655</v>
      </c>
      <c r="R48" s="6">
        <v>0.35499999999999998</v>
      </c>
      <c r="S48">
        <v>3</v>
      </c>
      <c r="T48">
        <v>635</v>
      </c>
    </row>
    <row r="49" spans="1:20" x14ac:dyDescent="0.2">
      <c r="A49">
        <v>201906</v>
      </c>
      <c r="B49">
        <v>15352</v>
      </c>
      <c r="C49">
        <v>1380</v>
      </c>
      <c r="D49" s="2">
        <f>G49+J49+L49+R49</f>
        <v>1.0009999999999999</v>
      </c>
      <c r="G49" s="6">
        <v>0.13500000000000001</v>
      </c>
      <c r="J49" s="6">
        <v>0.16</v>
      </c>
      <c r="K49">
        <v>3402</v>
      </c>
      <c r="L49" s="6">
        <v>0.222</v>
      </c>
      <c r="M49">
        <v>1440</v>
      </c>
      <c r="N49" s="5">
        <f>M49/B49</f>
        <v>9.3798853569567478E-2</v>
      </c>
      <c r="P49" s="7">
        <f>L49-N49</f>
        <v>0.12820114643043251</v>
      </c>
      <c r="Q49">
        <v>7428</v>
      </c>
      <c r="R49" s="6">
        <v>0.48399999999999999</v>
      </c>
      <c r="S49">
        <v>1</v>
      </c>
      <c r="T49">
        <v>567</v>
      </c>
    </row>
    <row r="50" spans="1:20" x14ac:dyDescent="0.2">
      <c r="A50">
        <v>201907</v>
      </c>
      <c r="B50">
        <v>9178</v>
      </c>
      <c r="C50">
        <v>1586</v>
      </c>
      <c r="D50" s="2">
        <f>G50+J50+L50+R50</f>
        <v>1</v>
      </c>
      <c r="G50" s="6">
        <v>0.188</v>
      </c>
      <c r="J50" s="6">
        <v>0.183</v>
      </c>
      <c r="K50">
        <v>2285</v>
      </c>
      <c r="L50" s="6">
        <v>0.249</v>
      </c>
      <c r="M50">
        <v>943</v>
      </c>
      <c r="N50" s="5">
        <f>M50/B50</f>
        <v>0.10274569623011549</v>
      </c>
      <c r="P50" s="7">
        <f>L50-N50</f>
        <v>0.14625430376988452</v>
      </c>
      <c r="Q50">
        <v>3484</v>
      </c>
      <c r="R50" s="6">
        <v>0.38</v>
      </c>
      <c r="S50">
        <v>0</v>
      </c>
      <c r="T50">
        <v>522</v>
      </c>
    </row>
    <row r="51" spans="1:20" x14ac:dyDescent="0.2">
      <c r="A51">
        <v>201908</v>
      </c>
      <c r="B51">
        <v>12073</v>
      </c>
      <c r="C51">
        <v>1609</v>
      </c>
      <c r="D51" s="2">
        <f>G51+J51+L51+R51</f>
        <v>1</v>
      </c>
      <c r="G51" s="6">
        <v>0.19</v>
      </c>
      <c r="J51" s="6">
        <v>0.191</v>
      </c>
      <c r="K51">
        <v>2761</v>
      </c>
      <c r="L51" s="6">
        <v>0.22899999999999998</v>
      </c>
      <c r="M51">
        <v>1206</v>
      </c>
      <c r="N51" s="5">
        <f>M51/B51</f>
        <v>9.9892321709599941E-2</v>
      </c>
      <c r="P51" s="7">
        <f>L51-N51</f>
        <v>0.12910767829040004</v>
      </c>
      <c r="Q51">
        <v>4713</v>
      </c>
      <c r="R51" s="6">
        <v>0.39</v>
      </c>
      <c r="S51">
        <v>0</v>
      </c>
      <c r="T51">
        <v>648</v>
      </c>
    </row>
    <row r="52" spans="1:20" x14ac:dyDescent="0.2">
      <c r="A52">
        <v>201909</v>
      </c>
      <c r="B52">
        <v>11157</v>
      </c>
      <c r="C52">
        <v>1348</v>
      </c>
      <c r="D52" s="2">
        <f>G52+J52+L52+R52</f>
        <v>1</v>
      </c>
      <c r="G52" s="6">
        <v>0.124</v>
      </c>
      <c r="J52" s="6">
        <v>0.10299999999999999</v>
      </c>
      <c r="K52">
        <v>2542</v>
      </c>
      <c r="L52" s="6">
        <v>0.22800000000000001</v>
      </c>
      <c r="M52">
        <v>1139</v>
      </c>
      <c r="N52" s="5">
        <f>M52/B52</f>
        <v>0.10208837501120373</v>
      </c>
      <c r="P52" s="7">
        <f>L52-N52</f>
        <v>0.12591162498879627</v>
      </c>
      <c r="Q52">
        <v>6086</v>
      </c>
      <c r="R52" s="6">
        <v>0.54500000000000004</v>
      </c>
      <c r="S52">
        <v>0</v>
      </c>
      <c r="T52">
        <v>578</v>
      </c>
    </row>
    <row r="53" spans="1:20" x14ac:dyDescent="0.2">
      <c r="A53">
        <v>201910</v>
      </c>
      <c r="B53">
        <v>10479</v>
      </c>
      <c r="C53">
        <v>1248</v>
      </c>
      <c r="D53" s="2">
        <f>G53+J53+L53+R53</f>
        <v>1.0009999999999999</v>
      </c>
      <c r="G53" s="6">
        <v>0.158</v>
      </c>
      <c r="J53" s="6">
        <v>0.114</v>
      </c>
      <c r="K53">
        <v>3893</v>
      </c>
      <c r="L53" s="6">
        <v>0.372</v>
      </c>
      <c r="M53">
        <v>2364</v>
      </c>
      <c r="N53" s="5">
        <f>M53/B53</f>
        <v>0.2255940452333238</v>
      </c>
      <c r="P53" s="7">
        <f>L53-N53</f>
        <v>0.1464059547666762</v>
      </c>
      <c r="Q53">
        <v>3742</v>
      </c>
      <c r="R53" s="6">
        <v>0.35699999999999998</v>
      </c>
      <c r="S53">
        <v>0</v>
      </c>
      <c r="T53">
        <v>608</v>
      </c>
    </row>
    <row r="54" spans="1:20" x14ac:dyDescent="0.2">
      <c r="A54">
        <v>201911</v>
      </c>
      <c r="B54">
        <v>10031</v>
      </c>
      <c r="C54">
        <v>956</v>
      </c>
      <c r="D54" s="2">
        <f>G54+J54+L54+R54</f>
        <v>1</v>
      </c>
      <c r="G54" s="6">
        <v>0.158</v>
      </c>
      <c r="J54" s="6">
        <v>0.113</v>
      </c>
      <c r="K54">
        <v>3610</v>
      </c>
      <c r="L54" s="6">
        <v>0.36</v>
      </c>
      <c r="M54">
        <v>2273</v>
      </c>
      <c r="N54" s="5">
        <f>M54/B54</f>
        <v>0.22659754760243245</v>
      </c>
      <c r="P54" s="7">
        <f>L54-N54</f>
        <v>0.13340245239756754</v>
      </c>
      <c r="Q54">
        <v>3697</v>
      </c>
      <c r="R54" s="6">
        <v>0.36899999999999999</v>
      </c>
      <c r="S54">
        <v>0</v>
      </c>
      <c r="T54">
        <v>439</v>
      </c>
    </row>
    <row r="55" spans="1:20" x14ac:dyDescent="0.2">
      <c r="A55">
        <v>201912</v>
      </c>
      <c r="B55">
        <v>11254</v>
      </c>
      <c r="C55">
        <v>681</v>
      </c>
      <c r="D55" s="2">
        <f>G55+J55+L55+R55</f>
        <v>1</v>
      </c>
      <c r="G55" s="6">
        <v>0.218</v>
      </c>
      <c r="J55" s="6">
        <v>0.14799999999999999</v>
      </c>
      <c r="K55">
        <v>3712</v>
      </c>
      <c r="L55" s="6">
        <v>0.33</v>
      </c>
      <c r="M55">
        <v>2594</v>
      </c>
      <c r="N55" s="5">
        <f>M55/B55</f>
        <v>0.23049582370712635</v>
      </c>
      <c r="P55" s="7">
        <f>L55-N55</f>
        <v>9.9504176292873669E-2</v>
      </c>
      <c r="Q55">
        <v>3423</v>
      </c>
      <c r="R55" s="6">
        <v>0.30399999999999999</v>
      </c>
      <c r="S55">
        <v>0</v>
      </c>
      <c r="T55">
        <v>276</v>
      </c>
    </row>
    <row r="56" spans="1:20" x14ac:dyDescent="0.2">
      <c r="A56">
        <v>202001</v>
      </c>
      <c r="B56">
        <v>9561</v>
      </c>
      <c r="C56">
        <v>847</v>
      </c>
      <c r="D56" s="2">
        <f>G56+J56+L56+R56</f>
        <v>1</v>
      </c>
      <c r="G56" s="6">
        <v>0.114</v>
      </c>
      <c r="J56" s="6">
        <v>0.10100000000000001</v>
      </c>
      <c r="K56">
        <v>3270</v>
      </c>
      <c r="L56" s="6">
        <v>0.34200000000000003</v>
      </c>
      <c r="M56">
        <v>1919</v>
      </c>
      <c r="N56" s="5">
        <f>M56/B56</f>
        <v>0.20071122267545236</v>
      </c>
      <c r="P56" s="7">
        <f>L56-N56</f>
        <v>0.14128877732454767</v>
      </c>
      <c r="Q56">
        <v>4236</v>
      </c>
      <c r="R56" s="6">
        <v>0.443</v>
      </c>
      <c r="S56">
        <v>0</v>
      </c>
      <c r="T56">
        <v>336</v>
      </c>
    </row>
    <row r="57" spans="1:20" x14ac:dyDescent="0.2">
      <c r="A57">
        <v>202002</v>
      </c>
      <c r="B57">
        <v>10346</v>
      </c>
      <c r="C57">
        <v>886</v>
      </c>
      <c r="D57" s="2">
        <f>G57+J57+L57+R57</f>
        <v>1.0009999999999999</v>
      </c>
      <c r="G57" s="6">
        <v>0.112</v>
      </c>
      <c r="J57" s="6">
        <v>9.7000000000000003E-2</v>
      </c>
      <c r="K57">
        <v>3047</v>
      </c>
      <c r="L57" s="6">
        <v>0.29499999999999998</v>
      </c>
      <c r="M57">
        <v>1910</v>
      </c>
      <c r="N57" s="5">
        <f>M57/B57</f>
        <v>0.18461241059346609</v>
      </c>
      <c r="P57" s="7">
        <f>L57-N57</f>
        <v>0.1103875894065339</v>
      </c>
      <c r="Q57">
        <v>5145</v>
      </c>
      <c r="R57" s="6">
        <v>0.497</v>
      </c>
      <c r="S57">
        <v>0</v>
      </c>
      <c r="T57">
        <v>332</v>
      </c>
    </row>
    <row r="58" spans="1:20" x14ac:dyDescent="0.2">
      <c r="A58">
        <v>202003</v>
      </c>
      <c r="B58">
        <v>12451</v>
      </c>
      <c r="C58">
        <v>623</v>
      </c>
      <c r="D58" s="2">
        <f>G58+J58+L58+R58</f>
        <v>0.99900000000000011</v>
      </c>
      <c r="G58" s="6">
        <v>0.1</v>
      </c>
      <c r="J58" s="6">
        <v>7.6999999999999999E-2</v>
      </c>
      <c r="K58">
        <v>3276</v>
      </c>
      <c r="L58" s="6">
        <v>0.26300000000000001</v>
      </c>
      <c r="M58">
        <v>2392</v>
      </c>
      <c r="N58" s="5">
        <f>M58/B58</f>
        <v>0.19211308328648302</v>
      </c>
      <c r="P58" s="7">
        <f>L58-N58</f>
        <v>7.088691671351699E-2</v>
      </c>
      <c r="Q58">
        <v>6966</v>
      </c>
      <c r="R58" s="6">
        <v>0.55900000000000005</v>
      </c>
      <c r="S58">
        <v>0</v>
      </c>
      <c r="T58">
        <v>267</v>
      </c>
    </row>
    <row r="59" spans="1:20" x14ac:dyDescent="0.2">
      <c r="A59">
        <v>202004</v>
      </c>
      <c r="B59">
        <v>7425</v>
      </c>
      <c r="C59">
        <v>598</v>
      </c>
      <c r="D59" s="2">
        <f>G59+J59+L59+R59</f>
        <v>1</v>
      </c>
      <c r="G59" s="6">
        <v>0.11899999999999999</v>
      </c>
      <c r="J59" s="6">
        <v>0.106</v>
      </c>
      <c r="K59">
        <v>2084</v>
      </c>
      <c r="L59" s="6">
        <v>0.28100000000000003</v>
      </c>
      <c r="M59">
        <v>1497</v>
      </c>
      <c r="N59" s="5">
        <f>M59/B59</f>
        <v>0.20161616161616161</v>
      </c>
      <c r="P59" s="7">
        <f>L59-N59</f>
        <v>7.9383838383838418E-2</v>
      </c>
      <c r="Q59">
        <v>3671</v>
      </c>
      <c r="R59" s="6">
        <v>0.49399999999999999</v>
      </c>
      <c r="S59">
        <v>1</v>
      </c>
      <c r="T59">
        <v>227</v>
      </c>
    </row>
    <row r="60" spans="1:20" x14ac:dyDescent="0.2">
      <c r="A60">
        <v>202005</v>
      </c>
      <c r="B60">
        <v>7998</v>
      </c>
      <c r="C60">
        <v>953</v>
      </c>
      <c r="D60" s="2">
        <f>G60+J60+L60+R60</f>
        <v>1.0008177044261064</v>
      </c>
      <c r="G60" s="6">
        <v>0.11700000000000001</v>
      </c>
      <c r="J60" s="6">
        <v>0.113</v>
      </c>
      <c r="K60">
        <v>2721</v>
      </c>
      <c r="L60" s="6">
        <f>K60/B60</f>
        <v>0.3402100525131283</v>
      </c>
      <c r="M60">
        <v>1805</v>
      </c>
      <c r="N60" s="5">
        <f>M60/B60</f>
        <v>0.22568142035508879</v>
      </c>
      <c r="P60" s="7">
        <f>L60-N60</f>
        <v>0.11452863215803952</v>
      </c>
      <c r="Q60">
        <v>3444</v>
      </c>
      <c r="R60" s="9">
        <f>Q60/B60</f>
        <v>0.43060765191297823</v>
      </c>
      <c r="S60">
        <v>0</v>
      </c>
      <c r="T60">
        <v>264</v>
      </c>
    </row>
    <row r="61" spans="1:20" x14ac:dyDescent="0.2">
      <c r="A61">
        <v>202006</v>
      </c>
      <c r="B61">
        <v>11443</v>
      </c>
      <c r="C61">
        <v>1058</v>
      </c>
      <c r="D61" s="2">
        <f>G61+J61+L61+R61</f>
        <v>1.0005313291968889</v>
      </c>
      <c r="F61">
        <v>1393</v>
      </c>
      <c r="G61" s="6">
        <v>0.122</v>
      </c>
      <c r="I61">
        <v>1397</v>
      </c>
      <c r="J61" s="6">
        <v>0.122</v>
      </c>
      <c r="K61">
        <v>3611</v>
      </c>
      <c r="L61" s="6">
        <v>0.316</v>
      </c>
      <c r="M61">
        <v>2546</v>
      </c>
      <c r="N61" s="5">
        <f>M61/B61</f>
        <v>0.22249410119723848</v>
      </c>
      <c r="O61">
        <v>1065</v>
      </c>
      <c r="P61" s="7">
        <f>L61-N61</f>
        <v>9.3505898802761528E-2</v>
      </c>
      <c r="Q61">
        <v>5041</v>
      </c>
      <c r="R61" s="9">
        <f>Q61/B61</f>
        <v>0.44053132919688892</v>
      </c>
      <c r="S61" s="10">
        <v>0</v>
      </c>
      <c r="T61">
        <v>393</v>
      </c>
    </row>
    <row r="62" spans="1:20" x14ac:dyDescent="0.2">
      <c r="A62">
        <v>202007</v>
      </c>
      <c r="B62">
        <v>9772</v>
      </c>
      <c r="C62">
        <v>1344</v>
      </c>
      <c r="D62" s="2">
        <f>G62+J62+L62+R62</f>
        <v>1</v>
      </c>
      <c r="F62">
        <v>1249</v>
      </c>
      <c r="G62" s="6">
        <f>F62/B62</f>
        <v>0.12781416291444944</v>
      </c>
      <c r="I62">
        <v>1026</v>
      </c>
      <c r="J62" s="6">
        <f>I62/B62</f>
        <v>0.10499386000818665</v>
      </c>
      <c r="K62">
        <v>3089</v>
      </c>
      <c r="L62" s="6">
        <f>K62/B62</f>
        <v>0.31610724519033973</v>
      </c>
      <c r="M62">
        <v>2278</v>
      </c>
      <c r="N62" s="5">
        <f>M62/B62</f>
        <v>0.23311502251330332</v>
      </c>
      <c r="O62">
        <v>811</v>
      </c>
      <c r="P62" s="7">
        <f>O62/B62</f>
        <v>8.2992222677036431E-2</v>
      </c>
      <c r="Q62">
        <v>4408</v>
      </c>
      <c r="R62" s="9">
        <f>Q62/B62</f>
        <v>0.45108473188702414</v>
      </c>
      <c r="S62" s="10">
        <v>0</v>
      </c>
      <c r="T62">
        <v>532</v>
      </c>
    </row>
    <row r="63" spans="1:20" x14ac:dyDescent="0.2">
      <c r="A63">
        <v>202008</v>
      </c>
      <c r="B63">
        <v>10802</v>
      </c>
      <c r="C63">
        <v>1432</v>
      </c>
      <c r="D63" s="2">
        <f>G63+J63+L63+R63</f>
        <v>0.99981484910201812</v>
      </c>
      <c r="F63">
        <v>1064</v>
      </c>
      <c r="G63" s="6">
        <f>F63/B63</f>
        <v>9.8500277726346966E-2</v>
      </c>
      <c r="I63">
        <v>1201</v>
      </c>
      <c r="J63" s="6">
        <f>I63/B63</f>
        <v>0.11118311423810405</v>
      </c>
      <c r="K63">
        <v>2831</v>
      </c>
      <c r="L63" s="6">
        <f>K63/B63</f>
        <v>0.26208109609331603</v>
      </c>
      <c r="M63">
        <v>1881</v>
      </c>
      <c r="N63" s="5">
        <f>M63/B63</f>
        <v>0.17413441955193482</v>
      </c>
      <c r="O63">
        <v>950</v>
      </c>
      <c r="P63" s="7">
        <f>O63/B63</f>
        <v>8.7946676541381219E-2</v>
      </c>
      <c r="Q63">
        <v>5704</v>
      </c>
      <c r="R63" s="9">
        <f>Q63/B63</f>
        <v>0.52805036104425107</v>
      </c>
      <c r="S63">
        <v>0</v>
      </c>
      <c r="T63">
        <v>744</v>
      </c>
    </row>
    <row r="64" spans="1:20" x14ac:dyDescent="0.2">
      <c r="A64">
        <v>202009</v>
      </c>
      <c r="B64">
        <v>15552</v>
      </c>
      <c r="C64">
        <v>1442</v>
      </c>
      <c r="D64" s="2">
        <f>G64+J64+L64+R64</f>
        <v>1</v>
      </c>
      <c r="F64">
        <v>781</v>
      </c>
      <c r="G64" s="6">
        <f>F64/B64</f>
        <v>5.0218621399176953E-2</v>
      </c>
      <c r="I64">
        <v>952</v>
      </c>
      <c r="J64" s="6">
        <f>I64/B64</f>
        <v>6.1213991769547324E-2</v>
      </c>
      <c r="K64">
        <v>4259</v>
      </c>
      <c r="L64" s="6">
        <f>K64/B64</f>
        <v>0.27385545267489714</v>
      </c>
      <c r="M64">
        <v>3129</v>
      </c>
      <c r="N64" s="5">
        <f>M64/B64</f>
        <v>0.20119598765432098</v>
      </c>
      <c r="O64">
        <v>1130</v>
      </c>
      <c r="P64" s="7">
        <f>O64/B64</f>
        <v>7.2659465020576131E-2</v>
      </c>
      <c r="Q64">
        <v>9560</v>
      </c>
      <c r="R64" s="9">
        <f>Q64/B64</f>
        <v>0.61471193415637859</v>
      </c>
      <c r="S64">
        <v>0</v>
      </c>
      <c r="T64">
        <v>751</v>
      </c>
    </row>
    <row r="65" spans="1:20" x14ac:dyDescent="0.2">
      <c r="A65">
        <v>202010</v>
      </c>
      <c r="B65">
        <v>12948</v>
      </c>
      <c r="C65">
        <v>1260</v>
      </c>
      <c r="D65" s="2">
        <f>G65+J65+L65+R65</f>
        <v>1</v>
      </c>
      <c r="F65">
        <v>712</v>
      </c>
      <c r="G65" s="6">
        <f>F65/B65</f>
        <v>5.4989187519308001E-2</v>
      </c>
      <c r="I65">
        <v>764</v>
      </c>
      <c r="J65" s="6">
        <f>I65/B65</f>
        <v>5.9005251776336115E-2</v>
      </c>
      <c r="K65">
        <v>3599</v>
      </c>
      <c r="L65" s="6">
        <f>K65/B65</f>
        <v>0.27795798578931108</v>
      </c>
      <c r="M65">
        <v>2372</v>
      </c>
      <c r="N65" s="5">
        <f>M65/B65</f>
        <v>0.1831943157244362</v>
      </c>
      <c r="O65">
        <v>1227</v>
      </c>
      <c r="P65" s="7">
        <f>O65/B65</f>
        <v>9.4763670064874878E-2</v>
      </c>
      <c r="Q65">
        <v>7873</v>
      </c>
      <c r="R65" s="9">
        <f>Q65/B65</f>
        <v>0.6080475749150448</v>
      </c>
      <c r="T65">
        <v>671</v>
      </c>
    </row>
    <row r="66" spans="1:20" x14ac:dyDescent="0.2">
      <c r="A66">
        <v>202011</v>
      </c>
      <c r="B66">
        <v>12533</v>
      </c>
      <c r="C66">
        <v>1044</v>
      </c>
      <c r="D66" s="2">
        <f>G66+J66+L66+R66</f>
        <v>1</v>
      </c>
      <c r="F66">
        <v>678</v>
      </c>
      <c r="G66" s="6">
        <f>F66/B66</f>
        <v>5.4097183435729675E-2</v>
      </c>
      <c r="I66">
        <v>641</v>
      </c>
      <c r="J66" s="6">
        <f>I66/B66</f>
        <v>5.114497726003351E-2</v>
      </c>
      <c r="K66">
        <v>4179</v>
      </c>
      <c r="L66" s="6">
        <f>K66/B66</f>
        <v>0.33343971914146653</v>
      </c>
      <c r="M66">
        <v>2983</v>
      </c>
      <c r="N66" s="5">
        <f>M66/B66</f>
        <v>0.23801164924599058</v>
      </c>
      <c r="O66">
        <v>1196</v>
      </c>
      <c r="P66" s="7">
        <f>O66/B66</f>
        <v>9.5428069895475948E-2</v>
      </c>
      <c r="Q66">
        <v>7035</v>
      </c>
      <c r="R66" s="9">
        <f>Q66/B66</f>
        <v>0.56131812016277027</v>
      </c>
      <c r="T66">
        <v>505</v>
      </c>
    </row>
    <row r="67" spans="1:20" x14ac:dyDescent="0.2">
      <c r="A67">
        <v>202012</v>
      </c>
      <c r="B67">
        <v>20574</v>
      </c>
      <c r="C67">
        <v>861</v>
      </c>
      <c r="D67" s="2">
        <f>G67+J67+L67+R67</f>
        <v>0.99995139496451835</v>
      </c>
      <c r="F67">
        <v>980</v>
      </c>
      <c r="G67" s="6">
        <f>F67/B67</f>
        <v>4.7632934772042383E-2</v>
      </c>
      <c r="I67">
        <v>557</v>
      </c>
      <c r="J67" s="6">
        <f>I67/B67</f>
        <v>2.7073004763293478E-2</v>
      </c>
      <c r="K67">
        <v>5318</v>
      </c>
      <c r="L67" s="6">
        <f>K67/B67</f>
        <v>0.25848157869155247</v>
      </c>
      <c r="M67">
        <v>4192</v>
      </c>
      <c r="N67" s="5">
        <f>M67/B67</f>
        <v>0.20375230873918537</v>
      </c>
      <c r="O67">
        <v>1126</v>
      </c>
      <c r="P67" s="7">
        <f>O67/B67</f>
        <v>5.4729269952367064E-2</v>
      </c>
      <c r="Q67">
        <v>13718</v>
      </c>
      <c r="R67" s="9">
        <f>Q67/B67</f>
        <v>0.66676387673763005</v>
      </c>
      <c r="T67">
        <v>403</v>
      </c>
    </row>
    <row r="68" spans="1:20" x14ac:dyDescent="0.2">
      <c r="A68">
        <v>202101</v>
      </c>
      <c r="B68">
        <v>10301</v>
      </c>
      <c r="C68">
        <v>853</v>
      </c>
      <c r="D68" s="2">
        <f>G68+J68+L68+R68</f>
        <v>1</v>
      </c>
      <c r="F68">
        <v>641</v>
      </c>
      <c r="G68" s="6">
        <f>F68/B68</f>
        <v>6.2226968255509177E-2</v>
      </c>
      <c r="I68">
        <v>515</v>
      </c>
      <c r="J68" s="6">
        <f>I68/B68</f>
        <v>4.9995146102320163E-2</v>
      </c>
      <c r="K68">
        <v>3684</v>
      </c>
      <c r="L68" s="6">
        <f>K68/B68</f>
        <v>0.35763518105038344</v>
      </c>
      <c r="M68">
        <v>2848</v>
      </c>
      <c r="N68" s="5">
        <f>M68/B68</f>
        <v>0.27647801184351034</v>
      </c>
      <c r="O68">
        <v>836</v>
      </c>
      <c r="P68" s="7">
        <f>O68/B68</f>
        <v>8.1157169206873117E-2</v>
      </c>
      <c r="Q68">
        <v>5461</v>
      </c>
      <c r="R68" s="9">
        <f>Q68/B68</f>
        <v>0.53014270459178725</v>
      </c>
      <c r="S68">
        <v>0</v>
      </c>
      <c r="T68">
        <v>472</v>
      </c>
    </row>
    <row r="69" spans="1:20" x14ac:dyDescent="0.2">
      <c r="A69">
        <v>202102</v>
      </c>
      <c r="B69">
        <v>10687</v>
      </c>
      <c r="C69">
        <v>1076</v>
      </c>
      <c r="D69" s="2">
        <f>G69+J69+L69+R69</f>
        <v>1</v>
      </c>
      <c r="F69">
        <v>730</v>
      </c>
      <c r="G69" s="6">
        <f>F69/B69</f>
        <v>6.8307289229905491E-2</v>
      </c>
      <c r="I69">
        <v>633</v>
      </c>
      <c r="J69" s="6">
        <f>I69/B69</f>
        <v>5.9230841208945451E-2</v>
      </c>
      <c r="K69">
        <v>4250</v>
      </c>
      <c r="L69" s="6">
        <f>K69/B69</f>
        <v>0.39767942359876485</v>
      </c>
      <c r="M69">
        <v>3378</v>
      </c>
      <c r="N69" s="5">
        <f>M69/B69</f>
        <v>0.31608496303920652</v>
      </c>
      <c r="O69">
        <v>872</v>
      </c>
      <c r="P69" s="7">
        <f>O69/B69</f>
        <v>8.1594460559558338E-2</v>
      </c>
      <c r="Q69">
        <v>5074</v>
      </c>
      <c r="R69" s="9">
        <f>Q69/B69</f>
        <v>0.47478244596238423</v>
      </c>
      <c r="T69">
        <v>632</v>
      </c>
    </row>
    <row r="70" spans="1:20" x14ac:dyDescent="0.2">
      <c r="A70">
        <v>202103</v>
      </c>
      <c r="B70">
        <v>15321</v>
      </c>
      <c r="C70">
        <v>1397</v>
      </c>
      <c r="D70" s="2">
        <f>G70+J70+L70+R70</f>
        <v>1</v>
      </c>
      <c r="F70">
        <v>723</v>
      </c>
      <c r="G70" s="6">
        <f>F70/B70</f>
        <v>4.7190131192480909E-2</v>
      </c>
      <c r="I70">
        <v>730</v>
      </c>
      <c r="J70" s="6">
        <f>I70/B70</f>
        <v>4.7647020429475884E-2</v>
      </c>
      <c r="K70">
        <v>5244</v>
      </c>
      <c r="L70" s="6">
        <f>K70/B70</f>
        <v>0.34227530840023496</v>
      </c>
      <c r="M70">
        <v>4379</v>
      </c>
      <c r="N70" s="5">
        <f>M70/B70</f>
        <v>0.28581685268585599</v>
      </c>
      <c r="O70">
        <v>865</v>
      </c>
      <c r="P70" s="7">
        <f>O70/B70</f>
        <v>5.6458455714378956E-2</v>
      </c>
      <c r="Q70">
        <v>8624</v>
      </c>
      <c r="R70" s="9">
        <f>Q70/B70</f>
        <v>0.56288753997780827</v>
      </c>
      <c r="T70">
        <v>752</v>
      </c>
    </row>
    <row r="71" spans="1:20" x14ac:dyDescent="0.2">
      <c r="A71">
        <v>202104</v>
      </c>
      <c r="B71">
        <v>13166</v>
      </c>
      <c r="C71">
        <v>1519</v>
      </c>
      <c r="D71" s="2">
        <f>G71+J71+L71+R71</f>
        <v>1</v>
      </c>
      <c r="F71">
        <v>730</v>
      </c>
      <c r="G71" s="6">
        <f>F71/B71</f>
        <v>5.54458453592587E-2</v>
      </c>
      <c r="I71">
        <v>973</v>
      </c>
      <c r="J71" s="6">
        <f>I71/B71</f>
        <v>7.3902476074737961E-2</v>
      </c>
      <c r="K71">
        <v>4234</v>
      </c>
      <c r="L71" s="6">
        <f>K71/B71</f>
        <v>0.32158590308370044</v>
      </c>
      <c r="M71">
        <v>3316</v>
      </c>
      <c r="N71" s="5">
        <f>M71/B71</f>
        <v>0.2518608537141121</v>
      </c>
      <c r="O71">
        <v>918</v>
      </c>
      <c r="P71" s="7">
        <f>O71/B71</f>
        <v>6.9725049369588329E-2</v>
      </c>
      <c r="Q71">
        <v>7229</v>
      </c>
      <c r="R71" s="9">
        <f>Q71/B71</f>
        <v>0.54906577548230295</v>
      </c>
      <c r="T71">
        <v>737</v>
      </c>
    </row>
    <row r="72" spans="1:20" x14ac:dyDescent="0.2">
      <c r="A72">
        <v>202105</v>
      </c>
      <c r="B72">
        <v>14063</v>
      </c>
      <c r="C72">
        <v>1531</v>
      </c>
      <c r="D72" s="2">
        <f>G72+J72+L72+R72</f>
        <v>1</v>
      </c>
      <c r="F72">
        <v>578</v>
      </c>
      <c r="G72" s="6">
        <f>F72/B72</f>
        <v>4.1100760861836026E-2</v>
      </c>
      <c r="I72">
        <v>668</v>
      </c>
      <c r="J72" s="6">
        <f>I72/B72</f>
        <v>4.7500533314371048E-2</v>
      </c>
      <c r="K72">
        <v>4319</v>
      </c>
      <c r="L72" s="6">
        <f>K72/B72</f>
        <v>0.30711796913887507</v>
      </c>
      <c r="M72">
        <v>3221</v>
      </c>
      <c r="N72" s="5">
        <f>M72/B72</f>
        <v>0.22904074521794782</v>
      </c>
      <c r="O72">
        <v>1098</v>
      </c>
      <c r="P72" s="7">
        <f>O72/B72</f>
        <v>7.8077223920927252E-2</v>
      </c>
      <c r="Q72">
        <v>8498</v>
      </c>
      <c r="R72" s="9">
        <f>Q72/B72</f>
        <v>0.60428073668491789</v>
      </c>
      <c r="S72">
        <v>0</v>
      </c>
      <c r="T72">
        <v>742</v>
      </c>
    </row>
    <row r="73" spans="1:20" x14ac:dyDescent="0.2">
      <c r="A73">
        <v>202106</v>
      </c>
      <c r="B73">
        <v>20392</v>
      </c>
      <c r="C73">
        <v>1913</v>
      </c>
      <c r="D73" s="2">
        <f>G73+J73+L73+R73</f>
        <v>1</v>
      </c>
      <c r="F73">
        <v>896</v>
      </c>
      <c r="G73" s="6">
        <f>F73/B73</f>
        <v>4.3938799529227149E-2</v>
      </c>
      <c r="I73">
        <v>773</v>
      </c>
      <c r="J73" s="6">
        <f>I73/B73</f>
        <v>3.7907022361710473E-2</v>
      </c>
      <c r="K73">
        <v>5539</v>
      </c>
      <c r="L73" s="6">
        <f>K73/B73</f>
        <v>0.27162612789329149</v>
      </c>
      <c r="M73">
        <v>4139</v>
      </c>
      <c r="N73" s="5">
        <f>M73/B73</f>
        <v>0.20297175362887407</v>
      </c>
      <c r="O73">
        <v>1400</v>
      </c>
      <c r="P73" s="7">
        <f>O73/B73</f>
        <v>6.8654374264417423E-2</v>
      </c>
      <c r="Q73">
        <v>13184</v>
      </c>
      <c r="R73" s="9">
        <f>Q73/B73</f>
        <v>0.64652805021577087</v>
      </c>
      <c r="T73">
        <v>956</v>
      </c>
    </row>
    <row r="74" spans="1:20" x14ac:dyDescent="0.2">
      <c r="A74">
        <v>202107</v>
      </c>
      <c r="B74">
        <v>10507</v>
      </c>
      <c r="C74">
        <v>1805</v>
      </c>
      <c r="D74" s="2">
        <f>G74+J74+L74+R74</f>
        <v>1</v>
      </c>
      <c r="F74">
        <v>430</v>
      </c>
      <c r="G74" s="6">
        <f>F74/B74</f>
        <v>4.0925097554011608E-2</v>
      </c>
      <c r="I74">
        <v>451</v>
      </c>
      <c r="J74" s="6">
        <f>I74/B74</f>
        <v>4.2923765108974971E-2</v>
      </c>
      <c r="K74">
        <v>2895</v>
      </c>
      <c r="L74" s="6">
        <f>K74/B74</f>
        <v>0.27553059864852003</v>
      </c>
      <c r="M74">
        <v>2166</v>
      </c>
      <c r="N74" s="5">
        <f>M74/B74</f>
        <v>0.20614828209764918</v>
      </c>
      <c r="O74">
        <v>729</v>
      </c>
      <c r="P74" s="7">
        <f>O74/B74</f>
        <v>6.9382316550870848E-2</v>
      </c>
      <c r="Q74">
        <v>6731</v>
      </c>
      <c r="R74" s="9">
        <f>Q74/B74</f>
        <v>0.64062053868849334</v>
      </c>
      <c r="T74">
        <v>992</v>
      </c>
    </row>
    <row r="75" spans="1:20" x14ac:dyDescent="0.2">
      <c r="A75">
        <v>202108</v>
      </c>
      <c r="B75">
        <v>16427</v>
      </c>
      <c r="C75">
        <v>1825</v>
      </c>
      <c r="D75" s="2">
        <f>G75+J75+L75+R75</f>
        <v>1</v>
      </c>
      <c r="F75">
        <v>519</v>
      </c>
      <c r="G75" s="6">
        <f>F75/B75</f>
        <v>3.1594326413830885E-2</v>
      </c>
      <c r="I75">
        <v>752</v>
      </c>
      <c r="J75" s="6">
        <f>I75/B75</f>
        <v>4.577829183661046E-2</v>
      </c>
      <c r="K75">
        <v>3345</v>
      </c>
      <c r="L75" s="6">
        <f>K75/B75</f>
        <v>0.20362817312960371</v>
      </c>
      <c r="M75">
        <v>2599</v>
      </c>
      <c r="N75" s="5">
        <f>M75/B75</f>
        <v>0.15821513362147685</v>
      </c>
      <c r="O75">
        <v>746</v>
      </c>
      <c r="P75" s="7">
        <f>O75/B75</f>
        <v>4.5413039508126862E-2</v>
      </c>
      <c r="Q75">
        <v>11811</v>
      </c>
      <c r="R75" s="9">
        <f>Q75/B75</f>
        <v>0.71899920861995492</v>
      </c>
      <c r="T75">
        <v>1072</v>
      </c>
    </row>
    <row r="76" spans="1:20" x14ac:dyDescent="0.2">
      <c r="A76">
        <v>202109</v>
      </c>
      <c r="B76">
        <v>17992</v>
      </c>
      <c r="C76">
        <v>1742</v>
      </c>
      <c r="D76" s="2">
        <f>G76+J76+L76+R76</f>
        <v>1</v>
      </c>
      <c r="F76">
        <v>408</v>
      </c>
      <c r="G76" s="6">
        <f>F76/B76</f>
        <v>2.267674522009782E-2</v>
      </c>
      <c r="I76">
        <v>548</v>
      </c>
      <c r="J76" s="6">
        <f>I76/B76</f>
        <v>3.0457981325033349E-2</v>
      </c>
      <c r="K76">
        <v>3090</v>
      </c>
      <c r="L76" s="6">
        <f>K76/B76</f>
        <v>0.17174299688750555</v>
      </c>
      <c r="M76">
        <v>2508</v>
      </c>
      <c r="N76" s="5">
        <f>M76/B76</f>
        <v>0.13939528679413071</v>
      </c>
      <c r="O76">
        <v>582</v>
      </c>
      <c r="P76" s="7">
        <f>O76/B76</f>
        <v>3.234771009337483E-2</v>
      </c>
      <c r="Q76">
        <v>13946</v>
      </c>
      <c r="R76" s="9">
        <f>Q76/B76</f>
        <v>0.77512227656736332</v>
      </c>
      <c r="T76">
        <v>1083</v>
      </c>
    </row>
    <row r="77" spans="1:20" x14ac:dyDescent="0.2">
      <c r="A77">
        <v>202110</v>
      </c>
      <c r="B77">
        <v>11579</v>
      </c>
      <c r="C77">
        <v>1577</v>
      </c>
      <c r="D77" s="2">
        <f>G77+J77+L77+R77</f>
        <v>1</v>
      </c>
      <c r="F77">
        <v>302</v>
      </c>
      <c r="G77" s="6">
        <f>F77/B77</f>
        <v>2.6081699628638051E-2</v>
      </c>
      <c r="I77">
        <v>428</v>
      </c>
      <c r="J77" s="6">
        <f>I77/B77</f>
        <v>3.6963468347871148E-2</v>
      </c>
      <c r="K77">
        <v>2733</v>
      </c>
      <c r="L77" s="6">
        <f>K77/B77</f>
        <v>0.23603074531479401</v>
      </c>
      <c r="M77">
        <v>2226</v>
      </c>
      <c r="N77" s="5">
        <f>M77/B77</f>
        <v>0.19224458070645134</v>
      </c>
      <c r="O77">
        <v>507</v>
      </c>
      <c r="P77" s="7">
        <f>O77/B77</f>
        <v>4.3786164608342691E-2</v>
      </c>
      <c r="Q77">
        <v>8116</v>
      </c>
      <c r="R77" s="9">
        <f>Q77/B77</f>
        <v>0.70092408670869677</v>
      </c>
      <c r="T77">
        <v>1090</v>
      </c>
    </row>
    <row r="78" spans="1:20" x14ac:dyDescent="0.2">
      <c r="A78">
        <v>202111</v>
      </c>
      <c r="B78">
        <v>15274</v>
      </c>
      <c r="C78">
        <v>1583</v>
      </c>
      <c r="D78" s="2">
        <f>G78+J78+L78+R78</f>
        <v>1.0039282440748984</v>
      </c>
      <c r="F78">
        <v>416</v>
      </c>
      <c r="G78" s="6">
        <f>F78/B78</f>
        <v>2.7235825585963075E-2</v>
      </c>
      <c r="I78">
        <v>356</v>
      </c>
      <c r="J78" s="6">
        <f>I78/B78</f>
        <v>2.3307581511064553E-2</v>
      </c>
      <c r="K78">
        <v>3288</v>
      </c>
      <c r="L78" s="6">
        <f>K78/B78</f>
        <v>0.21526777530443891</v>
      </c>
      <c r="M78">
        <v>2653</v>
      </c>
      <c r="N78" s="5">
        <f>M78/B78</f>
        <v>0.17369385884509625</v>
      </c>
      <c r="O78">
        <v>575</v>
      </c>
      <c r="P78" s="7">
        <f>O78/B78</f>
        <v>3.7645672384444155E-2</v>
      </c>
      <c r="Q78">
        <v>11274</v>
      </c>
      <c r="R78" s="9">
        <f>Q78/B78</f>
        <v>0.73811706167343194</v>
      </c>
      <c r="T78">
        <v>1116</v>
      </c>
    </row>
    <row r="79" spans="1:20" x14ac:dyDescent="0.2">
      <c r="A79">
        <v>202112</v>
      </c>
      <c r="B79">
        <v>20564</v>
      </c>
      <c r="C79">
        <v>1462</v>
      </c>
      <c r="D79" s="2">
        <f>G79+J79+L79+R79</f>
        <v>1.0001458860143941</v>
      </c>
      <c r="F79">
        <v>720</v>
      </c>
      <c r="G79" s="6">
        <f>F79/B79</f>
        <v>3.501264345458082E-2</v>
      </c>
      <c r="I79">
        <v>686</v>
      </c>
      <c r="J79" s="6">
        <f>I79/B79</f>
        <v>3.3359268624781169E-2</v>
      </c>
      <c r="K79">
        <v>5358</v>
      </c>
      <c r="L79" s="6">
        <f>K79/B79</f>
        <v>0.26055242170783893</v>
      </c>
      <c r="M79">
        <v>4706</v>
      </c>
      <c r="N79" s="5">
        <f>M79/B79</f>
        <v>0.22884652791285742</v>
      </c>
      <c r="O79">
        <v>652</v>
      </c>
      <c r="P79" s="7">
        <f>O79/B79</f>
        <v>3.1705893794981524E-2</v>
      </c>
      <c r="Q79">
        <v>13803</v>
      </c>
      <c r="R79" s="9">
        <f>Q79/B79</f>
        <v>0.67122155222719315</v>
      </c>
      <c r="T79">
        <v>828</v>
      </c>
    </row>
    <row r="80" spans="1:20" x14ac:dyDescent="0.2">
      <c r="A80">
        <v>202201</v>
      </c>
      <c r="B80">
        <v>7957</v>
      </c>
      <c r="C80">
        <v>1000</v>
      </c>
      <c r="D80" s="2">
        <f>G80+J80+L80+R80</f>
        <v>1</v>
      </c>
      <c r="F80">
        <v>212</v>
      </c>
      <c r="G80" s="6">
        <f>F80/B80</f>
        <v>2.6643207238909138E-2</v>
      </c>
      <c r="I80">
        <v>175</v>
      </c>
      <c r="J80" s="6">
        <f>I80/B80</f>
        <v>2.1993213522684428E-2</v>
      </c>
      <c r="K80">
        <v>910</v>
      </c>
      <c r="L80" s="6">
        <f>K80/B80</f>
        <v>0.11436471031795903</v>
      </c>
      <c r="M80">
        <v>539</v>
      </c>
      <c r="N80" s="5">
        <f>M80/B80</f>
        <v>6.7739097649868046E-2</v>
      </c>
      <c r="O80">
        <v>371</v>
      </c>
      <c r="P80" s="7">
        <f>O80/B80</f>
        <v>4.6625612668090989E-2</v>
      </c>
      <c r="Q80">
        <v>6660</v>
      </c>
      <c r="R80" s="9">
        <f>Q80/B80</f>
        <v>0.83699886892044739</v>
      </c>
      <c r="T80">
        <v>783</v>
      </c>
    </row>
    <row r="81" spans="1:20" x14ac:dyDescent="0.2">
      <c r="A81">
        <v>202202</v>
      </c>
      <c r="B81">
        <v>8147</v>
      </c>
      <c r="C81">
        <v>1013</v>
      </c>
      <c r="D81" s="2">
        <f>G81+J81+L81+R81</f>
        <v>1</v>
      </c>
      <c r="F81">
        <v>379</v>
      </c>
      <c r="G81" s="6">
        <f>F81/B81</f>
        <v>4.6520191481526946E-2</v>
      </c>
      <c r="I81">
        <v>385</v>
      </c>
      <c r="J81" s="6">
        <f>I81/B81</f>
        <v>4.7256658892843993E-2</v>
      </c>
      <c r="K81">
        <v>1223</v>
      </c>
      <c r="L81" s="6">
        <f>K81/B81</f>
        <v>0.15011660734012519</v>
      </c>
      <c r="M81">
        <v>852</v>
      </c>
      <c r="N81" s="5">
        <f>M81/B81</f>
        <v>0.10457837240702099</v>
      </c>
      <c r="O81">
        <v>371</v>
      </c>
      <c r="P81" s="7">
        <f>O81/B81</f>
        <v>4.5538234933104209E-2</v>
      </c>
      <c r="Q81">
        <v>6160</v>
      </c>
      <c r="R81" s="9">
        <f>Q81/B81</f>
        <v>0.75610654228550389</v>
      </c>
      <c r="T81">
        <v>794</v>
      </c>
    </row>
    <row r="82" spans="1:20" x14ac:dyDescent="0.2">
      <c r="A82">
        <v>202203</v>
      </c>
      <c r="B82">
        <v>16238</v>
      </c>
      <c r="C82">
        <v>1694</v>
      </c>
      <c r="D82" s="2">
        <f>G82+J82+L82+R82</f>
        <v>1</v>
      </c>
      <c r="F82">
        <v>418</v>
      </c>
      <c r="G82" s="6">
        <f>F82/B82</f>
        <v>2.5742086463850226E-2</v>
      </c>
      <c r="I82">
        <v>450</v>
      </c>
      <c r="J82" s="6">
        <f>I82/B82</f>
        <v>2.7712772508929673E-2</v>
      </c>
      <c r="K82">
        <v>1387</v>
      </c>
      <c r="L82" s="6">
        <f>K82/B82</f>
        <v>8.541692326641212E-2</v>
      </c>
      <c r="M82">
        <v>947</v>
      </c>
      <c r="N82" s="5">
        <f>M82/B82</f>
        <v>5.8319990146569772E-2</v>
      </c>
      <c r="O82">
        <v>440</v>
      </c>
      <c r="P82" s="7">
        <f>O82/B82</f>
        <v>2.7096933119842345E-2</v>
      </c>
      <c r="Q82">
        <v>13983</v>
      </c>
      <c r="R82" s="9">
        <f>Q82/B82</f>
        <v>0.86112821776080795</v>
      </c>
      <c r="T82">
        <v>1336</v>
      </c>
    </row>
    <row r="83" spans="1:20" x14ac:dyDescent="0.2">
      <c r="A83">
        <v>202204</v>
      </c>
      <c r="B83">
        <v>9725</v>
      </c>
      <c r="C83">
        <v>1499</v>
      </c>
      <c r="D83" s="2">
        <f>G83+J83+L83+R83</f>
        <v>1</v>
      </c>
      <c r="F83">
        <v>313</v>
      </c>
      <c r="G83" s="6">
        <f>F83/B83</f>
        <v>3.2185089974293056E-2</v>
      </c>
      <c r="I83">
        <v>514</v>
      </c>
      <c r="J83" s="6">
        <f>I83/B83</f>
        <v>5.2853470437017998E-2</v>
      </c>
      <c r="K83">
        <v>1691</v>
      </c>
      <c r="L83" s="6">
        <f>K83/B83</f>
        <v>0.17388174807197943</v>
      </c>
      <c r="M83">
        <v>982</v>
      </c>
      <c r="N83" s="5">
        <f>M83/B83</f>
        <v>0.10097686375321337</v>
      </c>
      <c r="O83">
        <v>709</v>
      </c>
      <c r="P83" s="7">
        <f>O83/B83</f>
        <v>7.2904884318766072E-2</v>
      </c>
      <c r="Q83">
        <v>7207</v>
      </c>
      <c r="R83" s="9">
        <f>Q83/B83</f>
        <v>0.74107969151670949</v>
      </c>
      <c r="T83">
        <v>1099</v>
      </c>
    </row>
    <row r="84" spans="1:20" x14ac:dyDescent="0.2">
      <c r="A84">
        <v>202205</v>
      </c>
      <c r="B84">
        <v>11537</v>
      </c>
      <c r="C84">
        <v>1676</v>
      </c>
      <c r="D84" s="2">
        <f>G84+J84+L84+R84</f>
        <v>1</v>
      </c>
      <c r="F84">
        <v>423</v>
      </c>
      <c r="G84" s="6">
        <f>F84/B84</f>
        <v>3.6664644188263845E-2</v>
      </c>
      <c r="I84">
        <v>486</v>
      </c>
      <c r="J84" s="6">
        <f>I84/B84</f>
        <v>4.2125335875877613E-2</v>
      </c>
      <c r="K84">
        <v>2183</v>
      </c>
      <c r="L84" s="6">
        <f>K84/B84</f>
        <v>0.1892173008581087</v>
      </c>
      <c r="M84">
        <v>1375</v>
      </c>
      <c r="N84" s="5">
        <f>M84/B84</f>
        <v>0.11918176302331629</v>
      </c>
      <c r="O84">
        <v>808</v>
      </c>
      <c r="P84" s="7">
        <f>O84/B84</f>
        <v>7.0035537834792411E-2</v>
      </c>
      <c r="Q84">
        <v>8445</v>
      </c>
      <c r="R84" s="9">
        <f>Q84/B84</f>
        <v>0.73199271907774988</v>
      </c>
      <c r="T84">
        <v>1183</v>
      </c>
    </row>
    <row r="85" spans="1:20" x14ac:dyDescent="0.2">
      <c r="A85">
        <v>202206</v>
      </c>
      <c r="B85">
        <v>14901</v>
      </c>
      <c r="C85">
        <v>1668</v>
      </c>
      <c r="D85" s="2">
        <f>G85+J85+L85+R85</f>
        <v>1</v>
      </c>
      <c r="F85">
        <v>551</v>
      </c>
      <c r="G85" s="6">
        <f>F85/B85</f>
        <v>3.6977384068183343E-2</v>
      </c>
      <c r="I85">
        <v>410</v>
      </c>
      <c r="J85" s="6">
        <f>I85/B85</f>
        <v>2.7514931883766192E-2</v>
      </c>
      <c r="K85">
        <v>2218</v>
      </c>
      <c r="L85" s="6">
        <f>K85/B85</f>
        <v>0.14884907053217905</v>
      </c>
      <c r="M85">
        <v>1669</v>
      </c>
      <c r="N85" s="5">
        <f>M85/B85</f>
        <v>0.11200590564391652</v>
      </c>
      <c r="O85">
        <v>549</v>
      </c>
      <c r="P85" s="7">
        <f>O85/B85</f>
        <v>3.6843164888262531E-2</v>
      </c>
      <c r="Q85">
        <v>11722</v>
      </c>
      <c r="R85" s="9">
        <f>Q85/B85</f>
        <v>0.78665861351587141</v>
      </c>
      <c r="T85">
        <v>1207</v>
      </c>
    </row>
    <row r="86" spans="1:20" x14ac:dyDescent="0.2">
      <c r="A86">
        <v>202207</v>
      </c>
      <c r="B86">
        <v>7247</v>
      </c>
      <c r="C86">
        <v>1127</v>
      </c>
      <c r="D86" s="2">
        <f>G86+J86+L86+R86</f>
        <v>1</v>
      </c>
      <c r="F86">
        <v>332</v>
      </c>
      <c r="G86" s="6">
        <f>F86/B86</f>
        <v>4.5812060162825997E-2</v>
      </c>
      <c r="I86">
        <v>247</v>
      </c>
      <c r="J86" s="6">
        <f>I86/B86</f>
        <v>3.4083068856078376E-2</v>
      </c>
      <c r="K86">
        <v>1545</v>
      </c>
      <c r="L86" s="6">
        <f>K86/B86</f>
        <v>0.21319166551676555</v>
      </c>
      <c r="M86">
        <v>890</v>
      </c>
      <c r="N86" s="5">
        <f>M86/B86</f>
        <v>0.12280943838829861</v>
      </c>
      <c r="O86">
        <v>655</v>
      </c>
      <c r="P86" s="7">
        <f>O86/B86</f>
        <v>9.0382227128466955E-2</v>
      </c>
      <c r="Q86">
        <v>5123</v>
      </c>
      <c r="R86" s="9">
        <f>Q86/B86</f>
        <v>0.70691320546433012</v>
      </c>
      <c r="T86">
        <v>791</v>
      </c>
    </row>
    <row r="87" spans="1:20" x14ac:dyDescent="0.2">
      <c r="A87">
        <v>202208</v>
      </c>
      <c r="B87">
        <v>12363</v>
      </c>
      <c r="C87">
        <v>1245</v>
      </c>
      <c r="D87" s="2">
        <f>G87+J87+L87+R87</f>
        <v>1</v>
      </c>
      <c r="F87">
        <v>472</v>
      </c>
      <c r="G87" s="6">
        <f>F87/B87</f>
        <v>3.8178435654776348E-2</v>
      </c>
      <c r="I87">
        <v>288</v>
      </c>
      <c r="J87" s="6">
        <f>I87/B87</f>
        <v>2.3295316670710994E-2</v>
      </c>
      <c r="K87">
        <v>2356</v>
      </c>
      <c r="L87" s="6">
        <f>K87/B87</f>
        <v>0.19056863220901077</v>
      </c>
      <c r="M87">
        <v>1401</v>
      </c>
      <c r="N87" s="5">
        <f>M87/B87</f>
        <v>0.11332200922106285</v>
      </c>
      <c r="O87">
        <v>955</v>
      </c>
      <c r="P87" s="7">
        <f>O87/B87</f>
        <v>7.7246622987947905E-2</v>
      </c>
      <c r="Q87">
        <v>9247</v>
      </c>
      <c r="R87" s="9">
        <f>Q87/B87</f>
        <v>0.74795761546550188</v>
      </c>
      <c r="T87">
        <v>898</v>
      </c>
    </row>
    <row r="88" spans="1:20" x14ac:dyDescent="0.2">
      <c r="A88">
        <v>202209</v>
      </c>
      <c r="B88">
        <v>14646</v>
      </c>
      <c r="C88">
        <v>1255</v>
      </c>
      <c r="D88" s="2">
        <f>G88+J88+L88+R88</f>
        <v>1</v>
      </c>
      <c r="F88">
        <v>454</v>
      </c>
      <c r="G88" s="6">
        <f>F88/B88</f>
        <v>3.0998224771268606E-2</v>
      </c>
      <c r="I88">
        <v>327</v>
      </c>
      <c r="J88" s="6">
        <f>I88/B88</f>
        <v>2.2326915198689061E-2</v>
      </c>
      <c r="K88">
        <v>2481</v>
      </c>
      <c r="L88" s="6">
        <f>K88/B88</f>
        <v>0.16939778779188858</v>
      </c>
      <c r="M88">
        <v>1669</v>
      </c>
      <c r="N88" s="5">
        <f>M88/B88</f>
        <v>0.11395602894988392</v>
      </c>
      <c r="O88">
        <v>812</v>
      </c>
      <c r="P88" s="7">
        <f>O88/B88</f>
        <v>5.544175884200464E-2</v>
      </c>
      <c r="Q88">
        <v>11384</v>
      </c>
      <c r="R88" s="9">
        <f>Q88/B88</f>
        <v>0.77727707223815379</v>
      </c>
      <c r="T88">
        <v>888</v>
      </c>
    </row>
    <row r="89" spans="1:20" x14ac:dyDescent="0.2">
      <c r="A89">
        <v>202210</v>
      </c>
      <c r="B89">
        <v>12558</v>
      </c>
      <c r="C89">
        <v>1217</v>
      </c>
      <c r="D89" s="2">
        <f>G89+J89+L89+R89</f>
        <v>1</v>
      </c>
      <c r="F89">
        <v>462</v>
      </c>
      <c r="G89" s="6">
        <f>F89/B89</f>
        <v>3.678929765886288E-2</v>
      </c>
      <c r="I89">
        <v>266</v>
      </c>
      <c r="J89" s="6">
        <f>I89/B89</f>
        <v>2.1181716833890748E-2</v>
      </c>
      <c r="K89">
        <v>2103</v>
      </c>
      <c r="L89" s="6">
        <f>K89/B89</f>
        <v>0.16746297181079789</v>
      </c>
      <c r="M89">
        <v>1126</v>
      </c>
      <c r="N89" s="5">
        <f>M89/B89</f>
        <v>8.9663959229176624E-2</v>
      </c>
      <c r="O89">
        <v>977</v>
      </c>
      <c r="P89" s="7">
        <f>O89/B89</f>
        <v>7.779901258162128E-2</v>
      </c>
      <c r="Q89">
        <v>9727</v>
      </c>
      <c r="R89" s="9">
        <f>Q89/B89</f>
        <v>0.77456601369644851</v>
      </c>
      <c r="T89">
        <v>946</v>
      </c>
    </row>
    <row r="90" spans="1:20" x14ac:dyDescent="0.2">
      <c r="A90">
        <v>202211</v>
      </c>
      <c r="B90">
        <v>19513</v>
      </c>
      <c r="C90">
        <v>1258</v>
      </c>
      <c r="D90" s="2">
        <f>G90+J90+L90+R90</f>
        <v>1</v>
      </c>
      <c r="F90">
        <v>438</v>
      </c>
      <c r="G90" s="6">
        <f>F90/B90</f>
        <v>2.244657407881925E-2</v>
      </c>
      <c r="I90">
        <v>229</v>
      </c>
      <c r="J90" s="6">
        <f>I90/B90</f>
        <v>1.173576589965664E-2</v>
      </c>
      <c r="K90">
        <v>2931</v>
      </c>
      <c r="L90" s="6">
        <f>K90/B90</f>
        <v>0.15020755393840005</v>
      </c>
      <c r="M90">
        <v>1502</v>
      </c>
      <c r="N90" s="5">
        <f>M90/B90</f>
        <v>7.697432480910163E-2</v>
      </c>
      <c r="O90">
        <v>1429</v>
      </c>
      <c r="P90" s="7">
        <f>O90/B90</f>
        <v>7.3233229129298416E-2</v>
      </c>
      <c r="Q90">
        <v>15915</v>
      </c>
      <c r="R90" s="9">
        <f>Q90/B90</f>
        <v>0.81561010608312412</v>
      </c>
      <c r="T90">
        <v>986</v>
      </c>
    </row>
    <row r="91" spans="1:20" x14ac:dyDescent="0.2">
      <c r="A91">
        <v>202212</v>
      </c>
      <c r="B91">
        <v>39497</v>
      </c>
      <c r="C91">
        <v>3861</v>
      </c>
      <c r="D91" s="2">
        <f>G91+J91+L91+R91</f>
        <v>1</v>
      </c>
      <c r="F91">
        <v>987</v>
      </c>
      <c r="G91" s="6">
        <f>F91/B91</f>
        <v>2.4989239689090309E-2</v>
      </c>
      <c r="I91">
        <v>2503</v>
      </c>
      <c r="J91" s="6">
        <f>I91/B91</f>
        <v>6.3371901663417468E-2</v>
      </c>
      <c r="K91">
        <v>3293</v>
      </c>
      <c r="L91" s="6">
        <f>K91/B91</f>
        <v>8.3373420766134132E-2</v>
      </c>
      <c r="M91" s="10">
        <v>1896</v>
      </c>
      <c r="N91" s="5">
        <f>M91/B91</f>
        <v>4.8003645846519991E-2</v>
      </c>
      <c r="O91" s="10">
        <f>K91-M91</f>
        <v>1397</v>
      </c>
      <c r="P91" s="7">
        <f>O91/B91</f>
        <v>3.5369774919614148E-2</v>
      </c>
      <c r="Q91">
        <v>32714</v>
      </c>
      <c r="R91" s="9">
        <f>Q91/B91</f>
        <v>0.82826543788135809</v>
      </c>
      <c r="T91">
        <v>3557</v>
      </c>
    </row>
    <row r="92" spans="1:20" x14ac:dyDescent="0.2">
      <c r="N92" s="1"/>
    </row>
    <row r="97" spans="9:9" x14ac:dyDescent="0.2">
      <c r="I97" s="11">
        <f>R91+P91+L91+J91+G91</f>
        <v>1.0353697749196142</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94DF1-1C5A-4953-83F1-2A875CF8F1A4}">
  <dimension ref="A1:A4"/>
  <sheetViews>
    <sheetView workbookViewId="0">
      <selection activeCell="A5" sqref="A5"/>
    </sheetView>
  </sheetViews>
  <sheetFormatPr baseColWidth="10" defaultColWidth="8.83203125" defaultRowHeight="15" x14ac:dyDescent="0.2"/>
  <sheetData>
    <row r="1" spans="1:1" x14ac:dyDescent="0.2">
      <c r="A1" t="s">
        <v>11</v>
      </c>
    </row>
    <row r="2" spans="1:1" x14ac:dyDescent="0.2">
      <c r="A2" s="4" t="s">
        <v>21</v>
      </c>
    </row>
    <row r="3" spans="1:1" x14ac:dyDescent="0.2">
      <c r="A3" t="s">
        <v>14</v>
      </c>
    </row>
    <row r="4" spans="1:1" x14ac:dyDescent="0.2">
      <c r="A4" t="s">
        <v>22</v>
      </c>
    </row>
  </sheetData>
  <hyperlinks>
    <hyperlink ref="A2" r:id="rId1" xr:uid="{1991ED90-6F4C-49BE-8E27-52A88DD2C84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02CDF85BB3C43825BB38CAE9C40BF" ma:contentTypeVersion="17" ma:contentTypeDescription="Create a new document." ma:contentTypeScope="" ma:versionID="cc0fdec67fe3d070701ed30df77ff2e4">
  <xsd:schema xmlns:xsd="http://www.w3.org/2001/XMLSchema" xmlns:xs="http://www.w3.org/2001/XMLSchema" xmlns:p="http://schemas.microsoft.com/office/2006/metadata/properties" xmlns:ns2="1ae9c94a-2673-46e1-b5a6-dc0c87eae04c" xmlns:ns3="5083af8e-c479-4bff-9f3e-2a380844c8c1" targetNamespace="http://schemas.microsoft.com/office/2006/metadata/properties" ma:root="true" ma:fieldsID="7af3f9d5f786658f4f8b979713004dd2" ns2:_="" ns3:_="">
    <xsd:import namespace="1ae9c94a-2673-46e1-b5a6-dc0c87eae04c"/>
    <xsd:import namespace="5083af8e-c479-4bff-9f3e-2a380844c8c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e9c94a-2673-46e1-b5a6-dc0c87eae04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1e53c95e-727e-44f4-9ee8-bf1dacd917f1"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83af8e-c479-4bff-9f3e-2a380844c8c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36ae1418-1b43-41e8-bcf0-187ce1a503fc}" ma:internalName="TaxCatchAll" ma:showField="CatchAllData" ma:web="5083af8e-c479-4bff-9f3e-2a380844c8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083af8e-c479-4bff-9f3e-2a380844c8c1" xsi:nil="true"/>
    <lcf76f155ced4ddcb4097134ff3c332f xmlns="1ae9c94a-2673-46e1-b5a6-dc0c87eae04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98DD26E-7447-4512-9765-D428BF88CE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e9c94a-2673-46e1-b5a6-dc0c87eae04c"/>
    <ds:schemaRef ds:uri="5083af8e-c479-4bff-9f3e-2a380844c8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887100-7B50-47F5-87D7-ABDD1957FF85}">
  <ds:schemaRefs>
    <ds:schemaRef ds:uri="http://schemas.microsoft.com/sharepoint/v3/contenttype/forms"/>
  </ds:schemaRefs>
</ds:datastoreItem>
</file>

<file path=customXml/itemProps3.xml><?xml version="1.0" encoding="utf-8"?>
<ds:datastoreItem xmlns:ds="http://schemas.openxmlformats.org/officeDocument/2006/customXml" ds:itemID="{F14F16C9-F74E-4CAA-B7B8-5E225606C761}">
  <ds:schemaRefs>
    <ds:schemaRef ds:uri="http://purl.org/dc/terms/"/>
    <ds:schemaRef ds:uri="5083af8e-c479-4bff-9f3e-2a380844c8c1"/>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1ae9c94a-2673-46e1-b5a6-dc0c87eae04c"/>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Andrew</dc:creator>
  <cp:lastModifiedBy>Anton Glad</cp:lastModifiedBy>
  <dcterms:created xsi:type="dcterms:W3CDTF">2019-03-03T08:33:48Z</dcterms:created>
  <dcterms:modified xsi:type="dcterms:W3CDTF">2023-01-09T17:50:40Z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0x01010074D02CDF85BB3C43825BB38CAE9C40BF</vt:lpwstr>
  </property>
  <property fmtid="{D5CDD505-2E9C-101B-9397-08002B2CF9AE}" pid="3" name="MediaServiceImageTags">
    <vt:lpwstr/>
  </property>
</Properties>
</file>