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3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gging Calculator" sheetId="1" r:id="rId4"/>
    <sheet name="Lagging Calculations" sheetId="2" r:id="rId5"/>
    <sheet name="Rubber Strip Pricing" sheetId="3" r:id="rId6"/>
    <sheet name="Sheet2" sheetId="4" r:id="rId7"/>
  </sheets>
  <definedNames>
    <definedName name="Belt_Widths">'Lagging Calculations'!I37:I59</definedName>
    <definedName name="Diamond_Natural">'Lagging Calculations'!F15:F18</definedName>
    <definedName name="Glue_tin_size">'Lagging Calculations'!D94:D96</definedName>
    <definedName name="L">'Lagging Calculator'!K6:K11</definedName>
    <definedName name="Lagging_Thickness">'Lagging Calculations'!I15:I21</definedName>
    <definedName name="Lagging_Type">'Lagging Calculations'!I23:I34</definedName>
    <definedName name="Thickness">'Lagging Calculations'!I16:I21</definedName>
  </definedNames>
  <calcPr calcId="999999" calcMode="auto" calcCompleted="0" fullCalcOnLoad="1" forceFullCalc="1"/>
</workbook>
</file>

<file path=xl/comments3.xml><?xml version="1.0" encoding="utf-8"?>
<comments xmlns="http://schemas.openxmlformats.org/spreadsheetml/2006/main">
  <authors>
    <author>-</author>
  </authors>
  <commentList>
    <comment ref="A7" authorId="0">
      <text>
        <r>
          <t xml:space="preserve">-:
Natural Diamond</t>
        </r>
      </text>
    </comment>
    <comment ref="A9" authorId="0">
      <text>
        <r>
          <t xml:space="preserve">-:
Fras Diamond </t>
        </r>
      </text>
    </comment>
    <comment ref="A12" authorId="0">
      <text>
        <r>
          <t xml:space="preserve">-:
Natural Diamond Ceramic - 18% </t>
        </r>
      </text>
    </comment>
    <comment ref="A13" authorId="0">
      <text>
        <r>
          <t xml:space="preserve">-:
Fras Diamond Ceramic - 18%</t>
        </r>
      </text>
    </comment>
    <comment ref="A14" authorId="0">
      <text>
        <r>
          <t xml:space="preserve">-:
Natural Diamond Ceramic - 18% </t>
        </r>
      </text>
    </comment>
    <comment ref="A15" authorId="0">
      <text>
        <r>
          <t xml:space="preserve">-:
Fras Diamond Ceramic - 18%</t>
        </r>
      </text>
    </comment>
  </commentList>
</comments>
</file>

<file path=xl/sharedStrings.xml><?xml version="1.0" encoding="utf-8"?>
<sst xmlns="http://schemas.openxmlformats.org/spreadsheetml/2006/main" uniqueCount="344">
  <si>
    <t>FLEX-LAG</t>
  </si>
  <si>
    <t>COSTING</t>
  </si>
  <si>
    <t>Belt Width</t>
  </si>
  <si>
    <t>Lagging Cost (List Price)</t>
  </si>
  <si>
    <t>Pulley Face Width</t>
  </si>
  <si>
    <t>Glue Cost (List Price)</t>
  </si>
  <si>
    <t>m</t>
  </si>
  <si>
    <t xml:space="preserve">Overhang Per Strip </t>
  </si>
  <si>
    <t>Pulley Diameter</t>
  </si>
  <si>
    <t>Acivator Cost (List Price)</t>
  </si>
  <si>
    <t>No. of pulleys</t>
  </si>
  <si>
    <t>Primer Cost (list Price)</t>
  </si>
  <si>
    <t>Lagging Thickness</t>
  </si>
  <si>
    <t>TOTAL COST (List Price)</t>
  </si>
  <si>
    <t>Lagging Type</t>
  </si>
  <si>
    <t>Natural_Diamond</t>
  </si>
  <si>
    <t>Rolls Required</t>
  </si>
  <si>
    <t>Strips Required</t>
  </si>
  <si>
    <t>Lagging Discount</t>
  </si>
  <si>
    <t>CONTI SECUR CEMENT</t>
  </si>
  <si>
    <t>Lagging Discounted Price</t>
  </si>
  <si>
    <t>Tin size (L)</t>
  </si>
  <si>
    <t>Glue/Primer/Activator Discount</t>
  </si>
  <si>
    <t>Litres Needed</t>
  </si>
  <si>
    <t>Glue/Primer/Activator Discount Price</t>
  </si>
  <si>
    <t>No of tins</t>
  </si>
  <si>
    <t>TOTAL COST               (With Discounts)</t>
  </si>
  <si>
    <t>No. of Coats</t>
  </si>
  <si>
    <t>Left Over Glue (L)</t>
  </si>
  <si>
    <t>CONTI PLUS PROMOTER</t>
  </si>
  <si>
    <t>Tins Needed</t>
  </si>
  <si>
    <t>Tin Size</t>
  </si>
  <si>
    <t>ACTIVATOR</t>
  </si>
  <si>
    <t>Activator Amount (Tins)</t>
  </si>
  <si>
    <t>Light Duty</t>
  </si>
  <si>
    <t>Light</t>
  </si>
  <si>
    <t>Pulley Face Width (Lagging Face Width)</t>
  </si>
  <si>
    <t>mm</t>
  </si>
  <si>
    <t>Thickness</t>
  </si>
  <si>
    <t>Strip Length</t>
  </si>
  <si>
    <t>Roll Length</t>
  </si>
  <si>
    <t>Light_Duty_Black_Natural</t>
  </si>
  <si>
    <t>Strips / roll</t>
  </si>
  <si>
    <t>Light_Duty_White_Nitrile</t>
  </si>
  <si>
    <t>Linked Values</t>
  </si>
  <si>
    <t>Rubber Lagging</t>
  </si>
  <si>
    <t>Inputs Drawn From Other Sheet</t>
  </si>
  <si>
    <t>Circumference of Pulley</t>
  </si>
  <si>
    <t>Constants</t>
  </si>
  <si>
    <t>Calculations</t>
  </si>
  <si>
    <t>Surface Area</t>
  </si>
  <si>
    <t>mm2</t>
  </si>
  <si>
    <t>Strip Width</t>
  </si>
  <si>
    <t>Answers</t>
  </si>
  <si>
    <t>m2</t>
  </si>
  <si>
    <t>Thickness (mm)</t>
  </si>
  <si>
    <t>$</t>
  </si>
  <si>
    <t>Strips Req.</t>
  </si>
  <si>
    <t>Strips Req.(Light_Duty)</t>
  </si>
  <si>
    <t>Total StripsReq</t>
  </si>
  <si>
    <t>Strips Req. (rounded up)/pulley</t>
  </si>
  <si>
    <t>Strips Req. (rounded up)</t>
  </si>
  <si>
    <t>Rolls Required (Light_Duty)</t>
  </si>
  <si>
    <t>Natural_Plain</t>
  </si>
  <si>
    <t>Length Req</t>
  </si>
  <si>
    <t>Lagging_Type</t>
  </si>
  <si>
    <t>Overhang Per Strip (total Both sides)</t>
  </si>
  <si>
    <t>FRAS_Diamond</t>
  </si>
  <si>
    <t>Rolls Required For any Type</t>
  </si>
  <si>
    <t>FRAS_Plain</t>
  </si>
  <si>
    <t>Natural_Diamond_Ceramic</t>
  </si>
  <si>
    <t>FRAS_Diamond_Ceramic</t>
  </si>
  <si>
    <t>Left Over</t>
  </si>
  <si>
    <t>Natural_Medium_Ceramic</t>
  </si>
  <si>
    <t>PRICING</t>
  </si>
  <si>
    <t>Fras_Medium_Ceramic</t>
  </si>
  <si>
    <t>Natural_Full_Ceramic</t>
  </si>
  <si>
    <t>$ Per Roll</t>
  </si>
  <si>
    <t>Total</t>
  </si>
  <si>
    <t>FRAS_Full_Ceramic</t>
  </si>
  <si>
    <t>N/A</t>
  </si>
  <si>
    <t>Belt Widths</t>
  </si>
  <si>
    <t>$/Strip</t>
  </si>
  <si>
    <t>Medium Ceramic</t>
  </si>
  <si>
    <t>Cost Per Roll</t>
  </si>
  <si>
    <t>Price Based On</t>
  </si>
  <si>
    <t>Lagging Cost (If not full ceramic)</t>
  </si>
  <si>
    <t>Rolls</t>
  </si>
  <si>
    <t>Lagging Cost (Excluding Left Over)</t>
  </si>
  <si>
    <t>Strips</t>
  </si>
  <si>
    <t>Full Ceramic Lagging Cost</t>
  </si>
  <si>
    <t>Medium Ceramic Lagging Cost</t>
  </si>
  <si>
    <t>LAGGING COST (for all types)</t>
  </si>
  <si>
    <t>Natural_Full_Ceramic_Calc's (12mm)</t>
  </si>
  <si>
    <t>FRAS Medium Ceramic</t>
  </si>
  <si>
    <t>FRAS_Full_Ceramic_Calc's(12mm)</t>
  </si>
  <si>
    <t>Primer/Glue</t>
  </si>
  <si>
    <t>Primer - Coverage</t>
  </si>
  <si>
    <t>L/m2</t>
  </si>
  <si>
    <t>Glue - Coverage</t>
  </si>
  <si>
    <t>Primer Tins</t>
  </si>
  <si>
    <t>Small</t>
  </si>
  <si>
    <t>L</t>
  </si>
  <si>
    <t>Ceramic</t>
  </si>
  <si>
    <t>Glue Tins</t>
  </si>
  <si>
    <t>$ 159.00</t>
  </si>
  <si>
    <t>Medium</t>
  </si>
  <si>
    <t>Large</t>
  </si>
  <si>
    <t>No. of Coats - Primer</t>
  </si>
  <si>
    <t>No. of Coats - Glue</t>
  </si>
  <si>
    <t>Total Primer Area</t>
  </si>
  <si>
    <t>Total Glue Area</t>
  </si>
  <si>
    <t>Total Primer Area (Rounded Up)</t>
  </si>
  <si>
    <t>Total Glue Area (Rounded Up)</t>
  </si>
  <si>
    <t>Total Primer Needed</t>
  </si>
  <si>
    <t>Total Glue Needed</t>
  </si>
  <si>
    <t>No. of Tins of Primer Needed</t>
  </si>
  <si>
    <t>Cost</t>
  </si>
  <si>
    <t>Minimum Size Glue Tin Needed</t>
  </si>
  <si>
    <t>No of 0.8L tins needed</t>
  </si>
  <si>
    <t>$ 187.00</t>
  </si>
  <si>
    <t>No of 4.8L tins needed</t>
  </si>
  <si>
    <t>Amount of Tins</t>
  </si>
  <si>
    <t>No of 200L tins needed</t>
  </si>
  <si>
    <t>Tin Selection</t>
  </si>
  <si>
    <t>Left over Glue</t>
  </si>
  <si>
    <t>Tins Req</t>
  </si>
  <si>
    <t>Activator</t>
  </si>
  <si>
    <t>L/ 0.8L Glue</t>
  </si>
  <si>
    <t>Toatal Glue</t>
  </si>
  <si>
    <t>Glue Discount</t>
  </si>
  <si>
    <t>Lagging Disounted Price</t>
  </si>
  <si>
    <t>Glueetc Price Toatal</t>
  </si>
  <si>
    <t>Glueetc Price Disc.</t>
  </si>
  <si>
    <t>Total Cost Discounted</t>
  </si>
  <si>
    <t>Toatl Cost</t>
  </si>
  <si>
    <t>Nylon Needed</t>
  </si>
  <si>
    <t xml:space="preserve">Inputs (part of main inputs already) </t>
  </si>
  <si>
    <t>dia of pulley</t>
  </si>
  <si>
    <t>Width of pulley</t>
  </si>
  <si>
    <t>$/Tin</t>
  </si>
  <si>
    <t>Fixed once product sourced (hidden)</t>
  </si>
  <si>
    <t>Width of Nylon Strip</t>
  </si>
  <si>
    <t>Cost per roll</t>
  </si>
  <si>
    <t>Calculations (hidden)</t>
  </si>
  <si>
    <t>Circumference</t>
  </si>
  <si>
    <t>Wraps around pulley</t>
  </si>
  <si>
    <t>Output</t>
  </si>
  <si>
    <t>Length of Nylon Needed</t>
  </si>
  <si>
    <t>No of rolls</t>
  </si>
  <si>
    <t xml:space="preserve">JOY / Komatsu Strip Lagging Pricing </t>
  </si>
  <si>
    <t>Vaild 12 mths</t>
  </si>
  <si>
    <t>NOTE: Always add minimum of 100mm to your pulley width strip length for overhang.</t>
  </si>
  <si>
    <t>Products</t>
  </si>
  <si>
    <t>Per / M</t>
  </si>
  <si>
    <t>Per Cut</t>
  </si>
  <si>
    <t>Strip Qty</t>
  </si>
  <si>
    <t>Total Cost</t>
  </si>
  <si>
    <t>10ND / M</t>
  </si>
  <si>
    <t>10FRD / M</t>
  </si>
  <si>
    <t>12ND / M</t>
  </si>
  <si>
    <t>12NP / M</t>
  </si>
  <si>
    <t>12FRD / M</t>
  </si>
  <si>
    <t>12NDC PRICE AS 6.5m ROLLS</t>
  </si>
  <si>
    <t>12FRDC PRICE AS 6.5m ROLLS</t>
  </si>
  <si>
    <t>15ND / M</t>
  </si>
  <si>
    <t>15FRD / M</t>
  </si>
  <si>
    <t>20ND / M</t>
  </si>
  <si>
    <t>20FRD / M</t>
  </si>
  <si>
    <t>25ND / M</t>
  </si>
  <si>
    <t>25FRD / M</t>
  </si>
  <si>
    <t>TOTALS</t>
  </si>
  <si>
    <t>Price EA</t>
  </si>
  <si>
    <t>QTY</t>
  </si>
  <si>
    <t xml:space="preserve">Total </t>
  </si>
  <si>
    <t>Conti Sercure 0.8L</t>
  </si>
  <si>
    <t xml:space="preserve">Activator </t>
  </si>
  <si>
    <t xml:space="preserve">Primer </t>
  </si>
  <si>
    <t xml:space="preserve">Lagging Price </t>
  </si>
  <si>
    <t>Pulley Total EX GST</t>
  </si>
  <si>
    <t xml:space="preserve">Multiple Pulleys </t>
  </si>
  <si>
    <t>Ceramic Pricing Discounts Updated 30/1/2019 JA</t>
  </si>
  <si>
    <t>Flex-Lag® Medium Ceramic Lagging - FRAS Rubber</t>
  </si>
  <si>
    <t>THICKNESS</t>
  </si>
  <si>
    <t>BELT
WIDTH</t>
  </si>
  <si>
    <t>CERAMIC
LENGTH</t>
  </si>
  <si>
    <t xml:space="preserve">STRIP
LENGTH </t>
  </si>
  <si>
    <t xml:space="preserve">DIMPLED TILE </t>
  </si>
  <si>
    <t>SMOOTH TILE</t>
  </si>
  <si>
    <t xml:space="preserve">mm </t>
  </si>
  <si>
    <t>ORDERING
NUMBER</t>
  </si>
  <si>
    <t xml:space="preserve">ITEM
CODE </t>
  </si>
  <si>
    <t xml:space="preserve">PRICE </t>
  </si>
  <si>
    <t>Less 25%</t>
  </si>
  <si>
    <t>Less 35%</t>
  </si>
  <si>
    <t xml:space="preserve">ORDERING NUMBER </t>
  </si>
  <si>
    <t xml:space="preserve">CODE ITEM </t>
  </si>
  <si>
    <t>LIST PRICE</t>
  </si>
  <si>
    <t xml:space="preserve">CLMN474-15 </t>
  </si>
  <si>
    <t xml:space="preserve">CLMN474-15S </t>
  </si>
  <si>
    <t xml:space="preserve">CLMN626-15 </t>
  </si>
  <si>
    <t xml:space="preserve">CLMN626-15S </t>
  </si>
  <si>
    <t xml:space="preserve">CLMN779-15 </t>
  </si>
  <si>
    <t xml:space="preserve">CLMN779-15S </t>
  </si>
  <si>
    <t xml:space="preserve">CLMN931-15 </t>
  </si>
  <si>
    <t xml:space="preserve">CLMN931-15S </t>
  </si>
  <si>
    <t xml:space="preserve">CLMN1082-15 </t>
  </si>
  <si>
    <t xml:space="preserve">CLMN1082-15S </t>
  </si>
  <si>
    <t xml:space="preserve">CLMN1235-15 </t>
  </si>
  <si>
    <t xml:space="preserve">CLMN1235-15S </t>
  </si>
  <si>
    <t xml:space="preserve">CLMN1388-15 </t>
  </si>
  <si>
    <t xml:space="preserve">CLMN1388-15S </t>
  </si>
  <si>
    <t xml:space="preserve">CLMN1541-15 </t>
  </si>
  <si>
    <t xml:space="preserve">CLMN1541-15S </t>
  </si>
  <si>
    <t xml:space="preserve">CLMN1842-15 </t>
  </si>
  <si>
    <t xml:space="preserve">CLMN1842-15S </t>
  </si>
  <si>
    <t xml:space="preserve">CLMN2155-15 </t>
  </si>
  <si>
    <t xml:space="preserve">CLMN2155-15S </t>
  </si>
  <si>
    <t>Imput 12mm pricing as we go.</t>
  </si>
  <si>
    <t>List less 25%</t>
  </si>
  <si>
    <t>List Less 35%</t>
  </si>
  <si>
    <t>PRICE</t>
  </si>
  <si>
    <t xml:space="preserve">CLMFR474-15 </t>
  </si>
  <si>
    <t xml:space="preserve">CLMFR474-15S </t>
  </si>
  <si>
    <t xml:space="preserve">CLMFR626-15 </t>
  </si>
  <si>
    <t xml:space="preserve">CLMFR626-15S </t>
  </si>
  <si>
    <t xml:space="preserve">CLMFR779-15 </t>
  </si>
  <si>
    <t xml:space="preserve">CLMFR779-15S </t>
  </si>
  <si>
    <t xml:space="preserve">CLMFR931-15 </t>
  </si>
  <si>
    <t xml:space="preserve">CLMFR931-15S </t>
  </si>
  <si>
    <t xml:space="preserve">CLMFR1082-15 </t>
  </si>
  <si>
    <t xml:space="preserve">CLMFR1082-15S </t>
  </si>
  <si>
    <t xml:space="preserve">CLMFR1235-15 </t>
  </si>
  <si>
    <t xml:space="preserve">CLMFR1235-15S </t>
  </si>
  <si>
    <t xml:space="preserve">CLMFR1388-15 </t>
  </si>
  <si>
    <t xml:space="preserve">CLMFR1388-15S </t>
  </si>
  <si>
    <t xml:space="preserve">CLMFR1541-15 </t>
  </si>
  <si>
    <t xml:space="preserve">CLMFR1541-15S </t>
  </si>
  <si>
    <t xml:space="preserve">CLMFR1842-15 </t>
  </si>
  <si>
    <t xml:space="preserve">CLMFR1842-15S </t>
  </si>
  <si>
    <t xml:space="preserve">CLMFR2155-15 </t>
  </si>
  <si>
    <t xml:space="preserve">CLMFR2155-15S </t>
  </si>
  <si>
    <t>Flex-Lag® Full Ceramic Lagging - SBR NAT Rubber</t>
  </si>
  <si>
    <t xml:space="preserve">THICKNESS </t>
  </si>
  <si>
    <t xml:space="preserve">BELT WIDTH </t>
  </si>
  <si>
    <t xml:space="preserve">CERAMIC LENGTH </t>
  </si>
  <si>
    <t xml:space="preserve">STRIP LENGTH </t>
  </si>
  <si>
    <t>ITEM
CODE</t>
  </si>
  <si>
    <t>LIST
PRICE</t>
  </si>
  <si>
    <t>List Less 25%</t>
  </si>
  <si>
    <t xml:space="preserve">CLN460/18.4-12 </t>
  </si>
  <si>
    <t xml:space="preserve">CLN460/18.4-12S </t>
  </si>
  <si>
    <t xml:space="preserve">CLN600/24-12 </t>
  </si>
  <si>
    <t xml:space="preserve">CLN600/24-12S </t>
  </si>
  <si>
    <t xml:space="preserve">CLN760/30.4-12 </t>
  </si>
  <si>
    <t xml:space="preserve">CLN760/30.4-12S </t>
  </si>
  <si>
    <t xml:space="preserve">CLN800/32-12 </t>
  </si>
  <si>
    <t xml:space="preserve">CLN800/32-12S </t>
  </si>
  <si>
    <t xml:space="preserve">CLN900/36-12 </t>
  </si>
  <si>
    <t xml:space="preserve">CLN900/36-12S </t>
  </si>
  <si>
    <t xml:space="preserve">CLN1060/42.4-12 </t>
  </si>
  <si>
    <t xml:space="preserve">CLN1060/42.4-12S </t>
  </si>
  <si>
    <t xml:space="preserve">CLN1200/48-12 </t>
  </si>
  <si>
    <t xml:space="preserve">CLN1200/48-12S </t>
  </si>
  <si>
    <t xml:space="preserve">CLN1360/54.4-12 </t>
  </si>
  <si>
    <t xml:space="preserve">CLN1360/54.4-12S </t>
  </si>
  <si>
    <t xml:space="preserve">CLN1400/56-12 </t>
  </si>
  <si>
    <t xml:space="preserve">CLN1400/56-12S </t>
  </si>
  <si>
    <t xml:space="preserve">CLN1520/60.8-12 </t>
  </si>
  <si>
    <t xml:space="preserve">CLN1520/60.8-12S </t>
  </si>
  <si>
    <t xml:space="preserve">CLN1600/64-12 </t>
  </si>
  <si>
    <t xml:space="preserve">CLN1600/64-12S </t>
  </si>
  <si>
    <t xml:space="preserve">CLN1700/68-12 </t>
  </si>
  <si>
    <t xml:space="preserve">CLN1700/68-12S </t>
  </si>
  <si>
    <t xml:space="preserve">CLN1800/72-12 </t>
  </si>
  <si>
    <t xml:space="preserve">CLN1800/72-12S </t>
  </si>
  <si>
    <t xml:space="preserve">CLN1900/76-12 </t>
  </si>
  <si>
    <t xml:space="preserve">CLN1900/76-12S </t>
  </si>
  <si>
    <t xml:space="preserve">CLN2000/80-12 </t>
  </si>
  <si>
    <t xml:space="preserve">CLN2000/80-12S </t>
  </si>
  <si>
    <t xml:space="preserve">CLN2100/84-12 </t>
  </si>
  <si>
    <t xml:space="preserve">CLN2100/84-12S </t>
  </si>
  <si>
    <t xml:space="preserve">CLN2200/88-12 </t>
  </si>
  <si>
    <t xml:space="preserve">CLN2200/88-12S </t>
  </si>
  <si>
    <t xml:space="preserve">CLN2300/92-12 </t>
  </si>
  <si>
    <t xml:space="preserve">CLN2300/92-12S </t>
  </si>
  <si>
    <t xml:space="preserve">CLN2400/96-12 </t>
  </si>
  <si>
    <t xml:space="preserve">CLN2400/96-12S </t>
  </si>
  <si>
    <t xml:space="preserve">CLN2500/100-12 </t>
  </si>
  <si>
    <t xml:space="preserve">CLN2500/100-12S </t>
  </si>
  <si>
    <t xml:space="preserve">CLN2600/104-12 </t>
  </si>
  <si>
    <t xml:space="preserve">CLN2600/104-12S </t>
  </si>
  <si>
    <t xml:space="preserve">CLN2800/112-12 </t>
  </si>
  <si>
    <t xml:space="preserve">CLN2800/112-12S </t>
  </si>
  <si>
    <t xml:space="preserve">CLN3000/120-12 </t>
  </si>
  <si>
    <t xml:space="preserve">CLN3000/120-12S </t>
  </si>
  <si>
    <t>Flex-Lag® Full Ceramic Lagging - FRAS Rubber</t>
  </si>
  <si>
    <t xml:space="preserve">CLFR460/18.4-12 </t>
  </si>
  <si>
    <t xml:space="preserve">CLFR460/18.4-12S </t>
  </si>
  <si>
    <t xml:space="preserve">CLFR600/24-12 </t>
  </si>
  <si>
    <t xml:space="preserve">CLFR600/24-12S </t>
  </si>
  <si>
    <t xml:space="preserve">CLFR760/30.4-12 </t>
  </si>
  <si>
    <t xml:space="preserve">CLFR760/30.4-12S </t>
  </si>
  <si>
    <t xml:space="preserve">CLFR800/32-12 </t>
  </si>
  <si>
    <t xml:space="preserve">CLFR800/32-12S </t>
  </si>
  <si>
    <t xml:space="preserve">CLFR900/36-12 </t>
  </si>
  <si>
    <t xml:space="preserve">CLFR900/36-12S </t>
  </si>
  <si>
    <t xml:space="preserve">CLFR1060/42.4-12 </t>
  </si>
  <si>
    <t xml:space="preserve">CLFR1060/42.4-12S </t>
  </si>
  <si>
    <t xml:space="preserve">CLFR1200/48-12 </t>
  </si>
  <si>
    <t xml:space="preserve">CLFR1200/48-12S </t>
  </si>
  <si>
    <t xml:space="preserve">CLFR1360/54.4-12 </t>
  </si>
  <si>
    <t xml:space="preserve">A1636 </t>
  </si>
  <si>
    <t xml:space="preserve">CLFR1360/54.4-12S </t>
  </si>
  <si>
    <t xml:space="preserve">CLFR1400/56-12 </t>
  </si>
  <si>
    <t xml:space="preserve">CLFR1400/56-12S </t>
  </si>
  <si>
    <t xml:space="preserve">CLFR1520/60.8-12 </t>
  </si>
  <si>
    <t xml:space="preserve">CLFR1520/60.8-12S </t>
  </si>
  <si>
    <t xml:space="preserve">CLFR1600/64-12 </t>
  </si>
  <si>
    <t xml:space="preserve">CLFR1600/64-12S </t>
  </si>
  <si>
    <t xml:space="preserve">CLFR1700/68-12 </t>
  </si>
  <si>
    <t xml:space="preserve">CLFR1700/68-12S </t>
  </si>
  <si>
    <t xml:space="preserve">CLFR1800/72-12 </t>
  </si>
  <si>
    <t xml:space="preserve">CLFR1800/72-12S </t>
  </si>
  <si>
    <t xml:space="preserve">CLFR1900/76-12 </t>
  </si>
  <si>
    <t xml:space="preserve">CLFR1900/76-12S </t>
  </si>
  <si>
    <t xml:space="preserve">CLFR2000/80-12 </t>
  </si>
  <si>
    <t xml:space="preserve">CLFR2000/80-12S </t>
  </si>
  <si>
    <t xml:space="preserve">CLFR2100/84-12 </t>
  </si>
  <si>
    <t xml:space="preserve">CLFR2100/84-12S </t>
  </si>
  <si>
    <t xml:space="preserve">CLFR2200/88-12 </t>
  </si>
  <si>
    <t xml:space="preserve">CLFR2200/88-12S </t>
  </si>
  <si>
    <t xml:space="preserve">CLFR2300/92-12 </t>
  </si>
  <si>
    <t xml:space="preserve">CLFR2300/92-12S </t>
  </si>
  <si>
    <t xml:space="preserve">CLFR2400/96-12 </t>
  </si>
  <si>
    <t xml:space="preserve">CLFR2400/96-12S </t>
  </si>
  <si>
    <t xml:space="preserve">CLFR2500/100-12 </t>
  </si>
  <si>
    <t xml:space="preserve">CLFR2500/100-12S </t>
  </si>
  <si>
    <t xml:space="preserve">CLFR2600/104-12 </t>
  </si>
  <si>
    <t xml:space="preserve">CLFR2600/104-12S </t>
  </si>
  <si>
    <t xml:space="preserve">CLFR2800/112-12 </t>
  </si>
  <si>
    <t xml:space="preserve">CLFR2800/112-12S </t>
  </si>
  <si>
    <t xml:space="preserve">CLFR3000/120-12 </t>
  </si>
  <si>
    <t xml:space="preserve">CLFR3000/120-12S </t>
  </si>
</sst>
</file>

<file path=xl/styles.xml><?xml version="1.0" encoding="utf-8"?>
<styleSheet xmlns="http://schemas.openxmlformats.org/spreadsheetml/2006/main" xml:space="preserve">
  <numFmts count="6">
    <numFmt numFmtId="164" formatCode="[$$-C09]#,##0.00"/>
    <numFmt numFmtId="165" formatCode="[$$-C09]#,##0"/>
    <numFmt numFmtId="166" formatCode="&quot;$&quot;#,##0.00"/>
    <numFmt numFmtId="167" formatCode="&quot;$&quot;#,##0.00;[Red]\-&quot;$&quot;#,##0.00"/>
    <numFmt numFmtId="168" formatCode="&quot;$&quot;#,##0.00;\-&quot;$&quot;#,##0.00"/>
    <numFmt numFmtId="169" formatCode="&quot;$&quot;#,##0"/>
  </numFmts>
  <fonts count="3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single"/>
      <sz val="16"/>
      <color rgb="FF000000"/>
      <name val="Arial"/>
    </font>
    <font>
      <b val="1"/>
      <i val="0"/>
      <strike val="0"/>
      <u val="none"/>
      <sz val="16"/>
      <color rgb="FF008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8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Arial"/>
    </font>
    <font>
      <b val="0"/>
      <i val="1"/>
      <strike val="0"/>
      <u val="none"/>
      <sz val="12"/>
      <color rgb="FF000000"/>
      <name val="Cambria"/>
    </font>
    <font>
      <b val="1"/>
      <i val="1"/>
      <strike val="0"/>
      <u val="single"/>
      <sz val="14"/>
      <color rgb="FF000000"/>
      <name val="Cambria"/>
    </font>
    <font>
      <b val="1"/>
      <i val="0"/>
      <strike val="0"/>
      <u val="single"/>
      <sz val="20"/>
      <color rgb="FFFF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single"/>
      <sz val="14"/>
      <color rgb="FF000000"/>
      <name val="Arial"/>
    </font>
    <font>
      <b val="1"/>
      <i val="0"/>
      <strike val="0"/>
      <u val="single"/>
      <sz val="18"/>
      <color rgb="FF000000"/>
      <name val="Cambria"/>
    </font>
    <font>
      <b val="0"/>
      <i val="0"/>
      <strike val="0"/>
      <u val="none"/>
      <sz val="12"/>
      <color rgb="FF000000"/>
      <name val="Cambria"/>
    </font>
    <font>
      <b val="1"/>
      <i val="0"/>
      <strike val="0"/>
      <u val="single"/>
      <sz val="12"/>
      <color rgb="FF000000"/>
      <name val="Cambria"/>
    </font>
    <font>
      <b val="0"/>
      <i val="0"/>
      <strike val="0"/>
      <u val="single"/>
      <sz val="12"/>
      <color rgb="FF000000"/>
      <name val="Cambria"/>
    </font>
    <font>
      <b val="1"/>
      <i val="0"/>
      <strike val="0"/>
      <u val="none"/>
      <sz val="12"/>
      <color rgb="FF000000"/>
      <name val="Cambria"/>
    </font>
    <font>
      <b val="1"/>
      <i val="0"/>
      <strike val="0"/>
      <u val="single"/>
      <sz val="18"/>
      <color rgb="FF231F2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2"/>
      <color rgb="FF231F20"/>
      <name val="Cambria"/>
    </font>
    <font>
      <b val="0"/>
      <i val="0"/>
      <strike val="0"/>
      <u val="none"/>
      <sz val="12"/>
      <color rgb="FF231F20"/>
      <name val="Cambria"/>
    </font>
    <font>
      <b val="1"/>
      <i val="0"/>
      <strike val="0"/>
      <u val="none"/>
      <sz val="18"/>
      <color rgb="FF231F20"/>
      <name val="Cambria"/>
    </font>
    <font>
      <b val="1"/>
      <i val="0"/>
      <strike val="0"/>
      <u val="none"/>
      <sz val="12"/>
      <color rgb="FF333300"/>
      <name val="Cambria"/>
    </font>
    <font>
      <b val="0"/>
      <i val="0"/>
      <strike val="0"/>
      <u val="none"/>
      <sz val="12"/>
      <color rgb="FF333300"/>
      <name val="Cambria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</fills>
  <borders count="36">
    <border/>
    <border>
      <top style="double">
        <color rgb="FFFF0000"/>
      </top>
      <bottom style="double">
        <color rgb="FFFF0000"/>
      </bottom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right style="double">
        <color rgb="FFFF0000"/>
      </right>
      <top style="double">
        <color rgb="FFFF0000"/>
      </top>
      <bottom style="double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double">
        <color rgb="FF008000"/>
      </top>
    </border>
    <border>
      <left style="double">
        <color rgb="FFFF0000"/>
      </left>
      <right style="double">
        <color rgb="FFFF0000"/>
      </right>
    </border>
    <border>
      <left style="double">
        <color rgb="FFFF0000"/>
      </left>
      <top style="double">
        <color rgb="FFFF0000"/>
      </top>
      <bottom style="double">
        <color rgb="FFFF0000"/>
      </bottom>
    </border>
    <border>
      <left style="double">
        <color rgb="FFFF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FF0000"/>
      </left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left style="double">
        <color rgb="FFFF0000"/>
      </left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left style="double">
        <color rgb="FF008000"/>
      </left>
      <right style="double">
        <color rgb="FF008000"/>
      </right>
      <top style="double">
        <color rgb="FF008000"/>
      </top>
    </border>
    <border>
      <left style="double">
        <color rgb="FF008000"/>
      </left>
      <right style="double">
        <color rgb="FF008000"/>
      </right>
    </border>
    <border>
      <left style="double">
        <color rgb="FF008000"/>
      </left>
      <right style="double">
        <color rgb="FF008000"/>
      </right>
      <bottom style="double">
        <color rgb="FF008000"/>
      </bottom>
    </border>
  </borders>
  <cellStyleXfs count="1">
    <xf numFmtId="0" fontId="0" fillId="0" borderId="0"/>
  </cellStyleXfs>
  <cellXfs count="186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2" fillId="5" borderId="2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164" fillId="5" borderId="2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164" fillId="5" borderId="2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6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7" borderId="4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7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2" fillId="8" borderId="4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9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8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10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7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7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165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5" fillId="0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64" fillId="0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7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165" fillId="0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66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6" fillId="0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165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11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9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165" fillId="10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9" fillId="0" borderId="2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164" fillId="10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9" fillId="0" borderId="2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5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5" borderId="8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left" vertical="center" textRotation="0" wrapText="false" shrinkToFit="false"/>
      <protection hidden="false"/>
    </xf>
    <xf xfId="0" fontId="1" numFmtId="0" fillId="2" borderId="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5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5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5" borderId="8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165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7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10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165" fillId="7" borderId="4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0" fillId="7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164" fillId="7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6" numFmtId="0" fillId="0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0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8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7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9" numFmtId="0" fillId="7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0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0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0" numFmtId="0" fillId="0" borderId="1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1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2" numFmtId="0" fillId="1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1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5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0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14" fillId="0" borderId="1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0" borderId="16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7" borderId="1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4" borderId="1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1" numFmtId="0" fillId="0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0" fillId="0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1" numFmtId="0" fillId="0" borderId="1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1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1" numFmtId="166" fillId="0" borderId="2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6" numFmtId="0" fillId="0" borderId="1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167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166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9" numFmtId="167" fillId="1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8" numFmtId="0" fillId="1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9" numFmtId="0" fillId="0" borderId="2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0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1" numFmtId="0" fillId="0" borderId="4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3" numFmtId="0" fillId="0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4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2" numFmtId="0" fillId="0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2" numFmtId="167" fillId="0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2" numFmtId="0" fillId="0" borderId="4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25" numFmtId="0" fillId="0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5" numFmtId="167" fillId="0" borderId="4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26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8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9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8" numFmtId="167" fillId="0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2" numFmtId="167" fillId="0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0" numFmtId="0" fillId="0" borderId="4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7" numFmtId="0" fillId="0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1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2" numFmtId="0" fillId="0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2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1" numFmtId="167" fillId="0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2" numFmtId="167" fillId="0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11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2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1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4" fillId="13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2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8" fillId="13" borderId="19" applyFont="0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7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69" fillId="0" borderId="4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8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8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3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3" numFmtId="0" fillId="5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8" numFmtId="0" fillId="5" borderId="2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8" numFmtId="0" fillId="5" borderId="3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8" numFmtId="0" fillId="5" borderId="3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8" numFmtId="0" fillId="5" borderId="3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3" numFmtId="0" fillId="5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4" numFmtId="0" fillId="0" borderId="3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4" numFmtId="0" fillId="0" borderId="35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3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0" borderId="3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3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33" numFmtId="164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0" borderId="3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3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33" numFmtId="165" fillId="10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8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8" numFmtId="0" fillId="5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024aff508432e50c3d3ffd71fd67048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355513</xdr:colOff>
      <xdr:row>36</xdr:row>
      <xdr:rowOff>129480</xdr:rowOff>
    </xdr:from>
    <xdr:ext cx="2352675" cy="5810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9"/>
  <sheetViews>
    <sheetView tabSelected="1" workbookViewId="0" showGridLines="false" showRowColHeaders="0">
      <selection activeCell="C48" sqref="C48"/>
    </sheetView>
  </sheetViews>
  <sheetFormatPr customHeight="true" defaultRowHeight="20" defaultColWidth="15.83203125" outlineLevelRow="0" outlineLevelCol="0"/>
  <cols>
    <col min="1" max="1" width="3.83203125" customWidth="true" style="55"/>
    <col min="2" max="2" width="20.5" customWidth="true" style="55"/>
    <col min="3" max="3" width="18.5" customWidth="true" style="55"/>
    <col min="4" max="4" width="4.5" customWidth="true" style="55"/>
    <col min="5" max="5" width="35" customWidth="true" style="55"/>
    <col min="6" max="6" width="15.5" customWidth="true" style="55"/>
    <col min="7" max="7" width="5.1640625" customWidth="true" style="55"/>
    <col min="8" max="8" width="33" customWidth="true" style="55"/>
    <col min="9" max="9" width="15.1640625" customWidth="true" style="55"/>
    <col min="10" max="10" width="15.83203125" style="55"/>
    <col min="11" max="11" width="15.83203125" style="55"/>
    <col min="12" max="12" width="15.83203125" style="55"/>
    <col min="13" max="13" width="5.1640625" customWidth="true" style="55"/>
  </cols>
  <sheetData>
    <row r="1" spans="1:13" customHeight="1" ht="9">
      <c r="A1" s="55"/>
      <c r="B1" s="54"/>
      <c r="C1" s="54"/>
      <c r="D1" s="54"/>
      <c r="E1" s="54"/>
      <c r="F1" s="54"/>
      <c r="G1" s="54"/>
      <c r="H1" s="54"/>
      <c r="I1" s="54"/>
    </row>
    <row r="2" spans="1:13" customHeight="1" ht="32.25">
      <c r="B2" s="166" t="s">
        <v>0</v>
      </c>
      <c r="C2" s="167"/>
      <c r="D2" s="56"/>
      <c r="E2" s="168" t="s">
        <v>1</v>
      </c>
      <c r="F2" s="169"/>
      <c r="G2" s="56"/>
    </row>
    <row r="3" spans="1:13" customHeight="1" ht="12.75">
      <c r="B3" s="56"/>
      <c r="C3" s="56"/>
      <c r="D3" s="56"/>
      <c r="E3" s="57"/>
      <c r="F3" s="57"/>
      <c r="G3" s="56"/>
    </row>
    <row r="4" spans="1:13" customHeight="1" ht="20">
      <c r="B4" s="58" t="s">
        <v>2</v>
      </c>
      <c r="C4" s="59">
        <v>1520</v>
      </c>
      <c r="D4" s="60"/>
      <c r="E4" s="61" t="s">
        <v>3</v>
      </c>
      <c r="F4" s="7" t="str">
        <f>'Lagging Calculations'!B53</f>
        <v>0</v>
      </c>
      <c r="G4" s="1"/>
    </row>
    <row r="5" spans="1:13" customHeight="1" ht="6">
      <c r="B5" s="62"/>
      <c r="C5" s="62"/>
      <c r="D5" s="56"/>
      <c r="E5" s="57"/>
      <c r="F5" s="57"/>
      <c r="G5" s="56"/>
    </row>
    <row r="6" spans="1:13" customHeight="1" ht="20">
      <c r="B6" s="58" t="s">
        <v>4</v>
      </c>
      <c r="C6" s="9">
        <v>12200</v>
      </c>
      <c r="D6" s="56"/>
      <c r="E6" s="58" t="s">
        <v>5</v>
      </c>
      <c r="F6" s="8" t="str">
        <f>'Lagging Calculations'!D101</f>
        <v>0</v>
      </c>
      <c r="G6" s="56" t="s">
        <v>6</v>
      </c>
    </row>
    <row r="7" spans="1:13" customHeight="1" ht="6">
      <c r="B7" s="63"/>
      <c r="C7" s="64"/>
      <c r="D7" s="56"/>
      <c r="E7" s="57"/>
      <c r="F7" s="57"/>
      <c r="G7" s="56"/>
    </row>
    <row r="8" spans="1:13" customHeight="1" ht="20">
      <c r="B8" s="58" t="s">
        <v>7</v>
      </c>
      <c r="C8" s="9">
        <v>100</v>
      </c>
      <c r="D8" s="56"/>
      <c r="G8" s="56"/>
    </row>
    <row r="9" spans="1:13" customHeight="1" ht="6">
      <c r="B9" s="63"/>
      <c r="C9" s="64"/>
      <c r="D9" s="56"/>
    </row>
    <row r="10" spans="1:13" customHeight="1" ht="20">
      <c r="B10" s="58" t="s">
        <v>8</v>
      </c>
      <c r="C10" s="9">
        <v>800</v>
      </c>
      <c r="D10" s="56"/>
      <c r="E10" s="58" t="s">
        <v>9</v>
      </c>
      <c r="F10" s="8" t="str">
        <f>'Lagging Calculations'!B109</f>
        <v>0</v>
      </c>
    </row>
    <row r="11" spans="1:13" customHeight="1" ht="6">
      <c r="B11" s="62"/>
      <c r="C11" s="65"/>
      <c r="D11" s="56"/>
      <c r="E11" s="57"/>
      <c r="F11" s="57"/>
    </row>
    <row r="12" spans="1:13" customHeight="1" ht="20">
      <c r="B12" s="58" t="s">
        <v>10</v>
      </c>
      <c r="C12" s="9">
        <v>1</v>
      </c>
      <c r="D12" s="56"/>
      <c r="E12" s="58" t="s">
        <v>11</v>
      </c>
      <c r="F12" s="8" t="str">
        <f>'Lagging Calculations'!B89</f>
        <v>0</v>
      </c>
      <c r="G12" s="2"/>
    </row>
    <row r="13" spans="1:13" customHeight="1" ht="6">
      <c r="B13" s="62"/>
      <c r="C13" s="62"/>
      <c r="D13" s="56"/>
      <c r="E13" s="57"/>
      <c r="F13" s="57"/>
      <c r="H13" s="56"/>
      <c r="I13" s="56"/>
    </row>
    <row r="14" spans="1:13" customHeight="1" ht="20">
      <c r="B14" s="58" t="s">
        <v>12</v>
      </c>
      <c r="C14" s="59">
        <v>6</v>
      </c>
      <c r="D14" s="66"/>
      <c r="E14" s="177" t="s">
        <v>13</v>
      </c>
      <c r="F14" s="180" t="str">
        <f>'Lagging Calculations'!B123</f>
        <v>0</v>
      </c>
    </row>
    <row r="15" spans="1:13" customHeight="1" ht="6">
      <c r="B15" s="62"/>
      <c r="C15" s="62"/>
      <c r="D15" s="56"/>
      <c r="E15" s="178"/>
      <c r="F15" s="181"/>
    </row>
    <row r="16" spans="1:13" customHeight="1" ht="20">
      <c r="B16" s="58" t="s">
        <v>14</v>
      </c>
      <c r="C16" s="59" t="s">
        <v>15</v>
      </c>
      <c r="D16" s="66"/>
      <c r="E16" s="179"/>
      <c r="F16" s="182"/>
    </row>
    <row r="17" spans="1:13" customHeight="1" ht="6">
      <c r="B17" s="67"/>
      <c r="C17" s="67"/>
      <c r="D17" s="56"/>
      <c r="E17" s="56"/>
    </row>
    <row r="18" spans="1:13" customHeight="1" ht="20">
      <c r="B18" s="68" t="s">
        <v>16</v>
      </c>
      <c r="C18" s="3" t="str">
        <f>'Lagging Calculations'!B26</f>
        <v>0</v>
      </c>
      <c r="D18" s="66"/>
      <c r="E18" s="56"/>
    </row>
    <row r="19" spans="1:13" customHeight="1" ht="6">
      <c r="B19" s="57"/>
      <c r="C19" s="57"/>
      <c r="D19" s="56"/>
    </row>
    <row r="20" spans="1:13" customHeight="1" ht="20">
      <c r="B20" s="68" t="s">
        <v>17</v>
      </c>
      <c r="C20" s="3" t="str">
        <f>'Lagging Calculations'!B18</f>
        <v>0</v>
      </c>
      <c r="D20" s="60"/>
      <c r="E20" s="69" t="s">
        <v>18</v>
      </c>
      <c r="F20" s="53">
        <v>0.35</v>
      </c>
    </row>
    <row r="21" spans="1:13" customHeight="1" ht="6">
      <c r="B21" s="57"/>
      <c r="C21" s="57"/>
      <c r="D21" s="56"/>
      <c r="E21" s="57"/>
      <c r="F21" s="57"/>
      <c r="H21" s="70"/>
      <c r="I21" s="56"/>
    </row>
    <row r="22" spans="1:13" customHeight="1" ht="29.25">
      <c r="B22" s="184" t="s">
        <v>19</v>
      </c>
      <c r="C22" s="185"/>
      <c r="D22" s="56"/>
      <c r="E22" s="71" t="s">
        <v>20</v>
      </c>
      <c r="F22" s="52" t="str">
        <f>'Lagging Calculations'!B115</f>
        <v>0</v>
      </c>
      <c r="H22" s="56"/>
      <c r="I22" s="56"/>
    </row>
    <row r="23" spans="1:13" customHeight="1" ht="6">
      <c r="B23" s="67"/>
      <c r="C23" s="67"/>
      <c r="D23" s="56"/>
      <c r="E23" s="57"/>
      <c r="F23" s="57"/>
      <c r="G23" s="56"/>
    </row>
    <row r="24" spans="1:13" customHeight="1" ht="20">
      <c r="B24" s="58" t="s">
        <v>21</v>
      </c>
      <c r="C24" s="4">
        <v>4.8</v>
      </c>
      <c r="E24" s="72" t="s">
        <v>22</v>
      </c>
      <c r="F24" s="51">
        <v>0.35</v>
      </c>
      <c r="G24" s="56"/>
      <c r="H24" s="56"/>
      <c r="I24" s="56"/>
    </row>
    <row r="25" spans="1:13" customHeight="1" ht="6">
      <c r="B25" s="67"/>
      <c r="C25" s="67"/>
      <c r="D25" s="56"/>
      <c r="E25" s="57"/>
      <c r="F25" s="57"/>
      <c r="G25" s="56"/>
      <c r="H25" s="56"/>
      <c r="I25" s="56"/>
    </row>
    <row r="26" spans="1:13" customHeight="1" ht="20" hidden="true">
      <c r="B26" s="58" t="s">
        <v>23</v>
      </c>
      <c r="C26" s="5" t="str">
        <f>'Lagging Calculations'!B85</f>
        <v>0</v>
      </c>
      <c r="E26" s="72" t="s">
        <v>24</v>
      </c>
      <c r="F26" s="50" t="str">
        <f>'Lagging Calculations'!B118</f>
        <v>0</v>
      </c>
      <c r="G26" s="56"/>
      <c r="H26" s="56"/>
      <c r="I26" s="56"/>
    </row>
    <row r="27" spans="1:13" customHeight="1" ht="21" hidden="true">
      <c r="B27" s="62"/>
      <c r="C27" s="62"/>
      <c r="D27" s="56"/>
      <c r="E27" s="57"/>
      <c r="F27" s="57"/>
      <c r="G27" s="56"/>
      <c r="H27" s="56"/>
      <c r="I27" s="56"/>
    </row>
    <row r="28" spans="1:13" customHeight="1" ht="20">
      <c r="B28" s="10" t="s">
        <v>25</v>
      </c>
      <c r="C28" s="10" t="str">
        <f>'Lagging Calculations'!D102</f>
        <v>0</v>
      </c>
      <c r="D28" s="56"/>
      <c r="E28" s="174" t="s">
        <v>26</v>
      </c>
      <c r="F28" s="183" t="str">
        <f>'Lagging Calculations'!B120</f>
        <v>0</v>
      </c>
      <c r="G28" s="56"/>
      <c r="H28" s="56"/>
      <c r="I28" s="56"/>
    </row>
    <row r="29" spans="1:13" customHeight="1" ht="6">
      <c r="B29" s="67"/>
      <c r="C29" s="67"/>
      <c r="D29" s="56"/>
      <c r="E29" s="175"/>
      <c r="F29" s="175"/>
      <c r="G29" s="56"/>
      <c r="H29" s="56"/>
      <c r="I29" s="56"/>
    </row>
    <row r="30" spans="1:13" customHeight="1" ht="21.75" hidden="true">
      <c r="B30" s="58" t="s">
        <v>27</v>
      </c>
      <c r="C30" s="58" t="str">
        <f>'Lagging Calculations'!B77</f>
        <v>0</v>
      </c>
      <c r="D30" s="56"/>
      <c r="E30" s="175"/>
      <c r="F30" s="175"/>
    </row>
    <row r="31" spans="1:13" customHeight="1" ht="21" hidden="true">
      <c r="B31" s="57"/>
      <c r="C31" s="57"/>
      <c r="E31" s="175"/>
      <c r="F31" s="175"/>
    </row>
    <row r="32" spans="1:13" customHeight="1" ht="21.75" hidden="true">
      <c r="B32" s="58" t="s">
        <v>28</v>
      </c>
      <c r="C32" s="5" t="str">
        <f>'Lagging Calculations'!B104</f>
        <v>0</v>
      </c>
      <c r="E32" s="175"/>
      <c r="F32" s="175"/>
    </row>
    <row r="33" spans="1:13" customHeight="1" ht="21" hidden="true">
      <c r="B33" s="67"/>
      <c r="C33" s="67"/>
      <c r="E33" s="175"/>
      <c r="F33" s="175"/>
    </row>
    <row r="34" spans="1:13" customHeight="1" ht="14.25">
      <c r="B34" s="170" t="s">
        <v>29</v>
      </c>
      <c r="C34" s="171"/>
      <c r="E34" s="176"/>
      <c r="F34" s="176"/>
    </row>
    <row r="35" spans="1:13" customHeight="1" ht="12.75">
      <c r="B35" s="172"/>
      <c r="C35" s="173"/>
      <c r="E35" s="57"/>
    </row>
    <row r="36" spans="1:13" customHeight="1" ht="6">
      <c r="B36" s="57"/>
      <c r="C36" s="57"/>
    </row>
    <row r="37" spans="1:13" customHeight="1" ht="22">
      <c r="B37" s="10" t="s">
        <v>30</v>
      </c>
      <c r="C37" s="10" t="str">
        <f>'Lagging Calculations'!B88</f>
        <v>0</v>
      </c>
    </row>
    <row r="38" spans="1:13" customHeight="1" ht="21" hidden="true">
      <c r="B38" s="67"/>
      <c r="C38" s="67"/>
    </row>
    <row r="39" spans="1:13" customHeight="1" ht="21.75" hidden="true">
      <c r="B39" s="58" t="s">
        <v>23</v>
      </c>
      <c r="C39" s="5" t="str">
        <f>'Lagging Calculations'!B84</f>
        <v>0</v>
      </c>
    </row>
    <row r="40" spans="1:13" customHeight="1" ht="21" hidden="true">
      <c r="B40" s="62"/>
      <c r="C40" s="62"/>
    </row>
    <row r="41" spans="1:13" customHeight="1" ht="21.75" hidden="true">
      <c r="B41" s="58" t="s">
        <v>27</v>
      </c>
      <c r="C41" s="58" t="str">
        <f>'Lagging Calculations'!B76</f>
        <v>0</v>
      </c>
    </row>
    <row r="42" spans="1:13" customHeight="1" ht="17.25" hidden="true">
      <c r="B42" s="67"/>
      <c r="C42" s="67"/>
    </row>
    <row r="43" spans="1:13" customHeight="1" ht="21.75" hidden="true">
      <c r="B43" s="58" t="s">
        <v>31</v>
      </c>
      <c r="C43" s="58" t="str">
        <f>'Lagging Calculations'!D94</f>
        <v>0</v>
      </c>
    </row>
    <row r="44" spans="1:13" customHeight="1" ht="6">
      <c r="B44" s="57"/>
      <c r="C44" s="57"/>
    </row>
    <row r="45" spans="1:13" customHeight="1" ht="15.75">
      <c r="B45" s="170" t="s">
        <v>32</v>
      </c>
      <c r="C45" s="171"/>
    </row>
    <row r="46" spans="1:13" customHeight="1" ht="11.25">
      <c r="B46" s="172"/>
      <c r="C46" s="173"/>
    </row>
    <row r="47" spans="1:13" customHeight="1" ht="6">
      <c r="B47" s="57"/>
      <c r="C47" s="57"/>
    </row>
    <row r="48" spans="1:13" customHeight="1" ht="22">
      <c r="B48" s="10" t="s">
        <v>33</v>
      </c>
      <c r="C48" s="6" t="str">
        <f>'Lagging Calculations'!B108</f>
        <v>0</v>
      </c>
    </row>
    <row r="49" spans="1:13" customHeight="1" ht="21"/>
  </sheetData>
  <sheetProtection password="E50E" sheet="tru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false"/>
  <mergeCells>
    <mergeCell ref="B2:C2"/>
    <mergeCell ref="E2:F2"/>
    <mergeCell ref="B34:C35"/>
    <mergeCell ref="E28:E34"/>
    <mergeCell ref="B45:C46"/>
    <mergeCell ref="E14:E16"/>
    <mergeCell ref="F14:F16"/>
    <mergeCell ref="F28:F34"/>
    <mergeCell ref="B22:C22"/>
  </mergeCells>
  <dataValidations count="4">
    <dataValidation type="list" errorStyle="stop" operator="between" allowBlank="1" showDropDown="0" showInputMessage="1" showErrorMessage="1" promptTitle="Lagging Type" sqref="C16">
      <formula1>Lagging_Type</formula1>
    </dataValidation>
    <dataValidation type="list" errorStyle="stop" operator="between" allowBlank="1" showDropDown="0" showInputMessage="1" showErrorMessage="1" sqref="C24">
      <formula1>Glue_tin_size</formula1>
    </dataValidation>
    <dataValidation type="list" errorStyle="stop" operator="between" allowBlank="1" showDropDown="0" showInputMessage="1" showErrorMessage="1" sqref="C4">
      <formula1>Belt_Widths</formula1>
    </dataValidation>
    <dataValidation type="list" errorStyle="stop" operator="between" allowBlank="1" showDropDown="0" showInputMessage="0" showErrorMessage="1" promptTitle="Diamond_Natural" prompt="Diamond_Natural_1" sqref="C14">
      <formula1>Lagging_Thickness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42"/>
  <sheetViews>
    <sheetView tabSelected="0" workbookViewId="0" showGridLines="true" showRowColHeaders="1">
      <selection activeCell="B122" sqref="B122"/>
    </sheetView>
  </sheetViews>
  <sheetFormatPr customHeight="true" defaultRowHeight="13" defaultColWidth="9.1640625" outlineLevelRow="0" outlineLevelCol="0"/>
  <cols>
    <col min="1" max="1" width="35.5" customWidth="true" style="11"/>
    <col min="2" max="2" width="29.33203125" customWidth="true" style="11"/>
    <col min="3" max="3" width="14.1640625" customWidth="true" style="11"/>
    <col min="4" max="4" width="9.1640625" style="11"/>
    <col min="5" max="5" width="23.5" customWidth="true" style="11"/>
    <col min="6" max="6" width="15.83203125" customWidth="true" style="11"/>
    <col min="7" max="7" width="7.5" customWidth="true" style="11"/>
    <col min="8" max="8" width="19.83203125" customWidth="true" style="11"/>
    <col min="9" max="9" width="23.5" customWidth="true" style="11"/>
    <col min="10" max="10" width="11.1640625" customWidth="true" style="11"/>
    <col min="11" max="11" width="20.83203125" customWidth="true" style="11"/>
  </cols>
  <sheetData>
    <row r="2" spans="1:12" customHeight="1" ht="13">
      <c r="E2" s="12" t="s">
        <v>34</v>
      </c>
      <c r="K2" s="11" t="s">
        <v>35</v>
      </c>
    </row>
    <row r="3" spans="1:12" customHeight="1" ht="13">
      <c r="A3" s="13" t="s">
        <v>36</v>
      </c>
      <c r="B3" s="14" t="str">
        <f>'Lagging Calculator'!C6</f>
        <v>0</v>
      </c>
      <c r="C3" s="11" t="s">
        <v>37</v>
      </c>
      <c r="E3" s="15" t="s">
        <v>38</v>
      </c>
      <c r="F3" s="15">
        <v>6</v>
      </c>
      <c r="G3" s="16" t="s">
        <v>37</v>
      </c>
      <c r="H3" s="75" t="s">
        <v>39</v>
      </c>
      <c r="I3" s="11" t="str">
        <f>B3+B23</f>
        <v>0</v>
      </c>
      <c r="J3" s="75"/>
    </row>
    <row r="4" spans="1:12" customHeight="1" ht="13">
      <c r="A4" s="13" t="s">
        <v>8</v>
      </c>
      <c r="B4" s="14" t="str">
        <f>'Lagging Calculator'!C10</f>
        <v>0</v>
      </c>
      <c r="C4" s="11" t="s">
        <v>37</v>
      </c>
      <c r="E4" s="15" t="s">
        <v>40</v>
      </c>
      <c r="F4" s="15">
        <v>3300</v>
      </c>
      <c r="G4" s="16" t="s">
        <v>37</v>
      </c>
      <c r="I4" s="11" t="str">
        <f>F11/I3</f>
        <v>0</v>
      </c>
      <c r="K4" s="11" t="str">
        <f>F4/I3</f>
        <v>0</v>
      </c>
    </row>
    <row r="5" spans="1:12" customHeight="1" ht="13">
      <c r="A5" s="13" t="s">
        <v>10</v>
      </c>
      <c r="B5" s="14" t="str">
        <f>'Lagging Calculator'!C12</f>
        <v>0</v>
      </c>
      <c r="E5" s="15" t="s">
        <v>41</v>
      </c>
      <c r="F5" s="17">
        <v>114</v>
      </c>
      <c r="H5" s="11" t="s">
        <v>42</v>
      </c>
      <c r="I5" s="11" t="str">
        <f>ROUNDDOWN(I4,0)</f>
        <v>0</v>
      </c>
      <c r="K5" s="11" t="str">
        <f>ROUNDDOWN(K4,0)</f>
        <v>0</v>
      </c>
    </row>
    <row r="6" spans="1:12" customHeight="1" ht="13">
      <c r="A6" s="13" t="s">
        <v>2</v>
      </c>
      <c r="B6" s="14" t="str">
        <f>'Lagging Calculator'!C4</f>
        <v>0</v>
      </c>
      <c r="C6" s="11" t="s">
        <v>37</v>
      </c>
      <c r="E6" s="15" t="s">
        <v>43</v>
      </c>
      <c r="F6" s="17">
        <v>137</v>
      </c>
      <c r="H6" s="11" t="s">
        <v>16</v>
      </c>
      <c r="I6" s="11" t="str">
        <f>C17/I5</f>
        <v>0</v>
      </c>
      <c r="K6" s="11" t="str">
        <f>C17/K5</f>
        <v>0</v>
      </c>
    </row>
    <row r="7" spans="1:12" customHeight="1" ht="13">
      <c r="A7" s="13" t="s">
        <v>14</v>
      </c>
      <c r="B7" s="14" t="str">
        <f>K23</f>
        <v>0</v>
      </c>
      <c r="H7" s="11" t="s">
        <v>16</v>
      </c>
      <c r="I7" s="11" t="str">
        <f>ROUNDUP(I6,0)</f>
        <v>0</v>
      </c>
    </row>
    <row r="8" spans="1:12" customHeight="1" ht="13">
      <c r="A8" s="13" t="s">
        <v>12</v>
      </c>
      <c r="B8" s="14" t="str">
        <f>K15</f>
        <v>0</v>
      </c>
      <c r="I8" s="74"/>
      <c r="J8" s="11" t="s">
        <v>44</v>
      </c>
    </row>
    <row r="9" spans="1:12" customHeight="1" ht="13">
      <c r="F9" s="12" t="s">
        <v>45</v>
      </c>
      <c r="I9" s="14"/>
      <c r="J9" s="19" t="s">
        <v>46</v>
      </c>
    </row>
    <row r="10" spans="1:12" customHeight="1" ht="13">
      <c r="A10" s="13" t="s">
        <v>47</v>
      </c>
      <c r="B10" s="20" t="str">
        <f>PI()*B4</f>
        <v>0</v>
      </c>
      <c r="C10" s="19" t="s">
        <v>37</v>
      </c>
      <c r="D10" s="19"/>
      <c r="I10" s="21"/>
      <c r="J10" s="13" t="s">
        <v>48</v>
      </c>
    </row>
    <row r="11" spans="1:12" customHeight="1" ht="13">
      <c r="A11" s="13"/>
      <c r="B11" s="13"/>
      <c r="C11" s="19"/>
      <c r="D11" s="19"/>
      <c r="E11" s="13" t="s">
        <v>40</v>
      </c>
      <c r="F11" s="21">
        <v>6500</v>
      </c>
      <c r="G11" s="19" t="s">
        <v>37</v>
      </c>
      <c r="I11" s="22"/>
      <c r="J11" s="13" t="s">
        <v>49</v>
      </c>
    </row>
    <row r="12" spans="1:12" customHeight="1" ht="13">
      <c r="A12" s="13" t="s">
        <v>50</v>
      </c>
      <c r="B12" s="20" t="str">
        <f>B10*B3*B5</f>
        <v>0</v>
      </c>
      <c r="C12" s="19" t="s">
        <v>51</v>
      </c>
      <c r="D12" s="19"/>
      <c r="E12" s="13" t="s">
        <v>52</v>
      </c>
      <c r="F12" s="21">
        <v>200</v>
      </c>
      <c r="G12" s="19" t="s">
        <v>37</v>
      </c>
      <c r="I12" s="23"/>
      <c r="J12" s="13" t="s">
        <v>53</v>
      </c>
    </row>
    <row r="13" spans="1:12" customHeight="1" ht="13">
      <c r="A13" s="13"/>
      <c r="B13" s="20" t="str">
        <f>B12*10^-6</f>
        <v>0</v>
      </c>
      <c r="C13" s="19" t="s">
        <v>54</v>
      </c>
      <c r="D13" s="19"/>
      <c r="E13" s="13"/>
      <c r="F13" s="13"/>
      <c r="G13" s="13"/>
    </row>
    <row r="14" spans="1:12" customHeight="1" ht="13">
      <c r="A14" s="13"/>
      <c r="B14" s="13"/>
      <c r="C14" s="19"/>
      <c r="D14" s="19"/>
      <c r="E14" s="13"/>
      <c r="F14" s="24" t="s">
        <v>55</v>
      </c>
      <c r="G14" s="24" t="s">
        <v>56</v>
      </c>
      <c r="I14" s="12" t="s">
        <v>12</v>
      </c>
    </row>
    <row r="15" spans="1:12" customHeight="1" ht="13">
      <c r="A15" s="13" t="s">
        <v>57</v>
      </c>
      <c r="B15" s="22" t="str">
        <f>B10/F12</f>
        <v>0</v>
      </c>
      <c r="C15" s="19"/>
      <c r="D15" s="19"/>
      <c r="E15" s="15" t="s">
        <v>15</v>
      </c>
      <c r="F15" s="15">
        <v>10</v>
      </c>
      <c r="G15" s="17">
        <v>191</v>
      </c>
      <c r="I15" s="25">
        <v>6</v>
      </c>
      <c r="J15" s="11">
        <v>1</v>
      </c>
      <c r="K15" s="13" t="str">
        <f>LOOKUP(L15,J15:J21,Lagging_Thickness)</f>
        <v>0</v>
      </c>
      <c r="L15" s="49">
        <v>3</v>
      </c>
    </row>
    <row r="16" spans="1:12" customHeight="1" ht="13">
      <c r="A16" s="13" t="s">
        <v>58</v>
      </c>
      <c r="C16" s="23" t="s">
        <v>59</v>
      </c>
      <c r="D16" s="19"/>
      <c r="E16" s="13"/>
      <c r="F16" s="15">
        <v>12</v>
      </c>
      <c r="G16" s="17">
        <v>233</v>
      </c>
      <c r="I16" s="25">
        <v>10</v>
      </c>
      <c r="J16" s="11">
        <v>2</v>
      </c>
    </row>
    <row r="17" spans="1:12" customHeight="1" ht="13">
      <c r="A17" s="13" t="s">
        <v>60</v>
      </c>
      <c r="B17" s="76" t="str">
        <f>ROUNDUP(B15,0)</f>
        <v>0</v>
      </c>
      <c r="C17" s="23" t="str">
        <f>B17*B5</f>
        <v>0</v>
      </c>
      <c r="D17" s="19"/>
      <c r="E17" s="13"/>
      <c r="F17" s="15">
        <v>15</v>
      </c>
      <c r="G17" s="17">
        <v>291</v>
      </c>
      <c r="I17" s="26">
        <v>12</v>
      </c>
      <c r="J17" s="11">
        <v>3</v>
      </c>
    </row>
    <row r="18" spans="1:12" customHeight="1" ht="13">
      <c r="A18" s="13" t="s">
        <v>61</v>
      </c>
      <c r="B18" s="13" t="str">
        <f>IF(B7=I31,C17,IF(B7=I32,C17,IF(B7=I29,C17,IF(B7=I30,C17,H60))))</f>
        <v>0</v>
      </c>
      <c r="C18" s="19"/>
      <c r="D18" s="19"/>
      <c r="E18" s="13"/>
      <c r="F18" s="15">
        <v>20</v>
      </c>
      <c r="G18" s="17">
        <v>356</v>
      </c>
      <c r="I18" s="25">
        <v>15</v>
      </c>
      <c r="J18" s="11">
        <v>4</v>
      </c>
    </row>
    <row r="19" spans="1:12" customHeight="1" ht="13">
      <c r="A19" s="13" t="s">
        <v>62</v>
      </c>
      <c r="B19" s="22" t="str">
        <f>B22/F4</f>
        <v>0</v>
      </c>
      <c r="C19" s="19"/>
      <c r="D19" s="19"/>
      <c r="F19" s="27">
        <v>30</v>
      </c>
      <c r="G19" s="28"/>
      <c r="I19" s="25">
        <v>20</v>
      </c>
      <c r="J19" s="11">
        <v>5</v>
      </c>
    </row>
    <row r="20" spans="1:12" customHeight="1" ht="13">
      <c r="A20" s="12"/>
      <c r="B20" s="23" t="str">
        <f>K6</f>
        <v>0</v>
      </c>
      <c r="C20" s="19"/>
      <c r="D20" s="19"/>
      <c r="E20" s="15" t="s">
        <v>63</v>
      </c>
      <c r="F20" s="15">
        <v>10</v>
      </c>
      <c r="G20" s="17">
        <v>215</v>
      </c>
      <c r="I20" s="25">
        <v>25</v>
      </c>
      <c r="J20" s="11">
        <v>6</v>
      </c>
    </row>
    <row r="21" spans="1:12" customHeight="1" ht="13">
      <c r="A21" s="13"/>
      <c r="B21" s="13"/>
      <c r="C21" s="19"/>
      <c r="D21" s="19"/>
      <c r="E21" s="13"/>
      <c r="F21" s="15">
        <v>12</v>
      </c>
      <c r="G21" s="17">
        <v>256</v>
      </c>
      <c r="I21" s="25">
        <v>30</v>
      </c>
      <c r="J21" s="11">
        <v>7</v>
      </c>
    </row>
    <row r="22" spans="1:12" customHeight="1" ht="13">
      <c r="A22" s="13" t="s">
        <v>64</v>
      </c>
      <c r="B22" s="22" t="str">
        <f>(B17*B3*B5)+B23</f>
        <v>0</v>
      </c>
      <c r="C22" s="19" t="s">
        <v>37</v>
      </c>
      <c r="D22" s="19"/>
      <c r="E22" s="13"/>
      <c r="F22" s="15">
        <v>15</v>
      </c>
      <c r="G22" s="17">
        <v>304</v>
      </c>
      <c r="I22" s="12" t="s">
        <v>65</v>
      </c>
    </row>
    <row r="23" spans="1:12" customHeight="1" ht="13">
      <c r="A23" s="13" t="s">
        <v>66</v>
      </c>
      <c r="B23" s="13" t="str">
        <f>'Lagging Calculator'!C8</f>
        <v>0</v>
      </c>
      <c r="C23" s="19" t="s">
        <v>37</v>
      </c>
      <c r="D23" s="19"/>
      <c r="E23" s="13"/>
      <c r="F23" s="15">
        <v>20</v>
      </c>
      <c r="G23" s="17">
        <v>369</v>
      </c>
      <c r="I23" s="25" t="s">
        <v>15</v>
      </c>
      <c r="J23" s="11">
        <v>1</v>
      </c>
      <c r="K23" s="11" t="str">
        <f>LOOKUP(L23,J23:J34,Lagging_Type)</f>
        <v>0</v>
      </c>
      <c r="L23" s="49">
        <v>8</v>
      </c>
    </row>
    <row r="24" spans="1:12" customHeight="1" ht="13">
      <c r="A24" s="13" t="s">
        <v>16</v>
      </c>
      <c r="B24" s="20" t="str">
        <f>B22/F11</f>
        <v>0</v>
      </c>
      <c r="C24" s="19"/>
      <c r="D24" s="19"/>
      <c r="F24" s="27"/>
      <c r="G24" s="29"/>
      <c r="I24" s="25" t="s">
        <v>63</v>
      </c>
      <c r="J24" s="11">
        <v>2</v>
      </c>
    </row>
    <row r="25" spans="1:12" customHeight="1" ht="13">
      <c r="A25" s="13" t="s">
        <v>16</v>
      </c>
      <c r="B25" s="23" t="str">
        <f>I7</f>
        <v>0</v>
      </c>
      <c r="C25" s="19"/>
      <c r="D25" s="19"/>
      <c r="E25" s="15" t="s">
        <v>67</v>
      </c>
      <c r="F25" s="15">
        <v>10</v>
      </c>
      <c r="G25" s="17">
        <v>262</v>
      </c>
      <c r="I25" s="25" t="s">
        <v>67</v>
      </c>
      <c r="J25" s="11">
        <v>3</v>
      </c>
    </row>
    <row r="26" spans="1:12" customHeight="1" ht="13">
      <c r="A26" s="13" t="s">
        <v>68</v>
      </c>
      <c r="B26" s="78" t="str">
        <f>IF('Lagging Calculations'!B7='Lagging Calculations'!I31,'Lagging Calculations'!H60,IF('Lagging Calculations'!B7='Lagging Calculations'!I32,'Lagging Calculations'!H60,IF(B7=I33,B20,IF(B7=I34,B20,IF(B7=I29,H60,IF(B7=I30,H60,B25))))))</f>
        <v>0</v>
      </c>
      <c r="D26" s="19"/>
      <c r="E26" s="13"/>
      <c r="F26" s="15">
        <v>12</v>
      </c>
      <c r="G26" s="17">
        <v>298</v>
      </c>
      <c r="I26" s="25" t="s">
        <v>69</v>
      </c>
      <c r="J26" s="11">
        <v>4</v>
      </c>
    </row>
    <row r="27" spans="1:12" customHeight="1" ht="13">
      <c r="A27" s="13"/>
      <c r="B27" s="13" t="str">
        <f>(B25-B24)*F11</f>
        <v>0</v>
      </c>
      <c r="C27" s="19" t="s">
        <v>37</v>
      </c>
      <c r="D27" s="19"/>
      <c r="E27" s="13"/>
      <c r="F27" s="15">
        <v>15</v>
      </c>
      <c r="G27" s="17">
        <v>392</v>
      </c>
      <c r="I27" s="25" t="s">
        <v>70</v>
      </c>
      <c r="J27" s="11">
        <v>5</v>
      </c>
    </row>
    <row r="28" spans="1:12" customHeight="1" ht="13">
      <c r="A28" s="13"/>
      <c r="B28" s="13" t="str">
        <f>B27*10^-3</f>
        <v>0</v>
      </c>
      <c r="C28" s="19" t="s">
        <v>6</v>
      </c>
      <c r="D28" s="19"/>
      <c r="E28" s="13"/>
      <c r="F28" s="15">
        <v>20</v>
      </c>
      <c r="G28" s="17">
        <v>481</v>
      </c>
      <c r="I28" s="25" t="s">
        <v>71</v>
      </c>
      <c r="J28" s="11">
        <v>6</v>
      </c>
    </row>
    <row r="29" spans="1:12" customHeight="1" ht="13">
      <c r="A29" s="13" t="s">
        <v>72</v>
      </c>
      <c r="B29" s="13" t="str">
        <f>ROUNDDOWN(B28,0)</f>
        <v>0</v>
      </c>
      <c r="C29" s="19" t="s">
        <v>6</v>
      </c>
      <c r="D29" s="19"/>
      <c r="F29" s="27"/>
      <c r="G29" s="29"/>
      <c r="I29" s="25" t="s">
        <v>73</v>
      </c>
      <c r="J29" s="11">
        <v>7</v>
      </c>
    </row>
    <row r="30" spans="1:12" customHeight="1" ht="13">
      <c r="B30" s="12" t="s">
        <v>74</v>
      </c>
      <c r="D30" s="19"/>
      <c r="E30" s="15" t="s">
        <v>69</v>
      </c>
      <c r="F30" s="15">
        <v>10</v>
      </c>
      <c r="G30" s="17">
        <v>286</v>
      </c>
      <c r="I30" s="25" t="s">
        <v>75</v>
      </c>
      <c r="J30" s="11">
        <v>8</v>
      </c>
    </row>
    <row r="31" spans="1:12" customHeight="1" ht="13">
      <c r="A31" s="13"/>
      <c r="B31" s="13"/>
      <c r="C31" s="19"/>
      <c r="D31" s="19"/>
      <c r="E31" s="13"/>
      <c r="F31" s="15">
        <v>12</v>
      </c>
      <c r="G31" s="17">
        <v>333</v>
      </c>
      <c r="I31" s="25" t="s">
        <v>76</v>
      </c>
      <c r="J31" s="11">
        <v>9</v>
      </c>
    </row>
    <row r="32" spans="1:12" customHeight="1" ht="13">
      <c r="B32" s="12" t="s">
        <v>77</v>
      </c>
      <c r="C32" s="12" t="s">
        <v>78</v>
      </c>
      <c r="D32" s="12"/>
      <c r="E32" s="13"/>
      <c r="F32" s="15">
        <v>15</v>
      </c>
      <c r="G32" s="17">
        <v>416</v>
      </c>
      <c r="I32" s="25" t="s">
        <v>79</v>
      </c>
      <c r="J32" s="11">
        <v>10</v>
      </c>
    </row>
    <row r="33" spans="1:12" customHeight="1" ht="13">
      <c r="A33" s="15" t="s">
        <v>15</v>
      </c>
      <c r="B33" s="30" t="str">
        <f>IF(B8=I15,H60,IF($B$8=$I$16,G15,IF($B$8=$I$17,G16,IF($B$8=$I$18,G17,IF($B$8=$I$19,G18,I61)))))</f>
        <v>0</v>
      </c>
      <c r="C33" s="30" t="str">
        <f>B33*$B$25</f>
        <v>0</v>
      </c>
      <c r="D33" s="31"/>
      <c r="E33" s="13"/>
      <c r="F33" s="15">
        <v>20</v>
      </c>
      <c r="G33" s="17">
        <v>506</v>
      </c>
      <c r="I33" s="25" t="s">
        <v>41</v>
      </c>
      <c r="J33" s="11">
        <v>11</v>
      </c>
    </row>
    <row r="34" spans="1:12" customHeight="1" ht="13">
      <c r="A34" s="15" t="s">
        <v>63</v>
      </c>
      <c r="B34" s="30" t="str">
        <f>IF(B8=I15,H60,IF($B$8=$I$16,G20,IF($B$8=$I$17,G21,IF($B$8=$I$18,G22,IF($B$8=$I$19,G23,I61)))))</f>
        <v>0</v>
      </c>
      <c r="C34" s="30" t="str">
        <f>B34*$B$25</f>
        <v>0</v>
      </c>
      <c r="D34" s="31"/>
      <c r="F34" s="27"/>
      <c r="G34" s="29"/>
      <c r="I34" s="25" t="s">
        <v>43</v>
      </c>
      <c r="J34" s="11">
        <v>12</v>
      </c>
    </row>
    <row r="35" spans="1:12" customHeight="1" ht="13">
      <c r="A35" s="15" t="s">
        <v>67</v>
      </c>
      <c r="B35" s="30" t="str">
        <f>IF(B8=I15,H60,IF($B$8=$I$16,G25,IF($B$8=$I$17,G26,IF($B$8=$I$18,G27,IF($B$8=$I$19,G28,I61)))))</f>
        <v>0</v>
      </c>
      <c r="C35" s="30" t="str">
        <f>B35*$B$25</f>
        <v>0</v>
      </c>
      <c r="D35" s="31"/>
      <c r="E35" s="15" t="s">
        <v>70</v>
      </c>
      <c r="F35" s="15">
        <v>10</v>
      </c>
      <c r="G35" s="29" t="s">
        <v>80</v>
      </c>
    </row>
    <row r="36" spans="1:12" customHeight="1" ht="13">
      <c r="A36" s="15" t="s">
        <v>69</v>
      </c>
      <c r="B36" s="30" t="str">
        <f>IF($B$8=$I$16,G30,IF($B$8=$I$17,G31,IF($B$8=$I$18,G32,IF($B$8=$I$19,G33,I61))))</f>
        <v>0</v>
      </c>
      <c r="C36" s="30" t="str">
        <f>B36*$B$25</f>
        <v>0</v>
      </c>
      <c r="D36" s="31"/>
      <c r="E36" s="13"/>
      <c r="F36" s="15">
        <v>12</v>
      </c>
      <c r="G36" s="17">
        <v>654</v>
      </c>
      <c r="I36" s="12" t="s">
        <v>81</v>
      </c>
    </row>
    <row r="37" spans="1:12" customHeight="1" ht="13">
      <c r="A37" s="15" t="s">
        <v>70</v>
      </c>
      <c r="B37" s="30" t="str">
        <f>IF(B8=I15,G35,IF($B$8=$I$16,H60,IF($B$8=$I$17,G36,IF($B$8=$I$18,I61,IF($B$8=$I$19,I61,I61)))))</f>
        <v>0</v>
      </c>
      <c r="C37" s="30" t="str">
        <f>IF(B37=H60,I61,B37*$B$25)</f>
        <v>0</v>
      </c>
      <c r="D37" s="31"/>
      <c r="E37" s="13"/>
      <c r="F37" s="15">
        <v>15</v>
      </c>
      <c r="G37" s="29"/>
      <c r="I37" s="32">
        <v>460</v>
      </c>
      <c r="J37" s="11">
        <v>1</v>
      </c>
      <c r="K37" s="11" t="str">
        <f>LOOKUP(L37,J37:J59,Belt_Widths)</f>
        <v>0</v>
      </c>
      <c r="L37" s="49">
        <v>16</v>
      </c>
    </row>
    <row r="38" spans="1:12" customHeight="1" ht="13">
      <c r="A38" s="15" t="s">
        <v>71</v>
      </c>
      <c r="B38" s="30" t="str">
        <f>IF(B8=I15,H60,IF($B$8=$I$16,G40,IF($B$8=$I$17,G41,IF($B$8=$I$18,I61,IF($B$8=$I$19,I61,I61)))))</f>
        <v>0</v>
      </c>
      <c r="C38" s="30" t="str">
        <f>IF(B38=H60,I61,B38*$B$25)</f>
        <v>0</v>
      </c>
      <c r="D38" s="31"/>
      <c r="E38" s="13"/>
      <c r="F38" s="15">
        <v>20</v>
      </c>
      <c r="G38" s="29"/>
      <c r="I38" s="32">
        <v>600</v>
      </c>
      <c r="J38" s="11">
        <v>2</v>
      </c>
    </row>
    <row r="39" spans="1:12" customHeight="1" ht="13">
      <c r="A39" s="15" t="s">
        <v>41</v>
      </c>
      <c r="B39" s="33" t="str">
        <f>F5</f>
        <v>0</v>
      </c>
      <c r="C39" s="33" t="str">
        <f>IF(B8=I15,B20*B39,H60)</f>
        <v>0</v>
      </c>
      <c r="D39" s="12"/>
      <c r="F39" s="27"/>
      <c r="G39" s="17"/>
      <c r="I39" s="32">
        <v>760</v>
      </c>
      <c r="J39" s="11">
        <v>3</v>
      </c>
    </row>
    <row r="40" spans="1:12" customHeight="1" ht="13">
      <c r="A40" s="15" t="s">
        <v>43</v>
      </c>
      <c r="B40" s="33" t="str">
        <f>F6</f>
        <v>0</v>
      </c>
      <c r="C40" s="33" t="str">
        <f>IF(B8=I15,B20*B40,H60)</f>
        <v>0</v>
      </c>
      <c r="D40" s="34"/>
      <c r="E40" s="15" t="s">
        <v>71</v>
      </c>
      <c r="F40" s="15">
        <v>10</v>
      </c>
      <c r="G40" s="29" t="s">
        <v>80</v>
      </c>
      <c r="I40" s="32">
        <v>800</v>
      </c>
      <c r="J40" s="11">
        <v>4</v>
      </c>
    </row>
    <row r="41" spans="1:12" customHeight="1" ht="13">
      <c r="D41" s="34"/>
      <c r="E41" s="13"/>
      <c r="F41" s="15">
        <v>12</v>
      </c>
      <c r="G41" s="17">
        <v>743</v>
      </c>
      <c r="I41" s="32">
        <v>900</v>
      </c>
      <c r="J41" s="11">
        <v>5</v>
      </c>
    </row>
    <row r="42" spans="1:12" customHeight="1" ht="13">
      <c r="B42" s="12" t="s">
        <v>82</v>
      </c>
      <c r="C42" s="12" t="s">
        <v>78</v>
      </c>
      <c r="E42" s="13"/>
      <c r="F42" s="15">
        <v>15</v>
      </c>
      <c r="G42" s="29"/>
      <c r="I42" s="32">
        <v>1060</v>
      </c>
      <c r="J42" s="11">
        <v>6</v>
      </c>
    </row>
    <row r="43" spans="1:12" customHeight="1" ht="13">
      <c r="A43" s="15" t="s">
        <v>76</v>
      </c>
      <c r="B43" s="16"/>
      <c r="C43" s="15" t="str">
        <f>IF(B8=I18,C57*1.05,IF(B8=I19,C57*1.125,IF(B8=I21,C57*1.2,IF(B8=I17,C57,IF(B8=I20,I61,H59)))))</f>
        <v>0</v>
      </c>
      <c r="E43" s="13"/>
      <c r="F43" s="15">
        <v>20</v>
      </c>
      <c r="G43" s="29"/>
      <c r="I43" s="32">
        <v>1200</v>
      </c>
      <c r="J43" s="11">
        <v>7</v>
      </c>
    </row>
    <row r="44" spans="1:12" customHeight="1" ht="13">
      <c r="A44" s="15" t="s">
        <v>79</v>
      </c>
      <c r="B44" s="16"/>
      <c r="C44" s="15" t="str">
        <f>IF(B8=I18,C58*1.05,IF(B8=I19,C58*1.125,IF(B8=I21,C58*1.2,IF(B8=I17,C58,IF(B8=I20,I61,H59)))))</f>
        <v>0</v>
      </c>
      <c r="F44" s="27"/>
      <c r="G44" s="73"/>
      <c r="I44" s="32">
        <v>1360</v>
      </c>
      <c r="J44" s="11">
        <v>8</v>
      </c>
    </row>
    <row r="45" spans="1:12" customHeight="1" ht="13">
      <c r="A45" s="13"/>
      <c r="E45" s="161"/>
      <c r="F45" s="162" t="s">
        <v>83</v>
      </c>
      <c r="G45" s="16"/>
      <c r="I45" s="32">
        <v>1400</v>
      </c>
      <c r="J45" s="11">
        <v>9</v>
      </c>
    </row>
    <row r="46" spans="1:12" customHeight="1" ht="13">
      <c r="A46" s="12" t="s">
        <v>84</v>
      </c>
      <c r="B46" s="31" t="str">
        <f>IF(B7=A33,B33,IF(B7=A34,B34,IF(B7=A35,B35,IF(B7=A36,B36,IF(B7=A37,B37,IF(B7=A38,B38))))))</f>
        <v>0</v>
      </c>
      <c r="E46" s="16"/>
      <c r="F46" s="15" t="s">
        <v>39</v>
      </c>
      <c r="G46" s="15" t="s">
        <v>82</v>
      </c>
      <c r="I46" s="32">
        <v>1520</v>
      </c>
      <c r="J46" s="11">
        <v>10</v>
      </c>
    </row>
    <row r="47" spans="1:12" customHeight="1" ht="13">
      <c r="C47" s="36" t="s">
        <v>85</v>
      </c>
      <c r="D47" s="36"/>
      <c r="E47" s="163" t="s">
        <v>73</v>
      </c>
      <c r="F47" s="164">
        <v>460</v>
      </c>
      <c r="G47" s="165">
        <v>109</v>
      </c>
      <c r="I47" s="32">
        <v>1600</v>
      </c>
      <c r="J47" s="11">
        <v>11</v>
      </c>
    </row>
    <row r="48" spans="1:12" customHeight="1" ht="13">
      <c r="A48" s="13" t="s">
        <v>86</v>
      </c>
      <c r="B48" s="31" t="str">
        <f>IF(B46=I62,I61,IF(B46=H60,H59,B46*B25))</f>
        <v>0</v>
      </c>
      <c r="C48" s="11" t="s">
        <v>87</v>
      </c>
      <c r="E48" s="16"/>
      <c r="F48" s="164">
        <v>600</v>
      </c>
      <c r="G48" s="165">
        <v>139.63</v>
      </c>
      <c r="I48" s="32">
        <v>1700</v>
      </c>
      <c r="J48" s="11">
        <v>12</v>
      </c>
    </row>
    <row r="49" spans="1:12" customHeight="1" ht="13">
      <c r="A49" s="13" t="s">
        <v>88</v>
      </c>
      <c r="B49" s="31" t="str">
        <f>IF(B46=H60,I61,B46*B24)</f>
        <v>0</v>
      </c>
      <c r="C49" s="11" t="s">
        <v>89</v>
      </c>
      <c r="E49" s="16"/>
      <c r="F49" s="164">
        <v>760</v>
      </c>
      <c r="G49" s="165">
        <v>174.54</v>
      </c>
      <c r="I49" s="32">
        <v>1800</v>
      </c>
      <c r="J49" s="11">
        <v>13</v>
      </c>
    </row>
    <row r="50" spans="1:12" customHeight="1" ht="13">
      <c r="A50" s="13"/>
      <c r="E50" s="16"/>
      <c r="F50" s="164">
        <v>900</v>
      </c>
      <c r="G50" s="165">
        <v>209.44</v>
      </c>
      <c r="I50" s="32">
        <v>1900</v>
      </c>
      <c r="J50" s="11">
        <v>14</v>
      </c>
    </row>
    <row r="51" spans="1:12" customHeight="1" ht="13">
      <c r="A51" s="13" t="s">
        <v>90</v>
      </c>
      <c r="B51" s="31" t="str">
        <f>IF(B7=I31,B57,IF(B7=I32,B58))</f>
        <v>0</v>
      </c>
      <c r="E51" s="16"/>
      <c r="F51" s="164">
        <v>1060</v>
      </c>
      <c r="G51" s="165">
        <v>244.35</v>
      </c>
      <c r="I51" s="32">
        <v>2000</v>
      </c>
      <c r="J51" s="11">
        <v>15</v>
      </c>
    </row>
    <row r="52" spans="1:12" customHeight="1" ht="13">
      <c r="A52" s="13" t="s">
        <v>91</v>
      </c>
      <c r="B52" s="31" t="str">
        <f>IF(B7=I29,B54,IF(B7=I30,B55))</f>
        <v>0</v>
      </c>
      <c r="E52" s="16"/>
      <c r="F52" s="164">
        <v>1200</v>
      </c>
      <c r="G52" s="165">
        <v>279.26</v>
      </c>
      <c r="I52" s="32">
        <v>2100</v>
      </c>
      <c r="J52" s="11">
        <v>16</v>
      </c>
    </row>
    <row r="53" spans="1:12" customHeight="1" ht="13">
      <c r="A53" s="13" t="s">
        <v>92</v>
      </c>
      <c r="B53" s="31" t="str">
        <f>IF(B7=I31,C43,IF(B7=I32,C44,IF(B7=I33,C39,IF(B7=I29,C54,IF(B7=I30,C55,IF(B7=I34,C40,B48))))))</f>
        <v>0</v>
      </c>
      <c r="E53" s="16"/>
      <c r="F53" s="164">
        <v>1360</v>
      </c>
      <c r="G53" s="165">
        <v>314.17</v>
      </c>
      <c r="I53" s="32">
        <v>2200</v>
      </c>
      <c r="J53" s="11">
        <v>17</v>
      </c>
    </row>
    <row r="54" spans="1:12" customHeight="1" ht="13">
      <c r="A54" s="15" t="s">
        <v>73</v>
      </c>
      <c r="B54" s="11" t="str">
        <f>LOOKUP(K37,F47:F56,G47:G56)</f>
        <v>0</v>
      </c>
      <c r="C54" s="39" t="str">
        <f>B54*$C$17</f>
        <v>0</v>
      </c>
      <c r="E54" s="16"/>
      <c r="F54" s="164">
        <v>1500</v>
      </c>
      <c r="G54" s="165">
        <v>349.07</v>
      </c>
      <c r="I54" s="32">
        <v>2300</v>
      </c>
      <c r="J54" s="11">
        <v>18</v>
      </c>
    </row>
    <row r="55" spans="1:12" customHeight="1" ht="13">
      <c r="A55" s="163" t="s">
        <v>75</v>
      </c>
      <c r="B55" s="11" t="str">
        <f>LOOKUP(K37,F59:F68,G59:G68)</f>
        <v>0</v>
      </c>
      <c r="C55" s="39" t="str">
        <f>B55*$C$17</f>
        <v>0</v>
      </c>
      <c r="E55" s="16"/>
      <c r="F55" s="164">
        <v>1800</v>
      </c>
      <c r="G55" s="165">
        <v>418.88</v>
      </c>
      <c r="I55" s="32">
        <v>2400</v>
      </c>
      <c r="J55" s="11">
        <v>19</v>
      </c>
    </row>
    <row r="56" spans="1:12" customHeight="1" ht="13">
      <c r="A56" s="13"/>
      <c r="B56" s="31"/>
      <c r="E56" s="16"/>
      <c r="F56" s="164">
        <v>2100</v>
      </c>
      <c r="G56" s="165">
        <v>459.38</v>
      </c>
      <c r="I56" s="32">
        <v>2500</v>
      </c>
      <c r="J56" s="11">
        <v>20</v>
      </c>
    </row>
    <row r="57" spans="1:12" customHeight="1" ht="13">
      <c r="A57" s="15" t="s">
        <v>93</v>
      </c>
      <c r="B57" s="11" t="str">
        <f>LOOKUP(K37,F71:F93,G71:G93)</f>
        <v>0</v>
      </c>
      <c r="C57" s="39" t="str">
        <f>B57*$C$17</f>
        <v>0</v>
      </c>
      <c r="E57" s="16"/>
      <c r="F57" s="162" t="s">
        <v>94</v>
      </c>
      <c r="G57" s="16"/>
      <c r="I57" s="32">
        <v>2600</v>
      </c>
      <c r="J57" s="11">
        <v>21</v>
      </c>
    </row>
    <row r="58" spans="1:12" customHeight="1" ht="13">
      <c r="A58" s="15" t="s">
        <v>95</v>
      </c>
      <c r="B58" s="11" t="str">
        <f>LOOKUP(K37,F95:F117,G95:G117)</f>
        <v>0</v>
      </c>
      <c r="C58" s="39" t="str">
        <f>B58*$C$17</f>
        <v>0</v>
      </c>
      <c r="E58" s="16"/>
      <c r="F58" s="15" t="s">
        <v>39</v>
      </c>
      <c r="G58" s="15" t="s">
        <v>82</v>
      </c>
      <c r="I58" s="32">
        <v>2800</v>
      </c>
      <c r="J58" s="11">
        <v>22</v>
      </c>
    </row>
    <row r="59" spans="1:12" customHeight="1" ht="13">
      <c r="E59" s="163" t="s">
        <v>75</v>
      </c>
      <c r="F59" s="164">
        <v>460</v>
      </c>
      <c r="G59" s="29">
        <v>118</v>
      </c>
      <c r="H59" s="41"/>
      <c r="I59" s="32">
        <v>3000</v>
      </c>
      <c r="J59" s="11">
        <v>23</v>
      </c>
    </row>
    <row r="60" spans="1:12" customHeight="1" ht="13">
      <c r="A60" s="12" t="s">
        <v>96</v>
      </c>
      <c r="E60" s="16"/>
      <c r="F60" s="164">
        <v>600</v>
      </c>
      <c r="G60" s="29">
        <v>150.1</v>
      </c>
      <c r="H60" s="25"/>
    </row>
    <row r="61" spans="1:12" customHeight="1" ht="13">
      <c r="E61" s="16"/>
      <c r="F61" s="164">
        <v>760</v>
      </c>
      <c r="G61" s="29">
        <v>187.63</v>
      </c>
      <c r="I61" s="18"/>
    </row>
    <row r="62" spans="1:12" customHeight="1" ht="13">
      <c r="A62" s="13" t="s">
        <v>97</v>
      </c>
      <c r="B62" s="79">
        <v>0.114286</v>
      </c>
      <c r="C62" s="11" t="s">
        <v>98</v>
      </c>
      <c r="E62" s="16"/>
      <c r="F62" s="164">
        <v>900</v>
      </c>
      <c r="G62" s="29">
        <v>225.15</v>
      </c>
      <c r="I62" s="42"/>
    </row>
    <row r="63" spans="1:12" customHeight="1" ht="13">
      <c r="A63" s="13" t="s">
        <v>99</v>
      </c>
      <c r="B63" s="79">
        <v>0.31</v>
      </c>
      <c r="C63" s="11" t="s">
        <v>98</v>
      </c>
      <c r="E63" s="16"/>
      <c r="F63" s="164">
        <v>1060</v>
      </c>
      <c r="G63" s="29">
        <v>262.68</v>
      </c>
    </row>
    <row r="64" spans="1:12" customHeight="1" ht="13">
      <c r="A64" s="13"/>
      <c r="D64" s="80">
        <v>119</v>
      </c>
      <c r="E64" s="16"/>
      <c r="F64" s="164">
        <v>1200</v>
      </c>
      <c r="G64" s="29">
        <v>300.2</v>
      </c>
    </row>
    <row r="65" spans="1:12" customHeight="1" ht="13">
      <c r="A65" s="24" t="s">
        <v>100</v>
      </c>
      <c r="D65" s="43"/>
      <c r="E65" s="16"/>
      <c r="F65" s="164">
        <v>1360</v>
      </c>
      <c r="G65" s="29">
        <v>337.73</v>
      </c>
    </row>
    <row r="66" spans="1:12" customHeight="1" ht="13">
      <c r="A66" s="13" t="s">
        <v>101</v>
      </c>
      <c r="B66" s="79">
        <v>0.8</v>
      </c>
      <c r="C66" s="11" t="s">
        <v>102</v>
      </c>
      <c r="D66" s="43"/>
      <c r="E66" s="16"/>
      <c r="F66" s="164">
        <v>1500</v>
      </c>
      <c r="G66" s="29">
        <v>375.25</v>
      </c>
    </row>
    <row r="67" spans="1:12" customHeight="1" ht="13">
      <c r="A67" s="13"/>
      <c r="B67" s="40"/>
      <c r="E67" s="16"/>
      <c r="F67" s="164">
        <v>1800</v>
      </c>
      <c r="G67" s="29">
        <v>450.3</v>
      </c>
    </row>
    <row r="68" spans="1:12" customHeight="1" ht="13">
      <c r="A68" s="13"/>
      <c r="B68" s="40"/>
      <c r="E68" s="16"/>
      <c r="F68" s="164">
        <v>2100</v>
      </c>
      <c r="G68" s="29">
        <v>493.83</v>
      </c>
    </row>
    <row r="69" spans="1:12" customHeight="1" ht="13">
      <c r="A69" s="13"/>
      <c r="D69" s="80">
        <v>30</v>
      </c>
      <c r="E69" s="35"/>
      <c r="F69" s="24" t="s">
        <v>103</v>
      </c>
    </row>
    <row r="70" spans="1:12" customHeight="1" ht="13">
      <c r="A70" s="24" t="s">
        <v>104</v>
      </c>
      <c r="D70" s="80">
        <v>131</v>
      </c>
      <c r="F70" s="13" t="s">
        <v>39</v>
      </c>
      <c r="G70" s="13" t="s">
        <v>82</v>
      </c>
    </row>
    <row r="71" spans="1:12" customHeight="1" ht="13">
      <c r="A71" s="13" t="s">
        <v>101</v>
      </c>
      <c r="B71" s="79">
        <v>0.8</v>
      </c>
      <c r="C71" s="18" t="s">
        <v>102</v>
      </c>
      <c r="D71" s="80">
        <v>1991</v>
      </c>
      <c r="E71" s="37" t="s">
        <v>76</v>
      </c>
      <c r="F71" s="32">
        <v>460</v>
      </c>
      <c r="G71" s="77" t="s">
        <v>105</v>
      </c>
    </row>
    <row r="72" spans="1:12" customHeight="1" ht="13">
      <c r="A72" s="13" t="s">
        <v>106</v>
      </c>
      <c r="B72" s="79">
        <v>4.8</v>
      </c>
      <c r="C72" s="18" t="s">
        <v>102</v>
      </c>
      <c r="F72" s="32">
        <v>600</v>
      </c>
      <c r="G72" s="77">
        <v>188</v>
      </c>
    </row>
    <row r="73" spans="1:12" customHeight="1" ht="13">
      <c r="A73" s="13" t="s">
        <v>107</v>
      </c>
      <c r="B73" s="79">
        <v>200</v>
      </c>
      <c r="C73" s="18" t="s">
        <v>102</v>
      </c>
      <c r="F73" s="32">
        <v>760</v>
      </c>
      <c r="G73" s="77">
        <v>234</v>
      </c>
    </row>
    <row r="74" spans="1:12" customHeight="1" ht="13">
      <c r="F74" s="32">
        <v>800</v>
      </c>
      <c r="G74" s="77">
        <v>247</v>
      </c>
    </row>
    <row r="75" spans="1:12" customHeight="1" ht="13">
      <c r="F75" s="32">
        <v>900</v>
      </c>
      <c r="G75" s="77">
        <v>276</v>
      </c>
    </row>
    <row r="76" spans="1:12" customHeight="1" ht="13">
      <c r="A76" s="13" t="s">
        <v>108</v>
      </c>
      <c r="B76" s="13">
        <v>1</v>
      </c>
      <c r="F76" s="32">
        <v>1060</v>
      </c>
      <c r="G76" s="77">
        <v>311</v>
      </c>
    </row>
    <row r="77" spans="1:12" customHeight="1" ht="13">
      <c r="A77" s="13" t="s">
        <v>109</v>
      </c>
      <c r="B77" s="13">
        <v>4</v>
      </c>
      <c r="F77" s="32">
        <v>1200</v>
      </c>
      <c r="G77" s="77">
        <v>341</v>
      </c>
    </row>
    <row r="78" spans="1:12" customHeight="1" ht="13">
      <c r="A78" s="13"/>
      <c r="F78" s="32">
        <v>1360</v>
      </c>
      <c r="G78" s="77">
        <v>399</v>
      </c>
    </row>
    <row r="79" spans="1:12" customHeight="1" ht="13">
      <c r="A79" s="13" t="s">
        <v>110</v>
      </c>
      <c r="B79" s="13" t="str">
        <f>$B$13*B76</f>
        <v>0</v>
      </c>
      <c r="C79" s="11" t="s">
        <v>54</v>
      </c>
      <c r="F79" s="32">
        <v>1400</v>
      </c>
      <c r="G79" s="77">
        <v>405</v>
      </c>
    </row>
    <row r="80" spans="1:12" customHeight="1" ht="13">
      <c r="A80" s="13" t="s">
        <v>111</v>
      </c>
      <c r="B80" s="13" t="str">
        <f>$B$13*B77</f>
        <v>0</v>
      </c>
      <c r="C80" s="11" t="s">
        <v>54</v>
      </c>
      <c r="F80" s="32">
        <v>1520</v>
      </c>
      <c r="G80" s="77">
        <v>434</v>
      </c>
    </row>
    <row r="81" spans="1:12" customHeight="1" ht="13">
      <c r="A81" s="13" t="s">
        <v>112</v>
      </c>
      <c r="B81" s="13" t="str">
        <f>ROUNDUP(B79,1)</f>
        <v>0</v>
      </c>
      <c r="C81" s="11" t="s">
        <v>54</v>
      </c>
      <c r="F81" s="32">
        <v>1600</v>
      </c>
      <c r="G81" s="77">
        <v>452</v>
      </c>
    </row>
    <row r="82" spans="1:12" customHeight="1" ht="13">
      <c r="A82" s="13" t="s">
        <v>113</v>
      </c>
      <c r="B82" s="13" t="str">
        <f>ROUNDUP(B80,1)</f>
        <v>0</v>
      </c>
      <c r="C82" s="11" t="s">
        <v>54</v>
      </c>
      <c r="F82" s="32">
        <v>1700</v>
      </c>
      <c r="G82" s="77">
        <v>493</v>
      </c>
    </row>
    <row r="83" spans="1:12" customHeight="1" ht="13">
      <c r="F83" s="32">
        <v>1800</v>
      </c>
      <c r="G83" s="77">
        <v>516</v>
      </c>
    </row>
    <row r="84" spans="1:12" customHeight="1" ht="13">
      <c r="A84" s="13" t="s">
        <v>114</v>
      </c>
      <c r="B84" s="11" t="str">
        <f>B81*B62</f>
        <v>0</v>
      </c>
      <c r="C84" s="11" t="s">
        <v>102</v>
      </c>
      <c r="F84" s="32">
        <v>1900</v>
      </c>
      <c r="G84" s="77">
        <v>534</v>
      </c>
    </row>
    <row r="85" spans="1:12" customHeight="1" ht="13">
      <c r="A85" s="13" t="s">
        <v>115</v>
      </c>
      <c r="B85" s="11" t="str">
        <f>B82*B63</f>
        <v>0</v>
      </c>
      <c r="C85" s="11" t="s">
        <v>102</v>
      </c>
      <c r="F85" s="32">
        <v>2000</v>
      </c>
      <c r="G85" s="77">
        <v>557</v>
      </c>
    </row>
    <row r="86" spans="1:12" customHeight="1" ht="13">
      <c r="F86" s="32">
        <v>2100</v>
      </c>
      <c r="G86" s="77">
        <v>598</v>
      </c>
    </row>
    <row r="87" spans="1:12" customHeight="1" ht="13">
      <c r="B87" s="11" t="str">
        <f>B84/B66</f>
        <v>0</v>
      </c>
      <c r="F87" s="32">
        <v>2200</v>
      </c>
      <c r="G87" s="77">
        <v>622</v>
      </c>
    </row>
    <row r="88" spans="1:12" customHeight="1" ht="13">
      <c r="A88" s="13" t="s">
        <v>116</v>
      </c>
      <c r="B88" s="11" t="str">
        <f>ROUNDUP(B87,0)</f>
        <v>0</v>
      </c>
      <c r="F88" s="32">
        <v>2300</v>
      </c>
      <c r="G88" s="77">
        <v>645</v>
      </c>
    </row>
    <row r="89" spans="1:12" customHeight="1" ht="13">
      <c r="A89" s="13" t="s">
        <v>117</v>
      </c>
      <c r="B89" s="38" t="str">
        <f>B88*D64</f>
        <v>0</v>
      </c>
      <c r="F89" s="32">
        <v>2400</v>
      </c>
      <c r="G89" s="77">
        <v>662</v>
      </c>
    </row>
    <row r="90" spans="1:12" customHeight="1" ht="13">
      <c r="F90" s="32">
        <v>2500</v>
      </c>
      <c r="G90" s="77">
        <v>692</v>
      </c>
    </row>
    <row r="91" spans="1:12" customHeight="1" ht="13">
      <c r="F91" s="32">
        <v>2600</v>
      </c>
      <c r="G91" s="77">
        <v>709</v>
      </c>
    </row>
    <row r="92" spans="1:12" customHeight="1" ht="13">
      <c r="A92" s="13" t="s">
        <v>118</v>
      </c>
      <c r="B92" s="11" t="str">
        <f>IF(B85&lt;=B71,A71,IF(AND(B72&gt;=B85,B85&gt;B71),A72,IF(B73&gt;=B85&gt;B72,A73)))</f>
        <v>0</v>
      </c>
      <c r="F92" s="32">
        <v>2800</v>
      </c>
      <c r="G92" s="77">
        <v>762</v>
      </c>
    </row>
    <row r="93" spans="1:12" customHeight="1" ht="13">
      <c r="F93" s="32">
        <v>3000</v>
      </c>
      <c r="G93" s="77">
        <v>809</v>
      </c>
    </row>
    <row r="94" spans="1:12" customHeight="1" ht="13">
      <c r="B94" s="11" t="str">
        <f>B85/B71</f>
        <v>0</v>
      </c>
      <c r="D94" s="46">
        <v>0.8</v>
      </c>
      <c r="F94" s="44"/>
      <c r="G94" s="45"/>
    </row>
    <row r="95" spans="1:12" customHeight="1" ht="13">
      <c r="A95" s="11" t="s">
        <v>119</v>
      </c>
      <c r="B95" s="11" t="str">
        <f>ROUNDUP(B94,0)</f>
        <v>0</v>
      </c>
      <c r="D95" s="46">
        <v>4.8</v>
      </c>
      <c r="E95" s="15" t="s">
        <v>79</v>
      </c>
      <c r="F95" s="32">
        <v>460</v>
      </c>
      <c r="G95" s="77" t="s">
        <v>120</v>
      </c>
    </row>
    <row r="96" spans="1:12" customHeight="1" ht="13">
      <c r="A96" s="11" t="s">
        <v>117</v>
      </c>
      <c r="B96" s="38" t="str">
        <f>B95*D69</f>
        <v>0</v>
      </c>
      <c r="C96" s="38" t="str">
        <f>IF(AND(B96&lt;B99,B96&lt;B102),B96,IF(AND(B99&lt;B96,B99&lt;B102),B99,IF(AND(B102&lt;B99,B102&lt;B96),B102)))</f>
        <v>0</v>
      </c>
      <c r="D96" s="46">
        <v>200</v>
      </c>
      <c r="F96" s="32">
        <v>600</v>
      </c>
      <c r="G96" s="77">
        <v>207</v>
      </c>
    </row>
    <row r="97" spans="1:12" customHeight="1" ht="13">
      <c r="B97" s="11" t="str">
        <f>B85/B72</f>
        <v>0</v>
      </c>
      <c r="D97" s="11" t="str">
        <f>IF(D98=D94,B95,IF(D98=D95,B98,IF(D98=D96,B101)))</f>
        <v>0</v>
      </c>
      <c r="F97" s="32">
        <v>760</v>
      </c>
      <c r="G97" s="77">
        <v>259</v>
      </c>
    </row>
    <row r="98" spans="1:12" customHeight="1" ht="13">
      <c r="A98" s="11" t="s">
        <v>121</v>
      </c>
      <c r="B98" s="11" t="str">
        <f>ROUNDUP(B97,0)</f>
        <v>0</v>
      </c>
      <c r="D98" s="47" t="str">
        <f>IF(AND(B96&lt;B99,B96&lt;B102),D94,IF(AND(B99&lt;B96,B99&lt;B102),D95,IF(AND(B102&lt;B99,B102&lt;B96),D96)))</f>
        <v>0</v>
      </c>
      <c r="F98" s="32">
        <v>800</v>
      </c>
      <c r="G98" s="77">
        <v>271</v>
      </c>
    </row>
    <row r="99" spans="1:12" customHeight="1" ht="13">
      <c r="A99" s="11" t="s">
        <v>117</v>
      </c>
      <c r="B99" s="38" t="str">
        <f>B98*D70</f>
        <v>0</v>
      </c>
      <c r="C99" s="11" t="s">
        <v>122</v>
      </c>
      <c r="F99" s="32">
        <v>900</v>
      </c>
      <c r="G99" s="77">
        <v>304</v>
      </c>
    </row>
    <row r="100" spans="1:12" customHeight="1" ht="13">
      <c r="B100" s="11" t="str">
        <f>B85/B73</f>
        <v>0</v>
      </c>
      <c r="C100" s="11" t="s">
        <v>31</v>
      </c>
      <c r="D100" s="11" t="str">
        <f>E116</f>
        <v>0</v>
      </c>
      <c r="F100" s="32">
        <v>1060</v>
      </c>
      <c r="G100" s="77">
        <v>343</v>
      </c>
    </row>
    <row r="101" spans="1:12" customHeight="1" ht="13">
      <c r="A101" s="11" t="s">
        <v>123</v>
      </c>
      <c r="B101" s="11" t="str">
        <f>ROUNDUP(B100,0)</f>
        <v>0</v>
      </c>
      <c r="D101" s="11" t="str">
        <f>IF(D100=D94,B96,IF(D100=D95,B99,IF(D100=D96,B102)))</f>
        <v>0</v>
      </c>
      <c r="F101" s="32">
        <v>1200</v>
      </c>
      <c r="G101" s="77">
        <v>374</v>
      </c>
    </row>
    <row r="102" spans="1:12" customHeight="1" ht="13">
      <c r="A102" s="11" t="s">
        <v>117</v>
      </c>
      <c r="B102" s="38" t="str">
        <f>B101*D71</f>
        <v>0</v>
      </c>
      <c r="C102" s="11" t="s">
        <v>124</v>
      </c>
      <c r="D102" s="11" t="str">
        <f>IF(D100=D94,B95,IF(D100=D95,B98,IF(D100=D96,B101)))</f>
        <v>0</v>
      </c>
      <c r="F102" s="32">
        <v>1360</v>
      </c>
      <c r="G102" s="77">
        <v>439</v>
      </c>
    </row>
    <row r="103" spans="1:12" customHeight="1" ht="13">
      <c r="C103" s="11" t="s">
        <v>117</v>
      </c>
      <c r="F103" s="32">
        <v>1400</v>
      </c>
      <c r="G103" s="77">
        <v>446</v>
      </c>
    </row>
    <row r="104" spans="1:12" customHeight="1" ht="13">
      <c r="A104" s="11" t="s">
        <v>125</v>
      </c>
      <c r="B104" s="11" t="str">
        <f>(D102*D100)-B85</f>
        <v>0</v>
      </c>
      <c r="C104" s="11" t="s">
        <v>126</v>
      </c>
      <c r="D104" s="46">
        <v>15</v>
      </c>
      <c r="F104" s="32">
        <v>1520</v>
      </c>
      <c r="G104" s="77">
        <v>471</v>
      </c>
    </row>
    <row r="105" spans="1:12" customHeight="1" ht="13">
      <c r="F105" s="32">
        <v>1600</v>
      </c>
      <c r="G105" s="77">
        <v>498</v>
      </c>
    </row>
    <row r="106" spans="1:12" customHeight="1" ht="13">
      <c r="A106" s="11" t="s">
        <v>127</v>
      </c>
      <c r="B106" s="11">
        <v>0.04</v>
      </c>
      <c r="C106" s="11" t="s">
        <v>128</v>
      </c>
      <c r="D106" s="11" t="str">
        <f>D102*D100</f>
        <v>0</v>
      </c>
      <c r="F106" s="32">
        <v>1700</v>
      </c>
      <c r="G106" s="77">
        <v>542</v>
      </c>
    </row>
    <row r="107" spans="1:12" customHeight="1" ht="13">
      <c r="B107" s="11" t="str">
        <f>((D102*D100)/D94)</f>
        <v>0</v>
      </c>
      <c r="D107" s="11" t="str">
        <f>D106/0.8</f>
        <v>0</v>
      </c>
      <c r="F107" s="32">
        <v>1800</v>
      </c>
      <c r="G107" s="77">
        <v>567</v>
      </c>
    </row>
    <row r="108" spans="1:12" customHeight="1" ht="13">
      <c r="B108" s="11" t="str">
        <f>ROUNDUP(B107,0)</f>
        <v>0</v>
      </c>
      <c r="C108" s="11" t="s">
        <v>129</v>
      </c>
      <c r="F108" s="32">
        <v>1900</v>
      </c>
      <c r="G108" s="77">
        <v>588</v>
      </c>
    </row>
    <row r="109" spans="1:12" customHeight="1" ht="13">
      <c r="A109" s="11" t="s">
        <v>117</v>
      </c>
      <c r="B109" s="38" t="str">
        <f>B108*D104</f>
        <v>0</v>
      </c>
      <c r="F109" s="32">
        <v>2000</v>
      </c>
      <c r="G109" s="77">
        <v>613</v>
      </c>
    </row>
    <row r="110" spans="1:12" customHeight="1" ht="13">
      <c r="F110" s="32">
        <v>2100</v>
      </c>
      <c r="G110" s="77">
        <v>658</v>
      </c>
    </row>
    <row r="111" spans="1:12" customHeight="1" ht="13">
      <c r="A111" s="11" t="s">
        <v>18</v>
      </c>
      <c r="B111" s="48" t="str">
        <f>'Lagging Calculator'!F20</f>
        <v>0</v>
      </c>
      <c r="F111" s="32">
        <v>2200</v>
      </c>
      <c r="G111" s="77">
        <v>684</v>
      </c>
    </row>
    <row r="112" spans="1:12" customHeight="1" ht="13">
      <c r="A112" s="11" t="s">
        <v>130</v>
      </c>
      <c r="B112" s="48" t="str">
        <f>'Lagging Calculator'!F24</f>
        <v>0</v>
      </c>
      <c r="F112" s="32">
        <v>2300</v>
      </c>
      <c r="G112" s="77">
        <v>709</v>
      </c>
    </row>
    <row r="113" spans="1:12" customHeight="1" ht="13">
      <c r="F113" s="32">
        <v>2400</v>
      </c>
      <c r="G113" s="77">
        <v>730</v>
      </c>
    </row>
    <row r="114" spans="1:12" customHeight="1" ht="13">
      <c r="A114" s="11" t="s">
        <v>131</v>
      </c>
      <c r="B114" s="11" t="str">
        <f>B53*(1-B111)</f>
        <v>0</v>
      </c>
      <c r="F114" s="32">
        <v>2500</v>
      </c>
      <c r="G114" s="77">
        <v>761</v>
      </c>
    </row>
    <row r="115" spans="1:12" customHeight="1" ht="13">
      <c r="B115" s="11" t="str">
        <f>IF(B53=H59,H59,IF(B53=I61,I61,B114))</f>
        <v>0</v>
      </c>
      <c r="F115" s="32">
        <v>2600</v>
      </c>
      <c r="G115" s="77">
        <v>781</v>
      </c>
    </row>
    <row r="116" spans="1:12" customHeight="1" ht="13">
      <c r="E116" s="11" t="str">
        <f>LOOKUP(E117,E118:E120,Glue_tin_size)</f>
        <v>0</v>
      </c>
      <c r="F116" s="32">
        <v>2800</v>
      </c>
      <c r="G116" s="77">
        <v>839</v>
      </c>
    </row>
    <row r="117" spans="1:12" customHeight="1" ht="13">
      <c r="A117" s="11" t="s">
        <v>132</v>
      </c>
      <c r="B117" s="38" t="str">
        <f>D101+B89+B109</f>
        <v>0</v>
      </c>
      <c r="E117" s="49">
        <v>1</v>
      </c>
      <c r="F117" s="32">
        <v>3000</v>
      </c>
      <c r="G117" s="77">
        <v>890</v>
      </c>
    </row>
    <row r="118" spans="1:12" customHeight="1" ht="13">
      <c r="A118" s="11" t="s">
        <v>133</v>
      </c>
      <c r="B118" s="11" t="str">
        <f>B117*(1-B112)</f>
        <v>0</v>
      </c>
      <c r="E118" s="11">
        <v>1</v>
      </c>
    </row>
    <row r="119" spans="1:12" customHeight="1" ht="13">
      <c r="B119" s="11" t="str">
        <f>B118+B115</f>
        <v>0</v>
      </c>
      <c r="E119" s="11">
        <v>2</v>
      </c>
    </row>
    <row r="120" spans="1:12" customHeight="1" ht="13">
      <c r="A120" s="11" t="s">
        <v>134</v>
      </c>
      <c r="B120" s="11" t="str">
        <f>IF(B115=H59,H59,IF(B53=I61,I61,B119))</f>
        <v>0</v>
      </c>
      <c r="E120" s="11">
        <v>3</v>
      </c>
    </row>
    <row r="122" spans="1:12" customHeight="1" ht="13">
      <c r="A122" s="11" t="s">
        <v>135</v>
      </c>
      <c r="B122" s="38" t="str">
        <f>B53+B117</f>
        <v>0</v>
      </c>
    </row>
    <row r="123" spans="1:12" customHeight="1" ht="14">
      <c r="B123" s="11" t="str">
        <f>IF(B53=H59,H59,IF(B53=I61,I61,B122))</f>
        <v>0</v>
      </c>
    </row>
    <row r="124" spans="1:12" customHeight="1" ht="13">
      <c r="A124" s="147" t="s">
        <v>136</v>
      </c>
      <c r="B124" s="148"/>
      <c r="C124" s="149"/>
    </row>
    <row r="125" spans="1:12" customHeight="1" ht="13">
      <c r="A125" s="150"/>
      <c r="B125" s="151" t="s">
        <v>137</v>
      </c>
      <c r="C125" s="152"/>
    </row>
    <row r="126" spans="1:12" customHeight="1" ht="13">
      <c r="A126" s="150" t="s">
        <v>138</v>
      </c>
      <c r="B126" s="151">
        <v>500</v>
      </c>
      <c r="C126" s="152" t="s">
        <v>37</v>
      </c>
    </row>
    <row r="127" spans="1:12" customHeight="1" ht="13">
      <c r="A127" s="150" t="s">
        <v>139</v>
      </c>
      <c r="B127" s="151">
        <v>1500</v>
      </c>
      <c r="C127" s="152" t="s">
        <v>37</v>
      </c>
    </row>
    <row r="128" spans="1:12" customHeight="1" ht="13">
      <c r="A128" s="150"/>
      <c r="B128" s="75"/>
      <c r="C128" s="152"/>
      <c r="E128" s="11" t="s">
        <v>140</v>
      </c>
    </row>
    <row r="129" spans="1:12" customHeight="1" ht="13">
      <c r="A129" s="150"/>
      <c r="B129" s="75" t="s">
        <v>141</v>
      </c>
      <c r="C129" s="152"/>
    </row>
    <row r="130" spans="1:12" customHeight="1" ht="13">
      <c r="A130" s="150" t="s">
        <v>142</v>
      </c>
      <c r="B130" s="75">
        <v>100</v>
      </c>
      <c r="C130" s="152" t="s">
        <v>37</v>
      </c>
    </row>
    <row r="131" spans="1:12" customHeight="1" ht="13">
      <c r="A131" s="150" t="s">
        <v>40</v>
      </c>
      <c r="B131" s="75">
        <v>100</v>
      </c>
      <c r="C131" s="152" t="s">
        <v>37</v>
      </c>
    </row>
    <row r="132" spans="1:12" customHeight="1" ht="13">
      <c r="A132" s="150" t="s">
        <v>143</v>
      </c>
      <c r="B132" s="159">
        <v>125.35</v>
      </c>
      <c r="C132" s="152"/>
    </row>
    <row r="133" spans="1:12" customHeight="1" ht="13">
      <c r="A133" s="150"/>
      <c r="B133" s="153"/>
      <c r="C133" s="152"/>
    </row>
    <row r="134" spans="1:12" customHeight="1" ht="13">
      <c r="A134" s="150"/>
      <c r="B134" s="154" t="s">
        <v>144</v>
      </c>
      <c r="C134" s="152"/>
    </row>
    <row r="135" spans="1:12" customHeight="1" ht="9">
      <c r="A135" s="150" t="s">
        <v>145</v>
      </c>
      <c r="B135" s="154" t="str">
        <f>PI()*B126</f>
        <v>0</v>
      </c>
      <c r="C135" s="152" t="s">
        <v>37</v>
      </c>
    </row>
    <row r="136" spans="1:12" customHeight="1" ht="13">
      <c r="A136" s="150" t="s">
        <v>146</v>
      </c>
      <c r="B136" s="154" t="str">
        <f>B127/(B130/2)</f>
        <v>0</v>
      </c>
      <c r="C136" s="152"/>
    </row>
    <row r="137" spans="1:12" customHeight="1" ht="13">
      <c r="A137" s="150"/>
      <c r="B137" s="153"/>
      <c r="C137" s="152"/>
    </row>
    <row r="138" spans="1:12" customHeight="1" ht="13">
      <c r="A138" s="150"/>
      <c r="B138" s="155" t="s">
        <v>147</v>
      </c>
      <c r="C138" s="152"/>
    </row>
    <row r="139" spans="1:12" customHeight="1" ht="13">
      <c r="A139" s="150" t="s">
        <v>148</v>
      </c>
      <c r="B139" s="156" t="str">
        <f>B135*B136</f>
        <v>0</v>
      </c>
      <c r="C139" s="152" t="s">
        <v>37</v>
      </c>
    </row>
    <row r="140" spans="1:12" customHeight="1" ht="13">
      <c r="A140" s="150"/>
      <c r="B140" s="156" t="str">
        <f>B139/1000</f>
        <v>0</v>
      </c>
      <c r="C140" s="152" t="s">
        <v>37</v>
      </c>
    </row>
    <row r="141" spans="1:12" customHeight="1" ht="13">
      <c r="A141" s="150" t="s">
        <v>149</v>
      </c>
      <c r="B141" s="155" t="str">
        <f>ROUNDUP(B140/B131,0)</f>
        <v>0</v>
      </c>
      <c r="C141" s="152"/>
    </row>
    <row r="142" spans="1:12" customHeight="1" ht="14">
      <c r="A142" s="157" t="s">
        <v>117</v>
      </c>
      <c r="B142" s="160" t="str">
        <f>B141*B132</f>
        <v>0</v>
      </c>
      <c r="C142" s="158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5" right="0.75" top="1" bottom="1" header="0.5" footer="0.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2"/>
  <sheetViews>
    <sheetView tabSelected="0" workbookViewId="0" showGridLines="true" showRowColHeaders="1">
      <selection activeCell="I8" sqref="I8"/>
    </sheetView>
  </sheetViews>
  <sheetFormatPr customHeight="true" defaultRowHeight="13" defaultColWidth="8.83203125" outlineLevelRow="0" outlineLevelCol="0"/>
  <cols>
    <col min="1" max="1" width="38.6640625" customWidth="true" style="0"/>
    <col min="2" max="2" width="15.6640625" customWidth="true" style="0"/>
    <col min="3" max="3" width="13" customWidth="true" style="0"/>
    <col min="4" max="4" width="19.1640625" customWidth="true" style="0"/>
    <col min="5" max="5" width="8.83203125" style="0"/>
    <col min="6" max="6" width="13.5" customWidth="true" style="0"/>
    <col min="7" max="7" width="19.5" customWidth="true" style="0"/>
  </cols>
  <sheetData>
    <row r="1" spans="1:7" customHeight="1" ht="21">
      <c r="A1" s="118" t="s">
        <v>150</v>
      </c>
      <c r="B1" s="98"/>
      <c r="C1" s="98"/>
      <c r="D1" s="98"/>
      <c r="E1" s="98"/>
      <c r="F1" s="98"/>
      <c r="G1" s="98"/>
    </row>
    <row r="2" spans="1:7" customHeight="1" ht="20">
      <c r="A2" s="101"/>
      <c r="B2" s="81"/>
      <c r="C2" s="81"/>
      <c r="D2" s="82"/>
      <c r="E2" s="82"/>
      <c r="F2" s="83" t="s">
        <v>151</v>
      </c>
      <c r="G2" s="102">
        <v>44196</v>
      </c>
    </row>
    <row r="3" spans="1:7" customHeight="1" ht="13">
      <c r="A3" s="119" t="s">
        <v>152</v>
      </c>
      <c r="B3" s="84"/>
      <c r="C3" s="84"/>
      <c r="D3" s="85"/>
      <c r="E3" s="85"/>
      <c r="F3" s="85"/>
      <c r="G3" s="103"/>
    </row>
    <row r="4" spans="1:7" customHeight="1" ht="16">
      <c r="A4" s="104" t="s">
        <v>153</v>
      </c>
      <c r="B4" s="86" t="s">
        <v>154</v>
      </c>
      <c r="C4" s="86" t="s">
        <v>39</v>
      </c>
      <c r="D4" s="86" t="s">
        <v>155</v>
      </c>
      <c r="E4" s="86" t="s">
        <v>82</v>
      </c>
      <c r="F4" s="86" t="s">
        <v>156</v>
      </c>
      <c r="G4" s="87" t="s">
        <v>157</v>
      </c>
    </row>
    <row r="5" spans="1:7" customHeight="1" ht="16">
      <c r="A5" s="105" t="s">
        <v>158</v>
      </c>
      <c r="B5" s="89">
        <v>20.56</v>
      </c>
      <c r="C5" s="88">
        <v>0.0</v>
      </c>
      <c r="D5" s="89">
        <v>2.5</v>
      </c>
      <c r="E5" s="89" t="str">
        <f>(B5*C5)+D5</f>
        <v>0</v>
      </c>
      <c r="F5" s="88">
        <v>0.0</v>
      </c>
      <c r="G5" s="106" t="str">
        <f>E5*F5</f>
        <v>0</v>
      </c>
    </row>
    <row r="6" spans="1:7" customHeight="1" ht="16">
      <c r="A6" s="105" t="s">
        <v>159</v>
      </c>
      <c r="B6" s="89">
        <v>28.21</v>
      </c>
      <c r="C6" s="88">
        <v>0.0</v>
      </c>
      <c r="D6" s="89">
        <v>2.5</v>
      </c>
      <c r="E6" s="89" t="str">
        <f>(B6*C6)+D6</f>
        <v>0</v>
      </c>
      <c r="F6" s="88">
        <v>0.0</v>
      </c>
      <c r="G6" s="106" t="str">
        <f>E6*F6</f>
        <v>0</v>
      </c>
    </row>
    <row r="7" spans="1:7" customHeight="1" ht="16">
      <c r="A7" s="107" t="s">
        <v>160</v>
      </c>
      <c r="B7" s="89">
        <v>25.09</v>
      </c>
      <c r="C7" s="88">
        <v>1.45</v>
      </c>
      <c r="D7" s="89">
        <v>2.5</v>
      </c>
      <c r="E7" s="89" t="str">
        <f>(B7*C7)+D7</f>
        <v>0</v>
      </c>
      <c r="F7" s="88">
        <v>0.0</v>
      </c>
      <c r="G7" s="106" t="str">
        <f>E7*F7</f>
        <v>0</v>
      </c>
    </row>
    <row r="8" spans="1:7" customHeight="1" ht="16">
      <c r="A8" s="107" t="s">
        <v>161</v>
      </c>
      <c r="B8" s="89">
        <v>27.56</v>
      </c>
      <c r="C8" s="88">
        <v>1.45</v>
      </c>
      <c r="D8" s="89">
        <v>2.5</v>
      </c>
      <c r="E8" s="89" t="str">
        <f>(B8*C8)+D8</f>
        <v>0</v>
      </c>
      <c r="F8" s="88">
        <v>1</v>
      </c>
      <c r="G8" s="106" t="str">
        <f>E8*F8</f>
        <v>0</v>
      </c>
    </row>
    <row r="9" spans="1:7" customHeight="1" ht="16">
      <c r="A9" s="108" t="s">
        <v>162</v>
      </c>
      <c r="B9" s="91">
        <v>32.09</v>
      </c>
      <c r="C9" s="90">
        <v>1.94</v>
      </c>
      <c r="D9" s="91">
        <v>2.5</v>
      </c>
      <c r="E9" s="91" t="str">
        <f>(B9*C9)+D9</f>
        <v>0</v>
      </c>
      <c r="F9" s="90">
        <v>0.0</v>
      </c>
      <c r="G9" s="109" t="str">
        <f>E9*F9</f>
        <v>0</v>
      </c>
    </row>
    <row r="10" spans="1:7" customHeight="1" ht="16">
      <c r="A10" s="108" t="s">
        <v>163</v>
      </c>
      <c r="B10" s="91">
        <v>74.42</v>
      </c>
      <c r="C10" s="90">
        <v>2.45</v>
      </c>
      <c r="D10" s="91">
        <v>3.5</v>
      </c>
      <c r="E10" s="91" t="str">
        <f>(B10*C10)+D10</f>
        <v>0</v>
      </c>
      <c r="F10" s="90"/>
      <c r="G10" s="109"/>
    </row>
    <row r="11" spans="1:7" customHeight="1" ht="16">
      <c r="A11" s="108" t="s">
        <v>164</v>
      </c>
      <c r="B11" s="91">
        <v>85.73</v>
      </c>
      <c r="C11" s="90"/>
      <c r="D11" s="91"/>
      <c r="E11" s="91"/>
      <c r="F11" s="90"/>
      <c r="G11" s="109"/>
    </row>
    <row r="12" spans="1:7" customHeight="1" ht="16">
      <c r="A12" s="107" t="s">
        <v>165</v>
      </c>
      <c r="B12" s="89">
        <v>31.33</v>
      </c>
      <c r="C12" s="88">
        <v>1.75</v>
      </c>
      <c r="D12" s="89">
        <v>2.5</v>
      </c>
      <c r="E12" s="89" t="str">
        <f>(B12*C12)+D12</f>
        <v>0</v>
      </c>
      <c r="F12" s="88">
        <v>0.0</v>
      </c>
      <c r="G12" s="106" t="str">
        <f>E12*F12</f>
        <v>0</v>
      </c>
    </row>
    <row r="13" spans="1:7" customHeight="1" ht="17">
      <c r="A13" s="110" t="s">
        <v>166</v>
      </c>
      <c r="B13" s="111">
        <v>42.21</v>
      </c>
      <c r="C13" s="92">
        <v>0.0</v>
      </c>
      <c r="D13" s="93">
        <v>2.5</v>
      </c>
      <c r="E13" s="93" t="str">
        <f>(B13*C13)+D13</f>
        <v>0</v>
      </c>
      <c r="F13" s="92">
        <v>0.0</v>
      </c>
      <c r="G13" s="112" t="str">
        <f>E13*F13</f>
        <v>0</v>
      </c>
    </row>
    <row r="14" spans="1:7" customHeight="1" ht="16">
      <c r="A14" s="107" t="s">
        <v>167</v>
      </c>
      <c r="B14" s="89">
        <v>38.33</v>
      </c>
      <c r="C14" s="88">
        <v>0.0</v>
      </c>
      <c r="D14" s="89">
        <v>2.5</v>
      </c>
      <c r="E14" s="89" t="str">
        <f>(B14*C14)+D14</f>
        <v>0</v>
      </c>
      <c r="F14" s="88">
        <v>0.0</v>
      </c>
      <c r="G14" s="106" t="str">
        <f>E14*F14</f>
        <v>0</v>
      </c>
    </row>
    <row r="15" spans="1:7" customHeight="1" ht="17">
      <c r="A15" s="110" t="s">
        <v>168</v>
      </c>
      <c r="B15" s="111">
        <v>51.8</v>
      </c>
      <c r="C15" s="92">
        <v>0.0</v>
      </c>
      <c r="D15" s="93">
        <v>2.5</v>
      </c>
      <c r="E15" s="93" t="str">
        <f>(B15*C15)+D15</f>
        <v>0</v>
      </c>
      <c r="F15" s="92">
        <v>0.0</v>
      </c>
      <c r="G15" s="112" t="str">
        <f>E15*F15</f>
        <v>0</v>
      </c>
    </row>
    <row r="16" spans="1:7" customHeight="1" ht="16">
      <c r="A16" s="107" t="s">
        <v>169</v>
      </c>
      <c r="B16" s="89">
        <v>43.72</v>
      </c>
      <c r="C16" s="88">
        <v>0.0</v>
      </c>
      <c r="D16" s="89">
        <v>2.5</v>
      </c>
      <c r="E16" s="89" t="str">
        <f>(B16*C16)+D16</f>
        <v>0</v>
      </c>
      <c r="F16" s="88">
        <v>0.0</v>
      </c>
      <c r="G16" s="106" t="str">
        <f>E16*F16</f>
        <v>0</v>
      </c>
    </row>
    <row r="17" spans="1:7" customHeight="1" ht="17">
      <c r="A17" s="110" t="s">
        <v>170</v>
      </c>
      <c r="B17" s="111">
        <v>60.53</v>
      </c>
      <c r="C17" s="92">
        <v>1.35</v>
      </c>
      <c r="D17" s="93">
        <v>2.5</v>
      </c>
      <c r="E17" s="93" t="str">
        <f>(B17*C17)+D17</f>
        <v>0</v>
      </c>
      <c r="F17" s="92">
        <v>0.0</v>
      </c>
      <c r="G17" s="112" t="str">
        <f>E17*F17</f>
        <v>0</v>
      </c>
    </row>
    <row r="18" spans="1:7" customHeight="1" ht="26">
      <c r="A18" s="113"/>
      <c r="B18" s="111"/>
      <c r="C18" s="92"/>
      <c r="D18" s="93"/>
      <c r="E18" s="93"/>
      <c r="F18" s="92"/>
      <c r="G18" s="112"/>
    </row>
    <row r="19" spans="1:7" customHeight="1" ht="13">
      <c r="A19" s="98"/>
      <c r="B19" s="98"/>
      <c r="C19" s="98"/>
      <c r="D19" s="98"/>
      <c r="E19" s="98"/>
      <c r="F19" s="98"/>
      <c r="G19" s="98"/>
    </row>
    <row r="20" spans="1:7" customHeight="1" ht="13">
      <c r="A20" s="98"/>
      <c r="B20" s="98"/>
      <c r="C20" s="98"/>
      <c r="D20" s="98"/>
      <c r="E20" s="98"/>
      <c r="F20" s="98"/>
      <c r="G20" s="98"/>
    </row>
    <row r="21" spans="1:7" customHeight="1" ht="13">
      <c r="A21" s="98"/>
      <c r="B21" s="98"/>
      <c r="C21" s="98"/>
      <c r="D21" s="98"/>
      <c r="E21" s="98"/>
      <c r="F21" s="98"/>
      <c r="G21" s="98"/>
    </row>
    <row r="22" spans="1:7" customHeight="1" ht="16">
      <c r="A22" s="94" t="s">
        <v>171</v>
      </c>
      <c r="B22" s="94" t="s">
        <v>172</v>
      </c>
      <c r="C22" s="94" t="s">
        <v>173</v>
      </c>
      <c r="D22" s="94" t="s">
        <v>174</v>
      </c>
      <c r="E22" s="98"/>
      <c r="F22" s="98"/>
      <c r="G22" s="98"/>
    </row>
    <row r="23" spans="1:7" customHeight="1" ht="16">
      <c r="A23" s="95" t="s">
        <v>175</v>
      </c>
      <c r="B23" s="114">
        <v>19.5</v>
      </c>
      <c r="C23" s="95">
        <v>15</v>
      </c>
      <c r="D23" s="114" t="str">
        <f>B23*C23</f>
        <v>0</v>
      </c>
      <c r="E23" s="98"/>
      <c r="F23" s="98"/>
      <c r="G23" s="98"/>
    </row>
    <row r="24" spans="1:7" customHeight="1" ht="16">
      <c r="A24" s="95"/>
      <c r="B24" s="114"/>
      <c r="C24" s="95">
        <v>0.0</v>
      </c>
      <c r="D24" s="114" t="str">
        <f>B24*C24</f>
        <v>0</v>
      </c>
      <c r="E24" s="98"/>
      <c r="F24" s="98"/>
      <c r="G24" s="98"/>
    </row>
    <row r="25" spans="1:7" customHeight="1" ht="16">
      <c r="A25" s="95" t="s">
        <v>176</v>
      </c>
      <c r="B25" s="114">
        <v>9.75</v>
      </c>
      <c r="C25" s="95">
        <v>15</v>
      </c>
      <c r="D25" s="114" t="str">
        <f>B25*C25</f>
        <v>0</v>
      </c>
      <c r="E25" s="98"/>
      <c r="F25" s="98"/>
      <c r="G25" s="98"/>
    </row>
    <row r="26" spans="1:7" customHeight="1" ht="16">
      <c r="A26" s="95" t="s">
        <v>177</v>
      </c>
      <c r="B26" s="114">
        <v>77.35</v>
      </c>
      <c r="C26" s="95">
        <v>1</v>
      </c>
      <c r="D26" s="114" t="str">
        <f>B26*C26</f>
        <v>0</v>
      </c>
      <c r="E26" s="98"/>
      <c r="F26" s="98"/>
      <c r="G26" s="98"/>
    </row>
    <row r="27" spans="1:7" customHeight="1" ht="16">
      <c r="A27" s="95" t="s">
        <v>178</v>
      </c>
      <c r="B27" s="114">
        <v>561.53</v>
      </c>
      <c r="C27" s="95">
        <v>16</v>
      </c>
      <c r="D27" s="114" t="str">
        <f>B27*C27</f>
        <v>0</v>
      </c>
      <c r="E27" s="98"/>
      <c r="F27" s="98"/>
      <c r="G27" s="98"/>
    </row>
    <row r="28" spans="1:7" customHeight="1" ht="16">
      <c r="A28" s="95"/>
      <c r="B28" s="114"/>
      <c r="C28" s="95"/>
      <c r="D28" s="114"/>
      <c r="E28" s="98"/>
      <c r="F28" s="98"/>
      <c r="G28" s="98"/>
    </row>
    <row r="29" spans="1:7" customHeight="1" ht="16">
      <c r="A29" s="95"/>
      <c r="B29" s="98"/>
      <c r="C29" s="98"/>
      <c r="D29" s="98"/>
      <c r="E29" s="95"/>
      <c r="F29" s="98"/>
      <c r="G29" s="98"/>
    </row>
    <row r="30" spans="1:7" customHeight="1" ht="13">
      <c r="A30" s="98"/>
      <c r="B30" s="98"/>
      <c r="C30" s="98"/>
      <c r="D30" s="98"/>
      <c r="E30" s="98"/>
      <c r="F30" s="98"/>
      <c r="G30" s="98"/>
    </row>
    <row r="31" spans="1:7" customHeight="1" ht="13">
      <c r="A31" s="98"/>
      <c r="B31" s="98"/>
      <c r="C31" s="115"/>
      <c r="D31" s="98"/>
      <c r="E31" s="98"/>
      <c r="F31" s="98"/>
      <c r="G31" s="98"/>
    </row>
    <row r="32" spans="1:7" customHeight="1" ht="16">
      <c r="A32" s="96" t="s">
        <v>179</v>
      </c>
      <c r="B32" s="96"/>
      <c r="C32" s="96"/>
      <c r="D32" s="116" t="str">
        <f>SUM(D23:D28)</f>
        <v>0</v>
      </c>
      <c r="E32" s="98"/>
      <c r="F32" s="98"/>
      <c r="G32" s="98"/>
    </row>
    <row r="33" spans="1:7" customHeight="1" ht="13">
      <c r="A33" s="98"/>
      <c r="B33" s="98"/>
      <c r="C33" s="98"/>
      <c r="D33" s="98"/>
      <c r="E33" s="98"/>
      <c r="F33" s="98"/>
      <c r="G33" s="98"/>
    </row>
    <row r="34" spans="1:7" customHeight="1" ht="16">
      <c r="A34" s="95"/>
      <c r="B34" s="95"/>
      <c r="C34" s="97" t="s">
        <v>173</v>
      </c>
      <c r="D34" s="114"/>
      <c r="E34" s="98"/>
      <c r="F34" s="98"/>
      <c r="G34" s="98"/>
    </row>
    <row r="35" spans="1:7" customHeight="1" ht="16">
      <c r="A35" s="96" t="s">
        <v>180</v>
      </c>
      <c r="B35" s="96"/>
      <c r="C35" s="96">
        <v>2</v>
      </c>
      <c r="D35" s="116" t="str">
        <f>C35*D32</f>
        <v>0</v>
      </c>
      <c r="E35" s="98"/>
      <c r="F35" s="98"/>
      <c r="G35" s="98"/>
    </row>
    <row r="36" spans="1:7" customHeight="1" ht="13">
      <c r="A36" s="98"/>
      <c r="B36" s="98"/>
      <c r="C36" s="98"/>
      <c r="D36" s="98"/>
      <c r="E36" s="98"/>
      <c r="F36" s="98"/>
      <c r="G36" s="98"/>
    </row>
    <row r="37" spans="1:7" customHeight="1" ht="16">
      <c r="A37" s="98"/>
      <c r="B37" s="98"/>
      <c r="C37" s="95"/>
      <c r="D37" s="98"/>
      <c r="E37" s="98"/>
      <c r="F37" s="98"/>
      <c r="G37" s="98"/>
    </row>
    <row r="38" spans="1:7" customHeight="1" ht="16">
      <c r="A38" s="98"/>
      <c r="B38" s="117"/>
      <c r="C38" s="99">
        <v>3097.6</v>
      </c>
      <c r="D38" s="98"/>
      <c r="E38" s="98"/>
      <c r="F38" s="98"/>
      <c r="G38" s="98"/>
    </row>
    <row r="39" spans="1:7" customHeight="1" ht="16">
      <c r="A39" s="98"/>
      <c r="B39" s="117"/>
      <c r="C39" s="99">
        <v>3713.35</v>
      </c>
      <c r="D39" s="98"/>
      <c r="E39" s="98"/>
      <c r="F39" s="98"/>
      <c r="G39" s="98"/>
    </row>
    <row r="40" spans="1:7" customHeight="1" ht="16">
      <c r="A40" s="98"/>
      <c r="B40" s="117"/>
      <c r="C40" s="99">
        <v>2481.85</v>
      </c>
      <c r="D40" s="98"/>
      <c r="E40" s="98"/>
      <c r="F40" s="98"/>
      <c r="G40" s="98"/>
    </row>
    <row r="41" spans="1:7" customHeight="1" ht="16">
      <c r="A41" s="98"/>
      <c r="B41" s="117"/>
      <c r="C41" s="99">
        <v>6071.65</v>
      </c>
      <c r="D41" s="98"/>
      <c r="E41" s="98"/>
      <c r="F41" s="98"/>
      <c r="G41" s="98"/>
    </row>
    <row r="42" spans="1:7" customHeight="1" ht="18">
      <c r="A42" s="98"/>
      <c r="B42" s="100" t="s">
        <v>78</v>
      </c>
      <c r="C42" s="100" t="str">
        <f>SUM(C38:C41)</f>
        <v>0</v>
      </c>
      <c r="D42" s="98"/>
      <c r="E42" s="98"/>
      <c r="F42" s="98"/>
      <c r="G42" s="9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6"/>
  <sheetViews>
    <sheetView tabSelected="0" workbookViewId="0" showGridLines="true" showRowColHeaders="1">
      <selection activeCell="D19" sqref="D19"/>
    </sheetView>
  </sheetViews>
  <sheetFormatPr customHeight="true" defaultRowHeight="13" defaultColWidth="8.83203125" outlineLevelRow="0" outlineLevelCol="0"/>
  <cols>
    <col min="1" max="1" width="19.6640625" customWidth="true" style="0"/>
    <col min="2" max="2" width="8.83203125" style="0"/>
    <col min="3" max="3" width="10.1640625" customWidth="true" style="0"/>
    <col min="4" max="4" width="10.83203125" customWidth="true" style="0"/>
    <col min="5" max="5" width="20" customWidth="true" style="0"/>
    <col min="6" max="6" width="8.83203125" style="0"/>
    <col min="7" max="7" width="8.83203125" style="0"/>
    <col min="8" max="8" width="9.83203125" customWidth="true" style="0"/>
    <col min="9" max="9" width="9.83203125" customWidth="true" style="0"/>
    <col min="10" max="10" width="21" customWidth="true" style="0"/>
    <col min="11" max="11" width="12.1640625" customWidth="true" style="0"/>
    <col min="12" max="12" width="11.33203125" customWidth="true" style="0"/>
    <col min="13" max="13" width="9.83203125" customWidth="true" style="0"/>
    <col min="14" max="14" width="9.83203125" customWidth="true" style="0"/>
  </cols>
  <sheetData>
    <row r="1" spans="1:14" customHeight="1" ht="18">
      <c r="A1" s="120" t="s">
        <v>181</v>
      </c>
    </row>
    <row r="2" spans="1:14" customHeight="1" ht="18">
      <c r="A2" s="120"/>
    </row>
    <row r="3" spans="1:14" customHeight="1" ht="18">
      <c r="A3" s="120"/>
    </row>
    <row r="5" spans="1:14" customHeight="1" ht="23">
      <c r="A5" s="121" t="s">
        <v>182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4" customHeight="1" ht="34">
      <c r="A6" s="123" t="s">
        <v>183</v>
      </c>
      <c r="B6" s="124" t="s">
        <v>184</v>
      </c>
      <c r="C6" s="124" t="s">
        <v>185</v>
      </c>
      <c r="D6" s="124" t="s">
        <v>186</v>
      </c>
      <c r="E6" s="123" t="s">
        <v>187</v>
      </c>
      <c r="F6" s="125"/>
      <c r="G6" s="125"/>
      <c r="H6" s="125"/>
      <c r="I6" s="125"/>
      <c r="J6" s="123" t="s">
        <v>188</v>
      </c>
      <c r="K6" s="122"/>
      <c r="L6" s="122"/>
      <c r="M6" s="122"/>
      <c r="N6" s="122"/>
    </row>
    <row r="7" spans="1:14" customHeight="1" ht="34">
      <c r="A7" s="122" t="s">
        <v>189</v>
      </c>
      <c r="B7" s="122" t="s">
        <v>189</v>
      </c>
      <c r="C7" s="122" t="s">
        <v>189</v>
      </c>
      <c r="D7" s="122" t="s">
        <v>37</v>
      </c>
      <c r="E7" s="126" t="s">
        <v>190</v>
      </c>
      <c r="F7" s="126" t="s">
        <v>191</v>
      </c>
      <c r="G7" s="122" t="s">
        <v>192</v>
      </c>
      <c r="H7" s="122" t="s">
        <v>193</v>
      </c>
      <c r="I7" s="122" t="s">
        <v>194</v>
      </c>
      <c r="J7" s="122" t="s">
        <v>195</v>
      </c>
      <c r="K7" s="122" t="s">
        <v>196</v>
      </c>
      <c r="L7" s="122" t="s">
        <v>197</v>
      </c>
      <c r="M7" s="122" t="s">
        <v>193</v>
      </c>
      <c r="N7" s="122" t="s">
        <v>194</v>
      </c>
    </row>
    <row r="8" spans="1:14" customHeight="1" ht="16">
      <c r="A8" s="122">
        <v>15</v>
      </c>
      <c r="B8" s="122">
        <v>450</v>
      </c>
      <c r="C8" s="122">
        <v>474</v>
      </c>
      <c r="D8" s="122">
        <v>880</v>
      </c>
      <c r="E8" s="122" t="s">
        <v>198</v>
      </c>
      <c r="F8" s="122">
        <v>61294</v>
      </c>
      <c r="G8" s="127">
        <v>109.84</v>
      </c>
      <c r="H8" s="127" t="str">
        <f>G8/4*3</f>
        <v>0</v>
      </c>
      <c r="I8" s="127" t="str">
        <f>G8/10*6.5</f>
        <v>0</v>
      </c>
      <c r="J8" s="122" t="s">
        <v>199</v>
      </c>
      <c r="K8" s="122">
        <v>62052</v>
      </c>
      <c r="L8" s="127">
        <v>109.84</v>
      </c>
      <c r="M8" s="127" t="str">
        <f>L8/4*3</f>
        <v>0</v>
      </c>
      <c r="N8" s="127" t="str">
        <f>L8/10*6.5</f>
        <v>0</v>
      </c>
    </row>
    <row r="9" spans="1:14" customHeight="1" ht="16">
      <c r="A9" s="122"/>
      <c r="B9" s="122">
        <v>600</v>
      </c>
      <c r="C9" s="122">
        <v>626</v>
      </c>
      <c r="D9" s="122">
        <v>1032</v>
      </c>
      <c r="E9" s="122" t="s">
        <v>200</v>
      </c>
      <c r="F9" s="122">
        <v>61295</v>
      </c>
      <c r="G9" s="122">
        <v>139.63</v>
      </c>
      <c r="H9" s="127" t="str">
        <f>G9/4*3</f>
        <v>0</v>
      </c>
      <c r="I9" s="127" t="str">
        <f>G9/10*6.5</f>
        <v>0</v>
      </c>
      <c r="J9" s="122" t="s">
        <v>201</v>
      </c>
      <c r="K9" s="122">
        <v>62053</v>
      </c>
      <c r="L9" s="122">
        <v>139.63</v>
      </c>
      <c r="M9" s="127" t="str">
        <f>L9/4*3</f>
        <v>0</v>
      </c>
      <c r="N9" s="127" t="str">
        <f>L9/10*6.5</f>
        <v>0</v>
      </c>
    </row>
    <row r="10" spans="1:14" customHeight="1" ht="16">
      <c r="A10" s="122"/>
      <c r="B10" s="122">
        <v>750</v>
      </c>
      <c r="C10" s="122">
        <v>779</v>
      </c>
      <c r="D10" s="122">
        <v>1185</v>
      </c>
      <c r="E10" s="122" t="s">
        <v>202</v>
      </c>
      <c r="F10" s="122">
        <v>61296</v>
      </c>
      <c r="G10" s="122">
        <v>174.54</v>
      </c>
      <c r="H10" s="127" t="str">
        <f>G10/4*3</f>
        <v>0</v>
      </c>
      <c r="I10" s="127" t="str">
        <f>G10/10*6.5</f>
        <v>0</v>
      </c>
      <c r="J10" s="122" t="s">
        <v>203</v>
      </c>
      <c r="K10" s="122">
        <v>62054</v>
      </c>
      <c r="L10" s="122">
        <v>174.54</v>
      </c>
      <c r="M10" s="127" t="str">
        <f>L10/4*3</f>
        <v>0</v>
      </c>
      <c r="N10" s="127" t="str">
        <f>L10/10*6.5</f>
        <v>0</v>
      </c>
    </row>
    <row r="11" spans="1:14" customHeight="1" ht="16">
      <c r="A11" s="122"/>
      <c r="B11" s="122">
        <v>900</v>
      </c>
      <c r="C11" s="122">
        <v>931</v>
      </c>
      <c r="D11" s="122">
        <v>1337</v>
      </c>
      <c r="E11" s="122" t="s">
        <v>204</v>
      </c>
      <c r="F11" s="122">
        <v>61297</v>
      </c>
      <c r="G11" s="122">
        <v>209.44</v>
      </c>
      <c r="H11" s="127" t="str">
        <f>G11/4*3</f>
        <v>0</v>
      </c>
      <c r="I11" s="127" t="str">
        <f>G11/10*6.5</f>
        <v>0</v>
      </c>
      <c r="J11" s="122" t="s">
        <v>205</v>
      </c>
      <c r="K11" s="122">
        <v>62055</v>
      </c>
      <c r="L11" s="122">
        <v>209.44</v>
      </c>
      <c r="M11" s="127" t="str">
        <f>L11/4*3</f>
        <v>0</v>
      </c>
      <c r="N11" s="127" t="str">
        <f>L11/10*6.5</f>
        <v>0</v>
      </c>
    </row>
    <row r="12" spans="1:14" customHeight="1" ht="16">
      <c r="A12" s="122"/>
      <c r="B12" s="122">
        <v>1050</v>
      </c>
      <c r="C12" s="122">
        <v>1082</v>
      </c>
      <c r="D12" s="122">
        <v>1488</v>
      </c>
      <c r="E12" s="122" t="s">
        <v>206</v>
      </c>
      <c r="F12" s="122">
        <v>61298</v>
      </c>
      <c r="G12" s="122">
        <v>244.35</v>
      </c>
      <c r="H12" s="127" t="str">
        <f>G12/4*3</f>
        <v>0</v>
      </c>
      <c r="I12" s="127" t="str">
        <f>G12/10*6.5</f>
        <v>0</v>
      </c>
      <c r="J12" s="122" t="s">
        <v>207</v>
      </c>
      <c r="K12" s="122">
        <v>62056</v>
      </c>
      <c r="L12" s="122">
        <v>244.35</v>
      </c>
      <c r="M12" s="127" t="str">
        <f>L12/4*3</f>
        <v>0</v>
      </c>
      <c r="N12" s="127" t="str">
        <f>L12/10*6.5</f>
        <v>0</v>
      </c>
    </row>
    <row r="13" spans="1:14" customHeight="1" ht="16">
      <c r="A13" s="122"/>
      <c r="B13" s="122">
        <v>1200</v>
      </c>
      <c r="C13" s="122">
        <v>1235</v>
      </c>
      <c r="D13" s="122">
        <v>1641</v>
      </c>
      <c r="E13" s="122" t="s">
        <v>208</v>
      </c>
      <c r="F13" s="122">
        <v>61299</v>
      </c>
      <c r="G13" s="122">
        <v>279.26</v>
      </c>
      <c r="H13" s="127" t="str">
        <f>G13/4*3</f>
        <v>0</v>
      </c>
      <c r="I13" s="127" t="str">
        <f>G13/10*6.5</f>
        <v>0</v>
      </c>
      <c r="J13" s="122" t="s">
        <v>209</v>
      </c>
      <c r="K13" s="122">
        <v>62057</v>
      </c>
      <c r="L13" s="122">
        <v>279.26</v>
      </c>
      <c r="M13" s="127" t="str">
        <f>L13/4*3</f>
        <v>0</v>
      </c>
      <c r="N13" s="127" t="str">
        <f>L13/10*6.5</f>
        <v>0</v>
      </c>
    </row>
    <row r="14" spans="1:14" customHeight="1" ht="16">
      <c r="A14" s="122"/>
      <c r="B14" s="122">
        <v>1350</v>
      </c>
      <c r="C14" s="122">
        <v>1388</v>
      </c>
      <c r="D14" s="122">
        <v>1794</v>
      </c>
      <c r="E14" s="122" t="s">
        <v>210</v>
      </c>
      <c r="F14" s="122">
        <v>61300</v>
      </c>
      <c r="G14" s="122">
        <v>314.17</v>
      </c>
      <c r="H14" s="127" t="str">
        <f>G14/4*3</f>
        <v>0</v>
      </c>
      <c r="I14" s="127" t="str">
        <f>G14/10*6.5</f>
        <v>0</v>
      </c>
      <c r="J14" s="122" t="s">
        <v>211</v>
      </c>
      <c r="K14" s="122">
        <v>62058</v>
      </c>
      <c r="L14" s="122">
        <v>314.17</v>
      </c>
      <c r="M14" s="127" t="str">
        <f>L14/4*3</f>
        <v>0</v>
      </c>
      <c r="N14" s="127" t="str">
        <f>L14/10*6.5</f>
        <v>0</v>
      </c>
    </row>
    <row r="15" spans="1:14" customHeight="1" ht="16">
      <c r="A15" s="122"/>
      <c r="B15" s="122">
        <v>1500</v>
      </c>
      <c r="C15" s="122">
        <v>1541</v>
      </c>
      <c r="D15" s="122">
        <v>1947</v>
      </c>
      <c r="E15" s="122" t="s">
        <v>212</v>
      </c>
      <c r="F15" s="122">
        <v>61301</v>
      </c>
      <c r="G15" s="122">
        <v>349.07</v>
      </c>
      <c r="H15" s="127" t="str">
        <f>G15/4*3</f>
        <v>0</v>
      </c>
      <c r="I15" s="127" t="str">
        <f>G15/10*6.5</f>
        <v>0</v>
      </c>
      <c r="J15" s="122" t="s">
        <v>213</v>
      </c>
      <c r="K15" s="122">
        <v>62059</v>
      </c>
      <c r="L15" s="122">
        <v>349.07</v>
      </c>
      <c r="M15" s="127" t="str">
        <f>L15/4*3</f>
        <v>0</v>
      </c>
      <c r="N15" s="127" t="str">
        <f>L15/10*6.5</f>
        <v>0</v>
      </c>
    </row>
    <row r="16" spans="1:14" customHeight="1" ht="16">
      <c r="A16" s="122"/>
      <c r="B16" s="122">
        <v>1800</v>
      </c>
      <c r="C16" s="122">
        <v>1842</v>
      </c>
      <c r="D16" s="122">
        <v>2248</v>
      </c>
      <c r="E16" s="122" t="s">
        <v>214</v>
      </c>
      <c r="F16" s="122">
        <v>61302</v>
      </c>
      <c r="G16" s="122">
        <v>418.88</v>
      </c>
      <c r="H16" s="127" t="str">
        <f>G16/4*3</f>
        <v>0</v>
      </c>
      <c r="I16" s="127" t="str">
        <f>G16/10*6.5</f>
        <v>0</v>
      </c>
      <c r="J16" s="122" t="s">
        <v>215</v>
      </c>
      <c r="K16" s="122">
        <v>62060</v>
      </c>
      <c r="L16" s="122">
        <v>418.88</v>
      </c>
      <c r="M16" s="127" t="str">
        <f>L16/4*3</f>
        <v>0</v>
      </c>
      <c r="N16" s="127" t="str">
        <f>L16/10*6.5</f>
        <v>0</v>
      </c>
    </row>
    <row r="17" spans="1:14" customHeight="1" ht="16">
      <c r="A17" s="122"/>
      <c r="B17" s="122">
        <v>2100</v>
      </c>
      <c r="C17" s="122">
        <v>2155</v>
      </c>
      <c r="D17" s="122">
        <v>2561</v>
      </c>
      <c r="E17" s="122" t="s">
        <v>216</v>
      </c>
      <c r="F17" s="122">
        <v>61303</v>
      </c>
      <c r="G17" s="122">
        <v>459.38</v>
      </c>
      <c r="H17" s="127" t="str">
        <f>G17/4*3</f>
        <v>0</v>
      </c>
      <c r="I17" s="127" t="str">
        <f>G17/10*6.5</f>
        <v>0</v>
      </c>
      <c r="J17" s="122" t="s">
        <v>217</v>
      </c>
      <c r="K17" s="122">
        <v>62061</v>
      </c>
      <c r="L17" s="122">
        <v>459.38</v>
      </c>
      <c r="M17" s="127" t="str">
        <f>L17/4*3</f>
        <v>0</v>
      </c>
      <c r="N17" s="127" t="str">
        <f>L17/10*6.5</f>
        <v>0</v>
      </c>
    </row>
    <row r="19" spans="1:14" customHeight="1" ht="13">
      <c r="A19" s="128" t="s">
        <v>218</v>
      </c>
    </row>
    <row r="22" spans="1:14" customHeight="1" ht="23">
      <c r="A22" s="129"/>
      <c r="B22" s="121" t="s">
        <v>182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</row>
    <row r="23" spans="1:14" customHeight="1" ht="34">
      <c r="A23" s="130" t="s">
        <v>183</v>
      </c>
      <c r="B23" s="130" t="s">
        <v>184</v>
      </c>
      <c r="C23" s="130" t="s">
        <v>185</v>
      </c>
      <c r="D23" s="130" t="s">
        <v>186</v>
      </c>
      <c r="E23" s="130" t="s">
        <v>187</v>
      </c>
      <c r="F23" s="98"/>
      <c r="G23" s="122"/>
      <c r="H23" s="122"/>
      <c r="I23" s="122"/>
      <c r="J23" s="130" t="s">
        <v>188</v>
      </c>
      <c r="K23" s="122"/>
      <c r="L23" s="122"/>
      <c r="M23" s="122"/>
      <c r="N23" s="122"/>
    </row>
    <row r="24" spans="1:14" customHeight="1" ht="34">
      <c r="A24" s="130" t="s">
        <v>189</v>
      </c>
      <c r="B24" s="130" t="s">
        <v>189</v>
      </c>
      <c r="C24" s="130" t="s">
        <v>189</v>
      </c>
      <c r="D24" s="130" t="s">
        <v>37</v>
      </c>
      <c r="E24" s="130" t="s">
        <v>190</v>
      </c>
      <c r="F24" s="130" t="s">
        <v>191</v>
      </c>
      <c r="G24" s="130" t="s">
        <v>192</v>
      </c>
      <c r="H24" s="130" t="s">
        <v>219</v>
      </c>
      <c r="I24" s="130" t="s">
        <v>220</v>
      </c>
      <c r="J24" s="130" t="s">
        <v>195</v>
      </c>
      <c r="K24" s="130" t="s">
        <v>196</v>
      </c>
      <c r="L24" s="130" t="s">
        <v>221</v>
      </c>
      <c r="M24" s="130" t="s">
        <v>219</v>
      </c>
      <c r="N24" s="130" t="s">
        <v>220</v>
      </c>
    </row>
    <row r="25" spans="1:14" customHeight="1" ht="17">
      <c r="A25" s="126">
        <v>15</v>
      </c>
      <c r="B25" s="126">
        <v>450</v>
      </c>
      <c r="C25" s="126">
        <v>474</v>
      </c>
      <c r="D25" s="126">
        <v>880</v>
      </c>
      <c r="E25" s="126" t="s">
        <v>222</v>
      </c>
      <c r="F25" s="126">
        <v>61308</v>
      </c>
      <c r="G25" s="131">
        <v>118.08</v>
      </c>
      <c r="H25" s="127" t="str">
        <f>G25/4*3</f>
        <v>0</v>
      </c>
      <c r="I25" s="127" t="str">
        <f>G25/10*6.5</f>
        <v>0</v>
      </c>
      <c r="J25" s="126" t="s">
        <v>223</v>
      </c>
      <c r="K25" s="126">
        <v>62063</v>
      </c>
      <c r="L25" s="131">
        <v>118.08</v>
      </c>
      <c r="M25" s="127" t="str">
        <f>L25/4*3</f>
        <v>0</v>
      </c>
      <c r="N25" s="127" t="str">
        <f>L25/10*6.5</f>
        <v>0</v>
      </c>
    </row>
    <row r="26" spans="1:14" customHeight="1" ht="17">
      <c r="A26" s="122"/>
      <c r="B26" s="126">
        <v>600</v>
      </c>
      <c r="C26" s="126">
        <v>626</v>
      </c>
      <c r="D26" s="126">
        <v>1032</v>
      </c>
      <c r="E26" s="126" t="s">
        <v>224</v>
      </c>
      <c r="F26" s="126">
        <v>61309</v>
      </c>
      <c r="G26" s="130">
        <v>150.1</v>
      </c>
      <c r="H26" s="127" t="str">
        <f>G26/4*3</f>
        <v>0</v>
      </c>
      <c r="I26" s="127" t="str">
        <f>G26/10*6.5</f>
        <v>0</v>
      </c>
      <c r="J26" s="126" t="s">
        <v>225</v>
      </c>
      <c r="K26" s="126">
        <v>62064</v>
      </c>
      <c r="L26" s="130">
        <v>150.1</v>
      </c>
      <c r="M26" s="127" t="str">
        <f>L26/4*3</f>
        <v>0</v>
      </c>
      <c r="N26" s="127" t="str">
        <f>L26/10*6.5</f>
        <v>0</v>
      </c>
    </row>
    <row r="27" spans="1:14" customHeight="1" ht="17">
      <c r="A27" s="122"/>
      <c r="B27" s="126">
        <v>750</v>
      </c>
      <c r="C27" s="126">
        <v>779</v>
      </c>
      <c r="D27" s="126">
        <v>1185</v>
      </c>
      <c r="E27" s="126" t="s">
        <v>226</v>
      </c>
      <c r="F27" s="126">
        <v>61310</v>
      </c>
      <c r="G27" s="130">
        <v>187.63</v>
      </c>
      <c r="H27" s="127" t="str">
        <f>G27/4*3</f>
        <v>0</v>
      </c>
      <c r="I27" s="127" t="str">
        <f>G27/10*6.5</f>
        <v>0</v>
      </c>
      <c r="J27" s="126" t="s">
        <v>227</v>
      </c>
      <c r="K27" s="126">
        <v>62065</v>
      </c>
      <c r="L27" s="130">
        <v>187.63</v>
      </c>
      <c r="M27" s="127" t="str">
        <f>L27/4*3</f>
        <v>0</v>
      </c>
      <c r="N27" s="127" t="str">
        <f>L27/10*6.5</f>
        <v>0</v>
      </c>
    </row>
    <row r="28" spans="1:14" customHeight="1" ht="17">
      <c r="A28" s="122"/>
      <c r="B28" s="126">
        <v>900</v>
      </c>
      <c r="C28" s="126">
        <v>931</v>
      </c>
      <c r="D28" s="126">
        <v>1337</v>
      </c>
      <c r="E28" s="126" t="s">
        <v>228</v>
      </c>
      <c r="F28" s="126">
        <v>61311</v>
      </c>
      <c r="G28" s="130">
        <v>225.15</v>
      </c>
      <c r="H28" s="127" t="str">
        <f>G28/4*3</f>
        <v>0</v>
      </c>
      <c r="I28" s="127" t="str">
        <f>G28/10*6.5</f>
        <v>0</v>
      </c>
      <c r="J28" s="126" t="s">
        <v>229</v>
      </c>
      <c r="K28" s="126">
        <v>62066</v>
      </c>
      <c r="L28" s="130">
        <v>225.15</v>
      </c>
      <c r="M28" s="127" t="str">
        <f>L28/4*3</f>
        <v>0</v>
      </c>
      <c r="N28" s="127" t="str">
        <f>L28/10*6.5</f>
        <v>0</v>
      </c>
    </row>
    <row r="29" spans="1:14" customHeight="1" ht="17">
      <c r="A29" s="122"/>
      <c r="B29" s="126">
        <v>1050</v>
      </c>
      <c r="C29" s="126">
        <v>1082</v>
      </c>
      <c r="D29" s="126">
        <v>1488</v>
      </c>
      <c r="E29" s="126" t="s">
        <v>230</v>
      </c>
      <c r="F29" s="126">
        <v>61312</v>
      </c>
      <c r="G29" s="130">
        <v>262.68</v>
      </c>
      <c r="H29" s="127" t="str">
        <f>G29/4*3</f>
        <v>0</v>
      </c>
      <c r="I29" s="127" t="str">
        <f>G29/10*6.5</f>
        <v>0</v>
      </c>
      <c r="J29" s="126" t="s">
        <v>231</v>
      </c>
      <c r="K29" s="126">
        <v>62067</v>
      </c>
      <c r="L29" s="130">
        <v>262.68</v>
      </c>
      <c r="M29" s="127" t="str">
        <f>L29/4*3</f>
        <v>0</v>
      </c>
      <c r="N29" s="127" t="str">
        <f>L29/10*6.5</f>
        <v>0</v>
      </c>
    </row>
    <row r="30" spans="1:14" customHeight="1" ht="17">
      <c r="A30" s="122"/>
      <c r="B30" s="126">
        <v>1200</v>
      </c>
      <c r="C30" s="126">
        <v>1235</v>
      </c>
      <c r="D30" s="126">
        <v>1641</v>
      </c>
      <c r="E30" s="126" t="s">
        <v>232</v>
      </c>
      <c r="F30" s="126">
        <v>61313</v>
      </c>
      <c r="G30" s="130">
        <v>300.2</v>
      </c>
      <c r="H30" s="127" t="str">
        <f>G30/4*3</f>
        <v>0</v>
      </c>
      <c r="I30" s="127" t="str">
        <f>G30/10*6.5</f>
        <v>0</v>
      </c>
      <c r="J30" s="126" t="s">
        <v>233</v>
      </c>
      <c r="K30" s="126">
        <v>62068</v>
      </c>
      <c r="L30" s="130">
        <v>300.2</v>
      </c>
      <c r="M30" s="127" t="str">
        <f>L30/4*3</f>
        <v>0</v>
      </c>
      <c r="N30" s="127" t="str">
        <f>L30/10*6.5</f>
        <v>0</v>
      </c>
    </row>
    <row r="31" spans="1:14" customHeight="1" ht="17">
      <c r="A31" s="122"/>
      <c r="B31" s="126">
        <v>1350</v>
      </c>
      <c r="C31" s="126">
        <v>1388</v>
      </c>
      <c r="D31" s="126">
        <v>1794</v>
      </c>
      <c r="E31" s="126" t="s">
        <v>234</v>
      </c>
      <c r="F31" s="126">
        <v>61314</v>
      </c>
      <c r="G31" s="130">
        <v>337.73</v>
      </c>
      <c r="H31" s="127" t="str">
        <f>G31/4*3</f>
        <v>0</v>
      </c>
      <c r="I31" s="127" t="str">
        <f>G31/10*6.5</f>
        <v>0</v>
      </c>
      <c r="J31" s="126" t="s">
        <v>235</v>
      </c>
      <c r="K31" s="126">
        <v>62069</v>
      </c>
      <c r="L31" s="130">
        <v>337.73</v>
      </c>
      <c r="M31" s="127" t="str">
        <f>L31/4*3</f>
        <v>0</v>
      </c>
      <c r="N31" s="127" t="str">
        <f>L31/10*6.5</f>
        <v>0</v>
      </c>
    </row>
    <row r="32" spans="1:14" customHeight="1" ht="17">
      <c r="A32" s="122"/>
      <c r="B32" s="126">
        <v>1500</v>
      </c>
      <c r="C32" s="126">
        <v>1541</v>
      </c>
      <c r="D32" s="126">
        <v>1947</v>
      </c>
      <c r="E32" s="126" t="s">
        <v>236</v>
      </c>
      <c r="F32" s="126">
        <v>61315</v>
      </c>
      <c r="G32" s="130">
        <v>375.25</v>
      </c>
      <c r="H32" s="127" t="str">
        <f>G32/4*3</f>
        <v>0</v>
      </c>
      <c r="I32" s="127" t="str">
        <f>G32/10*6.5</f>
        <v>0</v>
      </c>
      <c r="J32" s="126" t="s">
        <v>237</v>
      </c>
      <c r="K32" s="126">
        <v>62070</v>
      </c>
      <c r="L32" s="130">
        <v>375.25</v>
      </c>
      <c r="M32" s="127" t="str">
        <f>L32/4*3</f>
        <v>0</v>
      </c>
      <c r="N32" s="127" t="str">
        <f>L32/10*6.5</f>
        <v>0</v>
      </c>
    </row>
    <row r="33" spans="1:14" customHeight="1" ht="17">
      <c r="A33" s="122"/>
      <c r="B33" s="126">
        <v>1800</v>
      </c>
      <c r="C33" s="126">
        <v>1842</v>
      </c>
      <c r="D33" s="126">
        <v>2248</v>
      </c>
      <c r="E33" s="126" t="s">
        <v>238</v>
      </c>
      <c r="F33" s="126">
        <v>61316</v>
      </c>
      <c r="G33" s="130">
        <v>450.3</v>
      </c>
      <c r="H33" s="127" t="str">
        <f>G33/4*3</f>
        <v>0</v>
      </c>
      <c r="I33" s="127" t="str">
        <f>G33/10*6.5</f>
        <v>0</v>
      </c>
      <c r="J33" s="126" t="s">
        <v>239</v>
      </c>
      <c r="K33" s="126">
        <v>62071</v>
      </c>
      <c r="L33" s="130">
        <v>450.3</v>
      </c>
      <c r="M33" s="127" t="str">
        <f>L33/4*3</f>
        <v>0</v>
      </c>
      <c r="N33" s="127" t="str">
        <f>L33/10*6.5</f>
        <v>0</v>
      </c>
    </row>
    <row r="34" spans="1:14" customHeight="1" ht="17">
      <c r="A34" s="122"/>
      <c r="B34" s="126">
        <v>2100</v>
      </c>
      <c r="C34" s="126">
        <v>2155</v>
      </c>
      <c r="D34" s="126">
        <v>2561</v>
      </c>
      <c r="E34" s="126" t="s">
        <v>240</v>
      </c>
      <c r="F34" s="126">
        <v>61317</v>
      </c>
      <c r="G34" s="130">
        <v>493.83</v>
      </c>
      <c r="H34" s="127" t="str">
        <f>G34/4*3</f>
        <v>0</v>
      </c>
      <c r="I34" s="127" t="str">
        <f>G34/10*6.5</f>
        <v>0</v>
      </c>
      <c r="J34" s="126" t="s">
        <v>241</v>
      </c>
      <c r="K34" s="126">
        <v>62072</v>
      </c>
      <c r="L34" s="130">
        <v>493.83</v>
      </c>
      <c r="M34" s="127" t="str">
        <f>L34/4*3</f>
        <v>0</v>
      </c>
      <c r="N34" s="127" t="str">
        <f>L34/10*6.5</f>
        <v>0</v>
      </c>
    </row>
    <row r="35" spans="1:14" customHeight="1" ht="16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7"/>
      <c r="N35" s="127"/>
    </row>
    <row r="37" spans="1:14" customHeight="1" ht="13">
      <c r="A37" s="128" t="s">
        <v>218</v>
      </c>
    </row>
    <row r="40" spans="1:14" customHeight="1" ht="23">
      <c r="A40" s="132" t="s">
        <v>242</v>
      </c>
      <c r="B40" s="133"/>
      <c r="C40" s="133"/>
      <c r="D40" s="133"/>
      <c r="E40" s="133"/>
      <c r="F40" s="133"/>
      <c r="G40" s="133"/>
      <c r="H40" s="133"/>
      <c r="I40" s="133"/>
      <c r="J40" s="133"/>
    </row>
    <row r="41" spans="1:14" customHeight="1" ht="35.5">
      <c r="A41" s="134" t="s">
        <v>243</v>
      </c>
      <c r="B41" s="134" t="s">
        <v>244</v>
      </c>
      <c r="C41" s="134" t="s">
        <v>245</v>
      </c>
      <c r="D41" s="134" t="s">
        <v>246</v>
      </c>
      <c r="E41" s="134" t="s">
        <v>187</v>
      </c>
      <c r="F41" s="135"/>
      <c r="G41" s="136"/>
      <c r="H41" s="135"/>
      <c r="I41" s="135"/>
      <c r="J41" s="134" t="s">
        <v>188</v>
      </c>
      <c r="K41" s="136"/>
      <c r="L41" s="136"/>
      <c r="M41" s="135"/>
      <c r="N41" s="135"/>
    </row>
    <row r="42" spans="1:14" customHeight="1" ht="34">
      <c r="A42" s="134" t="s">
        <v>189</v>
      </c>
      <c r="B42" s="134" t="s">
        <v>189</v>
      </c>
      <c r="C42" s="134" t="s">
        <v>189</v>
      </c>
      <c r="D42" s="134" t="s">
        <v>189</v>
      </c>
      <c r="E42" s="134" t="s">
        <v>190</v>
      </c>
      <c r="F42" s="134" t="s">
        <v>247</v>
      </c>
      <c r="G42" s="134" t="s">
        <v>248</v>
      </c>
      <c r="H42" s="134" t="s">
        <v>249</v>
      </c>
      <c r="I42" s="134" t="s">
        <v>220</v>
      </c>
      <c r="J42" s="134" t="s">
        <v>190</v>
      </c>
      <c r="K42" s="134" t="s">
        <v>247</v>
      </c>
      <c r="L42" s="134" t="s">
        <v>248</v>
      </c>
      <c r="M42" s="134" t="s">
        <v>249</v>
      </c>
      <c r="N42" s="134" t="s">
        <v>220</v>
      </c>
    </row>
    <row r="43" spans="1:14" customHeight="1" ht="17">
      <c r="A43" s="137">
        <v>12</v>
      </c>
      <c r="B43" s="137">
        <v>450</v>
      </c>
      <c r="C43" s="137">
        <v>460</v>
      </c>
      <c r="D43" s="137">
        <v>860</v>
      </c>
      <c r="E43" s="137" t="s">
        <v>250</v>
      </c>
      <c r="F43" s="137">
        <v>71111</v>
      </c>
      <c r="G43" s="138">
        <v>159</v>
      </c>
      <c r="H43" s="139" t="str">
        <f>G43/4*3</f>
        <v>0</v>
      </c>
      <c r="I43" s="139" t="str">
        <f>G43/10*6.5</f>
        <v>0</v>
      </c>
      <c r="J43" s="137" t="s">
        <v>251</v>
      </c>
      <c r="K43" s="137">
        <v>79383</v>
      </c>
      <c r="L43" s="138">
        <v>159</v>
      </c>
      <c r="M43" s="139" t="str">
        <f>L43/4*3</f>
        <v>0</v>
      </c>
      <c r="N43" s="139" t="str">
        <f>L43/10*6.5</f>
        <v>0</v>
      </c>
    </row>
    <row r="44" spans="1:14" customHeight="1" ht="17">
      <c r="A44" s="137">
        <v>12</v>
      </c>
      <c r="B44" s="137">
        <v>600</v>
      </c>
      <c r="C44" s="137">
        <v>600</v>
      </c>
      <c r="D44" s="137">
        <v>1000</v>
      </c>
      <c r="E44" s="137" t="s">
        <v>252</v>
      </c>
      <c r="F44" s="137">
        <v>71112</v>
      </c>
      <c r="G44" s="134">
        <v>188</v>
      </c>
      <c r="H44" s="139" t="str">
        <f>G44/4*3</f>
        <v>0</v>
      </c>
      <c r="I44" s="139" t="str">
        <f>G44/10*6.5</f>
        <v>0</v>
      </c>
      <c r="J44" s="137" t="s">
        <v>253</v>
      </c>
      <c r="K44" s="137">
        <v>79384</v>
      </c>
      <c r="L44" s="134">
        <v>188</v>
      </c>
      <c r="M44" s="139" t="str">
        <f>L44/4*3</f>
        <v>0</v>
      </c>
      <c r="N44" s="139" t="str">
        <f>L44/10*6.5</f>
        <v>0</v>
      </c>
    </row>
    <row r="45" spans="1:14" customHeight="1" ht="17">
      <c r="A45" s="137">
        <v>12</v>
      </c>
      <c r="B45" s="137">
        <v>750</v>
      </c>
      <c r="C45" s="137">
        <v>760</v>
      </c>
      <c r="D45" s="137">
        <v>1160</v>
      </c>
      <c r="E45" s="137" t="s">
        <v>254</v>
      </c>
      <c r="F45" s="137">
        <v>71113</v>
      </c>
      <c r="G45" s="134">
        <v>234</v>
      </c>
      <c r="H45" s="139" t="str">
        <f>G45/4*3</f>
        <v>0</v>
      </c>
      <c r="I45" s="139" t="str">
        <f>G45/10*6.5</f>
        <v>0</v>
      </c>
      <c r="J45" s="137" t="s">
        <v>255</v>
      </c>
      <c r="K45" s="137">
        <v>79385</v>
      </c>
      <c r="L45" s="134">
        <v>234</v>
      </c>
      <c r="M45" s="139" t="str">
        <f>L45/4*3</f>
        <v>0</v>
      </c>
      <c r="N45" s="139" t="str">
        <f>L45/10*6.5</f>
        <v>0</v>
      </c>
    </row>
    <row r="46" spans="1:14" customHeight="1" ht="17">
      <c r="A46" s="137">
        <v>12</v>
      </c>
      <c r="B46" s="137">
        <v>800</v>
      </c>
      <c r="C46" s="137">
        <v>800</v>
      </c>
      <c r="D46" s="137">
        <v>1200</v>
      </c>
      <c r="E46" s="137" t="s">
        <v>256</v>
      </c>
      <c r="F46" s="137">
        <v>71114</v>
      </c>
      <c r="G46" s="134">
        <v>247</v>
      </c>
      <c r="H46" s="139" t="str">
        <f>G46/4*3</f>
        <v>0</v>
      </c>
      <c r="I46" s="139" t="str">
        <f>G46/10*6.5</f>
        <v>0</v>
      </c>
      <c r="J46" s="137" t="s">
        <v>257</v>
      </c>
      <c r="K46" s="137">
        <v>79386</v>
      </c>
      <c r="L46" s="134">
        <v>247</v>
      </c>
      <c r="M46" s="139" t="str">
        <f>L46/4*3</f>
        <v>0</v>
      </c>
      <c r="N46" s="139" t="str">
        <f>L46/10*6.5</f>
        <v>0</v>
      </c>
    </row>
    <row r="47" spans="1:14" customHeight="1" ht="17">
      <c r="A47" s="137">
        <v>12</v>
      </c>
      <c r="B47" s="137">
        <v>900</v>
      </c>
      <c r="C47" s="137">
        <v>900</v>
      </c>
      <c r="D47" s="137">
        <v>1300</v>
      </c>
      <c r="E47" s="137" t="s">
        <v>258</v>
      </c>
      <c r="F47" s="137">
        <v>71115</v>
      </c>
      <c r="G47" s="134">
        <v>276</v>
      </c>
      <c r="H47" s="139" t="str">
        <f>G47/4*3</f>
        <v>0</v>
      </c>
      <c r="I47" s="139" t="str">
        <f>G47/10*6.5</f>
        <v>0</v>
      </c>
      <c r="J47" s="137" t="s">
        <v>259</v>
      </c>
      <c r="K47" s="137">
        <v>79387</v>
      </c>
      <c r="L47" s="134">
        <v>276</v>
      </c>
      <c r="M47" s="139" t="str">
        <f>L47/4*3</f>
        <v>0</v>
      </c>
      <c r="N47" s="139" t="str">
        <f>L47/10*6.5</f>
        <v>0</v>
      </c>
    </row>
    <row r="48" spans="1:14" customHeight="1" ht="17">
      <c r="A48" s="137">
        <v>12</v>
      </c>
      <c r="B48" s="137">
        <v>1050</v>
      </c>
      <c r="C48" s="137">
        <v>1060</v>
      </c>
      <c r="D48" s="137">
        <v>1500</v>
      </c>
      <c r="E48" s="137" t="s">
        <v>260</v>
      </c>
      <c r="F48" s="137">
        <v>71116</v>
      </c>
      <c r="G48" s="134">
        <v>311</v>
      </c>
      <c r="H48" s="139" t="str">
        <f>G48/4*3</f>
        <v>0</v>
      </c>
      <c r="I48" s="139" t="str">
        <f>G48/10*6.5</f>
        <v>0</v>
      </c>
      <c r="J48" s="137" t="s">
        <v>261</v>
      </c>
      <c r="K48" s="137">
        <v>79388</v>
      </c>
      <c r="L48" s="134">
        <v>311</v>
      </c>
      <c r="M48" s="139" t="str">
        <f>L48/4*3</f>
        <v>0</v>
      </c>
      <c r="N48" s="139" t="str">
        <f>L48/10*6.5</f>
        <v>0</v>
      </c>
    </row>
    <row r="49" spans="1:14" customHeight="1" ht="17">
      <c r="A49" s="137">
        <v>12</v>
      </c>
      <c r="B49" s="137">
        <v>1200</v>
      </c>
      <c r="C49" s="137">
        <v>1200</v>
      </c>
      <c r="D49" s="137">
        <v>1600</v>
      </c>
      <c r="E49" s="137" t="s">
        <v>262</v>
      </c>
      <c r="F49" s="137">
        <v>71039</v>
      </c>
      <c r="G49" s="134">
        <v>341</v>
      </c>
      <c r="H49" s="139" t="str">
        <f>G49/4*3</f>
        <v>0</v>
      </c>
      <c r="I49" s="139" t="str">
        <f>G49/10*6.5</f>
        <v>0</v>
      </c>
      <c r="J49" s="137" t="s">
        <v>263</v>
      </c>
      <c r="K49" s="137">
        <v>79389</v>
      </c>
      <c r="L49" s="134">
        <v>341</v>
      </c>
      <c r="M49" s="139" t="str">
        <f>L49/4*3</f>
        <v>0</v>
      </c>
      <c r="N49" s="139" t="str">
        <f>L49/10*6.5</f>
        <v>0</v>
      </c>
    </row>
    <row r="50" spans="1:14" customHeight="1" ht="17">
      <c r="A50" s="137">
        <v>12</v>
      </c>
      <c r="B50" s="137">
        <v>1350</v>
      </c>
      <c r="C50" s="137">
        <v>1360</v>
      </c>
      <c r="D50" s="137">
        <v>1800</v>
      </c>
      <c r="E50" s="137" t="s">
        <v>264</v>
      </c>
      <c r="F50" s="137">
        <v>71126</v>
      </c>
      <c r="G50" s="134">
        <v>399</v>
      </c>
      <c r="H50" s="139" t="str">
        <f>G50/4*3</f>
        <v>0</v>
      </c>
      <c r="I50" s="139" t="str">
        <f>G50/10*6.5</f>
        <v>0</v>
      </c>
      <c r="J50" s="137" t="s">
        <v>265</v>
      </c>
      <c r="K50" s="137">
        <v>79390</v>
      </c>
      <c r="L50" s="134">
        <v>399</v>
      </c>
      <c r="M50" s="139" t="str">
        <f>L50/4*3</f>
        <v>0</v>
      </c>
      <c r="N50" s="139" t="str">
        <f>L50/10*6.5</f>
        <v>0</v>
      </c>
    </row>
    <row r="51" spans="1:14" customHeight="1" ht="17">
      <c r="A51" s="137">
        <v>12</v>
      </c>
      <c r="B51" s="137">
        <v>1400</v>
      </c>
      <c r="C51" s="137">
        <v>1400</v>
      </c>
      <c r="D51" s="137">
        <v>1800</v>
      </c>
      <c r="E51" s="137" t="s">
        <v>266</v>
      </c>
      <c r="F51" s="137">
        <v>71040</v>
      </c>
      <c r="G51" s="134">
        <v>405</v>
      </c>
      <c r="H51" s="139" t="str">
        <f>G51/4*3</f>
        <v>0</v>
      </c>
      <c r="I51" s="139" t="str">
        <f>G51/10*6.5</f>
        <v>0</v>
      </c>
      <c r="J51" s="137" t="s">
        <v>267</v>
      </c>
      <c r="K51" s="137">
        <v>79391</v>
      </c>
      <c r="L51" s="134">
        <v>405</v>
      </c>
      <c r="M51" s="139" t="str">
        <f>L51/4*3</f>
        <v>0</v>
      </c>
      <c r="N51" s="139" t="str">
        <f>L51/10*6.5</f>
        <v>0</v>
      </c>
    </row>
    <row r="52" spans="1:14" customHeight="1" ht="17">
      <c r="A52" s="137">
        <v>12</v>
      </c>
      <c r="B52" s="137">
        <v>1500</v>
      </c>
      <c r="C52" s="137">
        <v>1520</v>
      </c>
      <c r="D52" s="137">
        <v>2000</v>
      </c>
      <c r="E52" s="137" t="s">
        <v>268</v>
      </c>
      <c r="F52" s="137">
        <v>71127</v>
      </c>
      <c r="G52" s="134">
        <v>434</v>
      </c>
      <c r="H52" s="139" t="str">
        <f>G52/4*3</f>
        <v>0</v>
      </c>
      <c r="I52" s="139" t="str">
        <f>G52/10*6.5</f>
        <v>0</v>
      </c>
      <c r="J52" s="137" t="s">
        <v>269</v>
      </c>
      <c r="K52" s="137">
        <v>79392</v>
      </c>
      <c r="L52" s="134">
        <v>434</v>
      </c>
      <c r="M52" s="139" t="str">
        <f>L52/4*3</f>
        <v>0</v>
      </c>
      <c r="N52" s="139" t="str">
        <f>L52/10*6.5</f>
        <v>0</v>
      </c>
    </row>
    <row r="53" spans="1:14" customHeight="1" ht="17">
      <c r="A53" s="137">
        <v>12</v>
      </c>
      <c r="B53" s="137">
        <v>1600</v>
      </c>
      <c r="C53" s="137">
        <v>1600</v>
      </c>
      <c r="D53" s="137">
        <v>2000</v>
      </c>
      <c r="E53" s="137" t="s">
        <v>270</v>
      </c>
      <c r="F53" s="137">
        <v>71117</v>
      </c>
      <c r="G53" s="134">
        <v>452</v>
      </c>
      <c r="H53" s="139" t="str">
        <f>G53/4*3</f>
        <v>0</v>
      </c>
      <c r="I53" s="139" t="str">
        <f>G53/10*6.5</f>
        <v>0</v>
      </c>
      <c r="J53" s="137" t="s">
        <v>271</v>
      </c>
      <c r="K53" s="137">
        <v>79393</v>
      </c>
      <c r="L53" s="134">
        <v>452</v>
      </c>
      <c r="M53" s="139" t="str">
        <f>L53/4*3</f>
        <v>0</v>
      </c>
      <c r="N53" s="139" t="str">
        <f>L53/10*6.5</f>
        <v>0</v>
      </c>
    </row>
    <row r="54" spans="1:14" customHeight="1" ht="17">
      <c r="A54" s="137">
        <v>12</v>
      </c>
      <c r="B54" s="137">
        <v>1700</v>
      </c>
      <c r="C54" s="137">
        <v>1700</v>
      </c>
      <c r="D54" s="137">
        <v>2100</v>
      </c>
      <c r="E54" s="137" t="s">
        <v>272</v>
      </c>
      <c r="F54" s="137">
        <v>71041</v>
      </c>
      <c r="G54" s="134">
        <v>493</v>
      </c>
      <c r="H54" s="139" t="str">
        <f>G54/4*3</f>
        <v>0</v>
      </c>
      <c r="I54" s="139" t="str">
        <f>G54/10*6.5</f>
        <v>0</v>
      </c>
      <c r="J54" s="137" t="s">
        <v>273</v>
      </c>
      <c r="K54" s="137">
        <v>79394</v>
      </c>
      <c r="L54" s="134">
        <v>493</v>
      </c>
      <c r="M54" s="139" t="str">
        <f>L54/4*3</f>
        <v>0</v>
      </c>
      <c r="N54" s="139" t="str">
        <f>L54/10*6.5</f>
        <v>0</v>
      </c>
    </row>
    <row r="55" spans="1:14" customHeight="1" ht="17">
      <c r="A55" s="137">
        <v>12</v>
      </c>
      <c r="B55" s="137">
        <v>1800</v>
      </c>
      <c r="C55" s="137">
        <v>1800</v>
      </c>
      <c r="D55" s="137">
        <v>2300</v>
      </c>
      <c r="E55" s="137" t="s">
        <v>274</v>
      </c>
      <c r="F55" s="137">
        <v>71042</v>
      </c>
      <c r="G55" s="134">
        <v>516</v>
      </c>
      <c r="H55" s="139" t="str">
        <f>G55/4*3</f>
        <v>0</v>
      </c>
      <c r="I55" s="139" t="str">
        <f>G55/10*6.5</f>
        <v>0</v>
      </c>
      <c r="J55" s="137" t="s">
        <v>275</v>
      </c>
      <c r="K55" s="137">
        <v>79395</v>
      </c>
      <c r="L55" s="134">
        <v>516</v>
      </c>
      <c r="M55" s="139" t="str">
        <f>L55/4*3</f>
        <v>0</v>
      </c>
      <c r="N55" s="139" t="str">
        <f>L55/10*6.5</f>
        <v>0</v>
      </c>
    </row>
    <row r="56" spans="1:14" customHeight="1" ht="17">
      <c r="A56" s="137">
        <v>12</v>
      </c>
      <c r="B56" s="137">
        <v>1900</v>
      </c>
      <c r="C56" s="137">
        <v>1900</v>
      </c>
      <c r="D56" s="137">
        <v>2400</v>
      </c>
      <c r="E56" s="137" t="s">
        <v>276</v>
      </c>
      <c r="F56" s="137">
        <v>71043</v>
      </c>
      <c r="G56" s="134">
        <v>534</v>
      </c>
      <c r="H56" s="139" t="str">
        <f>G56/4*3</f>
        <v>0</v>
      </c>
      <c r="I56" s="139" t="str">
        <f>G56/10*6.5</f>
        <v>0</v>
      </c>
      <c r="J56" s="137" t="s">
        <v>277</v>
      </c>
      <c r="K56" s="137">
        <v>79396</v>
      </c>
      <c r="L56" s="134">
        <v>534</v>
      </c>
      <c r="M56" s="139" t="str">
        <f>L56/4*3</f>
        <v>0</v>
      </c>
      <c r="N56" s="139" t="str">
        <f>L56/10*6.5</f>
        <v>0</v>
      </c>
    </row>
    <row r="57" spans="1:14" customHeight="1" ht="17">
      <c r="A57" s="137">
        <v>12</v>
      </c>
      <c r="B57" s="137">
        <v>2000</v>
      </c>
      <c r="C57" s="137">
        <v>2000</v>
      </c>
      <c r="D57" s="137">
        <v>2500</v>
      </c>
      <c r="E57" s="137" t="s">
        <v>278</v>
      </c>
      <c r="F57" s="137">
        <v>71037</v>
      </c>
      <c r="G57" s="134">
        <v>557</v>
      </c>
      <c r="H57" s="139" t="str">
        <f>G57/4*3</f>
        <v>0</v>
      </c>
      <c r="I57" s="139" t="str">
        <f>G57/10*6.5</f>
        <v>0</v>
      </c>
      <c r="J57" s="137" t="s">
        <v>279</v>
      </c>
      <c r="K57" s="137">
        <v>79397</v>
      </c>
      <c r="L57" s="134">
        <v>557</v>
      </c>
      <c r="M57" s="139" t="str">
        <f>L57/4*3</f>
        <v>0</v>
      </c>
      <c r="N57" s="139" t="str">
        <f>L57/10*6.5</f>
        <v>0</v>
      </c>
    </row>
    <row r="58" spans="1:14" customHeight="1" ht="17">
      <c r="A58" s="137">
        <v>12</v>
      </c>
      <c r="B58" s="137">
        <v>2100</v>
      </c>
      <c r="C58" s="137">
        <v>2100</v>
      </c>
      <c r="D58" s="137">
        <v>2600</v>
      </c>
      <c r="E58" s="137" t="s">
        <v>280</v>
      </c>
      <c r="F58" s="137">
        <v>71044</v>
      </c>
      <c r="G58" s="134">
        <v>598</v>
      </c>
      <c r="H58" s="139" t="str">
        <f>G58/4*3</f>
        <v>0</v>
      </c>
      <c r="I58" s="139" t="str">
        <f>G58/10*6.5</f>
        <v>0</v>
      </c>
      <c r="J58" s="137" t="s">
        <v>281</v>
      </c>
      <c r="K58" s="137">
        <v>79398</v>
      </c>
      <c r="L58" s="134">
        <v>598</v>
      </c>
      <c r="M58" s="139" t="str">
        <f>L58/4*3</f>
        <v>0</v>
      </c>
      <c r="N58" s="139" t="str">
        <f>L58/10*6.5</f>
        <v>0</v>
      </c>
    </row>
    <row r="59" spans="1:14" customHeight="1" ht="17">
      <c r="A59" s="137">
        <v>12</v>
      </c>
      <c r="B59" s="137">
        <v>2200</v>
      </c>
      <c r="C59" s="137">
        <v>2200</v>
      </c>
      <c r="D59" s="137">
        <v>2700</v>
      </c>
      <c r="E59" s="137" t="s">
        <v>282</v>
      </c>
      <c r="F59" s="137">
        <v>71045</v>
      </c>
      <c r="G59" s="134">
        <v>622</v>
      </c>
      <c r="H59" s="139" t="str">
        <f>G59/4*3</f>
        <v>0</v>
      </c>
      <c r="I59" s="139" t="str">
        <f>G59/10*6.5</f>
        <v>0</v>
      </c>
      <c r="J59" s="137" t="s">
        <v>283</v>
      </c>
      <c r="K59" s="137">
        <v>79399</v>
      </c>
      <c r="L59" s="134">
        <v>622</v>
      </c>
      <c r="M59" s="139" t="str">
        <f>L59/4*3</f>
        <v>0</v>
      </c>
      <c r="N59" s="139" t="str">
        <f>L59/10*6.5</f>
        <v>0</v>
      </c>
    </row>
    <row r="60" spans="1:14" customHeight="1" ht="17">
      <c r="A60" s="137">
        <v>12</v>
      </c>
      <c r="B60" s="137">
        <v>2300</v>
      </c>
      <c r="C60" s="137">
        <v>2300</v>
      </c>
      <c r="D60" s="137">
        <v>2800</v>
      </c>
      <c r="E60" s="137" t="s">
        <v>284</v>
      </c>
      <c r="F60" s="137">
        <v>71046</v>
      </c>
      <c r="G60" s="134">
        <v>645</v>
      </c>
      <c r="H60" s="139" t="str">
        <f>G60/4*3</f>
        <v>0</v>
      </c>
      <c r="I60" s="139" t="str">
        <f>G60/10*6.5</f>
        <v>0</v>
      </c>
      <c r="J60" s="137" t="s">
        <v>285</v>
      </c>
      <c r="K60" s="137">
        <v>79400</v>
      </c>
      <c r="L60" s="134">
        <v>645</v>
      </c>
      <c r="M60" s="139" t="str">
        <f>L60/4*3</f>
        <v>0</v>
      </c>
      <c r="N60" s="139" t="str">
        <f>L60/10*6.5</f>
        <v>0</v>
      </c>
    </row>
    <row r="61" spans="1:14" customHeight="1" ht="17">
      <c r="A61" s="137">
        <v>12</v>
      </c>
      <c r="B61" s="137">
        <v>2400</v>
      </c>
      <c r="C61" s="137">
        <v>2400</v>
      </c>
      <c r="D61" s="137">
        <v>2900</v>
      </c>
      <c r="E61" s="137" t="s">
        <v>286</v>
      </c>
      <c r="F61" s="137">
        <v>71047</v>
      </c>
      <c r="G61" s="134">
        <v>662</v>
      </c>
      <c r="H61" s="139" t="str">
        <f>G61/4*3</f>
        <v>0</v>
      </c>
      <c r="I61" s="139" t="str">
        <f>G61/10*6.5</f>
        <v>0</v>
      </c>
      <c r="J61" s="137" t="s">
        <v>287</v>
      </c>
      <c r="K61" s="137">
        <v>79401</v>
      </c>
      <c r="L61" s="134">
        <v>662</v>
      </c>
      <c r="M61" s="139" t="str">
        <f>L61/4*3</f>
        <v>0</v>
      </c>
      <c r="N61" s="139" t="str">
        <f>L61/10*6.5</f>
        <v>0</v>
      </c>
    </row>
    <row r="62" spans="1:14" customHeight="1" ht="17">
      <c r="A62" s="137">
        <v>12</v>
      </c>
      <c r="B62" s="137">
        <v>2500</v>
      </c>
      <c r="C62" s="137">
        <v>2500</v>
      </c>
      <c r="D62" s="137">
        <v>3000</v>
      </c>
      <c r="E62" s="137" t="s">
        <v>288</v>
      </c>
      <c r="F62" s="137">
        <v>71048</v>
      </c>
      <c r="G62" s="134">
        <v>692</v>
      </c>
      <c r="H62" s="139" t="str">
        <f>G62/4*3</f>
        <v>0</v>
      </c>
      <c r="I62" s="139" t="str">
        <f>G62/10*6.5</f>
        <v>0</v>
      </c>
      <c r="J62" s="137" t="s">
        <v>289</v>
      </c>
      <c r="K62" s="137">
        <v>79402</v>
      </c>
      <c r="L62" s="134">
        <v>692</v>
      </c>
      <c r="M62" s="139" t="str">
        <f>L62/4*3</f>
        <v>0</v>
      </c>
      <c r="N62" s="139" t="str">
        <f>L62/10*6.5</f>
        <v>0</v>
      </c>
    </row>
    <row r="63" spans="1:14" customHeight="1" ht="17">
      <c r="A63" s="137">
        <v>12</v>
      </c>
      <c r="B63" s="137">
        <v>2600</v>
      </c>
      <c r="C63" s="137">
        <v>2600</v>
      </c>
      <c r="D63" s="137">
        <v>3000</v>
      </c>
      <c r="E63" s="137" t="s">
        <v>290</v>
      </c>
      <c r="F63" s="137">
        <v>71049</v>
      </c>
      <c r="G63" s="134">
        <v>709</v>
      </c>
      <c r="H63" s="139" t="str">
        <f>G63/4*3</f>
        <v>0</v>
      </c>
      <c r="I63" s="139" t="str">
        <f>G63/10*6.5</f>
        <v>0</v>
      </c>
      <c r="J63" s="137" t="s">
        <v>291</v>
      </c>
      <c r="K63" s="137">
        <v>79403</v>
      </c>
      <c r="L63" s="134">
        <v>709</v>
      </c>
      <c r="M63" s="139" t="str">
        <f>L63/4*3</f>
        <v>0</v>
      </c>
      <c r="N63" s="139" t="str">
        <f>L63/10*6.5</f>
        <v>0</v>
      </c>
    </row>
    <row r="64" spans="1:14" customHeight="1" ht="17">
      <c r="A64" s="137">
        <v>12</v>
      </c>
      <c r="B64" s="137">
        <v>2800</v>
      </c>
      <c r="C64" s="137">
        <v>2800</v>
      </c>
      <c r="D64" s="137">
        <v>3300</v>
      </c>
      <c r="E64" s="137" t="s">
        <v>292</v>
      </c>
      <c r="F64" s="137">
        <v>71050</v>
      </c>
      <c r="G64" s="134">
        <v>762</v>
      </c>
      <c r="H64" s="139" t="str">
        <f>G64/4*3</f>
        <v>0</v>
      </c>
      <c r="I64" s="139" t="str">
        <f>G64/10*6.5</f>
        <v>0</v>
      </c>
      <c r="J64" s="137" t="s">
        <v>293</v>
      </c>
      <c r="K64" s="137">
        <v>79404</v>
      </c>
      <c r="L64" s="134">
        <v>762</v>
      </c>
      <c r="M64" s="139" t="str">
        <f>L64/4*3</f>
        <v>0</v>
      </c>
      <c r="N64" s="139" t="str">
        <f>L64/10*6.5</f>
        <v>0</v>
      </c>
    </row>
    <row r="65" spans="1:14" customHeight="1" ht="17">
      <c r="A65" s="137">
        <v>12</v>
      </c>
      <c r="B65" s="137">
        <v>3000</v>
      </c>
      <c r="C65" s="137">
        <v>3000</v>
      </c>
      <c r="D65" s="137">
        <v>3300</v>
      </c>
      <c r="E65" s="137" t="s">
        <v>294</v>
      </c>
      <c r="F65" s="137">
        <v>71000</v>
      </c>
      <c r="G65" s="134">
        <v>809</v>
      </c>
      <c r="H65" s="139" t="str">
        <f>G65/4*3</f>
        <v>0</v>
      </c>
      <c r="I65" s="139" t="str">
        <f>G65/10*6.5</f>
        <v>0</v>
      </c>
      <c r="J65" s="137" t="s">
        <v>295</v>
      </c>
      <c r="K65" s="137">
        <v>79405</v>
      </c>
      <c r="L65" s="134">
        <v>809</v>
      </c>
      <c r="M65" s="139" t="str">
        <f>L65/4*3</f>
        <v>0</v>
      </c>
      <c r="N65" s="139" t="str">
        <f>L65/10*6.5</f>
        <v>0</v>
      </c>
    </row>
    <row r="71" spans="1:14" customHeight="1" ht="23">
      <c r="A71" s="140" t="s">
        <v>296</v>
      </c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</row>
    <row r="72" spans="1:14" customHeight="1" ht="34">
      <c r="A72" s="142" t="s">
        <v>243</v>
      </c>
      <c r="B72" s="142" t="s">
        <v>244</v>
      </c>
      <c r="C72" s="142" t="s">
        <v>245</v>
      </c>
      <c r="D72" s="142" t="s">
        <v>246</v>
      </c>
      <c r="E72" s="142" t="s">
        <v>187</v>
      </c>
      <c r="F72" s="143"/>
      <c r="G72" s="143"/>
      <c r="H72" s="143"/>
      <c r="I72" s="143"/>
      <c r="J72" s="142" t="s">
        <v>188</v>
      </c>
      <c r="K72" s="143"/>
      <c r="L72" s="143"/>
      <c r="M72" s="143"/>
      <c r="N72" s="143"/>
    </row>
    <row r="73" spans="1:14" customHeight="1" ht="34">
      <c r="A73" s="142" t="s">
        <v>189</v>
      </c>
      <c r="B73" s="142" t="s">
        <v>189</v>
      </c>
      <c r="C73" s="142" t="s">
        <v>189</v>
      </c>
      <c r="D73" s="142" t="s">
        <v>189</v>
      </c>
      <c r="E73" s="142" t="s">
        <v>190</v>
      </c>
      <c r="F73" s="142" t="s">
        <v>247</v>
      </c>
      <c r="G73" s="142" t="s">
        <v>248</v>
      </c>
      <c r="H73" s="142" t="s">
        <v>249</v>
      </c>
      <c r="I73" s="142" t="s">
        <v>220</v>
      </c>
      <c r="J73" s="142" t="s">
        <v>190</v>
      </c>
      <c r="K73" s="142" t="s">
        <v>247</v>
      </c>
      <c r="L73" s="142" t="s">
        <v>248</v>
      </c>
      <c r="M73" s="142" t="s">
        <v>249</v>
      </c>
      <c r="N73" s="142" t="s">
        <v>220</v>
      </c>
    </row>
    <row r="74" spans="1:14" customHeight="1" ht="17">
      <c r="A74" s="144">
        <v>12</v>
      </c>
      <c r="B74" s="144">
        <v>450</v>
      </c>
      <c r="C74" s="144">
        <v>460</v>
      </c>
      <c r="D74" s="144">
        <v>860</v>
      </c>
      <c r="E74" s="144" t="s">
        <v>297</v>
      </c>
      <c r="F74" s="144">
        <v>71118</v>
      </c>
      <c r="G74" s="145">
        <v>187</v>
      </c>
      <c r="H74" s="146" t="str">
        <f>G74/4*3</f>
        <v>0</v>
      </c>
      <c r="I74" s="146" t="str">
        <f>G74/10*6.5</f>
        <v>0</v>
      </c>
      <c r="J74" s="144" t="s">
        <v>298</v>
      </c>
      <c r="K74" s="144">
        <v>79406</v>
      </c>
      <c r="L74" s="145">
        <v>187</v>
      </c>
      <c r="M74" s="146" t="str">
        <f>L74/4*3</f>
        <v>0</v>
      </c>
      <c r="N74" s="146" t="str">
        <f>L74/10*6.5</f>
        <v>0</v>
      </c>
    </row>
    <row r="75" spans="1:14" customHeight="1" ht="17">
      <c r="A75" s="144">
        <v>12</v>
      </c>
      <c r="B75" s="144">
        <v>600</v>
      </c>
      <c r="C75" s="144">
        <v>600</v>
      </c>
      <c r="D75" s="144">
        <v>1000</v>
      </c>
      <c r="E75" s="144" t="s">
        <v>299</v>
      </c>
      <c r="F75" s="144">
        <v>71119</v>
      </c>
      <c r="G75" s="142">
        <v>207</v>
      </c>
      <c r="H75" s="146" t="str">
        <f>G75/4*3</f>
        <v>0</v>
      </c>
      <c r="I75" s="146" t="str">
        <f>G75/10*6.5</f>
        <v>0</v>
      </c>
      <c r="J75" s="144" t="s">
        <v>300</v>
      </c>
      <c r="K75" s="144">
        <v>79407</v>
      </c>
      <c r="L75" s="142">
        <v>207</v>
      </c>
      <c r="M75" s="146" t="str">
        <f>L75/4*3</f>
        <v>0</v>
      </c>
      <c r="N75" s="146" t="str">
        <f>L75/10*6.5</f>
        <v>0</v>
      </c>
    </row>
    <row r="76" spans="1:14" customHeight="1" ht="17">
      <c r="A76" s="144">
        <v>12</v>
      </c>
      <c r="B76" s="144">
        <v>750</v>
      </c>
      <c r="C76" s="144">
        <v>760</v>
      </c>
      <c r="D76" s="144">
        <v>1160</v>
      </c>
      <c r="E76" s="144" t="s">
        <v>301</v>
      </c>
      <c r="F76" s="144">
        <v>71120</v>
      </c>
      <c r="G76" s="142">
        <v>259</v>
      </c>
      <c r="H76" s="146" t="str">
        <f>G76/4*3</f>
        <v>0</v>
      </c>
      <c r="I76" s="146" t="str">
        <f>G76/10*6.5</f>
        <v>0</v>
      </c>
      <c r="J76" s="144" t="s">
        <v>302</v>
      </c>
      <c r="K76" s="144">
        <v>79408</v>
      </c>
      <c r="L76" s="142">
        <v>259</v>
      </c>
      <c r="M76" s="146" t="str">
        <f>L76/4*3</f>
        <v>0</v>
      </c>
      <c r="N76" s="146" t="str">
        <f>L76/10*6.5</f>
        <v>0</v>
      </c>
    </row>
    <row r="77" spans="1:14" customHeight="1" ht="17">
      <c r="A77" s="144">
        <v>12</v>
      </c>
      <c r="B77" s="144">
        <v>800</v>
      </c>
      <c r="C77" s="144">
        <v>800</v>
      </c>
      <c r="D77" s="144">
        <v>1200</v>
      </c>
      <c r="E77" s="144" t="s">
        <v>303</v>
      </c>
      <c r="F77" s="144">
        <v>71121</v>
      </c>
      <c r="G77" s="142">
        <v>271</v>
      </c>
      <c r="H77" s="146" t="str">
        <f>G77/4*3</f>
        <v>0</v>
      </c>
      <c r="I77" s="146" t="str">
        <f>G77/10*6.5</f>
        <v>0</v>
      </c>
      <c r="J77" s="144" t="s">
        <v>304</v>
      </c>
      <c r="K77" s="144">
        <v>79409</v>
      </c>
      <c r="L77" s="142">
        <v>271</v>
      </c>
      <c r="M77" s="146" t="str">
        <f>L77/4*3</f>
        <v>0</v>
      </c>
      <c r="N77" s="146" t="str">
        <f>L77/10*6.5</f>
        <v>0</v>
      </c>
    </row>
    <row r="78" spans="1:14" customHeight="1" ht="17">
      <c r="A78" s="144">
        <v>12</v>
      </c>
      <c r="B78" s="144">
        <v>900</v>
      </c>
      <c r="C78" s="144">
        <v>900</v>
      </c>
      <c r="D78" s="144">
        <v>1300</v>
      </c>
      <c r="E78" s="144" t="s">
        <v>305</v>
      </c>
      <c r="F78" s="144">
        <v>71122</v>
      </c>
      <c r="G78" s="142">
        <v>304</v>
      </c>
      <c r="H78" s="146" t="str">
        <f>G78/4*3</f>
        <v>0</v>
      </c>
      <c r="I78" s="146" t="str">
        <f>G78/10*6.5</f>
        <v>0</v>
      </c>
      <c r="J78" s="144" t="s">
        <v>306</v>
      </c>
      <c r="K78" s="144">
        <v>79410</v>
      </c>
      <c r="L78" s="142">
        <v>304</v>
      </c>
      <c r="M78" s="146" t="str">
        <f>L78/4*3</f>
        <v>0</v>
      </c>
      <c r="N78" s="146" t="str">
        <f>L78/10*6.5</f>
        <v>0</v>
      </c>
    </row>
    <row r="79" spans="1:14" customHeight="1" ht="17">
      <c r="A79" s="144">
        <v>12</v>
      </c>
      <c r="B79" s="144">
        <v>1050</v>
      </c>
      <c r="C79" s="144">
        <v>1060</v>
      </c>
      <c r="D79" s="144">
        <v>1500</v>
      </c>
      <c r="E79" s="144" t="s">
        <v>307</v>
      </c>
      <c r="F79" s="144">
        <v>71123</v>
      </c>
      <c r="G79" s="142">
        <v>343</v>
      </c>
      <c r="H79" s="146" t="str">
        <f>G79/4*3</f>
        <v>0</v>
      </c>
      <c r="I79" s="146" t="str">
        <f>G79/10*6.5</f>
        <v>0</v>
      </c>
      <c r="J79" s="144" t="s">
        <v>308</v>
      </c>
      <c r="K79" s="144">
        <v>79411</v>
      </c>
      <c r="L79" s="142">
        <v>343</v>
      </c>
      <c r="M79" s="146" t="str">
        <f>L79/4*3</f>
        <v>0</v>
      </c>
      <c r="N79" s="146" t="str">
        <f>L79/10*6.5</f>
        <v>0</v>
      </c>
    </row>
    <row r="80" spans="1:14" customHeight="1" ht="17">
      <c r="A80" s="144">
        <v>12</v>
      </c>
      <c r="B80" s="144">
        <v>1200</v>
      </c>
      <c r="C80" s="144">
        <v>1200</v>
      </c>
      <c r="D80" s="144">
        <v>1600</v>
      </c>
      <c r="E80" s="144" t="s">
        <v>309</v>
      </c>
      <c r="F80" s="144">
        <v>71005</v>
      </c>
      <c r="G80" s="142">
        <v>374</v>
      </c>
      <c r="H80" s="146" t="str">
        <f>G80/4*3</f>
        <v>0</v>
      </c>
      <c r="I80" s="146" t="str">
        <f>G80/10*6.5</f>
        <v>0</v>
      </c>
      <c r="J80" s="144" t="s">
        <v>310</v>
      </c>
      <c r="K80" s="144">
        <v>79412</v>
      </c>
      <c r="L80" s="142">
        <v>374</v>
      </c>
      <c r="M80" s="146" t="str">
        <f>L80/4*3</f>
        <v>0</v>
      </c>
      <c r="N80" s="146" t="str">
        <f>L80/10*6.5</f>
        <v>0</v>
      </c>
    </row>
    <row r="81" spans="1:14" customHeight="1" ht="17">
      <c r="A81" s="144">
        <v>12</v>
      </c>
      <c r="B81" s="144">
        <v>1350</v>
      </c>
      <c r="C81" s="144">
        <v>1360</v>
      </c>
      <c r="D81" s="144">
        <v>1800</v>
      </c>
      <c r="E81" s="144" t="s">
        <v>311</v>
      </c>
      <c r="F81" s="144" t="s">
        <v>312</v>
      </c>
      <c r="G81" s="142">
        <v>439</v>
      </c>
      <c r="H81" s="146" t="str">
        <f>G81/4*3</f>
        <v>0</v>
      </c>
      <c r="I81" s="146" t="str">
        <f>G81/10*6.5</f>
        <v>0</v>
      </c>
      <c r="J81" s="144" t="s">
        <v>313</v>
      </c>
      <c r="K81" s="144">
        <v>79413</v>
      </c>
      <c r="L81" s="142">
        <v>439</v>
      </c>
      <c r="M81" s="146" t="str">
        <f>L81/4*3</f>
        <v>0</v>
      </c>
      <c r="N81" s="146" t="str">
        <f>L81/10*6.5</f>
        <v>0</v>
      </c>
    </row>
    <row r="82" spans="1:14" customHeight="1" ht="17">
      <c r="A82" s="144">
        <v>12</v>
      </c>
      <c r="B82" s="144">
        <v>1400</v>
      </c>
      <c r="C82" s="144">
        <v>1400</v>
      </c>
      <c r="D82" s="144">
        <v>1800</v>
      </c>
      <c r="E82" s="144" t="s">
        <v>314</v>
      </c>
      <c r="F82" s="144">
        <v>71007</v>
      </c>
      <c r="G82" s="142">
        <v>446</v>
      </c>
      <c r="H82" s="146" t="str">
        <f>G82/4*3</f>
        <v>0</v>
      </c>
      <c r="I82" s="146" t="str">
        <f>G82/10*6.5</f>
        <v>0</v>
      </c>
      <c r="J82" s="144" t="s">
        <v>315</v>
      </c>
      <c r="K82" s="144">
        <v>79414</v>
      </c>
      <c r="L82" s="142">
        <v>446</v>
      </c>
      <c r="M82" s="146" t="str">
        <f>L82/4*3</f>
        <v>0</v>
      </c>
      <c r="N82" s="146" t="str">
        <f>L82/10*6.5</f>
        <v>0</v>
      </c>
    </row>
    <row r="83" spans="1:14" customHeight="1" ht="17">
      <c r="A83" s="144">
        <v>12</v>
      </c>
      <c r="B83" s="144">
        <v>1500</v>
      </c>
      <c r="C83" s="144">
        <v>1520</v>
      </c>
      <c r="D83" s="144">
        <v>2000</v>
      </c>
      <c r="E83" s="144" t="s">
        <v>316</v>
      </c>
      <c r="F83" s="144">
        <v>71009</v>
      </c>
      <c r="G83" s="142">
        <v>471</v>
      </c>
      <c r="H83" s="146" t="str">
        <f>G83/4*3</f>
        <v>0</v>
      </c>
      <c r="I83" s="146" t="str">
        <f>G83/10*6.5</f>
        <v>0</v>
      </c>
      <c r="J83" s="144" t="s">
        <v>317</v>
      </c>
      <c r="K83" s="144">
        <v>79415</v>
      </c>
      <c r="L83" s="142">
        <v>471</v>
      </c>
      <c r="M83" s="146" t="str">
        <f>L83/4*3</f>
        <v>0</v>
      </c>
      <c r="N83" s="146" t="str">
        <f>L83/10*6.5</f>
        <v>0</v>
      </c>
    </row>
    <row r="84" spans="1:14" customHeight="1" ht="17">
      <c r="A84" s="144">
        <v>12</v>
      </c>
      <c r="B84" s="144">
        <v>1600</v>
      </c>
      <c r="C84" s="144">
        <v>1600</v>
      </c>
      <c r="D84" s="144">
        <v>2000</v>
      </c>
      <c r="E84" s="144" t="s">
        <v>318</v>
      </c>
      <c r="F84" s="144">
        <v>71124</v>
      </c>
      <c r="G84" s="142">
        <v>498</v>
      </c>
      <c r="H84" s="146" t="str">
        <f>G84/4*3</f>
        <v>0</v>
      </c>
      <c r="I84" s="146" t="str">
        <f>G84/10*6.5</f>
        <v>0</v>
      </c>
      <c r="J84" s="144" t="s">
        <v>319</v>
      </c>
      <c r="K84" s="144">
        <v>79416</v>
      </c>
      <c r="L84" s="142">
        <v>498</v>
      </c>
      <c r="M84" s="146" t="str">
        <f>L84/4*3</f>
        <v>0</v>
      </c>
      <c r="N84" s="146" t="str">
        <f>L84/10*6.5</f>
        <v>0</v>
      </c>
    </row>
    <row r="85" spans="1:14" customHeight="1" ht="17">
      <c r="A85" s="144">
        <v>12</v>
      </c>
      <c r="B85" s="144">
        <v>1700</v>
      </c>
      <c r="C85" s="144">
        <v>1700</v>
      </c>
      <c r="D85" s="144">
        <v>2100</v>
      </c>
      <c r="E85" s="144" t="s">
        <v>320</v>
      </c>
      <c r="F85" s="144">
        <v>71078</v>
      </c>
      <c r="G85" s="142">
        <v>542</v>
      </c>
      <c r="H85" s="146" t="str">
        <f>G85/4*3</f>
        <v>0</v>
      </c>
      <c r="I85" s="146" t="str">
        <f>G85/10*6.5</f>
        <v>0</v>
      </c>
      <c r="J85" s="144" t="s">
        <v>321</v>
      </c>
      <c r="K85" s="144">
        <v>79417</v>
      </c>
      <c r="L85" s="142">
        <v>542</v>
      </c>
      <c r="M85" s="146" t="str">
        <f>L85/4*3</f>
        <v>0</v>
      </c>
      <c r="N85" s="146" t="str">
        <f>L85/10*6.5</f>
        <v>0</v>
      </c>
    </row>
    <row r="86" spans="1:14" customHeight="1" ht="17">
      <c r="A86" s="144">
        <v>12</v>
      </c>
      <c r="B86" s="144">
        <v>1800</v>
      </c>
      <c r="C86" s="144">
        <v>1800</v>
      </c>
      <c r="D86" s="144">
        <v>2300</v>
      </c>
      <c r="E86" s="144" t="s">
        <v>322</v>
      </c>
      <c r="F86" s="144">
        <v>71079</v>
      </c>
      <c r="G86" s="142">
        <v>567</v>
      </c>
      <c r="H86" s="146" t="str">
        <f>G86/4*3</f>
        <v>0</v>
      </c>
      <c r="I86" s="146" t="str">
        <f>G86/10*6.5</f>
        <v>0</v>
      </c>
      <c r="J86" s="144" t="s">
        <v>323</v>
      </c>
      <c r="K86" s="144">
        <v>79418</v>
      </c>
      <c r="L86" s="142">
        <v>567</v>
      </c>
      <c r="M86" s="146" t="str">
        <f>L86/4*3</f>
        <v>0</v>
      </c>
      <c r="N86" s="146" t="str">
        <f>L86/10*6.5</f>
        <v>0</v>
      </c>
    </row>
    <row r="87" spans="1:14" customHeight="1" ht="17">
      <c r="A87" s="144">
        <v>12</v>
      </c>
      <c r="B87" s="144">
        <v>1900</v>
      </c>
      <c r="C87" s="144">
        <v>1900</v>
      </c>
      <c r="D87" s="144">
        <v>2400</v>
      </c>
      <c r="E87" s="144" t="s">
        <v>324</v>
      </c>
      <c r="F87" s="144">
        <v>71080</v>
      </c>
      <c r="G87" s="142">
        <v>588</v>
      </c>
      <c r="H87" s="146" t="str">
        <f>G87/4*3</f>
        <v>0</v>
      </c>
      <c r="I87" s="146" t="str">
        <f>G87/10*6.5</f>
        <v>0</v>
      </c>
      <c r="J87" s="144" t="s">
        <v>325</v>
      </c>
      <c r="K87" s="144">
        <v>79419</v>
      </c>
      <c r="L87" s="142">
        <v>588</v>
      </c>
      <c r="M87" s="146" t="str">
        <f>L87/4*3</f>
        <v>0</v>
      </c>
      <c r="N87" s="146" t="str">
        <f>L87/10*6.5</f>
        <v>0</v>
      </c>
    </row>
    <row r="88" spans="1:14" customHeight="1" ht="17">
      <c r="A88" s="144">
        <v>12</v>
      </c>
      <c r="B88" s="144">
        <v>2000</v>
      </c>
      <c r="C88" s="144">
        <v>2000</v>
      </c>
      <c r="D88" s="144">
        <v>2500</v>
      </c>
      <c r="E88" s="144" t="s">
        <v>326</v>
      </c>
      <c r="F88" s="144">
        <v>71081</v>
      </c>
      <c r="G88" s="142">
        <v>613</v>
      </c>
      <c r="H88" s="146" t="str">
        <f>G88/4*3</f>
        <v>0</v>
      </c>
      <c r="I88" s="146" t="str">
        <f>G88/10*6.5</f>
        <v>0</v>
      </c>
      <c r="J88" s="144" t="s">
        <v>327</v>
      </c>
      <c r="K88" s="144">
        <v>79420</v>
      </c>
      <c r="L88" s="142">
        <v>613</v>
      </c>
      <c r="M88" s="146" t="str">
        <f>L88/4*3</f>
        <v>0</v>
      </c>
      <c r="N88" s="146" t="str">
        <f>L88/10*6.5</f>
        <v>0</v>
      </c>
    </row>
    <row r="89" spans="1:14" customHeight="1" ht="17">
      <c r="A89" s="144">
        <v>12</v>
      </c>
      <c r="B89" s="144">
        <v>2100</v>
      </c>
      <c r="C89" s="144">
        <v>2100</v>
      </c>
      <c r="D89" s="144">
        <v>2600</v>
      </c>
      <c r="E89" s="144" t="s">
        <v>328</v>
      </c>
      <c r="F89" s="144">
        <v>71082</v>
      </c>
      <c r="G89" s="142">
        <v>658</v>
      </c>
      <c r="H89" s="146" t="str">
        <f>G89/4*3</f>
        <v>0</v>
      </c>
      <c r="I89" s="146" t="str">
        <f>G89/10*6.5</f>
        <v>0</v>
      </c>
      <c r="J89" s="144" t="s">
        <v>329</v>
      </c>
      <c r="K89" s="144">
        <v>79421</v>
      </c>
      <c r="L89" s="142">
        <v>658</v>
      </c>
      <c r="M89" s="146" t="str">
        <f>L89/4*3</f>
        <v>0</v>
      </c>
      <c r="N89" s="146" t="str">
        <f>L89/10*6.5</f>
        <v>0</v>
      </c>
    </row>
    <row r="90" spans="1:14" customHeight="1" ht="17">
      <c r="A90" s="144">
        <v>12</v>
      </c>
      <c r="B90" s="144">
        <v>2200</v>
      </c>
      <c r="C90" s="144">
        <v>2200</v>
      </c>
      <c r="D90" s="144">
        <v>2700</v>
      </c>
      <c r="E90" s="144" t="s">
        <v>330</v>
      </c>
      <c r="F90" s="144">
        <v>71083</v>
      </c>
      <c r="G90" s="142">
        <v>684</v>
      </c>
      <c r="H90" s="146" t="str">
        <f>G90/4*3</f>
        <v>0</v>
      </c>
      <c r="I90" s="146" t="str">
        <f>G90/10*6.5</f>
        <v>0</v>
      </c>
      <c r="J90" s="144" t="s">
        <v>331</v>
      </c>
      <c r="K90" s="144">
        <v>79422</v>
      </c>
      <c r="L90" s="142">
        <v>684</v>
      </c>
      <c r="M90" s="146" t="str">
        <f>L90/4*3</f>
        <v>0</v>
      </c>
      <c r="N90" s="146" t="str">
        <f>L90/10*6.5</f>
        <v>0</v>
      </c>
    </row>
    <row r="91" spans="1:14" customHeight="1" ht="17">
      <c r="A91" s="144">
        <v>12</v>
      </c>
      <c r="B91" s="144">
        <v>2300</v>
      </c>
      <c r="C91" s="144">
        <v>2300</v>
      </c>
      <c r="D91" s="144">
        <v>2800</v>
      </c>
      <c r="E91" s="144" t="s">
        <v>332</v>
      </c>
      <c r="F91" s="144">
        <v>71084</v>
      </c>
      <c r="G91" s="142">
        <v>709</v>
      </c>
      <c r="H91" s="146" t="str">
        <f>G91/4*3</f>
        <v>0</v>
      </c>
      <c r="I91" s="146" t="str">
        <f>G91/10*6.5</f>
        <v>0</v>
      </c>
      <c r="J91" s="144" t="s">
        <v>333</v>
      </c>
      <c r="K91" s="144">
        <v>79423</v>
      </c>
      <c r="L91" s="142">
        <v>709</v>
      </c>
      <c r="M91" s="146" t="str">
        <f>L91/4*3</f>
        <v>0</v>
      </c>
      <c r="N91" s="146" t="str">
        <f>L91/10*6.5</f>
        <v>0</v>
      </c>
    </row>
    <row r="92" spans="1:14" customHeight="1" ht="17">
      <c r="A92" s="144">
        <v>12</v>
      </c>
      <c r="B92" s="144">
        <v>2400</v>
      </c>
      <c r="C92" s="144">
        <v>2400</v>
      </c>
      <c r="D92" s="144">
        <v>2900</v>
      </c>
      <c r="E92" s="144" t="s">
        <v>334</v>
      </c>
      <c r="F92" s="144">
        <v>71085</v>
      </c>
      <c r="G92" s="142">
        <v>730</v>
      </c>
      <c r="H92" s="146" t="str">
        <f>G92/4*3</f>
        <v>0</v>
      </c>
      <c r="I92" s="146" t="str">
        <f>G92/10*6.5</f>
        <v>0</v>
      </c>
      <c r="J92" s="144" t="s">
        <v>335</v>
      </c>
      <c r="K92" s="144">
        <v>79424</v>
      </c>
      <c r="L92" s="142">
        <v>730</v>
      </c>
      <c r="M92" s="146" t="str">
        <f>L92/4*3</f>
        <v>0</v>
      </c>
      <c r="N92" s="146" t="str">
        <f>L92/10*6.5</f>
        <v>0</v>
      </c>
    </row>
    <row r="93" spans="1:14" customHeight="1" ht="17">
      <c r="A93" s="144">
        <v>12</v>
      </c>
      <c r="B93" s="144">
        <v>2500</v>
      </c>
      <c r="C93" s="144">
        <v>2500</v>
      </c>
      <c r="D93" s="144">
        <v>3000</v>
      </c>
      <c r="E93" s="144" t="s">
        <v>336</v>
      </c>
      <c r="F93" s="144">
        <v>71086</v>
      </c>
      <c r="G93" s="142">
        <v>761</v>
      </c>
      <c r="H93" s="146" t="str">
        <f>G93/4*3</f>
        <v>0</v>
      </c>
      <c r="I93" s="146" t="str">
        <f>G93/10*6.5</f>
        <v>0</v>
      </c>
      <c r="J93" s="144" t="s">
        <v>337</v>
      </c>
      <c r="K93" s="144">
        <v>79425</v>
      </c>
      <c r="L93" s="142">
        <v>761</v>
      </c>
      <c r="M93" s="146" t="str">
        <f>L93/4*3</f>
        <v>0</v>
      </c>
      <c r="N93" s="146" t="str">
        <f>L93/10*6.5</f>
        <v>0</v>
      </c>
    </row>
    <row r="94" spans="1:14" customHeight="1" ht="17">
      <c r="A94" s="144">
        <v>12</v>
      </c>
      <c r="B94" s="144">
        <v>2600</v>
      </c>
      <c r="C94" s="144">
        <v>2600</v>
      </c>
      <c r="D94" s="144">
        <v>3000</v>
      </c>
      <c r="E94" s="144" t="s">
        <v>338</v>
      </c>
      <c r="F94" s="144">
        <v>71087</v>
      </c>
      <c r="G94" s="142">
        <v>781</v>
      </c>
      <c r="H94" s="146" t="str">
        <f>G94/4*3</f>
        <v>0</v>
      </c>
      <c r="I94" s="146" t="str">
        <f>G94/10*6.5</f>
        <v>0</v>
      </c>
      <c r="J94" s="144" t="s">
        <v>339</v>
      </c>
      <c r="K94" s="144">
        <v>79426</v>
      </c>
      <c r="L94" s="142">
        <v>781</v>
      </c>
      <c r="M94" s="146" t="str">
        <f>L94/4*3</f>
        <v>0</v>
      </c>
      <c r="N94" s="146" t="str">
        <f>L94/10*6.5</f>
        <v>0</v>
      </c>
    </row>
    <row r="95" spans="1:14" customHeight="1" ht="17">
      <c r="A95" s="144">
        <v>12</v>
      </c>
      <c r="B95" s="144">
        <v>2800</v>
      </c>
      <c r="C95" s="144">
        <v>2800</v>
      </c>
      <c r="D95" s="144">
        <v>3300</v>
      </c>
      <c r="E95" s="144" t="s">
        <v>340</v>
      </c>
      <c r="F95" s="144">
        <v>71088</v>
      </c>
      <c r="G95" s="142">
        <v>839</v>
      </c>
      <c r="H95" s="146" t="str">
        <f>G95/4*3</f>
        <v>0</v>
      </c>
      <c r="I95" s="146" t="str">
        <f>G95/10*6.5</f>
        <v>0</v>
      </c>
      <c r="J95" s="144" t="s">
        <v>341</v>
      </c>
      <c r="K95" s="144">
        <v>79427</v>
      </c>
      <c r="L95" s="142">
        <v>839</v>
      </c>
      <c r="M95" s="146" t="str">
        <f>L95/4*3</f>
        <v>0</v>
      </c>
      <c r="N95" s="146" t="str">
        <f>L95/10*6.5</f>
        <v>0</v>
      </c>
    </row>
    <row r="96" spans="1:14" customHeight="1" ht="17">
      <c r="A96" s="144">
        <v>12</v>
      </c>
      <c r="B96" s="144">
        <v>3000</v>
      </c>
      <c r="C96" s="144">
        <v>3000</v>
      </c>
      <c r="D96" s="144">
        <v>3300</v>
      </c>
      <c r="E96" s="144" t="s">
        <v>342</v>
      </c>
      <c r="F96" s="144">
        <v>71089</v>
      </c>
      <c r="G96" s="142">
        <v>890</v>
      </c>
      <c r="H96" s="146" t="str">
        <f>G96/4*3</f>
        <v>0</v>
      </c>
      <c r="I96" s="146" t="str">
        <f>G96/10*6.5</f>
        <v>0</v>
      </c>
      <c r="J96" s="144" t="s">
        <v>343</v>
      </c>
      <c r="K96" s="144">
        <v>79428</v>
      </c>
      <c r="L96" s="142">
        <v>890</v>
      </c>
      <c r="M96" s="146" t="str">
        <f>L96/4*3</f>
        <v>0</v>
      </c>
      <c r="N96" s="146" t="str">
        <f>L96/10*6.5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Lagging Calculator</vt:lpstr>
      <vt:lpstr>Lagging Calculations</vt:lpstr>
      <vt:lpstr>Rubber Strip Pricing</vt:lpstr>
      <vt:lpstr>Sheet2</vt:lpstr>
    </vt:vector>
  </TitlesOfParts>
  <Company>Flexco (Aust) Pty Ltd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Emanuele Nicolella</cp:lastModifiedBy>
  <dcterms:created xsi:type="dcterms:W3CDTF">2006-07-31T22:59:38+00:00</dcterms:created>
  <dcterms:modified xsi:type="dcterms:W3CDTF">2020-11-27T05:22:59+00:00</dcterms:modified>
  <dc:title>Untitled Spreadsheet</dc:title>
  <dc:description/>
  <dc:subject/>
  <cp:keywords/>
  <cp:category/>
</cp:coreProperties>
</file>