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tabRatio="845" activeTab="7"/>
  </bookViews>
  <sheets>
    <sheet name="Summary" sheetId="5" r:id="rId1"/>
    <sheet name="Horticulture" sheetId="6" r:id="rId2"/>
    <sheet name="Fruits 2016(Final Est.)" sheetId="7" r:id="rId3"/>
    <sheet name=" Citrus 2016(Final Est.)" sheetId="13" r:id="rId4"/>
    <sheet name="Vegetables 2016 (Final Est)" sheetId="8" r:id="rId5"/>
    <sheet name="Plantation2016 (Final Est.)" sheetId="9" r:id="rId6"/>
    <sheet name="Spices 2016 (Final Est.)" sheetId="10" r:id="rId7"/>
    <sheet name="Flowers 2016(Final Est.)" sheetId="16" r:id="rId8"/>
  </sheets>
  <definedNames>
    <definedName name="_xlnm._FilterDatabase" localSheetId="7" hidden="1">'Flowers 2016(Final Est.)'!$A$1:$AP$33</definedName>
    <definedName name="_xlnm._FilterDatabase" localSheetId="2" hidden="1">'Fruits 2016(Final Est.)'!$A$1:$BH$34</definedName>
    <definedName name="_xlnm._FilterDatabase" localSheetId="5" hidden="1">'Plantation2016 (Final Est.)'!$B$1:$L$39</definedName>
    <definedName name="_xlnm._FilterDatabase" localSheetId="4" hidden="1">'Vegetables 2016 (Final Est)'!$A$1:$IP$32</definedName>
    <definedName name="_xlnm.Print_Area" localSheetId="3">' Citrus 2016(Final Est.)'!$A$1:$L$34</definedName>
    <definedName name="_xlnm.Print_Area" localSheetId="7">'Flowers 2016(Final Est.)'!$A$1:$AO$35</definedName>
    <definedName name="_xlnm.Print_Area" localSheetId="2">'Fruits 2016(Final Est.)'!$A$1:$BI$34</definedName>
    <definedName name="_xlnm.Print_Area" localSheetId="1">Horticulture!$A$1:$R$36</definedName>
    <definedName name="_xlnm.Print_Area" localSheetId="5">'Plantation2016 (Final Est.)'!$B$1:$L$39</definedName>
    <definedName name="_xlnm.Print_Area" localSheetId="0">Summary!$A$1:$E$103</definedName>
    <definedName name="_xlnm.Print_Area" localSheetId="4">'Vegetables 2016 (Final Est)'!$A$1:$AX$34</definedName>
    <definedName name="_xlnm.Print_Titles" localSheetId="7">'Flowers 2016(Final Est.)'!$A:$B,'Flowers 2016(Final Est.)'!$1:$3</definedName>
    <definedName name="_xlnm.Print_Titles" localSheetId="2">'Fruits 2016(Final Est.)'!$A:$B,'Fruits 2016(Final Est.)'!$1:$2</definedName>
    <definedName name="_xlnm.Print_Titles" localSheetId="1">Horticulture!$A:$B,Horticulture!$4:$5</definedName>
    <definedName name="_xlnm.Print_Titles" localSheetId="6">'Spices 2016 (Final Est.)'!$A:$B,'Spices 2016 (Final Est.)'!$1:$2</definedName>
    <definedName name="_xlnm.Print_Titles" localSheetId="0">Summary!$A:$A,Summary!$2:$7</definedName>
    <definedName name="_xlnm.Print_Titles" localSheetId="4">'Vegetables 2016 (Final Est)'!$A:$B,'Vegetables 2016 (Final Est)'!$1:$2</definedName>
  </definedNames>
  <calcPr calcId="145621" fullCalcOnLoad="1"/>
</workbook>
</file>

<file path=xl/calcChain.xml><?xml version="1.0" encoding="utf-8"?>
<calcChain xmlns="http://schemas.openxmlformats.org/spreadsheetml/2006/main">
  <c r="AJ35" i="8" l="1"/>
  <c r="AI12" i="16"/>
  <c r="AI33" i="16" s="1"/>
  <c r="AB16" i="8"/>
  <c r="AX16" i="8" s="1"/>
  <c r="F20" i="6" s="1"/>
  <c r="D32" i="7"/>
  <c r="E32" i="7"/>
  <c r="D10" i="5" s="1"/>
  <c r="F32" i="7"/>
  <c r="E10" i="5" s="1"/>
  <c r="G32" i="7"/>
  <c r="H32" i="7"/>
  <c r="E11" i="5"/>
  <c r="I32" i="7"/>
  <c r="J32" i="7"/>
  <c r="K32" i="7"/>
  <c r="L32" i="7"/>
  <c r="E12" i="5" s="1"/>
  <c r="M32" i="7"/>
  <c r="D13" i="5" s="1"/>
  <c r="N32" i="7"/>
  <c r="O32" i="7"/>
  <c r="P32" i="7"/>
  <c r="E20" i="5" s="1"/>
  <c r="Q32" i="7"/>
  <c r="R32" i="7"/>
  <c r="S32" i="7"/>
  <c r="T32" i="7"/>
  <c r="E22" i="5"/>
  <c r="U32" i="7"/>
  <c r="V32" i="7"/>
  <c r="E23" i="5" s="1"/>
  <c r="W32" i="7"/>
  <c r="X32" i="7"/>
  <c r="E24" i="5"/>
  <c r="Y32" i="7"/>
  <c r="D25" i="5"/>
  <c r="Z32" i="7"/>
  <c r="E25" i="5"/>
  <c r="AA32" i="7"/>
  <c r="D26" i="5"/>
  <c r="AB32" i="7"/>
  <c r="E26" i="5"/>
  <c r="AC32" i="7"/>
  <c r="D27" i="5"/>
  <c r="AD32" i="7"/>
  <c r="E27" i="5"/>
  <c r="AE32" i="7"/>
  <c r="D28" i="5"/>
  <c r="AF32" i="7"/>
  <c r="E28" i="5"/>
  <c r="AG32" i="7"/>
  <c r="AH32" i="7"/>
  <c r="AK32" i="7"/>
  <c r="AL32" i="7"/>
  <c r="E30" i="5" s="1"/>
  <c r="AM32" i="7"/>
  <c r="AN32" i="7"/>
  <c r="E31" i="5"/>
  <c r="AO32" i="7"/>
  <c r="AP32" i="7"/>
  <c r="E32" i="5" s="1"/>
  <c r="AQ32" i="7"/>
  <c r="D33" i="5" s="1"/>
  <c r="AR32" i="7"/>
  <c r="E33" i="5" s="1"/>
  <c r="AS32" i="7"/>
  <c r="D34" i="5" s="1"/>
  <c r="AT32" i="7"/>
  <c r="E34" i="5" s="1"/>
  <c r="AU32" i="7"/>
  <c r="D35" i="5" s="1"/>
  <c r="AV32" i="7"/>
  <c r="AW32" i="7"/>
  <c r="D36" i="5"/>
  <c r="AX32" i="7"/>
  <c r="E36" i="5"/>
  <c r="AY32" i="7"/>
  <c r="D37" i="5"/>
  <c r="AZ32" i="7"/>
  <c r="E37" i="5"/>
  <c r="BA32" i="7"/>
  <c r="D38" i="5"/>
  <c r="BB32" i="7"/>
  <c r="BC32" i="7"/>
  <c r="BD32" i="7"/>
  <c r="E39" i="5"/>
  <c r="C32" i="7"/>
  <c r="D9" i="5"/>
  <c r="P36" i="6"/>
  <c r="D32" i="10"/>
  <c r="E98" i="5"/>
  <c r="E32" i="10"/>
  <c r="F32" i="10"/>
  <c r="E96" i="5" s="1"/>
  <c r="G32" i="10"/>
  <c r="H32" i="10"/>
  <c r="E87" i="5"/>
  <c r="I32" i="10"/>
  <c r="D101" i="5"/>
  <c r="J32" i="10"/>
  <c r="K32" i="10"/>
  <c r="L32" i="10"/>
  <c r="E95" i="5"/>
  <c r="M32" i="10"/>
  <c r="D86" i="5"/>
  <c r="N32" i="10"/>
  <c r="O32" i="10"/>
  <c r="D91" i="5" s="1"/>
  <c r="P32" i="10"/>
  <c r="Q32" i="10"/>
  <c r="D92" i="5"/>
  <c r="R32" i="10"/>
  <c r="S32" i="10"/>
  <c r="T32" i="10"/>
  <c r="E94" i="5"/>
  <c r="U32" i="10"/>
  <c r="V32" i="10"/>
  <c r="E93" i="5" s="1"/>
  <c r="W32" i="10"/>
  <c r="X32" i="10"/>
  <c r="Y32" i="10"/>
  <c r="Z32" i="10"/>
  <c r="E89" i="5"/>
  <c r="AA32" i="10"/>
  <c r="AB32" i="10"/>
  <c r="E88" i="5" s="1"/>
  <c r="AC32" i="10"/>
  <c r="AD32" i="10"/>
  <c r="E97" i="5"/>
  <c r="AE32" i="10"/>
  <c r="D90" i="5"/>
  <c r="AF32" i="10"/>
  <c r="E90" i="5"/>
  <c r="AG32" i="10"/>
  <c r="AH32" i="10"/>
  <c r="E100" i="5" s="1"/>
  <c r="AI32" i="10"/>
  <c r="AJ32" i="10"/>
  <c r="C32" i="10"/>
  <c r="D98" i="5" s="1"/>
  <c r="D33" i="16"/>
  <c r="F33" i="16"/>
  <c r="G33" i="16"/>
  <c r="I33" i="16"/>
  <c r="J33" i="16"/>
  <c r="M33" i="16"/>
  <c r="P33" i="16"/>
  <c r="R33" i="16"/>
  <c r="S33" i="16"/>
  <c r="X33" i="16"/>
  <c r="Y33" i="16"/>
  <c r="Z33" i="16"/>
  <c r="AB33" i="16"/>
  <c r="AD33" i="16"/>
  <c r="AE33" i="16"/>
  <c r="AG33" i="16"/>
  <c r="AH33" i="16"/>
  <c r="C33" i="16"/>
  <c r="AM6" i="16"/>
  <c r="K9" i="6" s="1"/>
  <c r="AN6" i="16"/>
  <c r="L9" i="6" s="1"/>
  <c r="AO6" i="16"/>
  <c r="M9" i="6" s="1"/>
  <c r="AN7" i="16"/>
  <c r="L10" i="6" s="1"/>
  <c r="AO7" i="16"/>
  <c r="M10" i="6" s="1"/>
  <c r="AM8" i="16"/>
  <c r="K11" i="6" s="1"/>
  <c r="AN8" i="16"/>
  <c r="L11" i="6" s="1"/>
  <c r="AO9" i="16"/>
  <c r="M12" i="6" s="1"/>
  <c r="AM10" i="16"/>
  <c r="K13" i="6" s="1"/>
  <c r="AN10" i="16"/>
  <c r="L13" i="6" s="1"/>
  <c r="AM11" i="16"/>
  <c r="K14" i="6" s="1"/>
  <c r="AN11" i="16"/>
  <c r="L14" i="6" s="1"/>
  <c r="AM13" i="16"/>
  <c r="K16" i="6" s="1"/>
  <c r="AN13" i="16"/>
  <c r="L16" i="6" s="1"/>
  <c r="AO13" i="16"/>
  <c r="M16" i="6" s="1"/>
  <c r="AM14" i="16"/>
  <c r="K17" i="6" s="1"/>
  <c r="AN14" i="16"/>
  <c r="L17" i="6" s="1"/>
  <c r="AN15" i="16"/>
  <c r="L18" i="6" s="1"/>
  <c r="AM16" i="16"/>
  <c r="K19" i="6" s="1"/>
  <c r="AN16" i="16"/>
  <c r="L19" i="6" s="1"/>
  <c r="AO16" i="16"/>
  <c r="M19" i="6" s="1"/>
  <c r="AM18" i="16"/>
  <c r="K21" i="6" s="1"/>
  <c r="AN18" i="16"/>
  <c r="L21" i="6" s="1"/>
  <c r="AM19" i="16"/>
  <c r="K22" i="6" s="1"/>
  <c r="AN19" i="16"/>
  <c r="L22" i="6" s="1"/>
  <c r="AO19" i="16"/>
  <c r="M22" i="6" s="1"/>
  <c r="AM20" i="16"/>
  <c r="K23" i="6" s="1"/>
  <c r="AN20" i="16"/>
  <c r="L23" i="6" s="1"/>
  <c r="AO20" i="16"/>
  <c r="M23" i="6" s="1"/>
  <c r="AM22" i="16"/>
  <c r="K25" i="6" s="1"/>
  <c r="AN22" i="16"/>
  <c r="L25" i="6" s="1"/>
  <c r="AM23" i="16"/>
  <c r="K26" i="6" s="1"/>
  <c r="AN23" i="16"/>
  <c r="L26" i="6" s="1"/>
  <c r="AO23" i="16"/>
  <c r="M26" i="6" s="1"/>
  <c r="AM24" i="16"/>
  <c r="K27" i="6" s="1"/>
  <c r="AN24" i="16"/>
  <c r="L27" i="6" s="1"/>
  <c r="AO24" i="16"/>
  <c r="M27" i="6" s="1"/>
  <c r="AM25" i="16"/>
  <c r="K28" i="6" s="1"/>
  <c r="AN25" i="16"/>
  <c r="L28" i="6" s="1"/>
  <c r="AO25" i="16"/>
  <c r="M28" i="6" s="1"/>
  <c r="AM27" i="16"/>
  <c r="K30" i="6" s="1"/>
  <c r="AN27" i="16"/>
  <c r="L30" i="6" s="1"/>
  <c r="AM28" i="16"/>
  <c r="K31" i="6" s="1"/>
  <c r="AN28" i="16"/>
  <c r="L31" i="6" s="1"/>
  <c r="AO28" i="16"/>
  <c r="M31" i="6" s="1"/>
  <c r="AM29" i="16"/>
  <c r="K32" i="6" s="1"/>
  <c r="AN29" i="16"/>
  <c r="L32" i="6" s="1"/>
  <c r="AO29" i="16"/>
  <c r="M32" i="6" s="1"/>
  <c r="AN30" i="16"/>
  <c r="L33" i="6" s="1"/>
  <c r="AM31" i="16"/>
  <c r="K34" i="6" s="1"/>
  <c r="AN31" i="16"/>
  <c r="L34" i="6" s="1"/>
  <c r="AM32" i="16"/>
  <c r="K35" i="6" s="1"/>
  <c r="AN32" i="16"/>
  <c r="L35" i="6" s="1"/>
  <c r="AO32" i="16"/>
  <c r="M35" i="6" s="1"/>
  <c r="AN4" i="16"/>
  <c r="L7" i="6" s="1"/>
  <c r="AO4" i="16"/>
  <c r="M7" i="6"/>
  <c r="AM4" i="16"/>
  <c r="K7" i="6"/>
  <c r="L4" i="9"/>
  <c r="H8" i="6" s="1"/>
  <c r="L5" i="9"/>
  <c r="H9" i="6" s="1"/>
  <c r="L6" i="9"/>
  <c r="H10" i="6" s="1"/>
  <c r="L7" i="9"/>
  <c r="H11" i="6" s="1"/>
  <c r="L8" i="9"/>
  <c r="H12" i="6" s="1"/>
  <c r="L9" i="9"/>
  <c r="H13" i="6" s="1"/>
  <c r="L10" i="9"/>
  <c r="H14" i="6" s="1"/>
  <c r="L11" i="9"/>
  <c r="H15" i="6" s="1"/>
  <c r="L12" i="9"/>
  <c r="H16" i="6" s="1"/>
  <c r="L13" i="9"/>
  <c r="H17" i="6" s="1"/>
  <c r="L14" i="9"/>
  <c r="H18" i="6" s="1"/>
  <c r="L15" i="9"/>
  <c r="H19" i="6" s="1"/>
  <c r="L16" i="9"/>
  <c r="H20" i="6" s="1"/>
  <c r="L17" i="9"/>
  <c r="H21" i="6" s="1"/>
  <c r="L18" i="9"/>
  <c r="H22" i="6" s="1"/>
  <c r="L19" i="9"/>
  <c r="H23" i="6" s="1"/>
  <c r="L20" i="9"/>
  <c r="H24" i="6" s="1"/>
  <c r="L21" i="9"/>
  <c r="H25" i="6" s="1"/>
  <c r="L22" i="9"/>
  <c r="H26" i="6" s="1"/>
  <c r="L23" i="9"/>
  <c r="H27" i="6" s="1"/>
  <c r="L24" i="9"/>
  <c r="H28" i="6" s="1"/>
  <c r="L25" i="9"/>
  <c r="H29" i="6" s="1"/>
  <c r="L26" i="9"/>
  <c r="H30" i="6" s="1"/>
  <c r="L27" i="9"/>
  <c r="H31" i="6" s="1"/>
  <c r="L28" i="9"/>
  <c r="H32" i="6" s="1"/>
  <c r="L29" i="9"/>
  <c r="H33" i="6" s="1"/>
  <c r="L30" i="9"/>
  <c r="H34" i="6" s="1"/>
  <c r="L31" i="9"/>
  <c r="H35" i="6" s="1"/>
  <c r="K4" i="9"/>
  <c r="G8" i="6" s="1"/>
  <c r="K5" i="9"/>
  <c r="G9" i="6" s="1"/>
  <c r="K6" i="9"/>
  <c r="G10" i="6" s="1"/>
  <c r="K7" i="9"/>
  <c r="G11" i="6" s="1"/>
  <c r="K8" i="9"/>
  <c r="G12" i="6"/>
  <c r="K9" i="9"/>
  <c r="G13" i="6"/>
  <c r="K10" i="9"/>
  <c r="G14" i="6"/>
  <c r="K11" i="9"/>
  <c r="G15" i="6"/>
  <c r="K12" i="9"/>
  <c r="G16" i="6"/>
  <c r="K13" i="9"/>
  <c r="G17" i="6"/>
  <c r="K14" i="9"/>
  <c r="G18" i="6"/>
  <c r="K15" i="9"/>
  <c r="G19" i="6"/>
  <c r="K16" i="9"/>
  <c r="G20" i="6"/>
  <c r="K17" i="9"/>
  <c r="G21" i="6"/>
  <c r="K18" i="9"/>
  <c r="G22" i="6"/>
  <c r="K19" i="9"/>
  <c r="G23" i="6"/>
  <c r="K20" i="9"/>
  <c r="G24" i="6"/>
  <c r="K21" i="9"/>
  <c r="G25" i="6"/>
  <c r="K22" i="9"/>
  <c r="G26" i="6"/>
  <c r="K23" i="9"/>
  <c r="G27" i="6"/>
  <c r="K24" i="9"/>
  <c r="G28" i="6"/>
  <c r="K25" i="9"/>
  <c r="G29" i="6"/>
  <c r="K26" i="9"/>
  <c r="G30" i="6"/>
  <c r="K27" i="9"/>
  <c r="G31" i="6"/>
  <c r="K28" i="9"/>
  <c r="G32" i="6"/>
  <c r="K29" i="9"/>
  <c r="G33" i="6"/>
  <c r="K30" i="9"/>
  <c r="G34" i="6"/>
  <c r="K31" i="9"/>
  <c r="G35" i="6"/>
  <c r="D32" i="9"/>
  <c r="E78" i="5"/>
  <c r="E32" i="9"/>
  <c r="F32" i="9"/>
  <c r="E79" i="5" s="1"/>
  <c r="G32" i="9"/>
  <c r="D80" i="5"/>
  <c r="H32" i="9"/>
  <c r="I32" i="9"/>
  <c r="J32" i="9"/>
  <c r="E81" i="5"/>
  <c r="C32" i="9"/>
  <c r="D78" i="5"/>
  <c r="AX5" i="8"/>
  <c r="F9" i="6"/>
  <c r="AX6" i="8"/>
  <c r="F10" i="6"/>
  <c r="AX11" i="8"/>
  <c r="F15" i="6"/>
  <c r="AX12" i="8"/>
  <c r="F16" i="6"/>
  <c r="AX15" i="8"/>
  <c r="F19" i="6"/>
  <c r="AX17" i="8"/>
  <c r="F21" i="6"/>
  <c r="AX24" i="8"/>
  <c r="F28" i="6"/>
  <c r="AX29" i="8"/>
  <c r="F33" i="6"/>
  <c r="AX31" i="8"/>
  <c r="F35" i="6"/>
  <c r="AW5" i="8"/>
  <c r="E9" i="6"/>
  <c r="AW6" i="8"/>
  <c r="E10" i="6"/>
  <c r="AW11" i="8"/>
  <c r="E15" i="6"/>
  <c r="AW12" i="8"/>
  <c r="E16" i="6"/>
  <c r="AW15" i="8"/>
  <c r="E19" i="6"/>
  <c r="AW16" i="8"/>
  <c r="E20" i="6"/>
  <c r="AW17" i="8"/>
  <c r="E21" i="6"/>
  <c r="AW24" i="8"/>
  <c r="E28" i="6"/>
  <c r="AW29" i="8"/>
  <c r="E33" i="6"/>
  <c r="AW31" i="8"/>
  <c r="E35" i="6"/>
  <c r="D32" i="8"/>
  <c r="E32" i="8"/>
  <c r="D44" i="5" s="1"/>
  <c r="F32" i="8"/>
  <c r="E44" i="5" s="1"/>
  <c r="G32" i="8"/>
  <c r="D45" i="5" s="1"/>
  <c r="H32" i="8"/>
  <c r="I32" i="8"/>
  <c r="J32" i="8"/>
  <c r="K32" i="8"/>
  <c r="D47" i="5"/>
  <c r="L32" i="8"/>
  <c r="E47" i="5"/>
  <c r="M32" i="8"/>
  <c r="D48" i="5"/>
  <c r="N32" i="8"/>
  <c r="O32" i="8"/>
  <c r="P32" i="8"/>
  <c r="Q32" i="8"/>
  <c r="D50" i="5" s="1"/>
  <c r="R32" i="8"/>
  <c r="E50" i="5" s="1"/>
  <c r="S32" i="8"/>
  <c r="T32" i="8"/>
  <c r="E51" i="5"/>
  <c r="U32" i="8"/>
  <c r="D52" i="5"/>
  <c r="V32" i="8"/>
  <c r="E52" i="5"/>
  <c r="W32" i="8"/>
  <c r="D53" i="5"/>
  <c r="X32" i="8"/>
  <c r="Y32" i="8"/>
  <c r="D55" i="5" s="1"/>
  <c r="Z32" i="8"/>
  <c r="AA32" i="8"/>
  <c r="D56" i="5"/>
  <c r="AC32" i="8"/>
  <c r="D57" i="5"/>
  <c r="AD32" i="8"/>
  <c r="E57" i="5"/>
  <c r="AE32" i="8"/>
  <c r="D58" i="5"/>
  <c r="AF32" i="8"/>
  <c r="E58" i="5"/>
  <c r="AG32" i="8"/>
  <c r="D59" i="5"/>
  <c r="AH32" i="8"/>
  <c r="AI32" i="8"/>
  <c r="D60" i="5" s="1"/>
  <c r="AJ32" i="8"/>
  <c r="E60" i="5" s="1"/>
  <c r="AK32" i="8"/>
  <c r="AL32" i="8"/>
  <c r="E61" i="5"/>
  <c r="AM32" i="8"/>
  <c r="D62" i="5"/>
  <c r="AN32" i="8"/>
  <c r="E62" i="5"/>
  <c r="AO32" i="8"/>
  <c r="D63" i="5"/>
  <c r="AP32" i="8"/>
  <c r="AQ32" i="8"/>
  <c r="D64" i="5" s="1"/>
  <c r="AR32" i="8"/>
  <c r="AS32" i="8"/>
  <c r="D54" i="5"/>
  <c r="AT32" i="8"/>
  <c r="E54" i="5"/>
  <c r="C32" i="8"/>
  <c r="D43" i="5"/>
  <c r="D32" i="13"/>
  <c r="E32" i="13"/>
  <c r="D16" i="5" s="1"/>
  <c r="F32" i="13"/>
  <c r="G32" i="13"/>
  <c r="D17" i="5"/>
  <c r="H32" i="13"/>
  <c r="I32" i="13"/>
  <c r="J32" i="13"/>
  <c r="C32" i="13"/>
  <c r="K4" i="13"/>
  <c r="L4" i="13"/>
  <c r="AJ4" i="7"/>
  <c r="BH4" i="7" s="1"/>
  <c r="D8" i="6" s="1"/>
  <c r="K5" i="13"/>
  <c r="AI5" i="7"/>
  <c r="BG5" i="7" s="1"/>
  <c r="C9" i="6" s="1"/>
  <c r="L5" i="13"/>
  <c r="AJ5" i="7"/>
  <c r="BH5" i="7" s="1"/>
  <c r="D9" i="6" s="1"/>
  <c r="K6" i="13"/>
  <c r="AI6" i="7"/>
  <c r="BG6" i="7" s="1"/>
  <c r="C10" i="6"/>
  <c r="L6" i="13"/>
  <c r="AJ6" i="7" s="1"/>
  <c r="BH6" i="7" s="1"/>
  <c r="D10" i="6" s="1"/>
  <c r="K7" i="13"/>
  <c r="AI7" i="7" s="1"/>
  <c r="BG7" i="7"/>
  <c r="C11" i="6" s="1"/>
  <c r="L7" i="13"/>
  <c r="AJ7" i="7"/>
  <c r="BH7" i="7" s="1"/>
  <c r="D11" i="6"/>
  <c r="K8" i="13"/>
  <c r="AI8" i="7"/>
  <c r="L8" i="13"/>
  <c r="AJ8" i="7"/>
  <c r="K9" i="13"/>
  <c r="AI9" i="7" s="1"/>
  <c r="BG9" i="7" s="1"/>
  <c r="C13" i="6" s="1"/>
  <c r="L9" i="13"/>
  <c r="AJ9" i="7"/>
  <c r="BH9" i="7" s="1"/>
  <c r="D13" i="6" s="1"/>
  <c r="K10" i="13"/>
  <c r="AI10" i="7"/>
  <c r="L10" i="13"/>
  <c r="AJ10" i="7"/>
  <c r="K11" i="13"/>
  <c r="AI11" i="7"/>
  <c r="L11" i="13"/>
  <c r="AJ11" i="7"/>
  <c r="K12" i="13"/>
  <c r="AI12" i="7"/>
  <c r="BG12" i="7" s="1"/>
  <c r="C16" i="6" s="1"/>
  <c r="L12" i="13"/>
  <c r="AJ12" i="7"/>
  <c r="BH12" i="7" s="1"/>
  <c r="D16" i="6"/>
  <c r="K13" i="13"/>
  <c r="AI13" i="7"/>
  <c r="L13" i="13"/>
  <c r="AJ13" i="7"/>
  <c r="K14" i="13"/>
  <c r="AI14" i="7"/>
  <c r="BG14" i="7" s="1"/>
  <c r="C18" i="6" s="1"/>
  <c r="L14" i="13"/>
  <c r="AJ14" i="7" s="1"/>
  <c r="BH14" i="7" s="1"/>
  <c r="D18" i="6" s="1"/>
  <c r="K15" i="13"/>
  <c r="AI15" i="7" s="1"/>
  <c r="BG15" i="7" s="1"/>
  <c r="C19" i="6" s="1"/>
  <c r="L15" i="13"/>
  <c r="AJ15" i="7"/>
  <c r="BH15" i="7" s="1"/>
  <c r="D19" i="6" s="1"/>
  <c r="K16" i="13"/>
  <c r="AI16" i="7"/>
  <c r="BG16" i="7" s="1"/>
  <c r="C20" i="6"/>
  <c r="L16" i="13"/>
  <c r="AJ16" i="7"/>
  <c r="BH16" i="7" s="1"/>
  <c r="D20" i="6" s="1"/>
  <c r="K17" i="13"/>
  <c r="AI17" i="7"/>
  <c r="BG17" i="7" s="1"/>
  <c r="C21" i="6"/>
  <c r="L17" i="13"/>
  <c r="AJ17" i="7" s="1"/>
  <c r="BH17" i="7"/>
  <c r="D21" i="6" s="1"/>
  <c r="K18" i="13"/>
  <c r="AI18" i="7" s="1"/>
  <c r="BG18" i="7"/>
  <c r="C22" i="6" s="1"/>
  <c r="L18" i="13"/>
  <c r="AJ18" i="7" s="1"/>
  <c r="BH18" i="7"/>
  <c r="D22" i="6" s="1"/>
  <c r="K19" i="13"/>
  <c r="AI19" i="7" s="1"/>
  <c r="BG19" i="7"/>
  <c r="C23" i="6" s="1"/>
  <c r="L19" i="13"/>
  <c r="AJ19" i="7" s="1"/>
  <c r="BH19" i="7"/>
  <c r="D23" i="6" s="1"/>
  <c r="K20" i="13"/>
  <c r="AI20" i="7"/>
  <c r="BG20" i="7" s="1"/>
  <c r="C24" i="6"/>
  <c r="L20" i="13"/>
  <c r="AJ20" i="7"/>
  <c r="BH20" i="7" s="1"/>
  <c r="D24" i="6" s="1"/>
  <c r="K21" i="13"/>
  <c r="AI21" i="7"/>
  <c r="BG21" i="7"/>
  <c r="C25" i="6" s="1"/>
  <c r="L21" i="13"/>
  <c r="AJ21" i="7"/>
  <c r="BH21" i="7" s="1"/>
  <c r="D25" i="6" s="1"/>
  <c r="K22" i="13"/>
  <c r="AI22" i="7"/>
  <c r="BG22" i="7" s="1"/>
  <c r="C26" i="6" s="1"/>
  <c r="L22" i="13"/>
  <c r="AJ22" i="7" s="1"/>
  <c r="BH22" i="7" s="1"/>
  <c r="D26" i="6" s="1"/>
  <c r="K23" i="13"/>
  <c r="AI23" i="7" s="1"/>
  <c r="BG23" i="7" s="1"/>
  <c r="C27" i="6" s="1"/>
  <c r="L23" i="13"/>
  <c r="AJ23" i="7"/>
  <c r="BH23" i="7" s="1"/>
  <c r="D27" i="6" s="1"/>
  <c r="K24" i="13"/>
  <c r="AI24" i="7"/>
  <c r="BG24" i="7" s="1"/>
  <c r="C28" i="6" s="1"/>
  <c r="L24" i="13"/>
  <c r="AJ24" i="7" s="1"/>
  <c r="BH24" i="7" s="1"/>
  <c r="D28" i="6" s="1"/>
  <c r="K25" i="13"/>
  <c r="AI25" i="7" s="1"/>
  <c r="BG25" i="7" s="1"/>
  <c r="C29" i="6" s="1"/>
  <c r="L25" i="13"/>
  <c r="AJ25" i="7" s="1"/>
  <c r="BH25" i="7" s="1"/>
  <c r="D29" i="6" s="1"/>
  <c r="K26" i="13"/>
  <c r="AI26" i="7" s="1"/>
  <c r="L26" i="13"/>
  <c r="AJ26" i="7" s="1"/>
  <c r="K27" i="13"/>
  <c r="AI27" i="7" s="1"/>
  <c r="BG27" i="7" s="1"/>
  <c r="C31" i="6" s="1"/>
  <c r="L27" i="13"/>
  <c r="AJ27" i="7" s="1"/>
  <c r="BH27" i="7" s="1"/>
  <c r="D31" i="6" s="1"/>
  <c r="K28" i="13"/>
  <c r="AI28" i="7"/>
  <c r="BG28" i="7" s="1"/>
  <c r="C32" i="6" s="1"/>
  <c r="L28" i="13"/>
  <c r="AJ28" i="7" s="1"/>
  <c r="BH28" i="7" s="1"/>
  <c r="D32" i="6" s="1"/>
  <c r="K29" i="13"/>
  <c r="AI29" i="7" s="1"/>
  <c r="L29" i="13"/>
  <c r="AJ29" i="7" s="1"/>
  <c r="K30" i="13"/>
  <c r="AI30" i="7" s="1"/>
  <c r="BG30" i="7" s="1"/>
  <c r="C34" i="6" s="1"/>
  <c r="L30" i="13"/>
  <c r="AJ30" i="7"/>
  <c r="BH30" i="7" s="1"/>
  <c r="D34" i="6" s="1"/>
  <c r="K31" i="13"/>
  <c r="AI31" i="7"/>
  <c r="BG31" i="7" s="1"/>
  <c r="C35" i="6" s="1"/>
  <c r="L31" i="13"/>
  <c r="AJ31" i="7" s="1"/>
  <c r="BH31" i="7" s="1"/>
  <c r="D35" i="6" s="1"/>
  <c r="L3" i="13"/>
  <c r="AJ3" i="7" s="1"/>
  <c r="K3" i="13"/>
  <c r="AI3" i="7" s="1"/>
  <c r="BG3" i="7" s="1"/>
  <c r="AU8" i="8"/>
  <c r="AW8" i="8" s="1"/>
  <c r="E12" i="6" s="1"/>
  <c r="AV8" i="8"/>
  <c r="AX8" i="8"/>
  <c r="F12" i="6" s="1"/>
  <c r="BE26" i="7"/>
  <c r="BF26" i="7"/>
  <c r="D81" i="5"/>
  <c r="D11" i="5"/>
  <c r="D12" i="5"/>
  <c r="E13" i="5"/>
  <c r="D20" i="5"/>
  <c r="E21" i="5"/>
  <c r="D22" i="5"/>
  <c r="D29" i="5"/>
  <c r="E29" i="5"/>
  <c r="D30" i="5"/>
  <c r="E35" i="5"/>
  <c r="E38" i="5"/>
  <c r="AL4" i="10"/>
  <c r="O8" i="6" s="1"/>
  <c r="AL5" i="10"/>
  <c r="O9" i="6" s="1"/>
  <c r="AL6" i="10"/>
  <c r="O10" i="6" s="1"/>
  <c r="AL7" i="10"/>
  <c r="O11" i="6" s="1"/>
  <c r="AL8" i="10"/>
  <c r="O12" i="6" s="1"/>
  <c r="AL9" i="10"/>
  <c r="O13" i="6" s="1"/>
  <c r="AL10" i="10"/>
  <c r="O14" i="6" s="1"/>
  <c r="AL11" i="10"/>
  <c r="O15" i="6" s="1"/>
  <c r="AL12" i="10"/>
  <c r="O16" i="6" s="1"/>
  <c r="AL13" i="10"/>
  <c r="O17" i="6" s="1"/>
  <c r="AL14" i="10"/>
  <c r="O18" i="6" s="1"/>
  <c r="AL15" i="10"/>
  <c r="O19" i="6" s="1"/>
  <c r="AL16" i="10"/>
  <c r="O20" i="6" s="1"/>
  <c r="AL17" i="10"/>
  <c r="O21" i="6" s="1"/>
  <c r="AL18" i="10"/>
  <c r="O22" i="6" s="1"/>
  <c r="AL19" i="10"/>
  <c r="O23" i="6" s="1"/>
  <c r="AL20" i="10"/>
  <c r="O24" i="6" s="1"/>
  <c r="AL21" i="10"/>
  <c r="O25" i="6" s="1"/>
  <c r="AL22" i="10"/>
  <c r="O26" i="6" s="1"/>
  <c r="AL23" i="10"/>
  <c r="O27" i="6" s="1"/>
  <c r="AL24" i="10"/>
  <c r="O28" i="6" s="1"/>
  <c r="AL25" i="10"/>
  <c r="O29" i="6" s="1"/>
  <c r="AL26" i="10"/>
  <c r="O30" i="6" s="1"/>
  <c r="AL27" i="10"/>
  <c r="O31" i="6" s="1"/>
  <c r="AL28" i="10"/>
  <c r="O32" i="6" s="1"/>
  <c r="AL29" i="10"/>
  <c r="O33" i="6" s="1"/>
  <c r="AL30" i="10"/>
  <c r="O34" i="6" s="1"/>
  <c r="AL31" i="10"/>
  <c r="O35" i="6" s="1"/>
  <c r="AK4" i="10"/>
  <c r="N8" i="6" s="1"/>
  <c r="AK5" i="10"/>
  <c r="N9" i="6" s="1"/>
  <c r="AK6" i="10"/>
  <c r="N10" i="6" s="1"/>
  <c r="AK7" i="10"/>
  <c r="N11" i="6" s="1"/>
  <c r="AK8" i="10"/>
  <c r="N12" i="6" s="1"/>
  <c r="AK9" i="10"/>
  <c r="N13" i="6" s="1"/>
  <c r="AK10" i="10"/>
  <c r="N14" i="6" s="1"/>
  <c r="AK11" i="10"/>
  <c r="N15" i="6" s="1"/>
  <c r="AK12" i="10"/>
  <c r="N16" i="6" s="1"/>
  <c r="AK13" i="10"/>
  <c r="N17" i="6" s="1"/>
  <c r="AK14" i="10"/>
  <c r="N18" i="6" s="1"/>
  <c r="AK15" i="10"/>
  <c r="N19" i="6" s="1"/>
  <c r="AK16" i="10"/>
  <c r="N20" i="6" s="1"/>
  <c r="AK17" i="10"/>
  <c r="N21" i="6" s="1"/>
  <c r="AK18" i="10"/>
  <c r="N22" i="6" s="1"/>
  <c r="AK19" i="10"/>
  <c r="N23" i="6" s="1"/>
  <c r="AK20" i="10"/>
  <c r="N24" i="6" s="1"/>
  <c r="AK21" i="10"/>
  <c r="N25" i="6" s="1"/>
  <c r="AK22" i="10"/>
  <c r="N26" i="6" s="1"/>
  <c r="AK23" i="10"/>
  <c r="N27" i="6" s="1"/>
  <c r="AK24" i="10"/>
  <c r="N28" i="6" s="1"/>
  <c r="AK25" i="10"/>
  <c r="N29" i="6" s="1"/>
  <c r="AK26" i="10"/>
  <c r="N30" i="6" s="1"/>
  <c r="AK27" i="10"/>
  <c r="N31" i="6" s="1"/>
  <c r="AK28" i="10"/>
  <c r="N32" i="6" s="1"/>
  <c r="AK29" i="10"/>
  <c r="N33" i="6" s="1"/>
  <c r="AK30" i="10"/>
  <c r="N34" i="6" s="1"/>
  <c r="AK31" i="10"/>
  <c r="N35" i="6" s="1"/>
  <c r="D93" i="5"/>
  <c r="L3" i="9"/>
  <c r="H7" i="6"/>
  <c r="H36" i="6" s="1"/>
  <c r="K3" i="9"/>
  <c r="G7" i="6" s="1"/>
  <c r="G36" i="6" s="1"/>
  <c r="D46" i="5"/>
  <c r="D66" i="5" s="1"/>
  <c r="D51" i="5"/>
  <c r="E59" i="5"/>
  <c r="AX3" i="8"/>
  <c r="F7" i="6" s="1"/>
  <c r="AW3" i="8"/>
  <c r="D18" i="5"/>
  <c r="AL14" i="16"/>
  <c r="AF14" i="16"/>
  <c r="AC14" i="16"/>
  <c r="N14" i="16"/>
  <c r="H14" i="16"/>
  <c r="E14" i="16"/>
  <c r="J17" i="6"/>
  <c r="I17" i="6"/>
  <c r="AV13" i="8"/>
  <c r="AX13" i="8"/>
  <c r="F17" i="6" s="1"/>
  <c r="AU13" i="8"/>
  <c r="AW13" i="8" s="1"/>
  <c r="E17" i="6"/>
  <c r="BF13" i="7"/>
  <c r="BE13" i="7"/>
  <c r="BG13" i="7" s="1"/>
  <c r="AV27" i="8"/>
  <c r="AX27" i="8"/>
  <c r="F31" i="6" s="1"/>
  <c r="AU27" i="8"/>
  <c r="AW27" i="8" s="1"/>
  <c r="E31" i="6"/>
  <c r="BF11" i="7"/>
  <c r="BE11" i="7"/>
  <c r="AL30" i="16"/>
  <c r="AJ30" i="16"/>
  <c r="AM30" i="16" s="1"/>
  <c r="K33" i="6" s="1"/>
  <c r="Q33" i="6" s="1"/>
  <c r="H30" i="16"/>
  <c r="N30" i="16"/>
  <c r="BF29" i="7"/>
  <c r="BE29" i="7"/>
  <c r="E21" i="16"/>
  <c r="AO21" i="16"/>
  <c r="M24" i="6" s="1"/>
  <c r="AJ21" i="16"/>
  <c r="AM21" i="16" s="1"/>
  <c r="K24" i="6" s="1"/>
  <c r="Q24" i="6" s="1"/>
  <c r="AK21" i="16"/>
  <c r="AN21" i="16"/>
  <c r="L24" i="6" s="1"/>
  <c r="AV18" i="8"/>
  <c r="AX18" i="8" s="1"/>
  <c r="F22" i="6" s="1"/>
  <c r="R22" i="6" s="1"/>
  <c r="AU18" i="8"/>
  <c r="AW18" i="8"/>
  <c r="E22" i="6" s="1"/>
  <c r="AA33" i="16"/>
  <c r="V33" i="16"/>
  <c r="U33" i="16"/>
  <c r="O33" i="16"/>
  <c r="AK17" i="16"/>
  <c r="AN17" i="16" s="1"/>
  <c r="AJ17" i="16"/>
  <c r="AM17" i="16"/>
  <c r="K20" i="6" s="1"/>
  <c r="AF17" i="16"/>
  <c r="AC17" i="16"/>
  <c r="AL17" i="16"/>
  <c r="AL12" i="16"/>
  <c r="AK12" i="16"/>
  <c r="AN12" i="16" s="1"/>
  <c r="L15" i="6"/>
  <c r="AJ12" i="16"/>
  <c r="AM12" i="16"/>
  <c r="K15" i="6" s="1"/>
  <c r="AF12" i="16"/>
  <c r="W33" i="16"/>
  <c r="T12" i="16"/>
  <c r="T33" i="16" s="1"/>
  <c r="K12" i="16"/>
  <c r="H12" i="16"/>
  <c r="J29" i="6"/>
  <c r="I29" i="6"/>
  <c r="AV25" i="8"/>
  <c r="AX25" i="8" s="1"/>
  <c r="F29" i="6"/>
  <c r="AU25" i="8"/>
  <c r="AW25" i="8"/>
  <c r="E29" i="6" s="1"/>
  <c r="AL26" i="16"/>
  <c r="AK26" i="16"/>
  <c r="AN26" i="16"/>
  <c r="L29" i="6" s="1"/>
  <c r="AJ26" i="16"/>
  <c r="AM26" i="16" s="1"/>
  <c r="K29" i="6"/>
  <c r="AF26" i="16"/>
  <c r="AC26" i="16"/>
  <c r="N26" i="16"/>
  <c r="K26" i="16"/>
  <c r="H26" i="16"/>
  <c r="AO26" i="16" s="1"/>
  <c r="M29" i="6" s="1"/>
  <c r="R29" i="6" s="1"/>
  <c r="E26" i="16"/>
  <c r="AU14" i="8"/>
  <c r="AW14" i="8" s="1"/>
  <c r="E18" i="6" s="1"/>
  <c r="AL22" i="16"/>
  <c r="AO22" i="16"/>
  <c r="M25" i="6" s="1"/>
  <c r="AV21" i="8"/>
  <c r="AX21" i="8" s="1"/>
  <c r="F25" i="6" s="1"/>
  <c r="R25" i="6" s="1"/>
  <c r="AU21" i="8"/>
  <c r="AW21" i="8"/>
  <c r="E25" i="6" s="1"/>
  <c r="AK9" i="16"/>
  <c r="AN9" i="16" s="1"/>
  <c r="L12" i="6" s="1"/>
  <c r="AJ9" i="16"/>
  <c r="AM9" i="16"/>
  <c r="K12" i="6" s="1"/>
  <c r="BF8" i="7"/>
  <c r="BE8" i="7"/>
  <c r="AK5" i="16"/>
  <c r="AN5" i="16" s="1"/>
  <c r="L8" i="6"/>
  <c r="AJ5" i="16"/>
  <c r="AC5" i="16"/>
  <c r="N5" i="16"/>
  <c r="E5" i="16"/>
  <c r="AV4" i="8"/>
  <c r="AU4" i="8"/>
  <c r="AW4" i="8" s="1"/>
  <c r="E8" i="6" s="1"/>
  <c r="AV28" i="8"/>
  <c r="AX28" i="8"/>
  <c r="F32" i="6" s="1"/>
  <c r="AU28" i="8"/>
  <c r="AW28" i="8" s="1"/>
  <c r="E32" i="6" s="1"/>
  <c r="AV19" i="8"/>
  <c r="AX19" i="8"/>
  <c r="F23" i="6" s="1"/>
  <c r="AU19" i="8"/>
  <c r="AW19" i="8" s="1"/>
  <c r="E23" i="6" s="1"/>
  <c r="Q23" i="6" s="1"/>
  <c r="Q27" i="16"/>
  <c r="N27" i="16"/>
  <c r="K27" i="16"/>
  <c r="H27" i="16"/>
  <c r="AV26" i="8"/>
  <c r="AX26" i="8" s="1"/>
  <c r="F30" i="6"/>
  <c r="AU26" i="8"/>
  <c r="AW26" i="8"/>
  <c r="E30" i="6" s="1"/>
  <c r="AV30" i="8"/>
  <c r="AX30" i="8" s="1"/>
  <c r="F34" i="6"/>
  <c r="AU30" i="8"/>
  <c r="AW30" i="8"/>
  <c r="E34" i="6" s="1"/>
  <c r="J27" i="6"/>
  <c r="I27" i="6"/>
  <c r="AV23" i="8"/>
  <c r="AX23" i="8" s="1"/>
  <c r="F27" i="6"/>
  <c r="AU23" i="8"/>
  <c r="AW23" i="8"/>
  <c r="E27" i="6" s="1"/>
  <c r="Q10" i="16"/>
  <c r="AL10" i="16"/>
  <c r="AF10" i="16"/>
  <c r="AC10" i="16"/>
  <c r="AC33" i="16" s="1"/>
  <c r="K10" i="16"/>
  <c r="AL15" i="16"/>
  <c r="AO15" i="16"/>
  <c r="M18" i="6" s="1"/>
  <c r="AJ15" i="16"/>
  <c r="AM15" i="16"/>
  <c r="K18" i="6"/>
  <c r="AV14" i="8"/>
  <c r="AX14" i="8"/>
  <c r="F18" i="6"/>
  <c r="AV22" i="8"/>
  <c r="AX22" i="8" s="1"/>
  <c r="F26" i="6"/>
  <c r="AU22" i="8"/>
  <c r="AW22" i="8"/>
  <c r="E26" i="6" s="1"/>
  <c r="AC18" i="16"/>
  <c r="AF18" i="16"/>
  <c r="AO18" i="16" s="1"/>
  <c r="M21" i="6" s="1"/>
  <c r="R21" i="6" s="1"/>
  <c r="Q18" i="16"/>
  <c r="N18" i="16"/>
  <c r="AF31" i="16"/>
  <c r="AC31" i="16"/>
  <c r="Q31" i="16"/>
  <c r="K31" i="16"/>
  <c r="AO31" i="16" s="1"/>
  <c r="M34" i="6" s="1"/>
  <c r="R34" i="6" s="1"/>
  <c r="AV10" i="8"/>
  <c r="AX10" i="8"/>
  <c r="F14" i="6"/>
  <c r="AU10" i="8"/>
  <c r="AW10" i="8"/>
  <c r="E14" i="6"/>
  <c r="AV20" i="8"/>
  <c r="AX20" i="8" s="1"/>
  <c r="F24" i="6" s="1"/>
  <c r="R24" i="6" s="1"/>
  <c r="AU20" i="8"/>
  <c r="AW20" i="8"/>
  <c r="E24" i="6" s="1"/>
  <c r="AL11" i="16"/>
  <c r="AL33" i="16" s="1"/>
  <c r="AC11" i="16"/>
  <c r="Q11" i="16"/>
  <c r="N11" i="16"/>
  <c r="N33" i="16"/>
  <c r="K11" i="16"/>
  <c r="H11" i="16"/>
  <c r="BF10" i="7"/>
  <c r="BE10" i="7"/>
  <c r="BE32" i="7" s="1"/>
  <c r="D40" i="5" s="1"/>
  <c r="Q8" i="16"/>
  <c r="Q33" i="16" s="1"/>
  <c r="AJ7" i="16"/>
  <c r="AM7" i="16"/>
  <c r="K10" i="6" s="1"/>
  <c r="E75" i="5"/>
  <c r="AV7" i="8"/>
  <c r="AV32" i="8" s="1"/>
  <c r="E65" i="5" s="1"/>
  <c r="AX7" i="8"/>
  <c r="F11" i="6"/>
  <c r="R11" i="6" s="1"/>
  <c r="AU7" i="8"/>
  <c r="AW7" i="8"/>
  <c r="AV9" i="8"/>
  <c r="AX9" i="8"/>
  <c r="F13" i="6" s="1"/>
  <c r="AU9" i="8"/>
  <c r="AW9" i="8"/>
  <c r="E13" i="6"/>
  <c r="E16" i="5"/>
  <c r="D21" i="5"/>
  <c r="D23" i="5"/>
  <c r="D31" i="5"/>
  <c r="D99" i="5"/>
  <c r="D100" i="5"/>
  <c r="D97" i="5"/>
  <c r="D88" i="5"/>
  <c r="D89" i="5"/>
  <c r="E92" i="5"/>
  <c r="E86" i="5"/>
  <c r="D95" i="5"/>
  <c r="E101" i="5"/>
  <c r="D87" i="5"/>
  <c r="AL3" i="10"/>
  <c r="O7" i="6" s="1"/>
  <c r="O36" i="6" s="1"/>
  <c r="AK3" i="10"/>
  <c r="AK32" i="10"/>
  <c r="C82" i="5"/>
  <c r="B82" i="5"/>
  <c r="C66" i="5"/>
  <c r="B66" i="5"/>
  <c r="C19" i="5"/>
  <c r="C41" i="5"/>
  <c r="B19" i="5"/>
  <c r="B41" i="5"/>
  <c r="AI4" i="7"/>
  <c r="BG4" i="7"/>
  <c r="C8" i="6" s="1"/>
  <c r="L33" i="16"/>
  <c r="E48" i="5"/>
  <c r="E63" i="5"/>
  <c r="E53" i="5"/>
  <c r="E49" i="5"/>
  <c r="E64" i="5"/>
  <c r="AO14" i="16"/>
  <c r="M17" i="6" s="1"/>
  <c r="AM5" i="16"/>
  <c r="AM33" i="16" s="1"/>
  <c r="D72" i="5" s="1"/>
  <c r="D73" i="5" s="1"/>
  <c r="AO8" i="16"/>
  <c r="M11" i="6" s="1"/>
  <c r="E17" i="5"/>
  <c r="E46" i="5"/>
  <c r="D39" i="5"/>
  <c r="AX4" i="8"/>
  <c r="F8" i="6"/>
  <c r="R8" i="6" s="1"/>
  <c r="E45" i="5"/>
  <c r="E66" i="5" s="1"/>
  <c r="D79" i="5"/>
  <c r="L20" i="6"/>
  <c r="K32" i="9"/>
  <c r="AB32" i="8"/>
  <c r="E56" i="5" s="1"/>
  <c r="D85" i="5"/>
  <c r="E91" i="5"/>
  <c r="E15" i="5"/>
  <c r="D15" i="5"/>
  <c r="D19" i="5" s="1"/>
  <c r="E43" i="5"/>
  <c r="D94" i="5"/>
  <c r="D96" i="5"/>
  <c r="D49" i="5"/>
  <c r="L32" i="9"/>
  <c r="E18" i="5"/>
  <c r="D61" i="5"/>
  <c r="E55" i="5"/>
  <c r="E99" i="5"/>
  <c r="D24" i="5"/>
  <c r="AL32" i="10"/>
  <c r="E80" i="5"/>
  <c r="D32" i="5"/>
  <c r="K32" i="13"/>
  <c r="E85" i="5"/>
  <c r="E102" i="5" s="1"/>
  <c r="E9" i="5"/>
  <c r="L32" i="13"/>
  <c r="C7" i="6"/>
  <c r="BH11" i="7"/>
  <c r="D15" i="6"/>
  <c r="I36" i="6"/>
  <c r="D68" i="5" s="1"/>
  <c r="AI32" i="7"/>
  <c r="N7" i="6"/>
  <c r="N36" i="6"/>
  <c r="AO5" i="16"/>
  <c r="M8" i="6"/>
  <c r="J36" i="6"/>
  <c r="E68" i="5"/>
  <c r="BG29" i="7"/>
  <c r="C33" i="6" s="1"/>
  <c r="BH26" i="7"/>
  <c r="D30" i="6"/>
  <c r="AX32" i="8"/>
  <c r="F36" i="6"/>
  <c r="E11" i="6"/>
  <c r="AU32" i="8"/>
  <c r="D65" i="5" s="1"/>
  <c r="E33" i="16"/>
  <c r="BH29" i="7"/>
  <c r="D33" i="6"/>
  <c r="C17" i="6"/>
  <c r="Q17" i="6" s="1"/>
  <c r="BG8" i="7"/>
  <c r="C12" i="6" s="1"/>
  <c r="AO11" i="16"/>
  <c r="M14" i="6" s="1"/>
  <c r="H33" i="16"/>
  <c r="AN33" i="16"/>
  <c r="E72" i="5" s="1"/>
  <c r="BG26" i="7"/>
  <c r="C30" i="6" s="1"/>
  <c r="Q30" i="6" s="1"/>
  <c r="AJ33" i="16"/>
  <c r="AK33" i="16"/>
  <c r="D102" i="5"/>
  <c r="AO12" i="16"/>
  <c r="M15" i="6"/>
  <c r="R15" i="6" s="1"/>
  <c r="AO17" i="16"/>
  <c r="M20" i="6"/>
  <c r="AO30" i="16"/>
  <c r="M33" i="6"/>
  <c r="R33" i="6" s="1"/>
  <c r="BH13" i="7"/>
  <c r="D17" i="6"/>
  <c r="BG11" i="7"/>
  <c r="C15" i="6"/>
  <c r="Q15" i="6" s="1"/>
  <c r="D82" i="5"/>
  <c r="R35" i="6"/>
  <c r="Q31" i="6"/>
  <c r="R27" i="6"/>
  <c r="R26" i="6"/>
  <c r="R19" i="6"/>
  <c r="Q22" i="6"/>
  <c r="R18" i="6"/>
  <c r="R10" i="6"/>
  <c r="R17" i="6"/>
  <c r="R32" i="6"/>
  <c r="Q29" i="6"/>
  <c r="R28" i="6"/>
  <c r="R20" i="6"/>
  <c r="Q20" i="6"/>
  <c r="R16" i="6"/>
  <c r="Q16" i="6"/>
  <c r="R9" i="6"/>
  <c r="Q9" i="6"/>
  <c r="C36" i="6" l="1"/>
  <c r="Q12" i="6"/>
  <c r="K8" i="6"/>
  <c r="Q8" i="6" s="1"/>
  <c r="BG10" i="7"/>
  <c r="C14" i="6" s="1"/>
  <c r="Q14" i="6" s="1"/>
  <c r="AO10" i="16"/>
  <c r="K33" i="16"/>
  <c r="AO27" i="16"/>
  <c r="M30" i="6" s="1"/>
  <c r="AW32" i="8"/>
  <c r="E36" i="6" s="1"/>
  <c r="E7" i="6"/>
  <c r="Q7" i="6" s="1"/>
  <c r="AJ32" i="7"/>
  <c r="BH3" i="7"/>
  <c r="R31" i="6"/>
  <c r="Q13" i="6"/>
  <c r="Q11" i="6"/>
  <c r="Q26" i="6"/>
  <c r="Q25" i="6"/>
  <c r="R23" i="6"/>
  <c r="Q19" i="6"/>
  <c r="E19" i="5"/>
  <c r="AF33" i="16"/>
  <c r="Q35" i="6"/>
  <c r="Q34" i="6"/>
  <c r="Q32" i="6"/>
  <c r="R30" i="6"/>
  <c r="BF32" i="7"/>
  <c r="E40" i="5" s="1"/>
  <c r="BG32" i="7"/>
  <c r="Q28" i="6"/>
  <c r="Q27" i="6"/>
  <c r="Q18" i="6"/>
  <c r="Q21" i="6"/>
  <c r="E82" i="5"/>
  <c r="D41" i="5"/>
  <c r="D103" i="5" s="1"/>
  <c r="BH8" i="7"/>
  <c r="D12" i="6" s="1"/>
  <c r="R12" i="6" s="1"/>
  <c r="Q10" i="6"/>
  <c r="K36" i="6"/>
  <c r="L36" i="6"/>
  <c r="BH10" i="7"/>
  <c r="D14" i="6" s="1"/>
  <c r="R14" i="6" s="1"/>
  <c r="M13" i="6" l="1"/>
  <c r="AO33" i="16"/>
  <c r="E71" i="5" s="1"/>
  <c r="E73" i="5" s="1"/>
  <c r="D7" i="6"/>
  <c r="BH32" i="7"/>
  <c r="Q36" i="6"/>
  <c r="R7" i="6" l="1"/>
  <c r="D36" i="6"/>
  <c r="E41" i="5" s="1"/>
  <c r="E103" i="5" s="1"/>
  <c r="R13" i="6"/>
  <c r="M36" i="6"/>
  <c r="R36" i="6" l="1"/>
</calcChain>
</file>

<file path=xl/comments1.xml><?xml version="1.0" encoding="utf-8"?>
<comments xmlns="http://schemas.openxmlformats.org/spreadsheetml/2006/main">
  <authors>
    <author>Author</author>
  </authors>
  <commentList>
    <comment ref="F1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Mandarin Orange's as Nomilal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B3" authorId="0">
      <text>
        <r>
          <rPr>
            <sz val="9"/>
            <color indexed="81"/>
            <rFont val="Tahoma"/>
            <family val="2"/>
          </rPr>
          <t xml:space="preserve">2014-15(3rs est repeated. (As informed by the state)
</t>
        </r>
      </text>
    </comment>
    <comment ref="AR3" authorId="0">
      <text>
        <r>
          <rPr>
            <sz val="9"/>
            <color indexed="81"/>
            <rFont val="Tahoma"/>
            <family val="2"/>
          </rPr>
          <t xml:space="preserve">2013-14 est repeated
</t>
        </r>
      </text>
    </comment>
    <comment ref="AB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Production using  yield-12.1
</t>
        </r>
      </text>
    </comment>
    <comment ref="AK21" authorId="0">
      <text>
        <r>
          <rPr>
            <b/>
            <sz val="8"/>
            <color indexed="81"/>
            <rFont val="Tahoma"/>
            <family val="2"/>
          </rPr>
          <t>Author:
Pumpkin data is given but not given 2013-14 final</t>
        </r>
      </text>
    </comment>
    <comment ref="AQ26" authorId="0">
      <text>
        <r>
          <rPr>
            <sz val="9"/>
            <color indexed="81"/>
            <rFont val="Tahoma"/>
            <family val="2"/>
          </rPr>
          <t xml:space="preserve">
2013-14 est repeated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Only area given by the state. Therefore 2013-14 1st Est.figures repeated.</t>
        </r>
      </text>
    </comment>
    <comment ref="I14" authorId="0">
      <text/>
    </comment>
  </commentList>
</comments>
</file>

<file path=xl/sharedStrings.xml><?xml version="1.0" encoding="utf-8"?>
<sst xmlns="http://schemas.openxmlformats.org/spreadsheetml/2006/main" count="683" uniqueCount="254">
  <si>
    <t>Area and Production of Horticulture Crops - All India</t>
  </si>
  <si>
    <t>Area in '000 Ha</t>
  </si>
  <si>
    <t>Production in '000 MT</t>
  </si>
  <si>
    <t>Crops</t>
  </si>
  <si>
    <t>2014-15</t>
  </si>
  <si>
    <t>2015-16</t>
  </si>
  <si>
    <t>(Final)</t>
  </si>
  <si>
    <t>Fruits</t>
  </si>
  <si>
    <t xml:space="preserve">Area </t>
  </si>
  <si>
    <t>Prod.</t>
  </si>
  <si>
    <t>Almond</t>
  </si>
  <si>
    <t>Aonla/Gooseberry</t>
  </si>
  <si>
    <t>Apple</t>
  </si>
  <si>
    <t>Banana</t>
  </si>
  <si>
    <t>Ber</t>
  </si>
  <si>
    <t xml:space="preserve">Citrus </t>
  </si>
  <si>
    <t>(i)   Lime/Lemon</t>
  </si>
  <si>
    <t>(ii) Mandarin</t>
  </si>
  <si>
    <t>(iii) Sweet Orange(  Mosambi)</t>
  </si>
  <si>
    <t>(iv) Others</t>
  </si>
  <si>
    <t>Citrus Total (i to iv)</t>
  </si>
  <si>
    <t>Custardapple</t>
  </si>
  <si>
    <t>Grapes</t>
  </si>
  <si>
    <t>Guava</t>
  </si>
  <si>
    <t>Jackfruit</t>
  </si>
  <si>
    <t>Kiwi</t>
  </si>
  <si>
    <t>Litchi</t>
  </si>
  <si>
    <t>Mango</t>
  </si>
  <si>
    <t>Muskmelon</t>
  </si>
  <si>
    <t>Papaya</t>
  </si>
  <si>
    <t>Passion Fruit</t>
  </si>
  <si>
    <t>Peach</t>
  </si>
  <si>
    <t>Pear</t>
  </si>
  <si>
    <t>Picanut</t>
  </si>
  <si>
    <t>Pineapple</t>
  </si>
  <si>
    <t>Plum</t>
  </si>
  <si>
    <t>Pomegranate</t>
  </si>
  <si>
    <t>Sapota</t>
  </si>
  <si>
    <t>Strawberry</t>
  </si>
  <si>
    <t>Walnut</t>
  </si>
  <si>
    <t>Watermelon</t>
  </si>
  <si>
    <t>Others</t>
  </si>
  <si>
    <t>Total Fruits</t>
  </si>
  <si>
    <t>Vegetables</t>
  </si>
  <si>
    <t>Beans</t>
  </si>
  <si>
    <t>Bittergourd</t>
  </si>
  <si>
    <t>Bottlegourd</t>
  </si>
  <si>
    <t>Brinjal</t>
  </si>
  <si>
    <t>Cabbage</t>
  </si>
  <si>
    <t>Capsicum</t>
  </si>
  <si>
    <t>Carrot</t>
  </si>
  <si>
    <t>Cauliflower</t>
  </si>
  <si>
    <t>Cucumber</t>
  </si>
  <si>
    <t>Chillies (Green)</t>
  </si>
  <si>
    <t>Elephant Foot Yam</t>
  </si>
  <si>
    <t>Mushroom</t>
  </si>
  <si>
    <t>Okra/Ladyfinger</t>
  </si>
  <si>
    <t>Onion</t>
  </si>
  <si>
    <t>Parwal/Pointed gourd</t>
  </si>
  <si>
    <t>Peas</t>
  </si>
  <si>
    <t>Potato</t>
  </si>
  <si>
    <t>Radish</t>
  </si>
  <si>
    <t>Pumpkin/Sitaphal/Kaddu</t>
  </si>
  <si>
    <t>Sweet Potato</t>
  </si>
  <si>
    <t>Tapioca</t>
  </si>
  <si>
    <t>Tomato</t>
  </si>
  <si>
    <t>Total Vegetables</t>
  </si>
  <si>
    <t>Aromatic</t>
  </si>
  <si>
    <t>Flowers Cut</t>
  </si>
  <si>
    <t>Flowers Loose</t>
  </si>
  <si>
    <t>Total Flowers</t>
  </si>
  <si>
    <t>Honey</t>
  </si>
  <si>
    <t>Plantation Crops</t>
  </si>
  <si>
    <t>Arecanut</t>
  </si>
  <si>
    <t>Cashewnut</t>
  </si>
  <si>
    <t>Cocoa</t>
  </si>
  <si>
    <t>Coconut</t>
  </si>
  <si>
    <t>Total Plantation</t>
  </si>
  <si>
    <t>Spices</t>
  </si>
  <si>
    <t>Ajwan</t>
  </si>
  <si>
    <t>Cardamom</t>
  </si>
  <si>
    <t>Chillies (Dried)</t>
  </si>
  <si>
    <t>Cinnamon/Tejpata</t>
  </si>
  <si>
    <t>Celery,Dill &amp; Poppy</t>
  </si>
  <si>
    <t>Clove</t>
  </si>
  <si>
    <t>Coriander</t>
  </si>
  <si>
    <t>Cumin</t>
  </si>
  <si>
    <t>Fenugreek</t>
  </si>
  <si>
    <t>Fennel</t>
  </si>
  <si>
    <t>Garlic</t>
  </si>
  <si>
    <t>Ginger</t>
  </si>
  <si>
    <t>Nutmeg</t>
  </si>
  <si>
    <t>Pepper</t>
  </si>
  <si>
    <t>Vanilla</t>
  </si>
  <si>
    <t>Tamarind</t>
  </si>
  <si>
    <t>Turmeric</t>
  </si>
  <si>
    <t>Total Spices</t>
  </si>
  <si>
    <t>Total</t>
  </si>
  <si>
    <t>FLOWERS</t>
  </si>
  <si>
    <t>SPICES</t>
  </si>
  <si>
    <t>HONEY</t>
  </si>
  <si>
    <t>LOOSE</t>
  </si>
  <si>
    <t>CUT</t>
  </si>
  <si>
    <t>All India Total</t>
  </si>
  <si>
    <t xml:space="preserve">STATES/UTs </t>
  </si>
  <si>
    <t>ARECANUT</t>
  </si>
  <si>
    <t>CASHEWNUT</t>
  </si>
  <si>
    <t>COCOA</t>
  </si>
  <si>
    <t>COCONUT</t>
  </si>
  <si>
    <t>TOTAL</t>
  </si>
  <si>
    <t>A</t>
  </si>
  <si>
    <t>P</t>
  </si>
  <si>
    <t>ANDHRA PRADESH</t>
  </si>
  <si>
    <t>ARUNACHAL PRADESH</t>
  </si>
  <si>
    <t>ASSAM</t>
  </si>
  <si>
    <t>BIHAR</t>
  </si>
  <si>
    <t>CHHATTISGARH</t>
  </si>
  <si>
    <t>GUJARAT</t>
  </si>
  <si>
    <t>HARYANA</t>
  </si>
  <si>
    <t>HIMACHAL PRADESH</t>
  </si>
  <si>
    <t>JAMMU &amp; KASHMIR</t>
  </si>
  <si>
    <t>JHARKHAND</t>
  </si>
  <si>
    <t xml:space="preserve">KARNATAKA 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</si>
  <si>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</si>
  <si>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</si>
  <si>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</si>
  <si>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</si>
  <si>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</si>
  <si>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</si>
  <si>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</si>
  <si>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</si>
  <si>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</si>
  <si>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</si>
  <si>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</si>
  <si>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</si>
  <si>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</si>
  <si>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</si>
  <si>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</si>
  <si>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</si>
  <si>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</si>
  <si>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Arecanut : Directorate of Arecanut &amp; Spices Development (DASD)</t>
  </si>
  <si>
    <t>Cashewnt : Directorate of Cashewnut &amp; Cocoa Development (DCCD)</t>
  </si>
  <si>
    <t>Cocoa : Directorate of Cashewnut &amp; Cocoa Development (DCCD)</t>
  </si>
  <si>
    <t>Coconut : State Directorate of Horticulture.</t>
  </si>
  <si>
    <t>State/UT</t>
  </si>
  <si>
    <t>Loose</t>
  </si>
  <si>
    <t>Cut</t>
  </si>
  <si>
    <t xml:space="preserve">ARUNACHAL PRADESH </t>
  </si>
  <si>
    <t xml:space="preserve">CHHATTISGARH </t>
  </si>
  <si>
    <t>KARNATAKA</t>
  </si>
  <si>
    <t>CHHATISGARH</t>
  </si>
  <si>
    <t xml:space="preserve">RAJASTHAN </t>
  </si>
  <si>
    <t>ALMOND</t>
  </si>
  <si>
    <t>AONLA/
GOOSEBERRY</t>
  </si>
  <si>
    <t>APPLE</t>
  </si>
  <si>
    <t>BAEL</t>
  </si>
  <si>
    <t>BANANA</t>
  </si>
  <si>
    <t>BER</t>
  </si>
  <si>
    <t>CUSTARD APPLE</t>
  </si>
  <si>
    <t>GRAPES</t>
  </si>
  <si>
    <t>GUAVA</t>
  </si>
  <si>
    <t>JACK FRUIT</t>
  </si>
  <si>
    <t>KIWI</t>
  </si>
  <si>
    <t>LITCHI</t>
  </si>
  <si>
    <t>MANGO</t>
  </si>
  <si>
    <t>PAPAYA</t>
  </si>
  <si>
    <t>PASSION FRUIT</t>
  </si>
  <si>
    <t>TOTAL CITRUS</t>
  </si>
  <si>
    <t>PEACH</t>
  </si>
  <si>
    <t>PEAR</t>
  </si>
  <si>
    <t>PICANUT</t>
  </si>
  <si>
    <t>PINEAPPLE</t>
  </si>
  <si>
    <t>PLUM</t>
  </si>
  <si>
    <t>POMEGRANATE</t>
  </si>
  <si>
    <t>SAPOTA</t>
  </si>
  <si>
    <t>STRAWBERRY</t>
  </si>
  <si>
    <t>WALNUT</t>
  </si>
  <si>
    <t>OTHER FRUITS</t>
  </si>
  <si>
    <t>TOTAL FRUITS</t>
  </si>
  <si>
    <t>LIME/LEMON</t>
  </si>
  <si>
    <t>MANDARIN(M.ORANGE,         KINNOW,ORANGE)</t>
  </si>
  <si>
    <t>SWEET ORANGE(MALTA , MOSAMBI)</t>
  </si>
  <si>
    <t>OTHER CITRUS</t>
  </si>
  <si>
    <t>BEANS</t>
  </si>
  <si>
    <t>BITTERGOURD</t>
  </si>
  <si>
    <t>BOTTLEGOURD</t>
  </si>
  <si>
    <t>BRINJAL</t>
  </si>
  <si>
    <t>CABBAGE</t>
  </si>
  <si>
    <t>CAPSICUM</t>
  </si>
  <si>
    <t>CARROT</t>
  </si>
  <si>
    <t>CAULIFLOWER</t>
  </si>
  <si>
    <t>CUCUMBER</t>
  </si>
  <si>
    <t>CHILLIES 
(GREEN)</t>
  </si>
  <si>
    <t>ELEPHANT 
FOOT YAM</t>
  </si>
  <si>
    <t>MUSKMELON</t>
  </si>
  <si>
    <t>OKRA/LADYFINGER</t>
  </si>
  <si>
    <t>ONION</t>
  </si>
  <si>
    <t>PARWAL/
POINTED GOURD</t>
  </si>
  <si>
    <t>PEAS</t>
  </si>
  <si>
    <t>POTATO</t>
  </si>
  <si>
    <t>RADISH</t>
  </si>
  <si>
    <t>SITAPHAL/PUMPKIN</t>
  </si>
  <si>
    <t>SWEET POTATO</t>
  </si>
  <si>
    <t>TAPIOCA</t>
  </si>
  <si>
    <t>TOMATO</t>
  </si>
  <si>
    <t>WATERMELON</t>
  </si>
  <si>
    <t>MUSHROOM</t>
  </si>
  <si>
    <t>OTHERS</t>
  </si>
  <si>
    <t>ARUNCHAL PRADESH</t>
  </si>
  <si>
    <t xml:space="preserve">JAMMU &amp; KASHMIR </t>
  </si>
  <si>
    <t>CORIANDER</t>
  </si>
  <si>
    <t>CUMIN</t>
  </si>
  <si>
    <t>FENNEL</t>
  </si>
  <si>
    <t>FENUGREEK</t>
  </si>
  <si>
    <t>AJWAN</t>
  </si>
  <si>
    <t>DILL/POPPY/CELERY</t>
  </si>
  <si>
    <t>CINNAMON              /TEJPATA</t>
  </si>
  <si>
    <t>NUTMEG</t>
  </si>
  <si>
    <t>CLOVE</t>
  </si>
  <si>
    <t>TAMARIND</t>
  </si>
  <si>
    <t>SAFFRON                /VANILLA</t>
  </si>
  <si>
    <t>PEPPER</t>
  </si>
  <si>
    <t>CHILLIES</t>
  </si>
  <si>
    <t>TURMERIC</t>
  </si>
  <si>
    <t>GARLIC</t>
  </si>
  <si>
    <t>FRUITS</t>
  </si>
  <si>
    <t>VEGETABLES</t>
  </si>
  <si>
    <t>PLANTATION</t>
  </si>
  <si>
    <t>AROMATICS &amp; MEDICINAL</t>
  </si>
  <si>
    <t xml:space="preserve">Source:  </t>
  </si>
  <si>
    <t>ANTHURIUM</t>
  </si>
  <si>
    <t>CARNATION</t>
  </si>
  <si>
    <t>CHRYSANTHEMUM</t>
  </si>
  <si>
    <t>GERBERA</t>
  </si>
  <si>
    <t>GLADIOLUS</t>
  </si>
  <si>
    <t>JASMINE</t>
  </si>
  <si>
    <t xml:space="preserve">MARIGOLD         </t>
  </si>
  <si>
    <t xml:space="preserve">ORCHIDS             </t>
  </si>
  <si>
    <t>ROSE</t>
  </si>
  <si>
    <t>TUBE ROSE</t>
  </si>
  <si>
    <t>TULIP</t>
  </si>
  <si>
    <t>OTHER FLOWERS</t>
  </si>
  <si>
    <t xml:space="preserve">TOTAL </t>
  </si>
  <si>
    <t>CARDAMOM</t>
  </si>
  <si>
    <t>GINGER</t>
  </si>
  <si>
    <t xml:space="preserve">PUNJAB </t>
  </si>
  <si>
    <t>r</t>
  </si>
  <si>
    <t>Sl.No.</t>
  </si>
  <si>
    <t>Sl. No.</t>
  </si>
  <si>
    <t xml:space="preserve"> </t>
  </si>
  <si>
    <t>Area and Production of Horticulture Crops 2015-16</t>
  </si>
  <si>
    <t>Area in '000  Ha</t>
  </si>
  <si>
    <t>Note: Area in '000 Ha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</si>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</sst>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12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2"/>
      <name val="Calibri"/>
      <family val="2"/>
    </font>
    <font>
      <sz val="12"/>
      <color indexed="8"/>
      <name val="Calibri"/>
      <family val="2"/>
    </font>
    <font>
      <b/>
      <u/>
      <sz val="1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sz val="14"/>
      <name val="Calibri"/>
      <family val="2"/>
      <scheme val="minor"/>
    </font>
    <font>
      <i/>
      <sz val="14"/>
      <name val="Calibri"/>
      <family val="2"/>
      <scheme val="minor"/>
    </font>
    <font>
      <u/>
      <sz val="14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1">
    <xf numFmtId="0" fontId="0" fillId="0" borderId="0" xfId="0"/>
    <xf numFmtId="1" fontId="15" fillId="0" borderId="0" xfId="2" applyNumberFormat="1" applyFont="1" applyBorder="1"/>
    <xf numFmtId="1" fontId="16" fillId="0" borderId="0" xfId="2" applyNumberFormat="1" applyFont="1" applyBorder="1" applyAlignment="1"/>
    <xf numFmtId="1" fontId="15" fillId="0" borderId="0" xfId="2" applyNumberFormat="1" applyFont="1"/>
    <xf numFmtId="1" fontId="15" fillId="3" borderId="0" xfId="2" applyNumberFormat="1" applyFont="1" applyFill="1"/>
    <xf numFmtId="1" fontId="17" fillId="2" borderId="0" xfId="27" applyNumberFormat="1" applyFont="1" applyFill="1" applyBorder="1" applyAlignment="1">
      <alignment horizontal="left" vertical="center"/>
    </xf>
    <xf numFmtId="1" fontId="17" fillId="0" borderId="0" xfId="2" applyNumberFormat="1" applyFont="1" applyBorder="1" applyAlignment="1">
      <alignment vertical="center"/>
    </xf>
    <xf numFmtId="1" fontId="17" fillId="2" borderId="0" xfId="25" applyNumberFormat="1" applyFont="1" applyFill="1" applyBorder="1" applyAlignment="1">
      <alignment vertical="center"/>
    </xf>
    <xf numFmtId="1" fontId="17" fillId="0" borderId="0" xfId="2" applyNumberFormat="1" applyFont="1" applyAlignment="1">
      <alignment vertical="center"/>
    </xf>
    <xf numFmtId="0" fontId="18" fillId="3" borderId="1" xfId="2" applyFont="1" applyFill="1" applyBorder="1" applyAlignment="1" applyProtection="1">
      <alignment horizontal="center" readingOrder="1"/>
      <protection locked="0"/>
    </xf>
    <xf numFmtId="2" fontId="18" fillId="3" borderId="1" xfId="0" applyNumberFormat="1" applyFont="1" applyFill="1" applyBorder="1" applyAlignment="1" applyProtection="1">
      <alignment horizontal="center" readingOrder="1"/>
      <protection locked="0"/>
    </xf>
    <xf numFmtId="2" fontId="19" fillId="3" borderId="1" xfId="2" applyNumberFormat="1" applyFont="1" applyFill="1" applyBorder="1" applyAlignment="1">
      <alignment readingOrder="1"/>
    </xf>
    <xf numFmtId="2" fontId="19" fillId="3" borderId="1" xfId="0" applyNumberFormat="1" applyFont="1" applyFill="1" applyBorder="1" applyAlignment="1">
      <alignment readingOrder="1"/>
    </xf>
    <xf numFmtId="2" fontId="20" fillId="3" borderId="1" xfId="0" applyNumberFormat="1" applyFont="1" applyFill="1" applyBorder="1"/>
    <xf numFmtId="2" fontId="21" fillId="3" borderId="1" xfId="0" applyNumberFormat="1" applyFont="1" applyFill="1" applyBorder="1"/>
    <xf numFmtId="2" fontId="19" fillId="3" borderId="1" xfId="0" applyNumberFormat="1" applyFont="1" applyFill="1" applyBorder="1" applyAlignment="1"/>
    <xf numFmtId="2" fontId="22" fillId="3" borderId="1" xfId="2" applyNumberFormat="1" applyFont="1" applyFill="1" applyBorder="1"/>
    <xf numFmtId="2" fontId="22" fillId="3" borderId="1" xfId="2" applyNumberFormat="1" applyFont="1" applyFill="1" applyBorder="1" applyAlignment="1">
      <alignment readingOrder="1"/>
    </xf>
    <xf numFmtId="2" fontId="19" fillId="3" borderId="0" xfId="7" applyNumberFormat="1" applyFont="1" applyFill="1"/>
    <xf numFmtId="2" fontId="19" fillId="3" borderId="1" xfId="0" applyNumberFormat="1" applyFont="1" applyFill="1" applyBorder="1"/>
    <xf numFmtId="2" fontId="22" fillId="3" borderId="1" xfId="0" applyNumberFormat="1" applyFont="1" applyFill="1" applyBorder="1"/>
    <xf numFmtId="2" fontId="22" fillId="3" borderId="1" xfId="2" applyNumberFormat="1" applyFont="1" applyFill="1" applyBorder="1" applyAlignment="1">
      <alignment horizontal="center"/>
    </xf>
    <xf numFmtId="2" fontId="22" fillId="3" borderId="1" xfId="17" applyNumberFormat="1" applyFont="1" applyFill="1" applyBorder="1"/>
    <xf numFmtId="2" fontId="22" fillId="3" borderId="1" xfId="28" applyNumberFormat="1" applyFont="1" applyFill="1" applyBorder="1"/>
    <xf numFmtId="0" fontId="21" fillId="3" borderId="1" xfId="0" applyFont="1" applyFill="1" applyBorder="1" applyAlignment="1">
      <alignment horizontal="center"/>
    </xf>
    <xf numFmtId="0" fontId="20" fillId="3" borderId="0" xfId="0" applyFont="1" applyFill="1"/>
    <xf numFmtId="0" fontId="20" fillId="3" borderId="1" xfId="0" applyFont="1" applyFill="1" applyBorder="1"/>
    <xf numFmtId="0" fontId="18" fillId="3" borderId="1" xfId="2" applyFont="1" applyFill="1" applyBorder="1" applyAlignment="1" applyProtection="1">
      <alignment horizontal="center" vertical="center" readingOrder="1"/>
      <protection locked="0"/>
    </xf>
    <xf numFmtId="2" fontId="18" fillId="3" borderId="1" xfId="0" applyNumberFormat="1" applyFont="1" applyFill="1" applyBorder="1" applyAlignment="1" applyProtection="1">
      <alignment horizontal="center" vertical="center" readingOrder="1"/>
      <protection locked="0"/>
    </xf>
    <xf numFmtId="0" fontId="21" fillId="3" borderId="1" xfId="0" applyFont="1" applyFill="1" applyBorder="1"/>
    <xf numFmtId="0" fontId="19" fillId="3" borderId="0" xfId="0" applyFont="1" applyFill="1"/>
    <xf numFmtId="2" fontId="22" fillId="3" borderId="1" xfId="7" applyNumberFormat="1" applyFont="1" applyFill="1" applyBorder="1" applyAlignment="1">
      <alignment horizontal="center"/>
    </xf>
    <xf numFmtId="2" fontId="19" fillId="3" borderId="1" xfId="7" applyNumberFormat="1" applyFont="1" applyFill="1" applyBorder="1"/>
    <xf numFmtId="2" fontId="22" fillId="3" borderId="1" xfId="7" applyNumberFormat="1" applyFont="1" applyFill="1" applyBorder="1"/>
    <xf numFmtId="2" fontId="22" fillId="3" borderId="1" xfId="25" applyNumberFormat="1" applyFont="1" applyFill="1" applyBorder="1" applyAlignment="1"/>
    <xf numFmtId="1" fontId="22" fillId="3" borderId="1" xfId="7" applyNumberFormat="1" applyFont="1" applyFill="1" applyBorder="1"/>
    <xf numFmtId="1" fontId="19" fillId="3" borderId="0" xfId="7" applyNumberFormat="1" applyFont="1" applyFill="1"/>
    <xf numFmtId="1" fontId="23" fillId="2" borderId="1" xfId="27" applyNumberFormat="1" applyFont="1" applyFill="1" applyBorder="1" applyAlignment="1"/>
    <xf numFmtId="1" fontId="23" fillId="2" borderId="1" xfId="27" applyNumberFormat="1" applyFont="1" applyFill="1" applyBorder="1" applyAlignment="1">
      <alignment vertical="center"/>
    </xf>
    <xf numFmtId="1" fontId="24" fillId="2" borderId="1" xfId="27" applyNumberFormat="1" applyFont="1" applyFill="1" applyBorder="1" applyAlignment="1">
      <alignment vertical="center"/>
    </xf>
    <xf numFmtId="1" fontId="25" fillId="2" borderId="1" xfId="27" applyNumberFormat="1" applyFont="1" applyFill="1" applyBorder="1" applyAlignment="1">
      <alignment vertical="center"/>
    </xf>
    <xf numFmtId="1" fontId="25" fillId="0" borderId="1" xfId="2" applyNumberFormat="1" applyFont="1" applyBorder="1" applyAlignment="1">
      <alignment vertical="center"/>
    </xf>
    <xf numFmtId="1" fontId="26" fillId="2" borderId="1" xfId="27" applyNumberFormat="1" applyFont="1" applyFill="1" applyBorder="1" applyAlignment="1">
      <alignment vertical="center"/>
    </xf>
    <xf numFmtId="1" fontId="25" fillId="3" borderId="1" xfId="27" applyNumberFormat="1" applyFont="1" applyFill="1" applyBorder="1" applyAlignment="1">
      <alignment vertical="center"/>
    </xf>
    <xf numFmtId="1" fontId="25" fillId="2" borderId="1" xfId="27" applyNumberFormat="1" applyFont="1" applyFill="1" applyBorder="1" applyAlignment="1">
      <alignment horizontal="right" vertical="center"/>
    </xf>
    <xf numFmtId="1" fontId="24" fillId="2" borderId="1" xfId="27" applyNumberFormat="1" applyFont="1" applyFill="1" applyBorder="1" applyAlignment="1">
      <alignment horizontal="left" vertical="center"/>
    </xf>
    <xf numFmtId="1" fontId="27" fillId="2" borderId="1" xfId="27" applyNumberFormat="1" applyFont="1" applyFill="1" applyBorder="1" applyAlignment="1">
      <alignment horizontal="left" vertical="center"/>
    </xf>
    <xf numFmtId="1" fontId="25" fillId="2" borderId="1" xfId="2" applyNumberFormat="1" applyFont="1" applyFill="1" applyBorder="1" applyAlignment="1">
      <alignment vertical="center"/>
    </xf>
    <xf numFmtId="1" fontId="23" fillId="2" borderId="1" xfId="2" applyNumberFormat="1" applyFont="1" applyFill="1" applyBorder="1" applyAlignment="1">
      <alignment horizontal="left" vertical="center"/>
    </xf>
    <xf numFmtId="1" fontId="25" fillId="2" borderId="1" xfId="27" applyNumberFormat="1" applyFont="1" applyFill="1" applyBorder="1" applyAlignment="1">
      <alignment horizontal="left" vertical="center"/>
    </xf>
    <xf numFmtId="1" fontId="23" fillId="2" borderId="1" xfId="27" applyNumberFormat="1" applyFont="1" applyFill="1" applyBorder="1" applyAlignment="1">
      <alignment horizontal="left" vertical="center"/>
    </xf>
    <xf numFmtId="2" fontId="28" fillId="0" borderId="1" xfId="2" applyNumberFormat="1" applyFont="1" applyFill="1" applyBorder="1" applyAlignment="1" applyProtection="1">
      <alignment horizontal="right" vertical="center" readingOrder="1"/>
      <protection locked="0"/>
    </xf>
    <xf numFmtId="2" fontId="19" fillId="0" borderId="1" xfId="0" applyNumberFormat="1" applyFont="1" applyFill="1" applyBorder="1"/>
    <xf numFmtId="2" fontId="9" fillId="0" borderId="1" xfId="10" applyNumberFormat="1" applyFont="1" applyFill="1" applyBorder="1"/>
    <xf numFmtId="2" fontId="22" fillId="3" borderId="1" xfId="0" applyNumberFormat="1" applyFont="1" applyFill="1" applyBorder="1" applyAlignment="1">
      <alignment readingOrder="1"/>
    </xf>
    <xf numFmtId="1" fontId="22" fillId="0" borderId="1" xfId="0" applyNumberFormat="1" applyFont="1" applyFill="1" applyBorder="1" applyAlignment="1">
      <alignment readingOrder="1"/>
    </xf>
    <xf numFmtId="2" fontId="22" fillId="0" borderId="1" xfId="2" applyNumberFormat="1" applyFont="1" applyFill="1" applyBorder="1"/>
    <xf numFmtId="2" fontId="19" fillId="0" borderId="1" xfId="0" applyNumberFormat="1" applyFont="1" applyFill="1" applyBorder="1" applyAlignment="1">
      <alignment readingOrder="1"/>
    </xf>
    <xf numFmtId="2" fontId="19" fillId="0" borderId="1" xfId="0" applyNumberFormat="1" applyFont="1" applyFill="1" applyBorder="1" applyAlignment="1">
      <alignment horizontal="right"/>
    </xf>
    <xf numFmtId="2" fontId="29" fillId="0" borderId="1" xfId="0" applyNumberFormat="1" applyFont="1" applyFill="1" applyBorder="1"/>
    <xf numFmtId="2" fontId="22" fillId="0" borderId="1" xfId="0" applyNumberFormat="1" applyFont="1" applyFill="1" applyBorder="1"/>
    <xf numFmtId="2" fontId="19" fillId="0" borderId="0" xfId="0" applyNumberFormat="1" applyFont="1" applyFill="1" applyAlignment="1">
      <alignment readingOrder="1"/>
    </xf>
    <xf numFmtId="2" fontId="19" fillId="0" borderId="0" xfId="0" applyNumberFormat="1" applyFont="1" applyFill="1" applyAlignment="1"/>
    <xf numFmtId="1" fontId="23" fillId="0" borderId="1" xfId="27" applyNumberFormat="1" applyFont="1" applyFill="1" applyBorder="1" applyAlignment="1">
      <alignment horizontal="center" vertical="center"/>
    </xf>
    <xf numFmtId="1" fontId="25" fillId="0" borderId="1" xfId="2" applyNumberFormat="1" applyFont="1" applyFill="1" applyBorder="1"/>
    <xf numFmtId="1" fontId="23" fillId="0" borderId="1" xfId="2" applyNumberFormat="1" applyFont="1" applyFill="1" applyBorder="1"/>
    <xf numFmtId="1" fontId="15" fillId="0" borderId="0" xfId="2" applyNumberFormat="1" applyFont="1" applyFill="1"/>
    <xf numFmtId="1" fontId="27" fillId="0" borderId="1" xfId="27" applyNumberFormat="1" applyFont="1" applyFill="1" applyBorder="1" applyAlignment="1">
      <alignment vertical="center"/>
    </xf>
    <xf numFmtId="1" fontId="23" fillId="0" borderId="1" xfId="27" applyNumberFormat="1" applyFont="1" applyFill="1" applyBorder="1" applyAlignment="1">
      <alignment vertical="center"/>
    </xf>
    <xf numFmtId="2" fontId="28" fillId="0" borderId="2" xfId="10" applyNumberFormat="1" applyFont="1" applyFill="1" applyBorder="1" applyAlignment="1" applyProtection="1">
      <alignment horizontal="right" vertical="top" wrapText="1" readingOrder="1"/>
      <protection locked="0"/>
    </xf>
    <xf numFmtId="1" fontId="22" fillId="0" borderId="1" xfId="10" applyNumberFormat="1" applyFont="1" applyFill="1" applyBorder="1"/>
    <xf numFmtId="2" fontId="22" fillId="0" borderId="3" xfId="2" applyNumberFormat="1" applyFont="1" applyFill="1" applyBorder="1"/>
    <xf numFmtId="2" fontId="28" fillId="0" borderId="4" xfId="10" applyNumberFormat="1" applyFont="1" applyFill="1" applyBorder="1" applyAlignment="1" applyProtection="1">
      <alignment horizontal="right" vertical="top" wrapText="1" readingOrder="1"/>
      <protection locked="0"/>
    </xf>
    <xf numFmtId="2" fontId="19" fillId="0" borderId="1" xfId="10" applyNumberFormat="1" applyFont="1" applyFill="1" applyBorder="1" applyAlignment="1" applyProtection="1">
      <alignment vertical="top" wrapText="1"/>
      <protection locked="0"/>
    </xf>
    <xf numFmtId="2" fontId="28" fillId="0" borderId="5" xfId="10" applyNumberFormat="1" applyFont="1" applyFill="1" applyBorder="1" applyAlignment="1" applyProtection="1">
      <alignment horizontal="right" vertical="top" wrapText="1" readingOrder="1"/>
      <protection locked="0"/>
    </xf>
    <xf numFmtId="2" fontId="28" fillId="0" borderId="4" xfId="10" applyNumberFormat="1" applyFont="1" applyFill="1" applyBorder="1" applyAlignment="1" applyProtection="1">
      <alignment vertical="top" wrapText="1" readingOrder="1"/>
      <protection locked="0"/>
    </xf>
    <xf numFmtId="2" fontId="28" fillId="0" borderId="1" xfId="10" applyNumberFormat="1" applyFont="1" applyFill="1" applyBorder="1" applyAlignment="1" applyProtection="1">
      <alignment horizontal="right" vertical="top" wrapText="1" readingOrder="1"/>
      <protection locked="0"/>
    </xf>
    <xf numFmtId="2" fontId="18" fillId="0" borderId="1" xfId="10" applyNumberFormat="1" applyFont="1" applyFill="1" applyBorder="1" applyAlignment="1" applyProtection="1">
      <alignment horizontal="right" vertical="top" wrapText="1" readingOrder="1"/>
      <protection locked="0"/>
    </xf>
    <xf numFmtId="2" fontId="19" fillId="0" borderId="0" xfId="10" applyNumberFormat="1" applyFont="1" applyFill="1"/>
    <xf numFmtId="2" fontId="22" fillId="0" borderId="0" xfId="2" applyNumberFormat="1" applyFont="1" applyFill="1" applyAlignment="1">
      <alignment horizontal="center" vertical="center" readingOrder="1"/>
    </xf>
    <xf numFmtId="2" fontId="18" fillId="0" borderId="1" xfId="2" applyNumberFormat="1" applyFont="1" applyFill="1" applyBorder="1" applyAlignment="1" applyProtection="1">
      <alignment horizontal="center" vertical="center" readingOrder="1"/>
      <protection locked="0"/>
    </xf>
    <xf numFmtId="1" fontId="22" fillId="0" borderId="1" xfId="2" applyNumberFormat="1" applyFont="1" applyFill="1" applyBorder="1" applyAlignment="1">
      <alignment readingOrder="1"/>
    </xf>
    <xf numFmtId="2" fontId="18" fillId="0" borderId="1" xfId="2" applyNumberFormat="1" applyFont="1" applyFill="1" applyBorder="1" applyAlignment="1" applyProtection="1">
      <alignment horizontal="right" vertical="center" readingOrder="1"/>
      <protection locked="0"/>
    </xf>
    <xf numFmtId="2" fontId="19" fillId="0" borderId="0" xfId="2" applyNumberFormat="1" applyFont="1" applyFill="1" applyAlignment="1">
      <alignment readingOrder="1"/>
    </xf>
    <xf numFmtId="2" fontId="22" fillId="0" borderId="1" xfId="17" applyNumberFormat="1" applyFont="1" applyFill="1" applyBorder="1"/>
    <xf numFmtId="2" fontId="20" fillId="0" borderId="0" xfId="0" applyNumberFormat="1" applyFont="1" applyFill="1" applyAlignment="1">
      <alignment horizontal="right" wrapText="1"/>
    </xf>
    <xf numFmtId="2" fontId="19" fillId="0" borderId="1" xfId="2" applyNumberFormat="1" applyFont="1" applyFill="1" applyBorder="1" applyAlignment="1">
      <alignment horizontal="right"/>
    </xf>
    <xf numFmtId="2" fontId="19" fillId="0" borderId="1" xfId="2" applyNumberFormat="1" applyFont="1" applyFill="1" applyBorder="1"/>
    <xf numFmtId="2" fontId="22" fillId="0" borderId="1" xfId="28" applyNumberFormat="1" applyFont="1" applyFill="1" applyBorder="1"/>
    <xf numFmtId="2" fontId="22" fillId="0" borderId="1" xfId="25" applyNumberFormat="1" applyFont="1" applyFill="1" applyBorder="1" applyAlignment="1"/>
    <xf numFmtId="1" fontId="19" fillId="0" borderId="1" xfId="2" applyNumberFormat="1" applyFont="1" applyFill="1" applyBorder="1" applyAlignment="1">
      <alignment readingOrder="1"/>
    </xf>
    <xf numFmtId="2" fontId="18" fillId="0" borderId="1" xfId="2" applyNumberFormat="1" applyFont="1" applyFill="1" applyBorder="1" applyAlignment="1" applyProtection="1">
      <alignment horizontal="right" vertical="top" readingOrder="1"/>
      <protection locked="0"/>
    </xf>
    <xf numFmtId="1" fontId="19" fillId="0" borderId="0" xfId="2" applyNumberFormat="1" applyFont="1" applyFill="1" applyAlignment="1">
      <alignment readingOrder="1"/>
    </xf>
    <xf numFmtId="2" fontId="23" fillId="0" borderId="0" xfId="2" applyNumberFormat="1" applyFont="1" applyFill="1" applyAlignment="1">
      <alignment readingOrder="1"/>
    </xf>
    <xf numFmtId="2" fontId="22" fillId="0" borderId="1" xfId="0" applyNumberFormat="1" applyFont="1" applyFill="1" applyBorder="1" applyAlignment="1">
      <alignment horizontal="center" vertical="center"/>
    </xf>
    <xf numFmtId="2" fontId="19" fillId="0" borderId="0" xfId="0" applyNumberFormat="1" applyFont="1" applyFill="1" applyAlignment="1">
      <alignment vertical="center" wrapText="1" readingOrder="1"/>
    </xf>
    <xf numFmtId="2" fontId="22" fillId="0" borderId="1" xfId="2" applyNumberFormat="1" applyFont="1" applyFill="1" applyBorder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19" fillId="0" borderId="0" xfId="0" applyNumberFormat="1" applyFont="1" applyFill="1" applyAlignment="1">
      <alignment vertical="center" readingOrder="1"/>
    </xf>
    <xf numFmtId="1" fontId="22" fillId="0" borderId="1" xfId="0" applyNumberFormat="1" applyFont="1" applyFill="1" applyBorder="1" applyAlignment="1">
      <alignment vertical="center" wrapText="1" readingOrder="1"/>
    </xf>
    <xf numFmtId="2" fontId="20" fillId="0" borderId="1" xfId="0" applyNumberFormat="1" applyFont="1" applyFill="1" applyBorder="1" applyAlignment="1">
      <alignment horizontal="right"/>
    </xf>
    <xf numFmtId="2" fontId="19" fillId="0" borderId="0" xfId="0" applyNumberFormat="1" applyFont="1" applyFill="1" applyBorder="1" applyAlignment="1"/>
    <xf numFmtId="2" fontId="22" fillId="0" borderId="0" xfId="0" applyNumberFormat="1" applyFont="1" applyFill="1" applyBorder="1" applyAlignment="1">
      <alignment readingOrder="1"/>
    </xf>
    <xf numFmtId="1" fontId="19" fillId="0" borderId="0" xfId="0" applyNumberFormat="1" applyFont="1" applyFill="1" applyAlignment="1">
      <alignment readingOrder="1"/>
    </xf>
    <xf numFmtId="2" fontId="19" fillId="0" borderId="0" xfId="0" applyNumberFormat="1" applyFont="1" applyFill="1" applyBorder="1" applyAlignment="1">
      <alignment readingOrder="1"/>
    </xf>
    <xf numFmtId="2" fontId="29" fillId="0" borderId="0" xfId="0" applyNumberFormat="1" applyFont="1" applyFill="1" applyBorder="1"/>
    <xf numFmtId="2" fontId="3" fillId="0" borderId="1" xfId="10" applyNumberFormat="1" applyFont="1" applyFill="1" applyBorder="1" applyAlignment="1">
      <alignment horizontal="center"/>
    </xf>
    <xf numFmtId="2" fontId="9" fillId="0" borderId="0" xfId="10" applyNumberFormat="1" applyFont="1" applyFill="1"/>
    <xf numFmtId="2" fontId="9" fillId="0" borderId="1" xfId="10" applyNumberFormat="1" applyFont="1" applyFill="1" applyBorder="1" applyAlignment="1">
      <alignment horizontal="right"/>
    </xf>
    <xf numFmtId="2" fontId="3" fillId="0" borderId="1" xfId="2" applyNumberFormat="1" applyFont="1" applyFill="1" applyBorder="1" applyAlignment="1">
      <alignment horizontal="center"/>
    </xf>
    <xf numFmtId="2" fontId="9" fillId="0" borderId="0" xfId="10" applyNumberFormat="1" applyFont="1" applyFill="1" applyBorder="1"/>
    <xf numFmtId="1" fontId="3" fillId="0" borderId="1" xfId="10" applyNumberFormat="1" applyFont="1" applyFill="1" applyBorder="1"/>
    <xf numFmtId="2" fontId="3" fillId="0" borderId="1" xfId="2" applyNumberFormat="1" applyFont="1" applyFill="1" applyBorder="1"/>
    <xf numFmtId="2" fontId="3" fillId="0" borderId="1" xfId="10" applyNumberFormat="1" applyFont="1" applyFill="1" applyBorder="1"/>
    <xf numFmtId="2" fontId="3" fillId="0" borderId="1" xfId="17" applyNumberFormat="1" applyFont="1" applyFill="1" applyBorder="1"/>
    <xf numFmtId="2" fontId="3" fillId="0" borderId="0" xfId="10" applyNumberFormat="1" applyFont="1" applyFill="1"/>
    <xf numFmtId="2" fontId="3" fillId="0" borderId="1" xfId="28" applyNumberFormat="1" applyFont="1" applyFill="1" applyBorder="1"/>
    <xf numFmtId="2" fontId="10" fillId="0" borderId="1" xfId="10" applyNumberFormat="1" applyFont="1" applyFill="1" applyBorder="1"/>
    <xf numFmtId="2" fontId="13" fillId="0" borderId="1" xfId="10" applyNumberFormat="1" applyFont="1" applyFill="1" applyBorder="1"/>
    <xf numFmtId="2" fontId="3" fillId="0" borderId="1" xfId="25" applyNumberFormat="1" applyFont="1" applyFill="1" applyBorder="1" applyAlignment="1"/>
    <xf numFmtId="1" fontId="9" fillId="0" borderId="1" xfId="10" applyNumberFormat="1" applyFont="1" applyFill="1" applyBorder="1"/>
    <xf numFmtId="2" fontId="3" fillId="0" borderId="1" xfId="10" applyNumberFormat="1" applyFont="1" applyFill="1" applyBorder="1" applyAlignment="1"/>
    <xf numFmtId="2" fontId="3" fillId="0" borderId="0" xfId="10" applyNumberFormat="1" applyFont="1" applyFill="1" applyAlignment="1"/>
    <xf numFmtId="2" fontId="3" fillId="0" borderId="0" xfId="10" applyNumberFormat="1" applyFont="1" applyFill="1" applyBorder="1"/>
    <xf numFmtId="2" fontId="12" fillId="0" borderId="0" xfId="10" applyNumberFormat="1" applyFont="1" applyFill="1" applyBorder="1" applyAlignment="1"/>
    <xf numFmtId="2" fontId="3" fillId="0" borderId="0" xfId="10" applyNumberFormat="1" applyFont="1" applyFill="1" applyAlignment="1">
      <alignment horizontal="left"/>
    </xf>
    <xf numFmtId="2" fontId="3" fillId="0" borderId="0" xfId="10" applyNumberFormat="1" applyFont="1" applyFill="1" applyBorder="1" applyAlignment="1">
      <alignment horizontal="left"/>
    </xf>
    <xf numFmtId="2" fontId="9" fillId="0" borderId="0" xfId="10" applyNumberFormat="1" applyFont="1" applyFill="1" applyAlignment="1">
      <alignment horizontal="left"/>
    </xf>
    <xf numFmtId="2" fontId="18" fillId="0" borderId="1" xfId="10" applyNumberFormat="1" applyFont="1" applyFill="1" applyBorder="1" applyAlignment="1" applyProtection="1">
      <alignment horizontal="center" vertical="center" wrapText="1" readingOrder="1"/>
      <protection locked="0"/>
    </xf>
    <xf numFmtId="2" fontId="18" fillId="0" borderId="1" xfId="10" applyNumberFormat="1" applyFont="1" applyFill="1" applyBorder="1" applyAlignment="1" applyProtection="1">
      <alignment vertical="center" wrapText="1" readingOrder="1"/>
      <protection locked="0"/>
    </xf>
    <xf numFmtId="2" fontId="18" fillId="0" borderId="1" xfId="10" applyNumberFormat="1" applyFont="1" applyFill="1" applyBorder="1" applyAlignment="1" applyProtection="1">
      <alignment horizontal="center" vertical="top" wrapText="1" readingOrder="1"/>
      <protection locked="0"/>
    </xf>
    <xf numFmtId="2" fontId="18" fillId="0" borderId="5" xfId="10" applyNumberFormat="1" applyFont="1" applyFill="1" applyBorder="1" applyAlignment="1" applyProtection="1">
      <alignment horizontal="center" vertical="top" wrapText="1" readingOrder="1"/>
      <protection locked="0"/>
    </xf>
    <xf numFmtId="2" fontId="18" fillId="0" borderId="2" xfId="10" applyNumberFormat="1" applyFont="1" applyFill="1" applyBorder="1" applyAlignment="1" applyProtection="1">
      <alignment horizontal="center" vertical="top" wrapText="1" readingOrder="1"/>
      <protection locked="0"/>
    </xf>
    <xf numFmtId="2" fontId="19" fillId="0" borderId="1" xfId="10" applyNumberFormat="1" applyFont="1" applyFill="1" applyBorder="1"/>
    <xf numFmtId="2" fontId="28" fillId="0" borderId="6" xfId="10" applyNumberFormat="1" applyFont="1" applyFill="1" applyBorder="1" applyAlignment="1" applyProtection="1">
      <alignment horizontal="right" vertical="top" wrapText="1" readingOrder="1"/>
      <protection locked="0"/>
    </xf>
    <xf numFmtId="2" fontId="28" fillId="0" borderId="7" xfId="10" applyNumberFormat="1" applyFont="1" applyFill="1" applyBorder="1" applyAlignment="1" applyProtection="1">
      <alignment horizontal="right" vertical="top" wrapText="1" readingOrder="1"/>
      <protection locked="0"/>
    </xf>
    <xf numFmtId="2" fontId="22" fillId="0" borderId="1" xfId="22" applyNumberFormat="1" applyFont="1" applyFill="1" applyBorder="1"/>
    <xf numFmtId="2" fontId="19" fillId="0" borderId="3" xfId="10" applyNumberFormat="1" applyFont="1" applyFill="1" applyBorder="1"/>
    <xf numFmtId="1" fontId="22" fillId="0" borderId="7" xfId="10" applyNumberFormat="1" applyFont="1" applyFill="1" applyBorder="1"/>
    <xf numFmtId="2" fontId="22" fillId="0" borderId="8" xfId="2" applyNumberFormat="1" applyFont="1" applyFill="1" applyBorder="1"/>
    <xf numFmtId="2" fontId="22" fillId="0" borderId="3" xfId="28" applyNumberFormat="1" applyFont="1" applyFill="1" applyBorder="1"/>
    <xf numFmtId="2" fontId="22" fillId="0" borderId="3" xfId="22" applyNumberFormat="1" applyFont="1" applyFill="1" applyBorder="1"/>
    <xf numFmtId="2" fontId="22" fillId="0" borderId="3" xfId="25" applyNumberFormat="1" applyFont="1" applyFill="1" applyBorder="1" applyAlignment="1"/>
    <xf numFmtId="2" fontId="22" fillId="0" borderId="0" xfId="2" applyNumberFormat="1" applyFont="1" applyFill="1" applyBorder="1"/>
    <xf numFmtId="2" fontId="28" fillId="0" borderId="9" xfId="10" applyNumberFormat="1" applyFont="1" applyFill="1" applyBorder="1" applyAlignment="1" applyProtection="1">
      <alignment horizontal="right" vertical="top" wrapText="1" readingOrder="1"/>
      <protection locked="0"/>
    </xf>
    <xf numFmtId="2" fontId="18" fillId="0" borderId="5" xfId="10" applyNumberFormat="1" applyFont="1" applyFill="1" applyBorder="1" applyAlignment="1" applyProtection="1">
      <alignment vertical="top" wrapText="1" readingOrder="1"/>
      <protection locked="0"/>
    </xf>
    <xf numFmtId="2" fontId="18" fillId="0" borderId="2" xfId="10" applyNumberFormat="1" applyFont="1" applyFill="1" applyBorder="1" applyAlignment="1" applyProtection="1">
      <alignment horizontal="right" vertical="top" wrapText="1" readingOrder="1"/>
      <protection locked="0"/>
    </xf>
    <xf numFmtId="2" fontId="19" fillId="0" borderId="0" xfId="10" applyNumberFormat="1" applyFont="1" applyFill="1" applyBorder="1"/>
    <xf numFmtId="2" fontId="28" fillId="0" borderId="0" xfId="10" applyNumberFormat="1" applyFont="1" applyFill="1" applyBorder="1" applyAlignment="1" applyProtection="1">
      <alignment horizontal="right" vertical="top" wrapText="1" readingOrder="1"/>
      <protection locked="0"/>
    </xf>
    <xf numFmtId="2" fontId="22" fillId="0" borderId="1" xfId="0" applyNumberFormat="1" applyFont="1" applyFill="1" applyBorder="1" applyAlignment="1">
      <alignment horizontal="center"/>
    </xf>
    <xf numFmtId="2" fontId="20" fillId="0" borderId="0" xfId="0" applyNumberFormat="1" applyFont="1" applyFill="1"/>
    <xf numFmtId="2" fontId="18" fillId="0" borderId="1" xfId="0" applyNumberFormat="1" applyFont="1" applyFill="1" applyBorder="1" applyAlignment="1">
      <alignment horizontal="center"/>
    </xf>
    <xf numFmtId="1" fontId="21" fillId="0" borderId="1" xfId="0" applyNumberFormat="1" applyFont="1" applyFill="1" applyBorder="1"/>
    <xf numFmtId="2" fontId="20" fillId="0" borderId="1" xfId="0" applyNumberFormat="1" applyFont="1" applyFill="1" applyBorder="1"/>
    <xf numFmtId="2" fontId="21" fillId="0" borderId="1" xfId="0" applyNumberFormat="1" applyFont="1" applyFill="1" applyBorder="1"/>
    <xf numFmtId="2" fontId="20" fillId="3" borderId="0" xfId="0" applyNumberFormat="1" applyFont="1" applyFill="1"/>
    <xf numFmtId="2" fontId="22" fillId="0" borderId="0" xfId="2" applyNumberFormat="1" applyFont="1" applyFill="1" applyAlignment="1">
      <alignment readingOrder="1"/>
    </xf>
    <xf numFmtId="2" fontId="19" fillId="3" borderId="10" xfId="7" applyNumberFormat="1" applyFont="1" applyFill="1" applyBorder="1" applyAlignment="1"/>
    <xf numFmtId="2" fontId="3" fillId="0" borderId="0" xfId="10" applyNumberFormat="1" applyFont="1" applyFill="1" applyBorder="1" applyAlignment="1"/>
    <xf numFmtId="2" fontId="22" fillId="0" borderId="0" xfId="0" applyNumberFormat="1" applyFont="1" applyFill="1" applyAlignment="1">
      <alignment readingOrder="1"/>
    </xf>
    <xf numFmtId="2" fontId="22" fillId="0" borderId="1" xfId="2" applyNumberFormat="1" applyFont="1" applyFill="1" applyBorder="1" applyAlignment="1">
      <alignment readingOrder="1"/>
    </xf>
    <xf numFmtId="1" fontId="23" fillId="0" borderId="1" xfId="2" applyNumberFormat="1" applyFont="1" applyFill="1" applyBorder="1" applyAlignment="1">
      <alignment horizontal="center"/>
    </xf>
    <xf numFmtId="1" fontId="23" fillId="0" borderId="0" xfId="2" applyNumberFormat="1" applyFont="1" applyBorder="1" applyAlignment="1">
      <alignment horizontal="right" vertical="center"/>
    </xf>
    <xf numFmtId="1" fontId="23" fillId="0" borderId="11" xfId="2" applyNumberFormat="1" applyFont="1" applyBorder="1" applyAlignment="1">
      <alignment horizontal="right" vertical="center"/>
    </xf>
    <xf numFmtId="1" fontId="17" fillId="0" borderId="0" xfId="2" applyNumberFormat="1" applyFont="1" applyFill="1" applyAlignment="1">
      <alignment horizontal="right"/>
    </xf>
    <xf numFmtId="1" fontId="16" fillId="0" borderId="0" xfId="2" applyNumberFormat="1" applyFont="1" applyBorder="1" applyAlignment="1">
      <alignment horizontal="center" vertical="center"/>
    </xf>
    <xf numFmtId="0" fontId="30" fillId="3" borderId="0" xfId="0" applyFont="1" applyFill="1" applyAlignment="1">
      <alignment horizontal="center"/>
    </xf>
    <xf numFmtId="0" fontId="21" fillId="3" borderId="0" xfId="0" applyFont="1" applyFill="1" applyAlignment="1">
      <alignment horizontal="right"/>
    </xf>
    <xf numFmtId="0" fontId="21" fillId="3" borderId="11" xfId="0" applyFont="1" applyFill="1" applyBorder="1" applyAlignment="1">
      <alignment horizontal="right"/>
    </xf>
    <xf numFmtId="0" fontId="21" fillId="3" borderId="1" xfId="0" applyFont="1" applyFill="1" applyBorder="1" applyAlignment="1">
      <alignment horizontal="center"/>
    </xf>
    <xf numFmtId="0" fontId="18" fillId="3" borderId="1" xfId="2" applyFont="1" applyFill="1" applyBorder="1" applyAlignment="1" applyProtection="1">
      <alignment horizontal="center" vertical="center" readingOrder="1"/>
      <protection locked="0"/>
    </xf>
    <xf numFmtId="0" fontId="22" fillId="3" borderId="1" xfId="2" applyFont="1" applyFill="1" applyBorder="1" applyAlignment="1" applyProtection="1">
      <alignment horizontal="center" vertical="center" readingOrder="1"/>
      <protection locked="0"/>
    </xf>
    <xf numFmtId="0" fontId="22" fillId="3" borderId="1" xfId="2" applyFont="1" applyFill="1" applyBorder="1" applyAlignment="1" applyProtection="1">
      <alignment horizontal="center" readingOrder="1"/>
      <protection locked="0"/>
    </xf>
    <xf numFmtId="2" fontId="18" fillId="3" borderId="1" xfId="0" applyNumberFormat="1" applyFont="1" applyFill="1" applyBorder="1" applyAlignment="1" applyProtection="1">
      <alignment horizontal="center" wrapText="1" readingOrder="1"/>
      <protection locked="0"/>
    </xf>
    <xf numFmtId="0" fontId="21" fillId="3" borderId="12" xfId="0" applyFont="1" applyFill="1" applyBorder="1" applyAlignment="1">
      <alignment horizontal="center"/>
    </xf>
    <xf numFmtId="0" fontId="21" fillId="3" borderId="3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 wrapText="1"/>
    </xf>
    <xf numFmtId="2" fontId="18" fillId="3" borderId="1" xfId="2" applyNumberFormat="1" applyFont="1" applyFill="1" applyBorder="1" applyAlignment="1" applyProtection="1">
      <alignment horizontal="center" vertical="top" readingOrder="1"/>
      <protection locked="0"/>
    </xf>
    <xf numFmtId="0" fontId="21" fillId="3" borderId="13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2" fontId="22" fillId="0" borderId="1" xfId="0" applyNumberFormat="1" applyFont="1" applyFill="1" applyBorder="1" applyAlignment="1">
      <alignment horizontal="center"/>
    </xf>
    <xf numFmtId="2" fontId="22" fillId="0" borderId="1" xfId="26" applyNumberFormat="1" applyFont="1" applyFill="1" applyBorder="1" applyAlignment="1">
      <alignment horizontal="center" wrapText="1"/>
    </xf>
    <xf numFmtId="1" fontId="22" fillId="0" borderId="1" xfId="2" applyNumberFormat="1" applyFont="1" applyFill="1" applyBorder="1" applyAlignment="1">
      <alignment horizontal="center" vertical="center" readingOrder="1"/>
    </xf>
    <xf numFmtId="2" fontId="18" fillId="0" borderId="1" xfId="2" applyNumberFormat="1" applyFont="1" applyFill="1" applyBorder="1" applyAlignment="1" applyProtection="1">
      <alignment horizontal="center" vertical="center" readingOrder="1"/>
      <protection locked="0"/>
    </xf>
    <xf numFmtId="2" fontId="22" fillId="0" borderId="1" xfId="2" applyNumberFormat="1" applyFont="1" applyFill="1" applyBorder="1" applyAlignment="1" applyProtection="1">
      <alignment horizontal="center" vertical="center" readingOrder="1"/>
      <protection locked="0"/>
    </xf>
    <xf numFmtId="2" fontId="22" fillId="0" borderId="1" xfId="0" applyNumberFormat="1" applyFont="1" applyFill="1" applyBorder="1" applyAlignment="1">
      <alignment horizontal="center" wrapText="1"/>
    </xf>
    <xf numFmtId="1" fontId="22" fillId="3" borderId="13" xfId="7" applyNumberFormat="1" applyFont="1" applyFill="1" applyBorder="1" applyAlignment="1">
      <alignment horizontal="center" vertical="center"/>
    </xf>
    <xf numFmtId="1" fontId="22" fillId="3" borderId="7" xfId="7" applyNumberFormat="1" applyFont="1" applyFill="1" applyBorder="1" applyAlignment="1">
      <alignment horizontal="center" vertical="center"/>
    </xf>
    <xf numFmtId="2" fontId="22" fillId="3" borderId="1" xfId="7" applyNumberFormat="1" applyFont="1" applyFill="1" applyBorder="1" applyAlignment="1">
      <alignment horizontal="center"/>
    </xf>
    <xf numFmtId="2" fontId="22" fillId="3" borderId="1" xfId="7" applyNumberFormat="1" applyFont="1" applyFill="1" applyBorder="1" applyAlignment="1">
      <alignment horizontal="center" wrapText="1"/>
    </xf>
    <xf numFmtId="2" fontId="22" fillId="0" borderId="1" xfId="0" applyNumberFormat="1" applyFont="1" applyFill="1" applyBorder="1" applyAlignment="1">
      <alignment horizontal="center" vertical="center"/>
    </xf>
    <xf numFmtId="2" fontId="22" fillId="0" borderId="1" xfId="0" applyNumberFormat="1" applyFont="1" applyFill="1" applyBorder="1" applyAlignment="1">
      <alignment horizontal="center" vertical="center" wrapText="1"/>
    </xf>
    <xf numFmtId="2" fontId="22" fillId="0" borderId="1" xfId="0" applyNumberFormat="1" applyFont="1" applyFill="1" applyBorder="1" applyAlignment="1">
      <alignment horizontal="center" vertical="center" wrapText="1" readingOrder="1"/>
    </xf>
    <xf numFmtId="2" fontId="22" fillId="0" borderId="1" xfId="26" applyNumberFormat="1" applyFont="1" applyFill="1" applyBorder="1" applyAlignment="1">
      <alignment horizontal="center" vertical="center"/>
    </xf>
    <xf numFmtId="2" fontId="11" fillId="0" borderId="10" xfId="10" applyNumberFormat="1" applyFont="1" applyFill="1" applyBorder="1" applyAlignment="1">
      <alignment horizontal="left"/>
    </xf>
    <xf numFmtId="2" fontId="3" fillId="0" borderId="0" xfId="10" applyNumberFormat="1" applyFont="1" applyFill="1" applyAlignment="1">
      <alignment horizontal="left"/>
    </xf>
    <xf numFmtId="2" fontId="3" fillId="0" borderId="1" xfId="10" applyNumberFormat="1" applyFont="1" applyFill="1" applyBorder="1" applyAlignment="1">
      <alignment horizontal="center"/>
    </xf>
    <xf numFmtId="2" fontId="3" fillId="0" borderId="1" xfId="26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/>
    </xf>
    <xf numFmtId="2" fontId="18" fillId="0" borderId="12" xfId="0" applyNumberFormat="1" applyFont="1" applyFill="1" applyBorder="1" applyAlignment="1">
      <alignment horizontal="center" wrapText="1"/>
    </xf>
    <xf numFmtId="2" fontId="18" fillId="0" borderId="3" xfId="0" applyNumberFormat="1" applyFont="1" applyFill="1" applyBorder="1" applyAlignment="1">
      <alignment horizontal="center" wrapText="1"/>
    </xf>
    <xf numFmtId="2" fontId="21" fillId="0" borderId="1" xfId="0" applyNumberFormat="1" applyFont="1" applyFill="1" applyBorder="1" applyAlignment="1">
      <alignment horizontal="center" vertical="center"/>
    </xf>
    <xf numFmtId="2" fontId="18" fillId="0" borderId="4" xfId="10" applyNumberFormat="1" applyFont="1" applyFill="1" applyBorder="1" applyAlignment="1" applyProtection="1">
      <alignment horizontal="center" vertical="top" wrapText="1" readingOrder="1"/>
      <protection locked="0"/>
    </xf>
    <xf numFmtId="2" fontId="18" fillId="0" borderId="5" xfId="10" applyNumberFormat="1" applyFont="1" applyFill="1" applyBorder="1" applyAlignment="1" applyProtection="1">
      <alignment horizontal="center" vertical="top" wrapText="1" readingOrder="1"/>
      <protection locked="0"/>
    </xf>
    <xf numFmtId="2" fontId="18" fillId="0" borderId="14" xfId="10" applyNumberFormat="1" applyFont="1" applyFill="1" applyBorder="1" applyAlignment="1" applyProtection="1">
      <alignment horizontal="center" vertical="top" wrapText="1" readingOrder="1"/>
      <protection locked="0"/>
    </xf>
    <xf numFmtId="2" fontId="18" fillId="0" borderId="1" xfId="10" applyNumberFormat="1" applyFont="1" applyFill="1" applyBorder="1" applyAlignment="1" applyProtection="1">
      <alignment horizontal="center" vertical="top" wrapText="1" readingOrder="1"/>
      <protection locked="0"/>
    </xf>
    <xf numFmtId="2" fontId="22" fillId="0" borderId="1" xfId="10" applyNumberFormat="1" applyFont="1" applyFill="1" applyBorder="1" applyAlignment="1">
      <alignment horizontal="center" vertical="top"/>
    </xf>
    <xf numFmtId="2" fontId="18" fillId="0" borderId="15" xfId="10" applyNumberFormat="1" applyFont="1" applyFill="1" applyBorder="1" applyAlignment="1" applyProtection="1">
      <alignment horizontal="center" vertical="top" wrapText="1" readingOrder="1"/>
      <protection locked="0"/>
    </xf>
    <xf numFmtId="2" fontId="18" fillId="0" borderId="12" xfId="10" applyNumberFormat="1" applyFont="1" applyFill="1" applyBorder="1" applyAlignment="1" applyProtection="1">
      <alignment horizontal="center" vertical="top" wrapText="1" readingOrder="1"/>
      <protection locked="0"/>
    </xf>
    <xf numFmtId="2" fontId="18" fillId="0" borderId="16" xfId="10" applyNumberFormat="1" applyFont="1" applyFill="1" applyBorder="1" applyAlignment="1" applyProtection="1">
      <alignment horizontal="center" vertical="top" wrapText="1" readingOrder="1"/>
      <protection locked="0"/>
    </xf>
    <xf numFmtId="2" fontId="18" fillId="0" borderId="3" xfId="10" applyNumberFormat="1" applyFont="1" applyFill="1" applyBorder="1" applyAlignment="1" applyProtection="1">
      <alignment horizontal="center" vertical="top" wrapText="1" readingOrder="1"/>
      <protection locked="0"/>
    </xf>
  </cellXfs>
  <cellStyles count="30">
    <cellStyle name="Comma 2" xfId="1"/>
    <cellStyle name="Normal" xfId="0" builtinId="0"/>
    <cellStyle name="Normal 10" xfId="2"/>
    <cellStyle name="Normal 11" xfId="3"/>
    <cellStyle name="Normal 12" xfId="4"/>
    <cellStyle name="Normal 13" xfId="5"/>
    <cellStyle name="Normal 14" xfId="6"/>
    <cellStyle name="Normal 15" xfId="7"/>
    <cellStyle name="Normal 15 2" xfId="8"/>
    <cellStyle name="Normal 16" xfId="9"/>
    <cellStyle name="Normal 2" xfId="10"/>
    <cellStyle name="Normal 2 2" xfId="11"/>
    <cellStyle name="Normal 2 3" xfId="12"/>
    <cellStyle name="Normal 3" xfId="13"/>
    <cellStyle name="Normal 4" xfId="14"/>
    <cellStyle name="Normal 5" xfId="15"/>
    <cellStyle name="Normal 6" xfId="16"/>
    <cellStyle name="Normal 7" xfId="17"/>
    <cellStyle name="Normal 7 2" xfId="18"/>
    <cellStyle name="Normal 7 3" xfId="19"/>
    <cellStyle name="Normal 7 4" xfId="20"/>
    <cellStyle name="Normal 7 5" xfId="21"/>
    <cellStyle name="Normal 7 6" xfId="22"/>
    <cellStyle name="Normal 8" xfId="23"/>
    <cellStyle name="Normal 9" xfId="24"/>
    <cellStyle name="Normal_08-09(1)" xfId="25"/>
    <cellStyle name="Normal_summary 2" xfId="26"/>
    <cellStyle name="Normal_summary 2 2" xfId="27"/>
    <cellStyle name="Percent 2" xfId="28"/>
    <cellStyle name="Percent 2 2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Normal="100" workbookViewId="0">
      <pane xSplit="1" ySplit="7" topLeftCell="B101" activePane="bottomRight" state="frozen"/>
      <selection pane="topRight" activeCell="B1" sqref="B1"/>
      <selection pane="bottomLeft" activeCell="A7" sqref="A7"/>
      <selection pane="bottomRight" activeCell="C8" sqref="C8"/>
    </sheetView>
  </sheetViews>
  <sheetFormatPr defaultColWidth="13.42578125" defaultRowHeight="18.75" customHeight="1" x14ac:dyDescent="0.35"/>
  <cols>
    <col min="1" max="1" width="36.85546875" style="3" customWidth="1"/>
    <col min="2" max="5" width="18.28515625" style="66" customWidth="1"/>
    <col min="6" max="16384" width="13.42578125" style="3"/>
  </cols>
  <sheetData>
    <row r="1" spans="1:5" ht="18.75" customHeight="1" x14ac:dyDescent="0.35">
      <c r="D1" s="164"/>
      <c r="E1" s="164"/>
    </row>
    <row r="2" spans="1:5" s="1" customFormat="1" ht="18.75" customHeight="1" x14ac:dyDescent="0.35">
      <c r="A2" s="165" t="s">
        <v>0</v>
      </c>
      <c r="B2" s="165"/>
      <c r="C2" s="165"/>
      <c r="D2" s="165"/>
      <c r="E2" s="165"/>
    </row>
    <row r="3" spans="1:5" s="2" customFormat="1" ht="18.75" customHeight="1" x14ac:dyDescent="0.35">
      <c r="A3" s="165"/>
      <c r="B3" s="165"/>
      <c r="C3" s="165"/>
      <c r="D3" s="165"/>
      <c r="E3" s="165"/>
    </row>
    <row r="4" spans="1:5" s="2" customFormat="1" ht="18.75" customHeight="1" x14ac:dyDescent="0.35">
      <c r="A4" s="162" t="s">
        <v>1</v>
      </c>
      <c r="B4" s="162"/>
      <c r="C4" s="162"/>
      <c r="D4" s="162"/>
      <c r="E4" s="162"/>
    </row>
    <row r="5" spans="1:5" s="2" customFormat="1" ht="18.75" customHeight="1" x14ac:dyDescent="0.35">
      <c r="A5" s="163" t="s">
        <v>2</v>
      </c>
      <c r="B5" s="163"/>
      <c r="C5" s="163"/>
      <c r="D5" s="163"/>
      <c r="E5" s="163"/>
    </row>
    <row r="6" spans="1:5" s="1" customFormat="1" ht="18.75" customHeight="1" x14ac:dyDescent="0.35">
      <c r="A6" s="37" t="s">
        <v>3</v>
      </c>
      <c r="B6" s="161" t="s">
        <v>4</v>
      </c>
      <c r="C6" s="161"/>
      <c r="D6" s="161" t="s">
        <v>5</v>
      </c>
      <c r="E6" s="161"/>
    </row>
    <row r="7" spans="1:5" s="1" customFormat="1" ht="18.75" customHeight="1" x14ac:dyDescent="0.35">
      <c r="A7" s="38"/>
      <c r="B7" s="161" t="s">
        <v>6</v>
      </c>
      <c r="C7" s="161"/>
      <c r="D7" s="161" t="s">
        <v>6</v>
      </c>
      <c r="E7" s="161"/>
    </row>
    <row r="8" spans="1:5" s="1" customFormat="1" ht="18.75" customHeight="1" x14ac:dyDescent="0.35">
      <c r="A8" s="39" t="s">
        <v>7</v>
      </c>
      <c r="B8" s="63" t="s">
        <v>8</v>
      </c>
      <c r="C8" s="63" t="s">
        <v>9</v>
      </c>
      <c r="D8" s="63" t="s">
        <v>8</v>
      </c>
      <c r="E8" s="63" t="s">
        <v>9</v>
      </c>
    </row>
    <row r="9" spans="1:5" ht="19.5" customHeight="1" x14ac:dyDescent="0.35">
      <c r="A9" s="40" t="s">
        <v>10</v>
      </c>
      <c r="B9" s="64">
        <v>20.9407</v>
      </c>
      <c r="C9" s="64">
        <v>9.8804000000000016</v>
      </c>
      <c r="D9" s="64">
        <f>'Fruits 2016(Final Est.)'!C32</f>
        <v>11.685</v>
      </c>
      <c r="E9" s="64">
        <f>'Fruits 2016(Final Est.)'!D32</f>
        <v>7.9330000000000007</v>
      </c>
    </row>
    <row r="10" spans="1:5" ht="19.5" customHeight="1" x14ac:dyDescent="0.35">
      <c r="A10" s="40" t="s">
        <v>11</v>
      </c>
      <c r="B10" s="64">
        <v>95.086500000000001</v>
      </c>
      <c r="C10" s="64">
        <v>1173.3275000000003</v>
      </c>
      <c r="D10" s="64">
        <f>'Fruits 2016(Final Est.)'!E32</f>
        <v>88.466299999999976</v>
      </c>
      <c r="E10" s="64">
        <f>'Fruits 2016(Final Est.)'!F32</f>
        <v>972.2880899999999</v>
      </c>
    </row>
    <row r="11" spans="1:5" ht="19.5" customHeight="1" x14ac:dyDescent="0.35">
      <c r="A11" s="41" t="s">
        <v>12</v>
      </c>
      <c r="B11" s="64">
        <v>319.19559999999996</v>
      </c>
      <c r="C11" s="64">
        <v>2133.8364000000001</v>
      </c>
      <c r="D11" s="64">
        <f>'Fruits 2016(Final Est.)'!G32</f>
        <v>277.15530000000001</v>
      </c>
      <c r="E11" s="64">
        <f>'Fruits 2016(Final Est.)'!H32</f>
        <v>2521.09058</v>
      </c>
    </row>
    <row r="12" spans="1:5" ht="19.5" customHeight="1" x14ac:dyDescent="0.35">
      <c r="A12" s="40" t="s">
        <v>13</v>
      </c>
      <c r="B12" s="64">
        <v>821.80250000000012</v>
      </c>
      <c r="C12" s="64">
        <v>29221.469599999997</v>
      </c>
      <c r="D12" s="64">
        <f>'Fruits 2016(Final Est.)'!K32</f>
        <v>841.18759999999986</v>
      </c>
      <c r="E12" s="64">
        <f>'Fruits 2016(Final Est.)'!L32</f>
        <v>29134.821919999995</v>
      </c>
    </row>
    <row r="13" spans="1:5" ht="19.5" customHeight="1" x14ac:dyDescent="0.35">
      <c r="A13" s="40" t="s">
        <v>14</v>
      </c>
      <c r="B13" s="64">
        <v>42.117299999999993</v>
      </c>
      <c r="C13" s="64">
        <v>400.67160000000001</v>
      </c>
      <c r="D13" s="64">
        <f>'Fruits 2016(Final Est.)'!M32</f>
        <v>43.827479999999994</v>
      </c>
      <c r="E13" s="64">
        <f>'Fruits 2016(Final Est.)'!N32</f>
        <v>424.58896999999996</v>
      </c>
    </row>
    <row r="14" spans="1:5" ht="19.5" customHeight="1" x14ac:dyDescent="0.35">
      <c r="A14" s="39" t="s">
        <v>15</v>
      </c>
      <c r="B14" s="64"/>
      <c r="C14" s="64"/>
      <c r="D14" s="64"/>
      <c r="E14" s="64"/>
    </row>
    <row r="15" spans="1:5" ht="19.5" customHeight="1" x14ac:dyDescent="0.35">
      <c r="A15" s="42" t="s">
        <v>16</v>
      </c>
      <c r="B15" s="64">
        <v>268.41639999999995</v>
      </c>
      <c r="C15" s="64">
        <v>2950.4074000000001</v>
      </c>
      <c r="D15" s="64">
        <f>' Citrus 2016(Final Est.)'!C32</f>
        <v>245.17069999999998</v>
      </c>
      <c r="E15" s="64">
        <f>' Citrus 2016(Final Est.)'!D32</f>
        <v>2437.5713899999996</v>
      </c>
    </row>
    <row r="16" spans="1:5" ht="19.5" customHeight="1" x14ac:dyDescent="0.35">
      <c r="A16" s="42" t="s">
        <v>17</v>
      </c>
      <c r="B16" s="64">
        <v>299.20469999999995</v>
      </c>
      <c r="C16" s="64">
        <v>3698.9875999999995</v>
      </c>
      <c r="D16" s="64">
        <f>' Citrus 2016(Final Est.)'!E32</f>
        <v>396.92999999999995</v>
      </c>
      <c r="E16" s="64">
        <f>' Citrus 2016(Final Est.)'!F32</f>
        <v>4112.8020700000006</v>
      </c>
    </row>
    <row r="17" spans="1:5" ht="19.5" customHeight="1" x14ac:dyDescent="0.35">
      <c r="A17" s="42" t="s">
        <v>18</v>
      </c>
      <c r="B17" s="64">
        <v>274.67670000000004</v>
      </c>
      <c r="C17" s="64">
        <v>4228.9911000000002</v>
      </c>
      <c r="D17" s="64">
        <f>' Citrus 2016(Final Est.)'!G32</f>
        <v>243.76200000000003</v>
      </c>
      <c r="E17" s="64">
        <f>' Citrus 2016(Final Est.)'!H32</f>
        <v>3468.1370000000002</v>
      </c>
    </row>
    <row r="18" spans="1:5" ht="19.5" customHeight="1" x14ac:dyDescent="0.35">
      <c r="A18" s="42" t="s">
        <v>19</v>
      </c>
      <c r="B18" s="64">
        <v>111.10300000000001</v>
      </c>
      <c r="C18" s="64">
        <v>776.81550000000004</v>
      </c>
      <c r="D18" s="64">
        <f>' Citrus 2016(Final Est.)'!I32</f>
        <v>137.68209999999999</v>
      </c>
      <c r="E18" s="64">
        <f>' Citrus 2016(Final Est.)'!J32</f>
        <v>1562.2530000000004</v>
      </c>
    </row>
    <row r="19" spans="1:5" ht="19.5" customHeight="1" x14ac:dyDescent="0.35">
      <c r="A19" s="40" t="s">
        <v>20</v>
      </c>
      <c r="B19" s="65">
        <f>B15+B16+B17+B18</f>
        <v>953.40079999999989</v>
      </c>
      <c r="C19" s="65">
        <f>C15+C16+C17+C18</f>
        <v>11655.2016</v>
      </c>
      <c r="D19" s="65">
        <f>D15+D16+D17+D18</f>
        <v>1023.5448</v>
      </c>
      <c r="E19" s="65">
        <f>E15+E16+E17+E18</f>
        <v>11580.763460000002</v>
      </c>
    </row>
    <row r="20" spans="1:5" ht="19.5" customHeight="1" x14ac:dyDescent="0.35">
      <c r="A20" s="40" t="s">
        <v>21</v>
      </c>
      <c r="B20" s="64">
        <v>29.8657</v>
      </c>
      <c r="C20" s="64">
        <v>228.36748999999998</v>
      </c>
      <c r="D20" s="64">
        <f>'Fruits 2016(Final Est.)'!O32</f>
        <v>36.83</v>
      </c>
      <c r="E20" s="64">
        <f>'Fruits 2016(Final Est.)'!P32</f>
        <v>298.00799999999998</v>
      </c>
    </row>
    <row r="21" spans="1:5" ht="19.5" customHeight="1" x14ac:dyDescent="0.35">
      <c r="A21" s="40" t="s">
        <v>22</v>
      </c>
      <c r="B21" s="64">
        <v>122.96459999999999</v>
      </c>
      <c r="C21" s="64">
        <v>2822.7787000000003</v>
      </c>
      <c r="D21" s="64">
        <f>'Fruits 2016(Final Est.)'!Q32</f>
        <v>121.64834999999999</v>
      </c>
      <c r="E21" s="64">
        <f>'Fruits 2016(Final Est.)'!R32</f>
        <v>2590.0370049999992</v>
      </c>
    </row>
    <row r="22" spans="1:5" ht="19.5" customHeight="1" x14ac:dyDescent="0.35">
      <c r="A22" s="40" t="s">
        <v>23</v>
      </c>
      <c r="B22" s="64">
        <v>246.23769999999996</v>
      </c>
      <c r="C22" s="64">
        <v>3993.5046839999991</v>
      </c>
      <c r="D22" s="64">
        <f>'Fruits 2016(Final Est.)'!S32</f>
        <v>254.86919</v>
      </c>
      <c r="E22" s="64">
        <f>'Fruits 2016(Final Est.)'!T32</f>
        <v>4047.7933499999995</v>
      </c>
    </row>
    <row r="23" spans="1:5" ht="19.5" customHeight="1" x14ac:dyDescent="0.35">
      <c r="A23" s="40" t="s">
        <v>24</v>
      </c>
      <c r="B23" s="64">
        <v>118.38740000000001</v>
      </c>
      <c r="C23" s="64">
        <v>2087.8825000000002</v>
      </c>
      <c r="D23" s="64">
        <f>'Fruits 2016(Final Est.)'!U32</f>
        <v>150.97512</v>
      </c>
      <c r="E23" s="64">
        <f>'Fruits 2016(Final Est.)'!V32</f>
        <v>1731.6361499999998</v>
      </c>
    </row>
    <row r="24" spans="1:5" ht="19.5" customHeight="1" x14ac:dyDescent="0.35">
      <c r="A24" s="40" t="s">
        <v>25</v>
      </c>
      <c r="B24" s="64">
        <v>4.6311</v>
      </c>
      <c r="C24" s="64">
        <v>8.4994999999999994</v>
      </c>
      <c r="D24" s="64">
        <f>'Fruits 2016(Final Est.)'!W32</f>
        <v>4.2489999999999997</v>
      </c>
      <c r="E24" s="64">
        <f>'Fruits 2016(Final Est.)'!X32</f>
        <v>10.646340000000002</v>
      </c>
    </row>
    <row r="25" spans="1:5" ht="19.5" customHeight="1" x14ac:dyDescent="0.35">
      <c r="A25" s="40" t="s">
        <v>26</v>
      </c>
      <c r="B25" s="64">
        <v>84.953600000000009</v>
      </c>
      <c r="C25" s="64">
        <v>528.25930000000005</v>
      </c>
      <c r="D25" s="64">
        <f>'Fruits 2016(Final Est.)'!Y32</f>
        <v>90.046200000000013</v>
      </c>
      <c r="E25" s="64">
        <f>'Fruits 2016(Final Est.)'!Z32</f>
        <v>558.77036999999996</v>
      </c>
    </row>
    <row r="26" spans="1:5" ht="19.5" customHeight="1" x14ac:dyDescent="0.35">
      <c r="A26" s="40" t="s">
        <v>27</v>
      </c>
      <c r="B26" s="64">
        <v>2163.4663999999998</v>
      </c>
      <c r="C26" s="64">
        <v>18526.980699999996</v>
      </c>
      <c r="D26" s="64">
        <f>'Fruits 2016(Final Est.)'!AA32</f>
        <v>2208.5610500000003</v>
      </c>
      <c r="E26" s="64">
        <f>'Fruits 2016(Final Est.)'!AB32</f>
        <v>18642.533729999999</v>
      </c>
    </row>
    <row r="27" spans="1:5" ht="19.5" customHeight="1" x14ac:dyDescent="0.35">
      <c r="A27" s="40" t="s">
        <v>28</v>
      </c>
      <c r="B27" s="64">
        <v>42.069099999999999</v>
      </c>
      <c r="C27" s="64">
        <v>862.67840000000001</v>
      </c>
      <c r="D27" s="64">
        <f>'Fruits 2016(Final Est.)'!AC32</f>
        <v>45.125700000000002</v>
      </c>
      <c r="E27" s="64">
        <f>'Fruits 2016(Final Est.)'!AD32</f>
        <v>934.82470999999998</v>
      </c>
    </row>
    <row r="28" spans="1:5" ht="19.5" customHeight="1" x14ac:dyDescent="0.35">
      <c r="A28" s="40" t="s">
        <v>29</v>
      </c>
      <c r="B28" s="64">
        <v>114.96939999999999</v>
      </c>
      <c r="C28" s="64">
        <v>4912.6727400000009</v>
      </c>
      <c r="D28" s="64">
        <f>'Fruits 2016(Final Est.)'!AE32</f>
        <v>132.40905999999998</v>
      </c>
      <c r="E28" s="64">
        <f>'Fruits 2016(Final Est.)'!AF32</f>
        <v>5667.0647499999995</v>
      </c>
    </row>
    <row r="29" spans="1:5" ht="19.5" customHeight="1" x14ac:dyDescent="0.35">
      <c r="A29" s="40" t="s">
        <v>30</v>
      </c>
      <c r="B29" s="64">
        <v>18.825099999999999</v>
      </c>
      <c r="C29" s="64">
        <v>129.27082000000001</v>
      </c>
      <c r="D29" s="64">
        <f>'Fruits 2016(Final Est.)'!AG32</f>
        <v>13.462</v>
      </c>
      <c r="E29" s="64">
        <f>'Fruits 2016(Final Est.)'!AH32</f>
        <v>78.277000000000015</v>
      </c>
    </row>
    <row r="30" spans="1:5" ht="19.5" customHeight="1" x14ac:dyDescent="0.35">
      <c r="A30" s="40" t="s">
        <v>31</v>
      </c>
      <c r="B30" s="64">
        <v>18.911999999999999</v>
      </c>
      <c r="C30" s="64">
        <v>96.575500000000005</v>
      </c>
      <c r="D30" s="64">
        <f>'Fruits 2016(Final Est.)'!AK32</f>
        <v>17.552999999999997</v>
      </c>
      <c r="E30" s="64">
        <f>'Fruits 2016(Final Est.)'!AL32</f>
        <v>107.2055</v>
      </c>
    </row>
    <row r="31" spans="1:5" ht="19.5" customHeight="1" x14ac:dyDescent="0.35">
      <c r="A31" s="40" t="s">
        <v>32</v>
      </c>
      <c r="B31" s="64">
        <v>41.5047</v>
      </c>
      <c r="C31" s="64">
        <v>302.654</v>
      </c>
      <c r="D31" s="64">
        <f>'Fruits 2016(Final Est.)'!AM32</f>
        <v>39.909370000000003</v>
      </c>
      <c r="E31" s="64">
        <f>'Fruits 2016(Final Est.)'!AN32</f>
        <v>322.99851999999998</v>
      </c>
    </row>
    <row r="32" spans="1:5" ht="19.5" customHeight="1" x14ac:dyDescent="0.35">
      <c r="A32" s="40" t="s">
        <v>33</v>
      </c>
      <c r="B32" s="64">
        <v>1.1429</v>
      </c>
      <c r="C32" s="64">
        <v>0.13139999999999999</v>
      </c>
      <c r="D32" s="64">
        <f>'Fruits 2016(Final Est.)'!AO32</f>
        <v>1.3680000000000001</v>
      </c>
      <c r="E32" s="64">
        <f>'Fruits 2016(Final Est.)'!AP32</f>
        <v>0.64900000000000002</v>
      </c>
    </row>
    <row r="33" spans="1:5" ht="19.5" customHeight="1" x14ac:dyDescent="0.35">
      <c r="A33" s="40" t="s">
        <v>34</v>
      </c>
      <c r="B33" s="64">
        <v>116.12340000000002</v>
      </c>
      <c r="C33" s="64">
        <v>1984.0360000000001</v>
      </c>
      <c r="D33" s="64">
        <f>'Fruits 2016(Final Est.)'!AQ32</f>
        <v>109.82739999999998</v>
      </c>
      <c r="E33" s="64">
        <f>'Fruits 2016(Final Est.)'!AR32</f>
        <v>1924.2180499999999</v>
      </c>
    </row>
    <row r="34" spans="1:5" ht="19.5" customHeight="1" x14ac:dyDescent="0.35">
      <c r="A34" s="40" t="s">
        <v>35</v>
      </c>
      <c r="B34" s="64">
        <v>23.222700000000003</v>
      </c>
      <c r="C34" s="64">
        <v>72.155349999999999</v>
      </c>
      <c r="D34" s="64">
        <f>'Fruits 2016(Final Est.)'!AS32</f>
        <v>22.395</v>
      </c>
      <c r="E34" s="64">
        <f>'Fruits 2016(Final Est.)'!AT32</f>
        <v>82.111999999999995</v>
      </c>
    </row>
    <row r="35" spans="1:5" ht="19.5" customHeight="1" x14ac:dyDescent="0.35">
      <c r="A35" s="40" t="s">
        <v>36</v>
      </c>
      <c r="B35" s="64">
        <v>180.63740000000001</v>
      </c>
      <c r="C35" s="64">
        <v>1789.3070299999999</v>
      </c>
      <c r="D35" s="64">
        <f>'Fruits 2016(Final Est.)'!AU32</f>
        <v>196.88635000000002</v>
      </c>
      <c r="E35" s="64">
        <f>'Fruits 2016(Final Est.)'!AV32</f>
        <v>2306.4371100000003</v>
      </c>
    </row>
    <row r="36" spans="1:5" ht="19.5" customHeight="1" x14ac:dyDescent="0.35">
      <c r="A36" s="40" t="s">
        <v>37</v>
      </c>
      <c r="B36" s="64">
        <v>106.49250000000001</v>
      </c>
      <c r="C36" s="64">
        <v>1339.0049999999997</v>
      </c>
      <c r="D36" s="64">
        <f>'Fruits 2016(Final Est.)'!AW32</f>
        <v>106.6892</v>
      </c>
      <c r="E36" s="64">
        <f>'Fruits 2016(Final Est.)'!AX32</f>
        <v>1293.7587800000001</v>
      </c>
    </row>
    <row r="37" spans="1:5" ht="19.5" customHeight="1" x14ac:dyDescent="0.35">
      <c r="A37" s="40" t="s">
        <v>38</v>
      </c>
      <c r="B37" s="64">
        <v>0.83489999999999998</v>
      </c>
      <c r="C37" s="64">
        <v>8.4952000000000005</v>
      </c>
      <c r="D37" s="64">
        <f>'Fruits 2016(Final Est.)'!AY32</f>
        <v>0.69400000000000006</v>
      </c>
      <c r="E37" s="64">
        <f>'Fruits 2016(Final Est.)'!AZ32</f>
        <v>4.9025999999999996</v>
      </c>
    </row>
    <row r="38" spans="1:5" ht="19.5" customHeight="1" x14ac:dyDescent="0.35">
      <c r="A38" s="40" t="s">
        <v>39</v>
      </c>
      <c r="B38" s="64">
        <v>114.84760000000001</v>
      </c>
      <c r="C38" s="64">
        <v>238.25390000000002</v>
      </c>
      <c r="D38" s="64">
        <f>'Fruits 2016(Final Est.)'!BA32</f>
        <v>92.061800000000005</v>
      </c>
      <c r="E38" s="64">
        <f>'Fruits 2016(Final Est.)'!BB32</f>
        <v>228.59719999999999</v>
      </c>
    </row>
    <row r="39" spans="1:5" ht="19.5" customHeight="1" x14ac:dyDescent="0.35">
      <c r="A39" s="40" t="s">
        <v>40</v>
      </c>
      <c r="B39" s="64">
        <v>83.583100000000002</v>
      </c>
      <c r="C39" s="64">
        <v>2049.2511999999997</v>
      </c>
      <c r="D39" s="64">
        <f>'Fruits 2016(Final Est.)'!BC32</f>
        <v>94.592499999999987</v>
      </c>
      <c r="E39" s="64">
        <f>'Fruits 2016(Final Est.)'!BD32</f>
        <v>2325.4387800000004</v>
      </c>
    </row>
    <row r="40" spans="1:5" ht="19.5" customHeight="1" x14ac:dyDescent="0.35">
      <c r="A40" s="40" t="s">
        <v>41</v>
      </c>
      <c r="B40" s="64">
        <v>349.10889999999995</v>
      </c>
      <c r="C40" s="64">
        <v>2938.4677699999993</v>
      </c>
      <c r="D40" s="64">
        <f>'Fruits 2016(Final Est.)'!BE32+'Fruits 2016(Final Est.)'!I32</f>
        <v>274.64840000000004</v>
      </c>
      <c r="E40" s="64">
        <f>'Fruits 2016(Final Est.)'!BF32+'Fruits 2016(Final Est.)'!J32</f>
        <v>2385.6434899999995</v>
      </c>
    </row>
    <row r="41" spans="1:5" ht="19.5" customHeight="1" x14ac:dyDescent="0.35">
      <c r="A41" s="38" t="s">
        <v>42</v>
      </c>
      <c r="B41" s="65">
        <f>B9+B10+B11+B12+B13+B19+B20+B21+B22+B23+B24+B25+B26+B27+B28+B29+B30+B31+B32+B33+B34+B35+B36+B37+B38+B39+B40</f>
        <v>6235.3235999999997</v>
      </c>
      <c r="C41" s="65">
        <f>C9+C10+C11+C12+C13+C19+C20+C21+C22+C23+C24+C25+C26+C27+C28+C29+C30+C31+C32+C33+C34+C35+C36+C37+C38+C39+C40</f>
        <v>89513.614283999996</v>
      </c>
      <c r="D41" s="65">
        <f>D9+D10+D11+D12+D13+D19+D20+D21+D22+D23+D24+D25+D26+D27+D28+D29+D30+D31+D32+D33+D34+D35+D36+D37+D38+D39+D40</f>
        <v>6300.6671700000006</v>
      </c>
      <c r="E41" s="65">
        <f>Horticulture!D36</f>
        <v>90183.038455000002</v>
      </c>
    </row>
    <row r="42" spans="1:5" ht="19.5" customHeight="1" x14ac:dyDescent="0.35">
      <c r="A42" s="39" t="s">
        <v>43</v>
      </c>
      <c r="B42" s="64"/>
      <c r="C42" s="64"/>
      <c r="D42" s="64"/>
      <c r="E42" s="64"/>
    </row>
    <row r="43" spans="1:5" ht="19.5" customHeight="1" x14ac:dyDescent="0.35">
      <c r="A43" s="40" t="s">
        <v>44</v>
      </c>
      <c r="B43" s="64">
        <v>218.08440000000004</v>
      </c>
      <c r="C43" s="64">
        <v>2203.9425999999999</v>
      </c>
      <c r="D43" s="64">
        <f>'Vegetables 2016 (Final Est)'!C32</f>
        <v>232.1551</v>
      </c>
      <c r="E43" s="64">
        <f>'Vegetables 2016 (Final Est)'!D32</f>
        <v>2334.3181600000003</v>
      </c>
    </row>
    <row r="44" spans="1:5" ht="19.5" customHeight="1" x14ac:dyDescent="0.35">
      <c r="A44" s="40" t="s">
        <v>45</v>
      </c>
      <c r="B44" s="64">
        <v>75.889799999999994</v>
      </c>
      <c r="C44" s="64">
        <v>769.58149999999989</v>
      </c>
      <c r="D44" s="64">
        <f>'Vegetables 2016 (Final Est)'!E32</f>
        <v>92.873999999999995</v>
      </c>
      <c r="E44" s="64">
        <f>'Vegetables 2016 (Final Est)'!F32</f>
        <v>1045.7180800000001</v>
      </c>
    </row>
    <row r="45" spans="1:5" ht="19.5" customHeight="1" x14ac:dyDescent="0.35">
      <c r="A45" s="40" t="s">
        <v>46</v>
      </c>
      <c r="B45" s="64">
        <v>108.30220000000001</v>
      </c>
      <c r="C45" s="64">
        <v>1826.3962500000002</v>
      </c>
      <c r="D45" s="64">
        <f>'Vegetables 2016 (Final Est)'!G32</f>
        <v>149.22499999999999</v>
      </c>
      <c r="E45" s="64">
        <f>'Vegetables 2016 (Final Est)'!H32</f>
        <v>2457.8406300000001</v>
      </c>
    </row>
    <row r="46" spans="1:5" ht="19.5" customHeight="1" x14ac:dyDescent="0.35">
      <c r="A46" s="40" t="s">
        <v>47</v>
      </c>
      <c r="B46" s="64">
        <v>673.07320000000004</v>
      </c>
      <c r="C46" s="64">
        <v>12588.544980000001</v>
      </c>
      <c r="D46" s="64">
        <f>'Vegetables 2016 (Final Est)'!I32</f>
        <v>662.54435999999998</v>
      </c>
      <c r="E46" s="64">
        <f>'Vegetables 2016 (Final Est)'!J32</f>
        <v>12515.190650000002</v>
      </c>
    </row>
    <row r="47" spans="1:5" ht="19.5" customHeight="1" x14ac:dyDescent="0.35">
      <c r="A47" s="40" t="s">
        <v>48</v>
      </c>
      <c r="B47" s="64">
        <v>385.60939999999999</v>
      </c>
      <c r="C47" s="64">
        <v>8584.7875499999991</v>
      </c>
      <c r="D47" s="64">
        <f>'Vegetables 2016 (Final Est)'!K32</f>
        <v>393.83499999999992</v>
      </c>
      <c r="E47" s="64">
        <f>'Vegetables 2016 (Final Est)'!L32</f>
        <v>8805.9536800000005</v>
      </c>
    </row>
    <row r="48" spans="1:5" ht="19.5" customHeight="1" x14ac:dyDescent="0.35">
      <c r="A48" s="40" t="s">
        <v>49</v>
      </c>
      <c r="B48" s="64">
        <v>32.145059999999994</v>
      </c>
      <c r="C48" s="64">
        <v>182.50330000000002</v>
      </c>
      <c r="D48" s="64">
        <f>'Vegetables 2016 (Final Est)'!M32</f>
        <v>45.951000000000001</v>
      </c>
      <c r="E48" s="64">
        <f>'Vegetables 2016 (Final Est)'!N32</f>
        <v>288.46412999999995</v>
      </c>
    </row>
    <row r="49" spans="1:5" ht="19.5" customHeight="1" x14ac:dyDescent="0.35">
      <c r="A49" s="40" t="s">
        <v>50</v>
      </c>
      <c r="B49" s="64">
        <v>64.203500000000005</v>
      </c>
      <c r="C49" s="64">
        <v>968.3755000000001</v>
      </c>
      <c r="D49" s="64">
        <f>'Vegetables 2016 (Final Est)'!O32</f>
        <v>82.303100000000001</v>
      </c>
      <c r="E49" s="64">
        <f>'Vegetables 2016 (Final Est)'!P32</f>
        <v>1338.47261</v>
      </c>
    </row>
    <row r="50" spans="1:5" ht="19.5" customHeight="1" x14ac:dyDescent="0.35">
      <c r="A50" s="40" t="s">
        <v>51</v>
      </c>
      <c r="B50" s="64">
        <v>410.89920000000001</v>
      </c>
      <c r="C50" s="64">
        <v>7925.8496799999994</v>
      </c>
      <c r="D50" s="64">
        <f>'Vegetables 2016 (Final Est)'!Q32</f>
        <v>426.06848999999994</v>
      </c>
      <c r="E50" s="64">
        <f>'Vegetables 2016 (Final Est)'!R32</f>
        <v>8089.767609999999</v>
      </c>
    </row>
    <row r="51" spans="1:5" ht="19.5" customHeight="1" x14ac:dyDescent="0.35">
      <c r="A51" s="40" t="s">
        <v>52</v>
      </c>
      <c r="B51" s="64">
        <v>42.798300000000005</v>
      </c>
      <c r="C51" s="64">
        <v>677.99894999999992</v>
      </c>
      <c r="D51" s="64">
        <f>'Vegetables 2016 (Final Est)'!S32</f>
        <v>71.348069999999993</v>
      </c>
      <c r="E51" s="64">
        <f>'Vegetables 2016 (Final Est)'!T32</f>
        <v>1201.8395500000001</v>
      </c>
    </row>
    <row r="52" spans="1:5" ht="19.5" customHeight="1" x14ac:dyDescent="0.35">
      <c r="A52" s="40" t="s">
        <v>53</v>
      </c>
      <c r="B52" s="64">
        <v>181.3981</v>
      </c>
      <c r="C52" s="64">
        <v>1997.6588200000003</v>
      </c>
      <c r="D52" s="64">
        <f>'Vegetables 2016 (Final Est)'!U32</f>
        <v>292.05799999999999</v>
      </c>
      <c r="E52" s="64">
        <f>'Vegetables 2016 (Final Est)'!V32</f>
        <v>2955.4189999999994</v>
      </c>
    </row>
    <row r="53" spans="1:5" ht="19.5" customHeight="1" x14ac:dyDescent="0.35">
      <c r="A53" s="40" t="s">
        <v>54</v>
      </c>
      <c r="B53" s="64">
        <v>24.2273</v>
      </c>
      <c r="C53" s="64">
        <v>677.68279999999993</v>
      </c>
      <c r="D53" s="64">
        <f>'Vegetables 2016 (Final Est)'!W32</f>
        <v>27.774999999999999</v>
      </c>
      <c r="E53" s="64">
        <f>'Vegetables 2016 (Final Est)'!X32</f>
        <v>732.72700000000009</v>
      </c>
    </row>
    <row r="54" spans="1:5" ht="19.5" customHeight="1" x14ac:dyDescent="0.35">
      <c r="A54" s="40" t="s">
        <v>55</v>
      </c>
      <c r="B54" s="64"/>
      <c r="C54" s="64">
        <v>51.119830000000007</v>
      </c>
      <c r="D54" s="64">
        <f>'Vegetables 2016 (Final Est)'!AS32</f>
        <v>170.23766999999998</v>
      </c>
      <c r="E54" s="64">
        <f>'Vegetables 2016 (Final Est)'!AT32</f>
        <v>436.47037</v>
      </c>
    </row>
    <row r="55" spans="1:5" ht="19.5" customHeight="1" x14ac:dyDescent="0.35">
      <c r="A55" s="40" t="s">
        <v>56</v>
      </c>
      <c r="B55" s="64">
        <v>503.6816</v>
      </c>
      <c r="C55" s="64">
        <v>5708.6938000000018</v>
      </c>
      <c r="D55" s="64">
        <f>'Vegetables 2016 (Final Est)'!Y32</f>
        <v>511.04400000000004</v>
      </c>
      <c r="E55" s="64">
        <f>'Vegetables 2016 (Final Est)'!Z32</f>
        <v>5848.5540799999999</v>
      </c>
    </row>
    <row r="56" spans="1:5" s="4" customFormat="1" ht="19.5" customHeight="1" x14ac:dyDescent="0.35">
      <c r="A56" s="43" t="s">
        <v>57</v>
      </c>
      <c r="B56" s="64">
        <v>1173.3489999999999</v>
      </c>
      <c r="C56" s="64">
        <v>18927.413</v>
      </c>
      <c r="D56" s="64">
        <f>'Vegetables 2016 (Final Est)'!AA32</f>
        <v>1320.0380000000002</v>
      </c>
      <c r="E56" s="64">
        <f>'Vegetables 2016 (Final Est)'!AB32</f>
        <v>20931.209269999999</v>
      </c>
    </row>
    <row r="57" spans="1:5" ht="19.5" customHeight="1" x14ac:dyDescent="0.35">
      <c r="A57" s="40" t="s">
        <v>58</v>
      </c>
      <c r="B57" s="64">
        <v>17.548500000000001</v>
      </c>
      <c r="C57" s="64">
        <v>346.54199999999997</v>
      </c>
      <c r="D57" s="64">
        <f>'Vegetables 2016 (Final Est)'!AC32</f>
        <v>18.406999999999996</v>
      </c>
      <c r="E57" s="64">
        <f>'Vegetables 2016 (Final Est)'!AD32</f>
        <v>264.02166999999997</v>
      </c>
    </row>
    <row r="58" spans="1:5" ht="19.5" customHeight="1" x14ac:dyDescent="0.35">
      <c r="A58" s="40" t="s">
        <v>59</v>
      </c>
      <c r="B58" s="64">
        <v>475.89020000000005</v>
      </c>
      <c r="C58" s="64">
        <v>4651.5341000000008</v>
      </c>
      <c r="D58" s="64">
        <f>'Vegetables 2016 (Final Est)'!AE32</f>
        <v>497.56900000000002</v>
      </c>
      <c r="E58" s="64">
        <f>'Vegetables 2016 (Final Est)'!AF32</f>
        <v>4810.7747900000004</v>
      </c>
    </row>
    <row r="59" spans="1:5" ht="19.5" customHeight="1" x14ac:dyDescent="0.35">
      <c r="A59" s="40" t="s">
        <v>60</v>
      </c>
      <c r="B59" s="64">
        <v>2075.8843000000002</v>
      </c>
      <c r="C59" s="64">
        <v>48009.189999999995</v>
      </c>
      <c r="D59" s="64">
        <f>'Vegetables 2016 (Final Est)'!AG32</f>
        <v>2116.9284200000002</v>
      </c>
      <c r="E59" s="64">
        <f>'Vegetables 2016 (Final Est)'!AH32</f>
        <v>43417.045290000002</v>
      </c>
    </row>
    <row r="60" spans="1:5" ht="19.5" customHeight="1" x14ac:dyDescent="0.35">
      <c r="A60" s="40" t="s">
        <v>61</v>
      </c>
      <c r="B60" s="64">
        <v>168.37900000000002</v>
      </c>
      <c r="C60" s="64">
        <v>2307.4525000000003</v>
      </c>
      <c r="D60" s="64">
        <f>'Vegetables 2016 (Final Est)'!AI32</f>
        <v>199.49300000000002</v>
      </c>
      <c r="E60" s="64">
        <f>'Vegetables 2016 (Final Est)'!AJ32</f>
        <v>2843.6906499999996</v>
      </c>
    </row>
    <row r="61" spans="1:5" ht="19.5" customHeight="1" x14ac:dyDescent="0.35">
      <c r="A61" s="40" t="s">
        <v>62</v>
      </c>
      <c r="B61" s="64">
        <v>49.015599999999999</v>
      </c>
      <c r="C61" s="64">
        <v>1122.4715200000001</v>
      </c>
      <c r="D61" s="64">
        <f>'Vegetables 2016 (Final Est)'!AK32</f>
        <v>67.638810000000007</v>
      </c>
      <c r="E61" s="64">
        <f>'Vegetables 2016 (Final Est)'!AL32</f>
        <v>1508.9878199999998</v>
      </c>
    </row>
    <row r="62" spans="1:5" ht="19.5" customHeight="1" x14ac:dyDescent="0.35">
      <c r="A62" s="40" t="s">
        <v>63</v>
      </c>
      <c r="B62" s="64">
        <v>106.85299999999998</v>
      </c>
      <c r="C62" s="64">
        <v>1227.8087500000001</v>
      </c>
      <c r="D62" s="64">
        <f>'Vegetables 2016 (Final Est)'!AM32</f>
        <v>126.38099999999999</v>
      </c>
      <c r="E62" s="64">
        <f>'Vegetables 2016 (Final Est)'!AN32</f>
        <v>1454.33404</v>
      </c>
    </row>
    <row r="63" spans="1:5" ht="19.5" customHeight="1" x14ac:dyDescent="0.35">
      <c r="A63" s="40" t="s">
        <v>64</v>
      </c>
      <c r="B63" s="64">
        <v>207.58780000000002</v>
      </c>
      <c r="C63" s="64">
        <v>4372.6849000000002</v>
      </c>
      <c r="D63" s="64">
        <f>'Vegetables 2016 (Final Est)'!AO32</f>
        <v>203.50400000000002</v>
      </c>
      <c r="E63" s="64">
        <f>'Vegetables 2016 (Final Est)'!AP32</f>
        <v>4344.1617200000001</v>
      </c>
    </row>
    <row r="64" spans="1:5" ht="19.5" customHeight="1" x14ac:dyDescent="0.35">
      <c r="A64" s="40" t="s">
        <v>65</v>
      </c>
      <c r="B64" s="64">
        <v>767.31679999999994</v>
      </c>
      <c r="C64" s="64">
        <v>16384.980490000005</v>
      </c>
      <c r="D64" s="64">
        <f>'Vegetables 2016 (Final Est)'!AQ32</f>
        <v>773.88298999999972</v>
      </c>
      <c r="E64" s="64">
        <f>'Vegetables 2016 (Final Est)'!AR32</f>
        <v>18731.967430000001</v>
      </c>
    </row>
    <row r="65" spans="1:5" ht="19.5" customHeight="1" x14ac:dyDescent="0.35">
      <c r="A65" s="40" t="s">
        <v>41</v>
      </c>
      <c r="B65" s="64">
        <v>1654.4444000000003</v>
      </c>
      <c r="C65" s="64">
        <v>25053.085739999999</v>
      </c>
      <c r="D65" s="64">
        <f>'Vegetables 2016 (Final Est)'!AU32</f>
        <v>1625.03252</v>
      </c>
      <c r="E65" s="64">
        <f>'Vegetables 2016 (Final Est)'!AV32</f>
        <v>22707.006220000003</v>
      </c>
    </row>
    <row r="66" spans="1:5" ht="19.5" customHeight="1" x14ac:dyDescent="0.35">
      <c r="A66" s="38" t="s">
        <v>66</v>
      </c>
      <c r="B66" s="65">
        <f>SUM(B43:B65)</f>
        <v>9416.5806599999996</v>
      </c>
      <c r="C66" s="65">
        <f>SUM(C43:C65)</f>
        <v>166566.29856000002</v>
      </c>
      <c r="D66" s="65">
        <f>D43+D44+D45+D46+D47+D48+D49+D50+D51+D52+D53+D54+D55+D56+D57+D58+D59+D60+D61+D62+D63+D64+D65</f>
        <v>10106.293530000003</v>
      </c>
      <c r="E66" s="65">
        <f>E43+E44+E45+E46+E47+E48+E49+E50+E51+E52+E53+E54+E55+E56+E57+E58+E59+E60+E61+E62+E63+E64+E65</f>
        <v>169063.93445</v>
      </c>
    </row>
    <row r="67" spans="1:5" ht="19.5" customHeight="1" x14ac:dyDescent="0.35">
      <c r="A67" s="44"/>
      <c r="B67" s="64"/>
      <c r="C67" s="64"/>
      <c r="D67" s="64"/>
      <c r="E67" s="64"/>
    </row>
    <row r="68" spans="1:5" ht="19.5" customHeight="1" x14ac:dyDescent="0.35">
      <c r="A68" s="45" t="s">
        <v>67</v>
      </c>
      <c r="B68" s="65">
        <v>658.77299999999991</v>
      </c>
      <c r="C68" s="65">
        <v>999.67140200000006</v>
      </c>
      <c r="D68" s="65">
        <f>Horticulture!I36</f>
        <v>633.94299999999987</v>
      </c>
      <c r="E68" s="65">
        <f>Horticulture!J36</f>
        <v>1022.450192</v>
      </c>
    </row>
    <row r="69" spans="1:5" ht="19.5" customHeight="1" x14ac:dyDescent="0.35">
      <c r="A69" s="46"/>
      <c r="B69" s="64"/>
      <c r="C69" s="64"/>
      <c r="D69" s="64"/>
      <c r="E69" s="64"/>
    </row>
    <row r="70" spans="1:5" s="66" customFormat="1" ht="19.5" customHeight="1" x14ac:dyDescent="0.35">
      <c r="A70" s="68"/>
      <c r="B70" s="64"/>
      <c r="C70" s="64"/>
      <c r="D70" s="64"/>
      <c r="E70" s="64"/>
    </row>
    <row r="71" spans="1:5" s="66" customFormat="1" ht="19.5" customHeight="1" x14ac:dyDescent="0.35">
      <c r="A71" s="67" t="s">
        <v>68</v>
      </c>
      <c r="B71" s="65"/>
      <c r="C71" s="65">
        <v>484.17296204761902</v>
      </c>
      <c r="D71" s="64"/>
      <c r="E71" s="64">
        <f>'Flowers 2016(Final Est.)'!AO33</f>
        <v>527.67249376849702</v>
      </c>
    </row>
    <row r="72" spans="1:5" s="66" customFormat="1" ht="19.5" customHeight="1" x14ac:dyDescent="0.35">
      <c r="A72" s="67" t="s">
        <v>69</v>
      </c>
      <c r="B72" s="65">
        <v>248.5059</v>
      </c>
      <c r="C72" s="65">
        <v>1658.7153807264956</v>
      </c>
      <c r="D72" s="64">
        <f>'Flowers 2016(Final Est.)'!AM33</f>
        <v>277.570943</v>
      </c>
      <c r="E72" s="64">
        <f>'Flowers 2016(Final Est.)'!AN33</f>
        <v>1656.2398180000005</v>
      </c>
    </row>
    <row r="73" spans="1:5" s="66" customFormat="1" ht="19.5" customHeight="1" x14ac:dyDescent="0.35">
      <c r="A73" s="68" t="s">
        <v>70</v>
      </c>
      <c r="B73" s="65">
        <v>248.5059</v>
      </c>
      <c r="C73" s="65">
        <v>2142.8883427741148</v>
      </c>
      <c r="D73" s="65">
        <f>D71+D72</f>
        <v>277.570943</v>
      </c>
      <c r="E73" s="65">
        <f>E71+E72</f>
        <v>2183.9123117684976</v>
      </c>
    </row>
    <row r="74" spans="1:5" ht="19.5" customHeight="1" x14ac:dyDescent="0.35">
      <c r="A74" s="38"/>
      <c r="B74" s="64"/>
      <c r="C74" s="64"/>
      <c r="D74" s="64"/>
      <c r="E74" s="64"/>
    </row>
    <row r="75" spans="1:5" ht="19.5" customHeight="1" x14ac:dyDescent="0.35">
      <c r="A75" s="39" t="s">
        <v>71</v>
      </c>
      <c r="B75" s="64"/>
      <c r="C75" s="65">
        <v>80.530000000000015</v>
      </c>
      <c r="D75" s="65"/>
      <c r="E75" s="65">
        <f>Horticulture!P36</f>
        <v>87.616</v>
      </c>
    </row>
    <row r="76" spans="1:5" ht="19.5" customHeight="1" x14ac:dyDescent="0.35">
      <c r="A76" s="39"/>
      <c r="B76" s="64"/>
      <c r="C76" s="64"/>
      <c r="D76" s="64"/>
      <c r="E76" s="64"/>
    </row>
    <row r="77" spans="1:5" ht="19.5" customHeight="1" x14ac:dyDescent="0.35">
      <c r="A77" s="39" t="s">
        <v>72</v>
      </c>
      <c r="B77" s="64"/>
      <c r="C77" s="64"/>
      <c r="D77" s="64"/>
      <c r="E77" s="64"/>
    </row>
    <row r="78" spans="1:5" ht="19.5" customHeight="1" x14ac:dyDescent="0.35">
      <c r="A78" s="47" t="s">
        <v>73</v>
      </c>
      <c r="B78" s="64">
        <v>450.20700000000005</v>
      </c>
      <c r="C78" s="64">
        <v>746.66300000000001</v>
      </c>
      <c r="D78" s="64">
        <f>'Plantation2016 (Final Est.)'!C32</f>
        <v>474.35999999999996</v>
      </c>
      <c r="E78" s="64">
        <f>'Plantation2016 (Final Est.)'!D32</f>
        <v>713.84299999999996</v>
      </c>
    </row>
    <row r="79" spans="1:5" ht="19.5" customHeight="1" x14ac:dyDescent="0.35">
      <c r="A79" s="47" t="s">
        <v>74</v>
      </c>
      <c r="B79" s="64">
        <v>1029.5369999999998</v>
      </c>
      <c r="C79" s="64">
        <v>744.94399999999996</v>
      </c>
      <c r="D79" s="64">
        <f>'Plantation2016 (Final Est.)'!E32</f>
        <v>1035.56</v>
      </c>
      <c r="E79" s="64">
        <f>'Plantation2016 (Final Est.)'!F32</f>
        <v>670.923</v>
      </c>
    </row>
    <row r="80" spans="1:5" ht="19.5" customHeight="1" x14ac:dyDescent="0.35">
      <c r="A80" s="47" t="s">
        <v>75</v>
      </c>
      <c r="B80" s="64">
        <v>78</v>
      </c>
      <c r="C80" s="64">
        <v>16.05</v>
      </c>
      <c r="D80" s="64">
        <f>'Plantation2016 (Final Est.)'!G32</f>
        <v>81.274000000000001</v>
      </c>
      <c r="E80" s="64">
        <f>'Plantation2016 (Final Est.)'!H32</f>
        <v>17.2</v>
      </c>
    </row>
    <row r="81" spans="1:5" ht="19.5" customHeight="1" x14ac:dyDescent="0.35">
      <c r="A81" s="47" t="s">
        <v>76</v>
      </c>
      <c r="B81" s="64">
        <v>1975.7929999999997</v>
      </c>
      <c r="C81" s="64">
        <v>14067.169000000002</v>
      </c>
      <c r="D81" s="64">
        <f>'Plantation2016 (Final Est.)'!I32</f>
        <v>2088.4719999999998</v>
      </c>
      <c r="E81" s="64">
        <f>'Plantation2016 (Final Est.)'!J32</f>
        <v>15256.327568533761</v>
      </c>
    </row>
    <row r="82" spans="1:5" ht="19.5" customHeight="1" x14ac:dyDescent="0.35">
      <c r="A82" s="48" t="s">
        <v>77</v>
      </c>
      <c r="B82" s="65">
        <f>SUM(B78:B81)</f>
        <v>3533.5369999999994</v>
      </c>
      <c r="C82" s="65">
        <f>SUM(C78:C81)</f>
        <v>15574.826000000001</v>
      </c>
      <c r="D82" s="65">
        <f>SUM(D78:D81)</f>
        <v>3679.6659999999997</v>
      </c>
      <c r="E82" s="65">
        <f>SUM(E78:E81)</f>
        <v>16658.293568533762</v>
      </c>
    </row>
    <row r="83" spans="1:5" ht="19.5" customHeight="1" x14ac:dyDescent="0.35">
      <c r="A83" s="48"/>
      <c r="B83" s="64"/>
      <c r="C83" s="64"/>
      <c r="D83" s="64"/>
      <c r="E83" s="64"/>
    </row>
    <row r="84" spans="1:5" ht="19.5" customHeight="1" x14ac:dyDescent="0.35">
      <c r="A84" s="45" t="s">
        <v>78</v>
      </c>
      <c r="B84" s="64"/>
      <c r="C84" s="64"/>
      <c r="D84" s="64"/>
      <c r="E84" s="64"/>
    </row>
    <row r="85" spans="1:5" ht="19.5" customHeight="1" x14ac:dyDescent="0.35">
      <c r="A85" s="49" t="s">
        <v>79</v>
      </c>
      <c r="B85" s="64">
        <v>24.09</v>
      </c>
      <c r="C85" s="64">
        <v>16.420000000000002</v>
      </c>
      <c r="D85" s="64">
        <f>'Spices 2016 (Final Est.)'!W32</f>
        <v>23.709999999999997</v>
      </c>
      <c r="E85" s="64">
        <f>'Spices 2016 (Final Est.)'!X32</f>
        <v>16.009999999999998</v>
      </c>
    </row>
    <row r="86" spans="1:5" ht="19.5" customHeight="1" x14ac:dyDescent="0.35">
      <c r="A86" s="49" t="s">
        <v>80</v>
      </c>
      <c r="B86" s="64">
        <v>99.56</v>
      </c>
      <c r="C86" s="64">
        <v>24.360000000000003</v>
      </c>
      <c r="D86" s="64">
        <f>'Spices 2016 (Final Est.)'!M32</f>
        <v>85.66</v>
      </c>
      <c r="E86" s="64">
        <f>'Spices 2016 (Final Est.)'!N32</f>
        <v>24.07</v>
      </c>
    </row>
    <row r="87" spans="1:5" ht="19.5" customHeight="1" x14ac:dyDescent="0.35">
      <c r="A87" s="49" t="s">
        <v>81</v>
      </c>
      <c r="B87" s="64">
        <v>760.9799999999999</v>
      </c>
      <c r="C87" s="64">
        <v>1605.0099999999998</v>
      </c>
      <c r="D87" s="64">
        <f>'Spices 2016 (Final Est.)'!G32</f>
        <v>811.1400000000001</v>
      </c>
      <c r="E87" s="64">
        <f>'Spices 2016 (Final Est.)'!H32</f>
        <v>1520.39</v>
      </c>
    </row>
    <row r="88" spans="1:5" ht="19.5" customHeight="1" x14ac:dyDescent="0.35">
      <c r="A88" s="49" t="s">
        <v>82</v>
      </c>
      <c r="B88" s="64">
        <v>2.7399999999999998</v>
      </c>
      <c r="C88" s="64">
        <v>5.05</v>
      </c>
      <c r="D88" s="64">
        <f>'Spices 2016 (Final Est.)'!AA32</f>
        <v>2.76</v>
      </c>
      <c r="E88" s="64">
        <f>'Spices 2016 (Final Est.)'!AB32</f>
        <v>5.07</v>
      </c>
    </row>
    <row r="89" spans="1:5" ht="19.5" customHeight="1" x14ac:dyDescent="0.35">
      <c r="A89" s="49" t="s">
        <v>83</v>
      </c>
      <c r="B89" s="64">
        <v>24.270000000000003</v>
      </c>
      <c r="C89" s="64">
        <v>20.52</v>
      </c>
      <c r="D89" s="64">
        <f>'Spices 2016 (Final Est.)'!Y32</f>
        <v>25.64</v>
      </c>
      <c r="E89" s="64">
        <f>'Spices 2016 (Final Est.)'!Z32</f>
        <v>23.35</v>
      </c>
    </row>
    <row r="90" spans="1:5" ht="19.5" customHeight="1" x14ac:dyDescent="0.35">
      <c r="A90" s="49" t="s">
        <v>84</v>
      </c>
      <c r="B90" s="64">
        <v>2.3200000000000003</v>
      </c>
      <c r="C90" s="64">
        <v>1.22</v>
      </c>
      <c r="D90" s="64">
        <f>'Spices 2016 (Final Est.)'!AE32</f>
        <v>2.31</v>
      </c>
      <c r="E90" s="64">
        <f>'Spices 2016 (Final Est.)'!AF32</f>
        <v>1.21</v>
      </c>
    </row>
    <row r="91" spans="1:5" ht="19.5" customHeight="1" x14ac:dyDescent="0.35">
      <c r="A91" s="49" t="s">
        <v>85</v>
      </c>
      <c r="B91" s="64">
        <v>552.66</v>
      </c>
      <c r="C91" s="64">
        <v>461.71000000000004</v>
      </c>
      <c r="D91" s="64">
        <f>'Spices 2016 (Final Est.)'!O32</f>
        <v>581.6</v>
      </c>
      <c r="E91" s="64">
        <f>'Spices 2016 (Final Est.)'!P32</f>
        <v>584.98</v>
      </c>
    </row>
    <row r="92" spans="1:5" ht="19.5" customHeight="1" x14ac:dyDescent="0.35">
      <c r="A92" s="49" t="s">
        <v>86</v>
      </c>
      <c r="B92" s="64">
        <v>889.76</v>
      </c>
      <c r="C92" s="64">
        <v>485.50999999999993</v>
      </c>
      <c r="D92" s="64">
        <f>'Spices 2016 (Final Est.)'!Q32</f>
        <v>808.02</v>
      </c>
      <c r="E92" s="64">
        <f>'Spices 2016 (Final Est.)'!R32</f>
        <v>503.26999999999992</v>
      </c>
    </row>
    <row r="93" spans="1:5" ht="19.5" customHeight="1" x14ac:dyDescent="0.35">
      <c r="A93" s="49" t="s">
        <v>87</v>
      </c>
      <c r="B93" s="64">
        <v>123.35000000000001</v>
      </c>
      <c r="C93" s="64">
        <v>130.82</v>
      </c>
      <c r="D93" s="64">
        <f>'Spices 2016 (Final Est.)'!U32</f>
        <v>219.17999999999998</v>
      </c>
      <c r="E93" s="64">
        <f>'Spices 2016 (Final Est.)'!V32</f>
        <v>247.14000000000001</v>
      </c>
    </row>
    <row r="94" spans="1:5" ht="19.5" customHeight="1" x14ac:dyDescent="0.35">
      <c r="A94" s="49" t="s">
        <v>88</v>
      </c>
      <c r="B94" s="64">
        <v>38.659999999999997</v>
      </c>
      <c r="C94" s="64">
        <v>59.750000000000007</v>
      </c>
      <c r="D94" s="64">
        <f>'Spices 2016 (Final Est.)'!S32</f>
        <v>75.929999999999993</v>
      </c>
      <c r="E94" s="64">
        <f>'Spices 2016 (Final Est.)'!T32</f>
        <v>129.35999999999999</v>
      </c>
    </row>
    <row r="95" spans="1:5" ht="19.5" customHeight="1" x14ac:dyDescent="0.35">
      <c r="A95" s="49" t="s">
        <v>89</v>
      </c>
      <c r="B95" s="64">
        <v>262.06</v>
      </c>
      <c r="C95" s="64">
        <v>1425.46</v>
      </c>
      <c r="D95" s="64">
        <f>'Spices 2016 (Final Est.)'!K32</f>
        <v>280.95000000000005</v>
      </c>
      <c r="E95" s="64">
        <f>'Spices 2016 (Final Est.)'!L32</f>
        <v>1617.3400000000001</v>
      </c>
    </row>
    <row r="96" spans="1:5" ht="19.5" customHeight="1" x14ac:dyDescent="0.35">
      <c r="A96" s="49" t="s">
        <v>90</v>
      </c>
      <c r="B96" s="64">
        <v>141.65299999999999</v>
      </c>
      <c r="C96" s="64">
        <v>760.31000000000006</v>
      </c>
      <c r="D96" s="64">
        <f>'Spices 2016 (Final Est.)'!E32</f>
        <v>163.62300000000005</v>
      </c>
      <c r="E96" s="64">
        <f>'Spices 2016 (Final Est.)'!F32</f>
        <v>1109.1799999999998</v>
      </c>
    </row>
    <row r="97" spans="1:5" ht="19.5" customHeight="1" x14ac:dyDescent="0.35">
      <c r="A97" s="49" t="s">
        <v>91</v>
      </c>
      <c r="B97" s="64">
        <v>21.119999999999997</v>
      </c>
      <c r="C97" s="64">
        <v>14.4</v>
      </c>
      <c r="D97" s="64">
        <f>'Spices 2016 (Final Est.)'!AC32</f>
        <v>21.220000000000002</v>
      </c>
      <c r="E97" s="64">
        <f>'Spices 2016 (Final Est.)'!AD32</f>
        <v>14.459999999999999</v>
      </c>
    </row>
    <row r="98" spans="1:5" ht="19.5" customHeight="1" x14ac:dyDescent="0.35">
      <c r="A98" s="49" t="s">
        <v>92</v>
      </c>
      <c r="B98" s="64">
        <v>128.67000000000002</v>
      </c>
      <c r="C98" s="64">
        <v>64.64</v>
      </c>
      <c r="D98" s="64">
        <f>'Spices 2016 (Final Est.)'!C32</f>
        <v>128.59</v>
      </c>
      <c r="E98" s="64">
        <f>'Spices 2016 (Final Est.)'!D32</f>
        <v>54.639999999999993</v>
      </c>
    </row>
    <row r="99" spans="1:5" ht="19.5" customHeight="1" x14ac:dyDescent="0.35">
      <c r="A99" s="49" t="s">
        <v>93</v>
      </c>
      <c r="B99" s="64">
        <v>6.4700000000000006</v>
      </c>
      <c r="C99" s="64">
        <v>1.05</v>
      </c>
      <c r="D99" s="64">
        <f>'Spices 2016 (Final Est.)'!AI32</f>
        <v>4.41</v>
      </c>
      <c r="E99" s="64">
        <f>'Spices 2016 (Final Est.)'!AJ32</f>
        <v>0.28999999999999998</v>
      </c>
    </row>
    <row r="100" spans="1:5" ht="19.5" customHeight="1" x14ac:dyDescent="0.35">
      <c r="A100" s="49" t="s">
        <v>94</v>
      </c>
      <c r="B100" s="64">
        <v>54.480000000000004</v>
      </c>
      <c r="C100" s="64">
        <v>201.66</v>
      </c>
      <c r="D100" s="64">
        <f>'Spices 2016 (Final Est.)'!AG32</f>
        <v>52.890000000000008</v>
      </c>
      <c r="E100" s="64">
        <f>'Spices 2016 (Final Est.)'!AH32</f>
        <v>194.41</v>
      </c>
    </row>
    <row r="101" spans="1:5" ht="19.5" customHeight="1" x14ac:dyDescent="0.35">
      <c r="A101" s="49" t="s">
        <v>95</v>
      </c>
      <c r="B101" s="64">
        <v>184.44000000000005</v>
      </c>
      <c r="C101" s="64">
        <v>830.38999999999987</v>
      </c>
      <c r="D101" s="64">
        <f>'Spices 2016 (Final Est.)'!I32</f>
        <v>185.90100000000004</v>
      </c>
      <c r="E101" s="64">
        <f>'Spices 2016 (Final Est.)'!J32</f>
        <v>943.30100000000004</v>
      </c>
    </row>
    <row r="102" spans="1:5" ht="19.5" customHeight="1" x14ac:dyDescent="0.35">
      <c r="A102" s="50" t="s">
        <v>96</v>
      </c>
      <c r="B102" s="65">
        <v>3317.2829999999994</v>
      </c>
      <c r="C102" s="65">
        <v>6108.2800000000007</v>
      </c>
      <c r="D102" s="65">
        <f>SUM(D85:D101)</f>
        <v>3473.5339999999992</v>
      </c>
      <c r="E102" s="65">
        <f>SUM(E85:E101)</f>
        <v>6988.4710000000014</v>
      </c>
    </row>
    <row r="103" spans="1:5" ht="19.5" customHeight="1" x14ac:dyDescent="0.35">
      <c r="A103" s="50" t="s">
        <v>97</v>
      </c>
      <c r="B103" s="65">
        <v>23410.003159999997</v>
      </c>
      <c r="C103" s="65">
        <v>280986.10858877422</v>
      </c>
      <c r="D103" s="65">
        <f>D41+D66+D68+D73+D75+D82+D102</f>
        <v>24471.674643000002</v>
      </c>
      <c r="E103" s="65">
        <f>E41+E66+E68+E73+E75+E82+E102</f>
        <v>286187.71597730229</v>
      </c>
    </row>
    <row r="104" spans="1:5" ht="18.75" customHeight="1" x14ac:dyDescent="0.35">
      <c r="A104" s="5"/>
    </row>
    <row r="105" spans="1:5" ht="18.75" customHeight="1" x14ac:dyDescent="0.35">
      <c r="A105" s="6"/>
    </row>
    <row r="106" spans="1:5" ht="18.75" customHeight="1" x14ac:dyDescent="0.35">
      <c r="A106" s="7"/>
    </row>
    <row r="107" spans="1:5" ht="18.75" customHeight="1" x14ac:dyDescent="0.35">
      <c r="A107" s="7"/>
    </row>
    <row r="108" spans="1:5" ht="18.75" customHeight="1" x14ac:dyDescent="0.35">
      <c r="A108" s="8"/>
    </row>
  </sheetData>
  <mergeCells count="8">
    <mergeCell ref="B6:C6"/>
    <mergeCell ref="A4:E4"/>
    <mergeCell ref="A5:E5"/>
    <mergeCell ref="D6:E6"/>
    <mergeCell ref="D1:E1"/>
    <mergeCell ref="D7:E7"/>
    <mergeCell ref="B7:C7"/>
    <mergeCell ref="A2:E3"/>
  </mergeCells>
  <pageMargins left="1.1399999999999999" right="0.16" top="0.56999999999999995" bottom="0.31496062992126" header="0.22" footer="0.118110236220472"/>
  <pageSetup scale="54" orientation="portrait" r:id="rId1"/>
  <headerFooter alignWithMargins="0"/>
  <rowBreaks count="1" manualBreakCount="1">
    <brk id="66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zoomScaleNormal="100" workbookViewId="0">
      <selection activeCell="B38" sqref="B38"/>
    </sheetView>
  </sheetViews>
  <sheetFormatPr defaultRowHeight="15.75" x14ac:dyDescent="0.25"/>
  <cols>
    <col min="1" max="1" width="7.42578125" style="25" customWidth="1"/>
    <col min="2" max="2" width="23.42578125" style="25" customWidth="1"/>
    <col min="3" max="6" width="10.85546875" style="25" customWidth="1"/>
    <col min="7" max="7" width="9.42578125" style="25" bestFit="1" customWidth="1"/>
    <col min="8" max="9" width="10.85546875" style="25" customWidth="1"/>
    <col min="10" max="10" width="12.5703125" style="25" customWidth="1"/>
    <col min="11" max="11" width="12.42578125" style="25" customWidth="1"/>
    <col min="12" max="13" width="10.85546875" style="25" customWidth="1"/>
    <col min="14" max="14" width="11.5703125" style="25" customWidth="1"/>
    <col min="15" max="15" width="12.42578125" style="25" customWidth="1"/>
    <col min="16" max="16" width="11.28515625" style="25" customWidth="1"/>
    <col min="17" max="17" width="12.7109375" style="25" customWidth="1"/>
    <col min="18" max="18" width="12.85546875" style="25" customWidth="1"/>
    <col min="19" max="16384" width="9.140625" style="25"/>
  </cols>
  <sheetData>
    <row r="1" spans="1:18" ht="24.75" customHeight="1" x14ac:dyDescent="0.25">
      <c r="A1" s="166" t="s">
        <v>250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</row>
    <row r="2" spans="1:18" x14ac:dyDescent="0.25">
      <c r="A2" s="167" t="s">
        <v>251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</row>
    <row r="3" spans="1:18" x14ac:dyDescent="0.25">
      <c r="A3" s="168" t="s">
        <v>2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</row>
    <row r="4" spans="1:18" ht="41.25" customHeight="1" x14ac:dyDescent="0.25">
      <c r="A4" s="178" t="s">
        <v>247</v>
      </c>
      <c r="B4" s="170" t="s">
        <v>104</v>
      </c>
      <c r="C4" s="172" t="s">
        <v>225</v>
      </c>
      <c r="D4" s="172"/>
      <c r="E4" s="173" t="s">
        <v>226</v>
      </c>
      <c r="F4" s="173"/>
      <c r="G4" s="174" t="s">
        <v>227</v>
      </c>
      <c r="H4" s="175"/>
      <c r="I4" s="176" t="s">
        <v>228</v>
      </c>
      <c r="J4" s="176"/>
      <c r="K4" s="169" t="s">
        <v>98</v>
      </c>
      <c r="L4" s="169"/>
      <c r="M4" s="169"/>
      <c r="N4" s="169" t="s">
        <v>99</v>
      </c>
      <c r="O4" s="169"/>
      <c r="P4" s="24" t="s">
        <v>100</v>
      </c>
      <c r="Q4" s="169" t="s">
        <v>242</v>
      </c>
      <c r="R4" s="169"/>
    </row>
    <row r="5" spans="1:18" ht="19.5" customHeight="1" x14ac:dyDescent="0.25">
      <c r="A5" s="179"/>
      <c r="B5" s="171"/>
      <c r="C5" s="9" t="s">
        <v>110</v>
      </c>
      <c r="D5" s="9" t="s">
        <v>111</v>
      </c>
      <c r="E5" s="9" t="s">
        <v>110</v>
      </c>
      <c r="F5" s="9" t="s">
        <v>111</v>
      </c>
      <c r="G5" s="9" t="s">
        <v>110</v>
      </c>
      <c r="H5" s="9" t="s">
        <v>111</v>
      </c>
      <c r="I5" s="9" t="s">
        <v>110</v>
      </c>
      <c r="J5" s="9" t="s">
        <v>111</v>
      </c>
      <c r="K5" s="10" t="s">
        <v>110</v>
      </c>
      <c r="L5" s="169" t="s">
        <v>111</v>
      </c>
      <c r="M5" s="169"/>
      <c r="N5" s="9" t="s">
        <v>110</v>
      </c>
      <c r="O5" s="9" t="s">
        <v>111</v>
      </c>
      <c r="P5" s="10" t="s">
        <v>111</v>
      </c>
      <c r="Q5" s="9" t="s">
        <v>110</v>
      </c>
      <c r="R5" s="9" t="s">
        <v>111</v>
      </c>
    </row>
    <row r="6" spans="1:18" x14ac:dyDescent="0.25">
      <c r="A6" s="26"/>
      <c r="B6" s="26"/>
      <c r="C6" s="27"/>
      <c r="D6" s="27"/>
      <c r="E6" s="28"/>
      <c r="F6" s="28"/>
      <c r="G6" s="28"/>
      <c r="H6" s="28"/>
      <c r="I6" s="28"/>
      <c r="J6" s="28"/>
      <c r="K6" s="26"/>
      <c r="L6" s="24" t="s">
        <v>101</v>
      </c>
      <c r="M6" s="24" t="s">
        <v>102</v>
      </c>
      <c r="N6" s="26"/>
      <c r="O6" s="26"/>
      <c r="P6" s="26"/>
      <c r="Q6" s="26"/>
      <c r="R6" s="26"/>
    </row>
    <row r="7" spans="1:18" ht="26.25" customHeight="1" x14ac:dyDescent="0.25">
      <c r="A7" s="29">
        <v>1</v>
      </c>
      <c r="B7" s="16" t="s">
        <v>112</v>
      </c>
      <c r="C7" s="11">
        <f>'Fruits 2016(Final Est.)'!BG3</f>
        <v>577.02500000000009</v>
      </c>
      <c r="D7" s="11">
        <f>'Fruits 2016(Final Est.)'!BH3</f>
        <v>10088.819999999998</v>
      </c>
      <c r="E7" s="12">
        <f>'Vegetables 2016 (Final Est)'!AW3</f>
        <v>238.399</v>
      </c>
      <c r="F7" s="12">
        <f>'Vegetables 2016 (Final Est)'!AX3</f>
        <v>5442.7739999999994</v>
      </c>
      <c r="G7" s="13">
        <f>'Plantation2016 (Final Est.)'!K3</f>
        <v>314.19400000000002</v>
      </c>
      <c r="H7" s="13">
        <f>'Plantation2016 (Final Est.)'!L3</f>
        <v>1086.72</v>
      </c>
      <c r="I7" s="15">
        <v>1.1779999999999999</v>
      </c>
      <c r="J7" s="15">
        <v>0.82499999999999996</v>
      </c>
      <c r="K7" s="13">
        <f>'Flowers 2016(Final Est.)'!AM4</f>
        <v>18.254000000000001</v>
      </c>
      <c r="L7" s="13">
        <f>'Flowers 2016(Final Est.)'!AN4</f>
        <v>147.28199999999998</v>
      </c>
      <c r="M7" s="13">
        <f>'Flowers 2016(Final Est.)'!AO4</f>
        <v>0</v>
      </c>
      <c r="N7" s="13">
        <f>'Spices 2016 (Final Est.)'!AK3</f>
        <v>212.74300000000002</v>
      </c>
      <c r="O7" s="13">
        <f>'Spices 2016 (Final Est.)'!AL3</f>
        <v>766.16</v>
      </c>
      <c r="P7" s="13">
        <v>1.65</v>
      </c>
      <c r="Q7" s="14">
        <f t="shared" ref="Q7:Q35" si="0">C7+E7+G7+I7+K7+N7</f>
        <v>1361.7930000000001</v>
      </c>
      <c r="R7" s="14">
        <f t="shared" ref="R7:R35" si="1">D7+F7+H7+J7+L7+M7+O7+P7</f>
        <v>17534.231</v>
      </c>
    </row>
    <row r="8" spans="1:18" ht="26.25" customHeight="1" x14ac:dyDescent="0.25">
      <c r="A8" s="29">
        <v>2</v>
      </c>
      <c r="B8" s="22" t="s">
        <v>113</v>
      </c>
      <c r="C8" s="11">
        <f>'Fruits 2016(Final Est.)'!BG4</f>
        <v>66.214000000000013</v>
      </c>
      <c r="D8" s="11">
        <f>'Fruits 2016(Final Est.)'!BH4</f>
        <v>306.27012500000006</v>
      </c>
      <c r="E8" s="12">
        <f>'Vegetables 2016 (Final Est)'!AW4</f>
        <v>4.0026000000000002</v>
      </c>
      <c r="F8" s="12">
        <f>'Vegetables 2016 (Final Est)'!AX4</f>
        <v>33.010270000000006</v>
      </c>
      <c r="G8" s="13">
        <f>'Plantation2016 (Final Est.)'!K4</f>
        <v>1.0920000000000001</v>
      </c>
      <c r="H8" s="13">
        <f>'Plantation2016 (Final Est.)'!L4</f>
        <v>8.3344000000000005</v>
      </c>
      <c r="I8" s="15">
        <v>0.45500000000000002</v>
      </c>
      <c r="J8" s="15">
        <v>0.99399999999999999</v>
      </c>
      <c r="K8" s="13">
        <f>'Flowers 2016(Final Est.)'!AM5</f>
        <v>2.3560000000000001E-2</v>
      </c>
      <c r="L8" s="13">
        <f>'Flowers 2016(Final Est.)'!AN5</f>
        <v>1.1090000000000001E-2</v>
      </c>
      <c r="M8" s="13">
        <f>'Flowers 2016(Final Est.)'!AO5</f>
        <v>7.0444444444444448E-2</v>
      </c>
      <c r="N8" s="13">
        <f>'Spices 2016 (Final Est.)'!AK4</f>
        <v>11.44</v>
      </c>
      <c r="O8" s="13">
        <f>'Spices 2016 (Final Est.)'!AL4</f>
        <v>68.720000000000013</v>
      </c>
      <c r="P8" s="13">
        <v>0</v>
      </c>
      <c r="Q8" s="14">
        <f t="shared" si="0"/>
        <v>83.227160000000012</v>
      </c>
      <c r="R8" s="14">
        <f t="shared" si="1"/>
        <v>417.41032944444459</v>
      </c>
    </row>
    <row r="9" spans="1:18" ht="26.25" customHeight="1" x14ac:dyDescent="0.25">
      <c r="A9" s="29">
        <v>3</v>
      </c>
      <c r="B9" s="16" t="s">
        <v>114</v>
      </c>
      <c r="C9" s="11">
        <f>'Fruits 2016(Final Est.)'!BG5</f>
        <v>145.70899999999997</v>
      </c>
      <c r="D9" s="11">
        <f>'Fruits 2016(Final Est.)'!BH5</f>
        <v>2077.7650000000003</v>
      </c>
      <c r="E9" s="12">
        <f>'Vegetables 2016 (Final Est)'!AW5</f>
        <v>317.59100000000001</v>
      </c>
      <c r="F9" s="12">
        <f>'Vegetables 2016 (Final Est)'!AX5</f>
        <v>3821.7129999999993</v>
      </c>
      <c r="G9" s="13">
        <f>'Plantation2016 (Final Est.)'!K5</f>
        <v>98.4</v>
      </c>
      <c r="H9" s="13">
        <f>'Plantation2016 (Final Est.)'!L5</f>
        <v>167.03</v>
      </c>
      <c r="I9" s="15">
        <v>4.3979999999999997</v>
      </c>
      <c r="J9" s="15">
        <v>0.16800000000000001</v>
      </c>
      <c r="K9" s="13">
        <f>'Flowers 2016(Final Est.)'!AM6</f>
        <v>5.05</v>
      </c>
      <c r="L9" s="13">
        <f>'Flowers 2016(Final Est.)'!AN6</f>
        <v>33.678000000000004</v>
      </c>
      <c r="M9" s="13">
        <f>'Flowers 2016(Final Est.)'!AO6</f>
        <v>46.593766788766786</v>
      </c>
      <c r="N9" s="13">
        <f>'Spices 2016 (Final Est.)'!AK5</f>
        <v>100.52800000000001</v>
      </c>
      <c r="O9" s="13">
        <f>'Spices 2016 (Final Est.)'!AL5</f>
        <v>333.69</v>
      </c>
      <c r="P9" s="13">
        <v>0.85</v>
      </c>
      <c r="Q9" s="14">
        <f t="shared" si="0"/>
        <v>671.67599999999993</v>
      </c>
      <c r="R9" s="14">
        <f t="shared" si="1"/>
        <v>6481.4877667887649</v>
      </c>
    </row>
    <row r="10" spans="1:18" ht="26.25" customHeight="1" x14ac:dyDescent="0.25">
      <c r="A10" s="29">
        <v>4</v>
      </c>
      <c r="B10" s="16" t="s">
        <v>115</v>
      </c>
      <c r="C10" s="11">
        <f>'Fruits 2016(Final Est.)'!BG6</f>
        <v>306.18099999999998</v>
      </c>
      <c r="D10" s="11">
        <f>'Fruits 2016(Final Est.)'!BH6</f>
        <v>4230.6329999999998</v>
      </c>
      <c r="E10" s="12">
        <f>'Vegetables 2016 (Final Est)'!AW6</f>
        <v>837.51399999999978</v>
      </c>
      <c r="F10" s="12">
        <f>'Vegetables 2016 (Final Est)'!AX6</f>
        <v>14400.115999999998</v>
      </c>
      <c r="G10" s="13">
        <f>'Plantation2016 (Final Est.)'!K6</f>
        <v>14.9</v>
      </c>
      <c r="H10" s="13">
        <f>'Plantation2016 (Final Est.)'!L6</f>
        <v>97.3</v>
      </c>
      <c r="I10" s="15">
        <v>4.4000000000000004</v>
      </c>
      <c r="J10" s="15">
        <v>0.6</v>
      </c>
      <c r="K10" s="13">
        <f>'Flowers 2016(Final Est.)'!AM7</f>
        <v>0.65596999999999994</v>
      </c>
      <c r="L10" s="13">
        <f>'Flowers 2016(Final Est.)'!AN7</f>
        <v>7.8775000000000004</v>
      </c>
      <c r="M10" s="13">
        <f>'Flowers 2016(Final Est.)'!AO7</f>
        <v>1.0045E-3</v>
      </c>
      <c r="N10" s="13">
        <f>'Spices 2016 (Final Est.)'!AK6</f>
        <v>13.010000000000002</v>
      </c>
      <c r="O10" s="13">
        <f>'Spices 2016 (Final Est.)'!AL6</f>
        <v>12.54</v>
      </c>
      <c r="P10" s="13">
        <v>8.8000000000000007</v>
      </c>
      <c r="Q10" s="14">
        <f t="shared" si="0"/>
        <v>1176.6609699999999</v>
      </c>
      <c r="R10" s="14">
        <f t="shared" si="1"/>
        <v>18757.867504499995</v>
      </c>
    </row>
    <row r="11" spans="1:18" ht="26.25" customHeight="1" x14ac:dyDescent="0.25">
      <c r="A11" s="29">
        <v>5</v>
      </c>
      <c r="B11" s="16" t="s">
        <v>150</v>
      </c>
      <c r="C11" s="11">
        <f>'Fruits 2016(Final Est.)'!BG7</f>
        <v>209.869</v>
      </c>
      <c r="D11" s="11">
        <f>'Fruits 2016(Final Est.)'!BH7</f>
        <v>2294.7310000000002</v>
      </c>
      <c r="E11" s="12">
        <f>'Vegetables 2016 (Final Est)'!AW7</f>
        <v>475.22899999999993</v>
      </c>
      <c r="F11" s="12">
        <f>'Vegetables 2016 (Final Est)'!AX7</f>
        <v>6318.4059999999999</v>
      </c>
      <c r="G11" s="13">
        <f>'Plantation2016 (Final Est.)'!K7</f>
        <v>15.549999999999999</v>
      </c>
      <c r="H11" s="13">
        <f>'Plantation2016 (Final Est.)'!L7</f>
        <v>29.02</v>
      </c>
      <c r="I11" s="15">
        <v>8.5299999999999994</v>
      </c>
      <c r="J11" s="15">
        <v>59.972000000000001</v>
      </c>
      <c r="K11" s="13">
        <f>'Flowers 2016(Final Est.)'!AM8</f>
        <v>11.427</v>
      </c>
      <c r="L11" s="13">
        <f>'Flowers 2016(Final Est.)'!AN8</f>
        <v>43.195999999999998</v>
      </c>
      <c r="M11" s="13">
        <f>'Flowers 2016(Final Est.)'!AO8</f>
        <v>62.974999999999994</v>
      </c>
      <c r="N11" s="13">
        <f>'Spices 2016 (Final Est.)'!AK7</f>
        <v>11.749000000000001</v>
      </c>
      <c r="O11" s="13">
        <f>'Spices 2016 (Final Est.)'!AL7</f>
        <v>11.850000000000001</v>
      </c>
      <c r="P11" s="13">
        <v>0.6</v>
      </c>
      <c r="Q11" s="14">
        <f t="shared" si="0"/>
        <v>732.35399999999993</v>
      </c>
      <c r="R11" s="14">
        <f t="shared" si="1"/>
        <v>8820.7500000000018</v>
      </c>
    </row>
    <row r="12" spans="1:18" ht="26.25" customHeight="1" x14ac:dyDescent="0.25">
      <c r="A12" s="29">
        <v>6</v>
      </c>
      <c r="B12" s="16" t="s">
        <v>117</v>
      </c>
      <c r="C12" s="11">
        <f>'Fruits 2016(Final Est.)'!BG8</f>
        <v>392.52099999999996</v>
      </c>
      <c r="D12" s="11">
        <f>'Fruits 2016(Final Est.)'!BH8</f>
        <v>8477.1737000000012</v>
      </c>
      <c r="E12" s="12">
        <f>'Vegetables 2016 (Final Est)'!AW8</f>
        <v>695.84199999999998</v>
      </c>
      <c r="F12" s="12">
        <f>'Vegetables 2016 (Final Est)'!AX8</f>
        <v>13401.389010000001</v>
      </c>
      <c r="G12" s="13">
        <f>'Plantation2016 (Final Est.)'!K8</f>
        <v>30.032999999999998</v>
      </c>
      <c r="H12" s="13">
        <f>'Plantation2016 (Final Est.)'!L8</f>
        <v>221.697</v>
      </c>
      <c r="I12" s="13">
        <v>0</v>
      </c>
      <c r="J12" s="13">
        <v>0</v>
      </c>
      <c r="K12" s="13">
        <f>'Flowers 2016(Final Est.)'!AM9</f>
        <v>19.498000000000001</v>
      </c>
      <c r="L12" s="13">
        <f>'Flowers 2016(Final Est.)'!AN9</f>
        <v>184.16022000000001</v>
      </c>
      <c r="M12" s="13">
        <f>'Flowers 2016(Final Est.)'!AO9</f>
        <v>0</v>
      </c>
      <c r="N12" s="13">
        <f>'Spices 2016 (Final Est.)'!AK8</f>
        <v>508.73899999999998</v>
      </c>
      <c r="O12" s="13">
        <f>'Spices 2016 (Final Est.)'!AL8</f>
        <v>1077.5700000000002</v>
      </c>
      <c r="P12" s="13">
        <v>0.3</v>
      </c>
      <c r="Q12" s="14">
        <f t="shared" si="0"/>
        <v>1646.6329999999998</v>
      </c>
      <c r="R12" s="14">
        <f t="shared" si="1"/>
        <v>23362.289930000003</v>
      </c>
    </row>
    <row r="13" spans="1:18" ht="26.25" customHeight="1" x14ac:dyDescent="0.25">
      <c r="A13" s="29">
        <v>7</v>
      </c>
      <c r="B13" s="16" t="s">
        <v>118</v>
      </c>
      <c r="C13" s="11">
        <f>'Fruits 2016(Final Est.)'!BG9</f>
        <v>60.914999999999999</v>
      </c>
      <c r="D13" s="11">
        <f>'Fruits 2016(Final Est.)'!BH9</f>
        <v>737.81999999999994</v>
      </c>
      <c r="E13" s="12">
        <f>'Vegetables 2016 (Final Est)'!AW9</f>
        <v>410.30400000000003</v>
      </c>
      <c r="F13" s="12">
        <f>'Vegetables 2016 (Final Est)'!AX9</f>
        <v>6129.3559999999998</v>
      </c>
      <c r="G13" s="13">
        <f>'Plantation2016 (Final Est.)'!K9</f>
        <v>0</v>
      </c>
      <c r="H13" s="13">
        <f>'Plantation2016 (Final Est.)'!L9</f>
        <v>0</v>
      </c>
      <c r="I13" s="13">
        <v>0.28999999999999998</v>
      </c>
      <c r="J13" s="13">
        <v>1.0580000000000001</v>
      </c>
      <c r="K13" s="13">
        <f>'Flowers 2016(Final Est.)'!AM10</f>
        <v>6.0149999999999997</v>
      </c>
      <c r="L13" s="13">
        <f>'Flowers 2016(Final Est.)'!AN10</f>
        <v>63.029999999999994</v>
      </c>
      <c r="M13" s="13">
        <f>'Flowers 2016(Final Est.)'!AO10</f>
        <v>5.3932692307692314</v>
      </c>
      <c r="N13" s="13">
        <f>'Spices 2016 (Final Est.)'!AK9</f>
        <v>16.125</v>
      </c>
      <c r="O13" s="13">
        <f>'Spices 2016 (Final Est.)'!AL9</f>
        <v>82.82</v>
      </c>
      <c r="P13" s="13">
        <v>4.5</v>
      </c>
      <c r="Q13" s="14">
        <f t="shared" si="0"/>
        <v>493.64900000000006</v>
      </c>
      <c r="R13" s="14">
        <f t="shared" si="1"/>
        <v>7023.9772692307679</v>
      </c>
    </row>
    <row r="14" spans="1:18" ht="26.25" customHeight="1" x14ac:dyDescent="0.25">
      <c r="A14" s="29">
        <v>8</v>
      </c>
      <c r="B14" s="16" t="s">
        <v>119</v>
      </c>
      <c r="C14" s="11">
        <f>'Fruits 2016(Final Est.)'!BG10</f>
        <v>226.79900000000004</v>
      </c>
      <c r="D14" s="11">
        <f>'Fruits 2016(Final Est.)'!BH10</f>
        <v>928.82900000000006</v>
      </c>
      <c r="E14" s="12">
        <f>'Vegetables 2016 (Final Est)'!AW10</f>
        <v>88.283000000000015</v>
      </c>
      <c r="F14" s="12">
        <f>'Vegetables 2016 (Final Est)'!AX10</f>
        <v>1715.1569999999997</v>
      </c>
      <c r="G14" s="13">
        <f>'Plantation2016 (Final Est.)'!K10</f>
        <v>0</v>
      </c>
      <c r="H14" s="13">
        <f>'Plantation2016 (Final Est.)'!L10</f>
        <v>0</v>
      </c>
      <c r="I14" s="13">
        <v>1.1100000000000001</v>
      </c>
      <c r="J14" s="13">
        <v>0.9</v>
      </c>
      <c r="K14" s="13">
        <f>'Flowers 2016(Final Est.)'!AM11</f>
        <v>0.71900000000000008</v>
      </c>
      <c r="L14" s="13">
        <f>'Flowers 2016(Final Est.)'!AN11</f>
        <v>23.400499999999997</v>
      </c>
      <c r="M14" s="13">
        <f>'Flowers 2016(Final Est.)'!AO11</f>
        <v>10.440473137973138</v>
      </c>
      <c r="N14" s="13">
        <f>'Spices 2016 (Final Est.)'!AK10</f>
        <v>7.9</v>
      </c>
      <c r="O14" s="13">
        <f>'Spices 2016 (Final Est.)'!AL10</f>
        <v>24.93</v>
      </c>
      <c r="P14" s="13">
        <v>5.15</v>
      </c>
      <c r="Q14" s="14">
        <f t="shared" si="0"/>
        <v>324.81100000000004</v>
      </c>
      <c r="R14" s="14">
        <f t="shared" si="1"/>
        <v>2708.8069731379733</v>
      </c>
    </row>
    <row r="15" spans="1:18" ht="26.25" customHeight="1" x14ac:dyDescent="0.25">
      <c r="A15" s="29">
        <v>9</v>
      </c>
      <c r="B15" s="16" t="s">
        <v>120</v>
      </c>
      <c r="C15" s="11">
        <f>'Fruits 2016(Final Est.)'!BG11</f>
        <v>286.23300000000006</v>
      </c>
      <c r="D15" s="11">
        <f>'Fruits 2016(Final Est.)'!BH11</f>
        <v>2115.7219999999998</v>
      </c>
      <c r="E15" s="12">
        <f>'Vegetables 2016 (Final Est)'!AW11</f>
        <v>62.629999999999995</v>
      </c>
      <c r="F15" s="12">
        <f>'Vegetables 2016 (Final Est)'!AX11</f>
        <v>1386.365</v>
      </c>
      <c r="G15" s="13">
        <f>'Plantation2016 (Final Est.)'!K11</f>
        <v>0</v>
      </c>
      <c r="H15" s="13">
        <f>'Plantation2016 (Final Est.)'!L11</f>
        <v>0</v>
      </c>
      <c r="I15" s="13">
        <v>3.79</v>
      </c>
      <c r="J15" s="13">
        <v>0.01</v>
      </c>
      <c r="K15" s="13">
        <f>'Flowers 2016(Final Est.)'!AM12</f>
        <v>49.084999999999994</v>
      </c>
      <c r="L15" s="13">
        <f>'Flowers 2016(Final Est.)'!AN12</f>
        <v>29.407999999999998</v>
      </c>
      <c r="M15" s="13">
        <f>'Flowers 2016(Final Est.)'!AO12</f>
        <v>0.39104761904761903</v>
      </c>
      <c r="N15" s="13">
        <f>'Spices 2016 (Final Est.)'!AK11</f>
        <v>4.9210000000000003</v>
      </c>
      <c r="O15" s="13">
        <f>'Spices 2016 (Final Est.)'!AL11</f>
        <v>0.96000000000000008</v>
      </c>
      <c r="P15" s="13">
        <v>1.2</v>
      </c>
      <c r="Q15" s="14">
        <f t="shared" si="0"/>
        <v>406.65900000000005</v>
      </c>
      <c r="R15" s="14">
        <f t="shared" si="1"/>
        <v>3534.0560476190471</v>
      </c>
    </row>
    <row r="16" spans="1:18" ht="26.25" customHeight="1" x14ac:dyDescent="0.25">
      <c r="A16" s="29">
        <v>10</v>
      </c>
      <c r="B16" s="16" t="s">
        <v>121</v>
      </c>
      <c r="C16" s="11">
        <f>'Fruits 2016(Final Est.)'!BG12</f>
        <v>96.536000000000016</v>
      </c>
      <c r="D16" s="11">
        <f>'Fruits 2016(Final Est.)'!BH12</f>
        <v>961.18700000000001</v>
      </c>
      <c r="E16" s="12">
        <f>'Vegetables 2016 (Final Est)'!AW12</f>
        <v>264.21500000000003</v>
      </c>
      <c r="F16" s="12">
        <f>'Vegetables 2016 (Final Est)'!AX12</f>
        <v>3373.8209999999999</v>
      </c>
      <c r="G16" s="13">
        <f>'Plantation2016 (Final Est.)'!K12</f>
        <v>14.83</v>
      </c>
      <c r="H16" s="13">
        <f>'Plantation2016 (Final Est.)'!L12</f>
        <v>5</v>
      </c>
      <c r="I16" s="13">
        <v>0</v>
      </c>
      <c r="J16" s="13">
        <v>0</v>
      </c>
      <c r="K16" s="13">
        <f>'Flowers 2016(Final Est.)'!AM13</f>
        <v>0.315</v>
      </c>
      <c r="L16" s="13">
        <f>'Flowers 2016(Final Est.)'!AN13</f>
        <v>1.528</v>
      </c>
      <c r="M16" s="13">
        <f>'Flowers 2016(Final Est.)'!AO13</f>
        <v>14.876555555555557</v>
      </c>
      <c r="N16" s="13">
        <f>'Spices 2016 (Final Est.)'!AK12</f>
        <v>0</v>
      </c>
      <c r="O16" s="13">
        <f>'Spices 2016 (Final Est.)'!AL12</f>
        <v>0</v>
      </c>
      <c r="P16" s="13">
        <v>1.2</v>
      </c>
      <c r="Q16" s="14">
        <f t="shared" si="0"/>
        <v>375.89600000000002</v>
      </c>
      <c r="R16" s="14">
        <f t="shared" si="1"/>
        <v>4357.6125555555554</v>
      </c>
    </row>
    <row r="17" spans="1:18" ht="26.25" customHeight="1" x14ac:dyDescent="0.25">
      <c r="A17" s="29">
        <v>11</v>
      </c>
      <c r="B17" s="16" t="s">
        <v>149</v>
      </c>
      <c r="C17" s="11">
        <f>'Fruits 2016(Final Est.)'!BG13</f>
        <v>415.37</v>
      </c>
      <c r="D17" s="11">
        <f>'Fruits 2016(Final Est.)'!BH13</f>
        <v>7023.6879999999992</v>
      </c>
      <c r="E17" s="12">
        <f>'Vegetables 2016 (Final Est)'!AW13</f>
        <v>460.34799999999996</v>
      </c>
      <c r="F17" s="12">
        <f>'Vegetables 2016 (Final Est)'!AX13</f>
        <v>7804.5660000000007</v>
      </c>
      <c r="G17" s="13">
        <f>'Plantation2016 (Final Est.)'!K13</f>
        <v>901.57099999999991</v>
      </c>
      <c r="H17" s="13">
        <f>'Plantation2016 (Final Est.)'!L13</f>
        <v>4041.3199999999997</v>
      </c>
      <c r="I17" s="13">
        <f>1.773+0.462</f>
        <v>2.2349999999999999</v>
      </c>
      <c r="J17" s="13">
        <f>14.782+1.571</f>
        <v>16.353000000000002</v>
      </c>
      <c r="K17" s="13">
        <f>'Flowers 2016(Final Est.)'!AM14</f>
        <v>31.675000000000004</v>
      </c>
      <c r="L17" s="13">
        <f>'Flowers 2016(Final Est.)'!AN14</f>
        <v>230.46099999999998</v>
      </c>
      <c r="M17" s="13">
        <f>'Flowers 2016(Final Est.)'!AO14</f>
        <v>64.187997557997548</v>
      </c>
      <c r="N17" s="13">
        <f>'Spices 2016 (Final Est.)'!AK13</f>
        <v>215.95699999999999</v>
      </c>
      <c r="O17" s="13">
        <f>'Spices 2016 (Final Est.)'!AL13</f>
        <v>387.62</v>
      </c>
      <c r="P17" s="13">
        <v>2</v>
      </c>
      <c r="Q17" s="14">
        <f t="shared" si="0"/>
        <v>2027.1559999999995</v>
      </c>
      <c r="R17" s="14">
        <f t="shared" si="1"/>
        <v>19570.195997557996</v>
      </c>
    </row>
    <row r="18" spans="1:18" ht="26.25" customHeight="1" x14ac:dyDescent="0.25">
      <c r="A18" s="29">
        <v>12</v>
      </c>
      <c r="B18" s="16" t="s">
        <v>123</v>
      </c>
      <c r="C18" s="11">
        <f>'Fruits 2016(Final Est.)'!BG14</f>
        <v>243.15100000000001</v>
      </c>
      <c r="D18" s="11">
        <f>'Fruits 2016(Final Est.)'!BH14</f>
        <v>2532.9350000000004</v>
      </c>
      <c r="E18" s="12">
        <f>'Vegetables 2016 (Final Est)'!AW14</f>
        <v>144.99010000000001</v>
      </c>
      <c r="F18" s="12">
        <f>'Vegetables 2016 (Final Est)'!AX14</f>
        <v>2088.66</v>
      </c>
      <c r="G18" s="13">
        <f>'Plantation2016 (Final Est.)'!K14</f>
        <v>973.07400000000007</v>
      </c>
      <c r="H18" s="13">
        <f>'Plantation2016 (Final Est.)'!L14</f>
        <v>5293.84</v>
      </c>
      <c r="I18" s="13">
        <v>1.2E-2</v>
      </c>
      <c r="J18" s="13">
        <v>1.92E-4</v>
      </c>
      <c r="K18" s="13">
        <f>'Flowers 2016(Final Est.)'!AM15</f>
        <v>12.879999999999999</v>
      </c>
      <c r="L18" s="13">
        <f>'Flowers 2016(Final Est.)'!AN15</f>
        <v>0.02</v>
      </c>
      <c r="M18" s="13">
        <f>'Flowers 2016(Final Est.)'!AO15</f>
        <v>0.59277777777777785</v>
      </c>
      <c r="N18" s="13">
        <f>'Spices 2016 (Final Est.)'!AK14</f>
        <v>166.81500000000003</v>
      </c>
      <c r="O18" s="13">
        <f>'Spices 2016 (Final Est.)'!AL14</f>
        <v>128.39999999999998</v>
      </c>
      <c r="P18" s="13">
        <v>2.5</v>
      </c>
      <c r="Q18" s="14">
        <f t="shared" si="0"/>
        <v>1540.9221000000002</v>
      </c>
      <c r="R18" s="14">
        <f t="shared" si="1"/>
        <v>10046.947969777779</v>
      </c>
    </row>
    <row r="19" spans="1:18" ht="26.25" customHeight="1" x14ac:dyDescent="0.25">
      <c r="A19" s="29">
        <v>13</v>
      </c>
      <c r="B19" s="16" t="s">
        <v>124</v>
      </c>
      <c r="C19" s="11">
        <f>'Fruits 2016(Final Est.)'!BG15</f>
        <v>276.81700000000006</v>
      </c>
      <c r="D19" s="11">
        <f>'Fruits 2016(Final Est.)'!BH15</f>
        <v>5783.0606000000007</v>
      </c>
      <c r="E19" s="12">
        <f>'Vegetables 2016 (Final Est)'!AW15</f>
        <v>757.67200000000025</v>
      </c>
      <c r="F19" s="12">
        <f>'Vegetables 2016 (Final Est)'!AX15</f>
        <v>15568.255000000001</v>
      </c>
      <c r="G19" s="13">
        <f>'Plantation2016 (Final Est.)'!K15</f>
        <v>0</v>
      </c>
      <c r="H19" s="13">
        <f>'Plantation2016 (Final Est.)'!L15</f>
        <v>0</v>
      </c>
      <c r="I19" s="13">
        <v>72.183000000000007</v>
      </c>
      <c r="J19" s="13">
        <v>497.09999999999997</v>
      </c>
      <c r="K19" s="13">
        <f>'Flowers 2016(Final Est.)'!AM16</f>
        <v>18.414999999999999</v>
      </c>
      <c r="L19" s="13">
        <f>'Flowers 2016(Final Est.)'!AN16</f>
        <v>216</v>
      </c>
      <c r="M19" s="13">
        <f>'Flowers 2016(Final Est.)'!AO16</f>
        <v>0</v>
      </c>
      <c r="N19" s="13">
        <f>'Spices 2016 (Final Est.)'!AK15</f>
        <v>366.04200000000003</v>
      </c>
      <c r="O19" s="13">
        <f>'Spices 2016 (Final Est.)'!AL15</f>
        <v>710.90000000000009</v>
      </c>
      <c r="P19" s="13">
        <v>1.85</v>
      </c>
      <c r="Q19" s="14">
        <f t="shared" si="0"/>
        <v>1491.1290000000004</v>
      </c>
      <c r="R19" s="14">
        <f t="shared" si="1"/>
        <v>22777.1656</v>
      </c>
    </row>
    <row r="20" spans="1:18" ht="26.25" customHeight="1" x14ac:dyDescent="0.25">
      <c r="A20" s="29">
        <v>14</v>
      </c>
      <c r="B20" s="16" t="s">
        <v>125</v>
      </c>
      <c r="C20" s="11">
        <f>'Fruits 2016(Final Est.)'!BG16</f>
        <v>736.68700000000001</v>
      </c>
      <c r="D20" s="11">
        <f>'Fruits 2016(Final Est.)'!BH16</f>
        <v>9749.8010000000031</v>
      </c>
      <c r="E20" s="12">
        <f>'Vegetables 2016 (Final Est)'!AW16</f>
        <v>713.38199999999995</v>
      </c>
      <c r="F20" s="12">
        <f>'Vegetables 2016 (Final Est)'!AX16</f>
        <v>9452.0684999999994</v>
      </c>
      <c r="G20" s="13">
        <f>'Plantation2016 (Final Est.)'!K16</f>
        <v>216.29699999999997</v>
      </c>
      <c r="H20" s="13">
        <f>'Plantation2016 (Final Est.)'!L16</f>
        <v>410.154</v>
      </c>
      <c r="I20" s="13">
        <v>0.8</v>
      </c>
      <c r="J20" s="13">
        <v>1.6E-2</v>
      </c>
      <c r="K20" s="13">
        <f>'Flowers 2016(Final Est.)'!AM17</f>
        <v>11.995000000000001</v>
      </c>
      <c r="L20" s="13">
        <f>'Flowers 2016(Final Est.)'!AN17</f>
        <v>71.619</v>
      </c>
      <c r="M20" s="13">
        <f>'Flowers 2016(Final Est.)'!AO17</f>
        <v>59.997601800976803</v>
      </c>
      <c r="N20" s="13">
        <f>'Spices 2016 (Final Est.)'!AK16</f>
        <v>128.70000000000002</v>
      </c>
      <c r="O20" s="13">
        <f>'Spices 2016 (Final Est.)'!AL16</f>
        <v>416.2</v>
      </c>
      <c r="P20" s="13">
        <v>1.6E-2</v>
      </c>
      <c r="Q20" s="14">
        <f t="shared" si="0"/>
        <v>1807.8609999999999</v>
      </c>
      <c r="R20" s="14">
        <f t="shared" si="1"/>
        <v>20159.872101800975</v>
      </c>
    </row>
    <row r="21" spans="1:18" ht="26.25" customHeight="1" x14ac:dyDescent="0.25">
      <c r="A21" s="29">
        <v>15</v>
      </c>
      <c r="B21" s="23" t="s">
        <v>126</v>
      </c>
      <c r="C21" s="11">
        <f>'Fruits 2016(Final Est.)'!BG17</f>
        <v>51.124000000000002</v>
      </c>
      <c r="D21" s="11">
        <f>'Fruits 2016(Final Est.)'!BH17</f>
        <v>467.755</v>
      </c>
      <c r="E21" s="12">
        <f>'Vegetables 2016 (Final Est)'!AW17</f>
        <v>34.36</v>
      </c>
      <c r="F21" s="12">
        <f>'Vegetables 2016 (Final Est)'!AX17</f>
        <v>316.51299999999998</v>
      </c>
      <c r="G21" s="13">
        <f>'Plantation2016 (Final Est.)'!K17</f>
        <v>0.9</v>
      </c>
      <c r="H21" s="13">
        <f>'Plantation2016 (Final Est.)'!L17</f>
        <v>0.32400000000000001</v>
      </c>
      <c r="I21" s="13">
        <v>0</v>
      </c>
      <c r="J21" s="13">
        <v>0</v>
      </c>
      <c r="K21" s="13">
        <f>'Flowers 2016(Final Est.)'!AM18</f>
        <v>0.16700000000000001</v>
      </c>
      <c r="L21" s="13">
        <f>'Flowers 2016(Final Est.)'!AN18</f>
        <v>6.5000000000000002E-2</v>
      </c>
      <c r="M21" s="13">
        <f>'Flowers 2016(Final Est.)'!AO18</f>
        <v>0.14903540903540904</v>
      </c>
      <c r="N21" s="13">
        <f>'Spices 2016 (Final Est.)'!AK17</f>
        <v>10.47</v>
      </c>
      <c r="O21" s="13">
        <f>'Spices 2016 (Final Est.)'!AL17</f>
        <v>24.14</v>
      </c>
      <c r="P21" s="13">
        <v>0</v>
      </c>
      <c r="Q21" s="14">
        <f t="shared" si="0"/>
        <v>97.021000000000015</v>
      </c>
      <c r="R21" s="14">
        <f t="shared" si="1"/>
        <v>808.9460354090354</v>
      </c>
    </row>
    <row r="22" spans="1:18" ht="26.25" customHeight="1" x14ac:dyDescent="0.25">
      <c r="A22" s="29">
        <v>16</v>
      </c>
      <c r="B22" s="16" t="s">
        <v>127</v>
      </c>
      <c r="C22" s="11">
        <f>'Fruits 2016(Final Est.)'!BG18</f>
        <v>36.591000000000008</v>
      </c>
      <c r="D22" s="11">
        <f>'Fruits 2016(Final Est.)'!BH18</f>
        <v>395.3950000000001</v>
      </c>
      <c r="E22" s="12">
        <f>'Vegetables 2016 (Final Est)'!AW18</f>
        <v>47.495000000000005</v>
      </c>
      <c r="F22" s="12">
        <f>'Vegetables 2016 (Final Est)'!AX18</f>
        <v>494.88100000000003</v>
      </c>
      <c r="G22" s="13">
        <f>'Plantation2016 (Final Est.)'!K18</f>
        <v>25.37</v>
      </c>
      <c r="H22" s="13">
        <f>'Plantation2016 (Final Est.)'!L18</f>
        <v>31.2</v>
      </c>
      <c r="I22" s="13">
        <v>0</v>
      </c>
      <c r="J22" s="13">
        <v>0</v>
      </c>
      <c r="K22" s="13">
        <f>'Flowers 2016(Final Est.)'!AM19</f>
        <v>5.9499999999999997E-2</v>
      </c>
      <c r="L22" s="13">
        <f>'Flowers 2016(Final Est.)'!AN19</f>
        <v>0</v>
      </c>
      <c r="M22" s="13">
        <f>'Flowers 2016(Final Est.)'!AO19</f>
        <v>2.1344023199023199</v>
      </c>
      <c r="N22" s="13">
        <f>'Spices 2016 (Final Est.)'!AK18</f>
        <v>18.371000000000002</v>
      </c>
      <c r="O22" s="13">
        <f>'Spices 2016 (Final Est.)'!AL18</f>
        <v>90.26</v>
      </c>
      <c r="P22" s="13">
        <v>0.2</v>
      </c>
      <c r="Q22" s="14">
        <f t="shared" si="0"/>
        <v>127.88650000000001</v>
      </c>
      <c r="R22" s="14">
        <f t="shared" si="1"/>
        <v>1014.0704023199024</v>
      </c>
    </row>
    <row r="23" spans="1:18" s="30" customFormat="1" ht="26.25" customHeight="1" x14ac:dyDescent="0.25">
      <c r="A23" s="29">
        <v>17</v>
      </c>
      <c r="B23" s="16" t="s">
        <v>128</v>
      </c>
      <c r="C23" s="11">
        <f>'Fruits 2016(Final Est.)'!BG19</f>
        <v>55.013999999999996</v>
      </c>
      <c r="D23" s="11">
        <f>'Fruits 2016(Final Est.)'!BH19</f>
        <v>330.28</v>
      </c>
      <c r="E23" s="12">
        <f>'Vegetables 2016 (Final Est)'!AW19</f>
        <v>45.21</v>
      </c>
      <c r="F23" s="12">
        <f>'Vegetables 2016 (Final Est)'!AX19</f>
        <v>179.01999999999998</v>
      </c>
      <c r="G23" s="13">
        <f>'Plantation2016 (Final Est.)'!K19</f>
        <v>10.772</v>
      </c>
      <c r="H23" s="13">
        <f>'Plantation2016 (Final Est.)'!L19</f>
        <v>7.3819999999999997</v>
      </c>
      <c r="I23" s="19">
        <v>1.75</v>
      </c>
      <c r="J23" s="19">
        <v>0.69</v>
      </c>
      <c r="K23" s="13">
        <f>'Flowers 2016(Final Est.)'!AM20</f>
        <v>0.13009999999999999</v>
      </c>
      <c r="L23" s="13">
        <f>'Flowers 2016(Final Est.)'!AN20</f>
        <v>0.56259000000000003</v>
      </c>
      <c r="M23" s="13">
        <f>'Flowers 2016(Final Est.)'!AO20</f>
        <v>0</v>
      </c>
      <c r="N23" s="13">
        <f>'Spices 2016 (Final Est.)'!AK19</f>
        <v>24.567</v>
      </c>
      <c r="O23" s="13">
        <f>'Spices 2016 (Final Est.)'!AL19</f>
        <v>68.89</v>
      </c>
      <c r="P23" s="19">
        <v>0.15</v>
      </c>
      <c r="Q23" s="20">
        <f t="shared" si="0"/>
        <v>137.44309999999999</v>
      </c>
      <c r="R23" s="20">
        <f t="shared" si="1"/>
        <v>586.97458999999992</v>
      </c>
    </row>
    <row r="24" spans="1:18" ht="26.25" customHeight="1" x14ac:dyDescent="0.25">
      <c r="A24" s="29">
        <v>18</v>
      </c>
      <c r="B24" s="22" t="s">
        <v>129</v>
      </c>
      <c r="C24" s="11">
        <f>'Fruits 2016(Final Est.)'!BG20</f>
        <v>37.048999999999999</v>
      </c>
      <c r="D24" s="11">
        <f>'Fruits 2016(Final Est.)'!BH20</f>
        <v>374.13300000000004</v>
      </c>
      <c r="E24" s="12">
        <f>'Vegetables 2016 (Final Est)'!AW20</f>
        <v>43.534000000000006</v>
      </c>
      <c r="F24" s="12">
        <f>'Vegetables 2016 (Final Est)'!AX20</f>
        <v>494.61199999999997</v>
      </c>
      <c r="G24" s="13">
        <f>'Plantation2016 (Final Est.)'!K20</f>
        <v>1.22</v>
      </c>
      <c r="H24" s="13">
        <f>'Plantation2016 (Final Est.)'!L20</f>
        <v>4.68</v>
      </c>
      <c r="I24" s="13">
        <v>0.109</v>
      </c>
      <c r="J24" s="13">
        <v>0.46899999999999997</v>
      </c>
      <c r="K24" s="13">
        <f>'Flowers 2016(Final Est.)'!AM21</f>
        <v>6.9712999999999997E-2</v>
      </c>
      <c r="L24" s="13">
        <f>'Flowers 2016(Final Est.)'!AN21</f>
        <v>0.88702800000000004</v>
      </c>
      <c r="M24" s="13">
        <f>'Flowers 2016(Final Est.)'!AO21</f>
        <v>0.59326296228462894</v>
      </c>
      <c r="N24" s="13">
        <f>'Spices 2016 (Final Est.)'!AK20</f>
        <v>14.994999999999999</v>
      </c>
      <c r="O24" s="13">
        <f>'Spices 2016 (Final Est.)'!AL20</f>
        <v>119.25000000000001</v>
      </c>
      <c r="P24" s="13">
        <v>0.43</v>
      </c>
      <c r="Q24" s="14">
        <f t="shared" si="0"/>
        <v>96.97671299999999</v>
      </c>
      <c r="R24" s="14">
        <f t="shared" si="1"/>
        <v>995.05429096228454</v>
      </c>
    </row>
    <row r="25" spans="1:18" ht="26.25" customHeight="1" x14ac:dyDescent="0.25">
      <c r="A25" s="29">
        <v>19</v>
      </c>
      <c r="B25" s="16" t="s">
        <v>130</v>
      </c>
      <c r="C25" s="11">
        <f>'Fruits 2016(Final Est.)'!BG21</f>
        <v>340.80317000000002</v>
      </c>
      <c r="D25" s="11">
        <f>'Fruits 2016(Final Est.)'!BH21</f>
        <v>2386.9437299999995</v>
      </c>
      <c r="E25" s="12">
        <f>'Vegetables 2016 (Final Est)'!AW21</f>
        <v>652.05083000000002</v>
      </c>
      <c r="F25" s="12">
        <f>'Vegetables 2016 (Final Est)'!AX21</f>
        <v>8755.5096699999995</v>
      </c>
      <c r="G25" s="13">
        <f>'Plantation2016 (Final Est.)'!K21</f>
        <v>233.816</v>
      </c>
      <c r="H25" s="13">
        <f>'Plantation2016 (Final Est.)'!L21</f>
        <v>306.5</v>
      </c>
      <c r="I25" s="13">
        <v>1.9</v>
      </c>
      <c r="J25" s="13">
        <v>0.6</v>
      </c>
      <c r="K25" s="13">
        <f>'Flowers 2016(Final Est.)'!AM22</f>
        <v>6.5582000000000003</v>
      </c>
      <c r="L25" s="13">
        <f>'Flowers 2016(Final Est.)'!AN22</f>
        <v>24.781890000000001</v>
      </c>
      <c r="M25" s="13">
        <f>'Flowers 2016(Final Est.)'!AO22</f>
        <v>29.416</v>
      </c>
      <c r="N25" s="13">
        <f>'Spices 2016 (Final Est.)'!AK21</f>
        <v>123.32400000000001</v>
      </c>
      <c r="O25" s="13">
        <f>'Spices 2016 (Final Est.)'!AL21</f>
        <v>181.5</v>
      </c>
      <c r="P25" s="13">
        <v>1</v>
      </c>
      <c r="Q25" s="14">
        <f t="shared" si="0"/>
        <v>1358.4522000000002</v>
      </c>
      <c r="R25" s="14">
        <f t="shared" si="1"/>
        <v>11686.251289999998</v>
      </c>
    </row>
    <row r="26" spans="1:18" ht="26.25" customHeight="1" x14ac:dyDescent="0.25">
      <c r="A26" s="29">
        <v>20</v>
      </c>
      <c r="B26" s="16" t="s">
        <v>131</v>
      </c>
      <c r="C26" s="11">
        <f>'Fruits 2016(Final Est.)'!BG22</f>
        <v>85.457999999999998</v>
      </c>
      <c r="D26" s="11">
        <f>'Fruits 2016(Final Est.)'!BH22</f>
        <v>1790.9369999999997</v>
      </c>
      <c r="E26" s="12">
        <f>'Vegetables 2016 (Final Est)'!AW22</f>
        <v>213.90099999999998</v>
      </c>
      <c r="F26" s="12">
        <f>'Vegetables 2016 (Final Est)'!AX22</f>
        <v>4301.6290000000008</v>
      </c>
      <c r="G26" s="13">
        <f>'Plantation2016 (Final Est.)'!K22</f>
        <v>0</v>
      </c>
      <c r="H26" s="13">
        <f>'Plantation2016 (Final Est.)'!L22</f>
        <v>0</v>
      </c>
      <c r="I26" s="13">
        <v>12.455</v>
      </c>
      <c r="J26" s="13">
        <v>2.3580000000000001</v>
      </c>
      <c r="K26" s="13">
        <f>'Flowers 2016(Final Est.)'!AM23</f>
        <v>2</v>
      </c>
      <c r="L26" s="13">
        <f>'Flowers 2016(Final Est.)'!AN23</f>
        <v>12.46</v>
      </c>
      <c r="M26" s="13">
        <f>'Flowers 2016(Final Est.)'!AO23</f>
        <v>0</v>
      </c>
      <c r="N26" s="13">
        <f>'Spices 2016 (Final Est.)'!AK22</f>
        <v>31.33</v>
      </c>
      <c r="O26" s="13">
        <f>'Spices 2016 (Final Est.)'!AL22</f>
        <v>98.88</v>
      </c>
      <c r="P26" s="13">
        <v>14.9</v>
      </c>
      <c r="Q26" s="14">
        <f t="shared" si="0"/>
        <v>345.14399999999995</v>
      </c>
      <c r="R26" s="14">
        <f t="shared" si="1"/>
        <v>6221.1640000000007</v>
      </c>
    </row>
    <row r="27" spans="1:18" ht="26.25" customHeight="1" x14ac:dyDescent="0.25">
      <c r="A27" s="29">
        <v>21</v>
      </c>
      <c r="B27" s="16" t="s">
        <v>151</v>
      </c>
      <c r="C27" s="11">
        <f>'Fruits 2016(Final Est.)'!BG23</f>
        <v>43.265999999999998</v>
      </c>
      <c r="D27" s="11">
        <f>'Fruits 2016(Final Est.)'!BH23</f>
        <v>681.56999999999994</v>
      </c>
      <c r="E27" s="12">
        <f>'Vegetables 2016 (Final Est)'!AW23</f>
        <v>190.73299999999998</v>
      </c>
      <c r="F27" s="12">
        <f>'Vegetables 2016 (Final Est)'!AX23</f>
        <v>1986.7310000000002</v>
      </c>
      <c r="G27" s="13">
        <f>'Plantation2016 (Final Est.)'!K23</f>
        <v>0</v>
      </c>
      <c r="H27" s="13">
        <f>'Plantation2016 (Final Est.)'!L23</f>
        <v>0</v>
      </c>
      <c r="I27" s="13">
        <f>41.716+327.897</f>
        <v>369.613</v>
      </c>
      <c r="J27" s="13">
        <f>25.126+161.657</f>
        <v>186.78300000000002</v>
      </c>
      <c r="K27" s="13">
        <f>'Flowers 2016(Final Est.)'!AM24</f>
        <v>3.331</v>
      </c>
      <c r="L27" s="13">
        <f>'Flowers 2016(Final Est.)'!AN24</f>
        <v>5.8520000000000003</v>
      </c>
      <c r="M27" s="13">
        <f>'Flowers 2016(Final Est.)'!AO24</f>
        <v>0</v>
      </c>
      <c r="N27" s="13">
        <f>'Spices 2016 (Final Est.)'!AK23</f>
        <v>1014.55</v>
      </c>
      <c r="O27" s="13">
        <f>'Spices 2016 (Final Est.)'!AL23</f>
        <v>1056.17</v>
      </c>
      <c r="P27" s="13">
        <v>4.5999999999999996</v>
      </c>
      <c r="Q27" s="14">
        <f t="shared" si="0"/>
        <v>1621.4929999999999</v>
      </c>
      <c r="R27" s="14">
        <f t="shared" si="1"/>
        <v>3921.7060000000001</v>
      </c>
    </row>
    <row r="28" spans="1:18" ht="26.25" customHeight="1" x14ac:dyDescent="0.25">
      <c r="A28" s="29">
        <v>22</v>
      </c>
      <c r="B28" s="16" t="s">
        <v>133</v>
      </c>
      <c r="C28" s="11">
        <f>'Fruits 2016(Final Est.)'!BG24</f>
        <v>17.531000000000002</v>
      </c>
      <c r="D28" s="11">
        <f>'Fruits 2016(Final Est.)'!BH24</f>
        <v>23.478000000000002</v>
      </c>
      <c r="E28" s="12">
        <f>'Vegetables 2016 (Final Est)'!AW24</f>
        <v>20.25</v>
      </c>
      <c r="F28" s="12">
        <f>'Vegetables 2016 (Final Est)'!AX24</f>
        <v>106.93600000000001</v>
      </c>
      <c r="G28" s="13">
        <f>'Plantation2016 (Final Est.)'!K24</f>
        <v>0</v>
      </c>
      <c r="H28" s="13">
        <f>'Plantation2016 (Final Est.)'!L24</f>
        <v>0</v>
      </c>
      <c r="I28" s="13">
        <v>0</v>
      </c>
      <c r="J28" s="13">
        <v>0</v>
      </c>
      <c r="K28" s="13">
        <f>'Flowers 2016(Final Est.)'!AM25</f>
        <v>0.24199999999999999</v>
      </c>
      <c r="L28" s="13">
        <f>'Flowers 2016(Final Est.)'!AN25</f>
        <v>16.5</v>
      </c>
      <c r="M28" s="13">
        <f>'Flowers 2016(Final Est.)'!AO25</f>
        <v>8.6061738141454264E-2</v>
      </c>
      <c r="N28" s="13">
        <f>'Spices 2016 (Final Est.)'!AK24</f>
        <v>29.46</v>
      </c>
      <c r="O28" s="13">
        <f>'Spices 2016 (Final Est.)'!AL24</f>
        <v>64.78</v>
      </c>
      <c r="P28" s="13">
        <v>0.32</v>
      </c>
      <c r="Q28" s="14">
        <f t="shared" si="0"/>
        <v>67.483000000000004</v>
      </c>
      <c r="R28" s="14">
        <f t="shared" si="1"/>
        <v>212.10006173814148</v>
      </c>
    </row>
    <row r="29" spans="1:18" ht="26.25" customHeight="1" x14ac:dyDescent="0.25">
      <c r="A29" s="29">
        <v>23</v>
      </c>
      <c r="B29" s="16" t="s">
        <v>134</v>
      </c>
      <c r="C29" s="11">
        <f>'Fruits 2016(Final Est.)'!BG25</f>
        <v>274.85000000000002</v>
      </c>
      <c r="D29" s="11">
        <f>'Fruits 2016(Final Est.)'!BH25</f>
        <v>6635.0959999999986</v>
      </c>
      <c r="E29" s="12">
        <f>'Vegetables 2016 (Final Est)'!AW25</f>
        <v>271.27600000000001</v>
      </c>
      <c r="F29" s="12">
        <f>'Vegetables 2016 (Final Est)'!AX25</f>
        <v>6976.1489999999994</v>
      </c>
      <c r="G29" s="13">
        <f>'Plantation2016 (Final Est.)'!K25</f>
        <v>635.96500000000003</v>
      </c>
      <c r="H29" s="13">
        <f>'Plantation2016 (Final Est.)'!L25</f>
        <v>4316.41</v>
      </c>
      <c r="I29" s="13">
        <f>2.998+12.015</f>
        <v>15.013000000000002</v>
      </c>
      <c r="J29" s="13">
        <f>153.115+86.995</f>
        <v>240.11</v>
      </c>
      <c r="K29" s="13">
        <f>'Flowers 2016(Final Est.)'!AM26</f>
        <v>30.588000000000001</v>
      </c>
      <c r="L29" s="13">
        <f>'Flowers 2016(Final Est.)'!AN26</f>
        <v>422.43900000000002</v>
      </c>
      <c r="M29" s="13">
        <f>'Flowers 2016(Final Est.)'!AO26</f>
        <v>15.303931623931625</v>
      </c>
      <c r="N29" s="13">
        <f>'Spices 2016 (Final Est.)'!AK25</f>
        <v>113.11199999999999</v>
      </c>
      <c r="O29" s="13">
        <f>'Spices 2016 (Final Est.)'!AL25</f>
        <v>212.51000000000002</v>
      </c>
      <c r="P29" s="13">
        <v>1.5</v>
      </c>
      <c r="Q29" s="14">
        <f t="shared" si="0"/>
        <v>1340.8039999999999</v>
      </c>
      <c r="R29" s="14">
        <f t="shared" si="1"/>
        <v>18819.517931623926</v>
      </c>
    </row>
    <row r="30" spans="1:18" ht="26.25" customHeight="1" x14ac:dyDescent="0.25">
      <c r="A30" s="29">
        <v>24</v>
      </c>
      <c r="B30" s="34" t="s">
        <v>135</v>
      </c>
      <c r="C30" s="11">
        <f>'Fruits 2016(Final Est.)'!BG26</f>
        <v>331.48599999999993</v>
      </c>
      <c r="D30" s="11">
        <f>'Fruits 2016(Final Est.)'!BH26</f>
        <v>4319.8673000000008</v>
      </c>
      <c r="E30" s="12">
        <f>'Vegetables 2016 (Final Est)'!AW26</f>
        <v>171.79999999999998</v>
      </c>
      <c r="F30" s="12">
        <f>'Vegetables 2016 (Final Est)'!AX26</f>
        <v>3195.4399999999996</v>
      </c>
      <c r="G30" s="13">
        <f>'Plantation2016 (Final Est.)'!K26</f>
        <v>0.48</v>
      </c>
      <c r="H30" s="13">
        <f>'Plantation2016 (Final Est.)'!L26</f>
        <v>0.01</v>
      </c>
      <c r="I30" s="13">
        <v>0.01</v>
      </c>
      <c r="J30" s="13">
        <v>3.2000000000000001E-2</v>
      </c>
      <c r="K30" s="13">
        <f>'Flowers 2016(Final Est.)'!AM27</f>
        <v>3.7129999999999996</v>
      </c>
      <c r="L30" s="13">
        <f>'Flowers 2016(Final Est.)'!AN27</f>
        <v>13.98</v>
      </c>
      <c r="M30" s="13">
        <f>'Flowers 2016(Final Est.)'!AO27</f>
        <v>3.3707142857142856</v>
      </c>
      <c r="N30" s="13">
        <f>'Spices 2016 (Final Est.)'!AK26</f>
        <v>128.88800000000001</v>
      </c>
      <c r="O30" s="13">
        <f>'Spices 2016 (Final Est.)'!AL26</f>
        <v>443.41</v>
      </c>
      <c r="P30" s="13">
        <v>0</v>
      </c>
      <c r="Q30" s="14">
        <f t="shared" si="0"/>
        <v>636.37699999999995</v>
      </c>
      <c r="R30" s="14">
        <f t="shared" si="1"/>
        <v>7976.1100142857149</v>
      </c>
    </row>
    <row r="31" spans="1:18" ht="26.25" customHeight="1" x14ac:dyDescent="0.25">
      <c r="A31" s="29">
        <v>25</v>
      </c>
      <c r="B31" s="16" t="s">
        <v>136</v>
      </c>
      <c r="C31" s="11">
        <f>'Fruits 2016(Final Est.)'!BG27</f>
        <v>75.742999999999981</v>
      </c>
      <c r="D31" s="11">
        <f>'Fruits 2016(Final Est.)'!BH27</f>
        <v>854.04800000000012</v>
      </c>
      <c r="E31" s="12">
        <f>'Vegetables 2016 (Final Est)'!AW27</f>
        <v>46.480999999999995</v>
      </c>
      <c r="F31" s="12">
        <f>'Vegetables 2016 (Final Est)'!AX27</f>
        <v>793.24300000000017</v>
      </c>
      <c r="G31" s="13">
        <f>'Plantation2016 (Final Est.)'!K27</f>
        <v>16.152000000000001</v>
      </c>
      <c r="H31" s="13">
        <f>'Plantation2016 (Final Est.)'!L27</f>
        <v>33.229999999999997</v>
      </c>
      <c r="I31" s="13">
        <v>0</v>
      </c>
      <c r="J31" s="13">
        <v>0</v>
      </c>
      <c r="K31" s="13">
        <f>'Flowers 2016(Final Est.)'!AM28</f>
        <v>0</v>
      </c>
      <c r="L31" s="13">
        <f>'Flowers 2016(Final Est.)'!AN28</f>
        <v>0</v>
      </c>
      <c r="M31" s="13">
        <f>'Flowers 2016(Final Est.)'!AO28</f>
        <v>0</v>
      </c>
      <c r="N31" s="13">
        <f>'Spices 2016 (Final Est.)'!AK27</f>
        <v>5.69</v>
      </c>
      <c r="O31" s="13">
        <f>'Spices 2016 (Final Est.)'!AL27</f>
        <v>18.04</v>
      </c>
      <c r="P31" s="13">
        <v>0</v>
      </c>
      <c r="Q31" s="14">
        <f t="shared" si="0"/>
        <v>144.06599999999997</v>
      </c>
      <c r="R31" s="14">
        <f t="shared" si="1"/>
        <v>1698.5610000000001</v>
      </c>
    </row>
    <row r="32" spans="1:18" ht="26.25" customHeight="1" x14ac:dyDescent="0.25">
      <c r="A32" s="29">
        <v>26</v>
      </c>
      <c r="B32" s="16" t="s">
        <v>137</v>
      </c>
      <c r="C32" s="11">
        <f>'Fruits 2016(Final Est.)'!BG28</f>
        <v>468.89200000000005</v>
      </c>
      <c r="D32" s="11">
        <f>'Fruits 2016(Final Est.)'!BH28</f>
        <v>10296.144</v>
      </c>
      <c r="E32" s="12">
        <f>'Vegetables 2016 (Final Est)'!AW28</f>
        <v>1379.114</v>
      </c>
      <c r="F32" s="12">
        <f>'Vegetables 2016 (Final Est)'!AX28</f>
        <v>26250.998</v>
      </c>
      <c r="G32" s="13">
        <f>'Plantation2016 (Final Est.)'!K28</f>
        <v>0</v>
      </c>
      <c r="H32" s="13">
        <f>'Plantation2016 (Final Est.)'!L28</f>
        <v>0</v>
      </c>
      <c r="I32" s="13">
        <v>133.69999999999999</v>
      </c>
      <c r="J32" s="13">
        <v>13.4</v>
      </c>
      <c r="K32" s="13">
        <f>'Flowers 2016(Final Est.)'!AM29</f>
        <v>17.201999999999998</v>
      </c>
      <c r="L32" s="13">
        <f>'Flowers 2016(Final Est.)'!AN29</f>
        <v>34.314</v>
      </c>
      <c r="M32" s="13">
        <f>'Flowers 2016(Final Est.)'!AO29</f>
        <v>4.6874999999999998E-4</v>
      </c>
      <c r="N32" s="13">
        <f>'Spices 2016 (Final Est.)'!AK28</f>
        <v>58.594000000000001</v>
      </c>
      <c r="O32" s="13">
        <f>'Spices 2016 (Final Est.)'!AL28</f>
        <v>217.67000000000002</v>
      </c>
      <c r="P32" s="13">
        <v>15</v>
      </c>
      <c r="Q32" s="14">
        <f t="shared" si="0"/>
        <v>2057.502</v>
      </c>
      <c r="R32" s="14">
        <f t="shared" si="1"/>
        <v>36827.526468749995</v>
      </c>
    </row>
    <row r="33" spans="1:18" ht="26.25" customHeight="1" x14ac:dyDescent="0.25">
      <c r="A33" s="29">
        <v>27</v>
      </c>
      <c r="B33" s="16" t="s">
        <v>138</v>
      </c>
      <c r="C33" s="11">
        <f>'Fruits 2016(Final Est.)'!BG29</f>
        <v>175.33099999999999</v>
      </c>
      <c r="D33" s="11">
        <f>'Fruits 2016(Final Est.)'!BH29</f>
        <v>659.09500000000003</v>
      </c>
      <c r="E33" s="12">
        <f>'Vegetables 2016 (Final Est)'!AW29</f>
        <v>89.835000000000008</v>
      </c>
      <c r="F33" s="12">
        <f>'Vegetables 2016 (Final Est)'!AX29</f>
        <v>945.36300000000006</v>
      </c>
      <c r="G33" s="13">
        <f>'Plantation2016 (Final Est.)'!K29</f>
        <v>0</v>
      </c>
      <c r="H33" s="13">
        <f>'Plantation2016 (Final Est.)'!L29</f>
        <v>0</v>
      </c>
      <c r="I33" s="13">
        <v>0</v>
      </c>
      <c r="J33" s="13">
        <v>0</v>
      </c>
      <c r="K33" s="13">
        <f>'Flowers 2016(Final Est.)'!AM30</f>
        <v>1.5379999999999998</v>
      </c>
      <c r="L33" s="13">
        <f>'Flowers 2016(Final Est.)'!AN30</f>
        <v>1.7489999999999999</v>
      </c>
      <c r="M33" s="13">
        <f>'Flowers 2016(Final Est.)'!AO30</f>
        <v>13.521349206349207</v>
      </c>
      <c r="N33" s="13">
        <f>'Spices 2016 (Final Est.)'!AK29</f>
        <v>14.545000000000002</v>
      </c>
      <c r="O33" s="13">
        <f>'Spices 2016 (Final Est.)'!AL29</f>
        <v>36.889999999999993</v>
      </c>
      <c r="P33" s="13">
        <v>2.1</v>
      </c>
      <c r="Q33" s="14">
        <f t="shared" si="0"/>
        <v>281.24900000000002</v>
      </c>
      <c r="R33" s="14">
        <f t="shared" si="1"/>
        <v>1658.7183492063493</v>
      </c>
    </row>
    <row r="34" spans="1:18" ht="26.25" customHeight="1" x14ac:dyDescent="0.25">
      <c r="A34" s="29">
        <v>28</v>
      </c>
      <c r="B34" s="16" t="s">
        <v>139</v>
      </c>
      <c r="C34" s="11">
        <f>'Fruits 2016(Final Est.)'!BG30</f>
        <v>249.22299999999996</v>
      </c>
      <c r="D34" s="11">
        <f>'Fruits 2016(Final Est.)'!BH30</f>
        <v>3516.7049999999995</v>
      </c>
      <c r="E34" s="12">
        <f>'Vegetables 2016 (Final Est)'!AW30</f>
        <v>1391.415</v>
      </c>
      <c r="F34" s="12">
        <f>'Vegetables 2016 (Final Est)'!AX30</f>
        <v>22825.448</v>
      </c>
      <c r="G34" s="13">
        <f>'Plantation2016 (Final Est.)'!K30</f>
        <v>52.393000000000001</v>
      </c>
      <c r="H34" s="13">
        <f>'Plantation2016 (Final Est.)'!L30</f>
        <v>291.77</v>
      </c>
      <c r="I34" s="13">
        <v>0</v>
      </c>
      <c r="J34" s="13">
        <v>0</v>
      </c>
      <c r="K34" s="13">
        <f>'Flowers 2016(Final Est.)'!AM31</f>
        <v>25.629000000000001</v>
      </c>
      <c r="L34" s="13">
        <f>'Flowers 2016(Final Est.)'!AN31</f>
        <v>69.623000000000005</v>
      </c>
      <c r="M34" s="13">
        <f>'Flowers 2016(Final Est.)'!AO31</f>
        <v>197.10566239316239</v>
      </c>
      <c r="N34" s="13">
        <f>'Spices 2016 (Final Est.)'!AK30</f>
        <v>118.253</v>
      </c>
      <c r="O34" s="13">
        <f>'Spices 2016 (Final Est.)'!AL30</f>
        <v>329.9</v>
      </c>
      <c r="P34" s="13">
        <v>15.6</v>
      </c>
      <c r="Q34" s="14">
        <f t="shared" si="0"/>
        <v>1836.9129999999998</v>
      </c>
      <c r="R34" s="14">
        <f t="shared" si="1"/>
        <v>27246.15166239316</v>
      </c>
    </row>
    <row r="35" spans="1:18" ht="26.25" customHeight="1" x14ac:dyDescent="0.25">
      <c r="A35" s="29">
        <v>29</v>
      </c>
      <c r="B35" s="16" t="s">
        <v>207</v>
      </c>
      <c r="C35" s="11">
        <f>'Fruits 2016(Final Est.)'!BG31</f>
        <v>18.278999999999996</v>
      </c>
      <c r="D35" s="11">
        <f>'Fruits 2016(Final Est.)'!BH31</f>
        <v>143.15600000000001</v>
      </c>
      <c r="E35" s="12">
        <f>'Vegetables 2016 (Final Est)'!AW31</f>
        <v>38.436999999999998</v>
      </c>
      <c r="F35" s="12">
        <f>'Vegetables 2016 (Final Est)'!AX31</f>
        <v>505.80499999999995</v>
      </c>
      <c r="G35" s="13">
        <f>'Plantation2016 (Final Est.)'!K31</f>
        <v>122.65699999999998</v>
      </c>
      <c r="H35" s="13">
        <f>'Plantation2016 (Final Est.)'!L31</f>
        <v>306.37216853375901</v>
      </c>
      <c r="I35" s="13">
        <v>1.2E-2</v>
      </c>
      <c r="J35" s="13">
        <v>1.2E-2</v>
      </c>
      <c r="K35" s="13">
        <f>'Flowers 2016(Final Est.)'!AM32</f>
        <v>0.33589999999999998</v>
      </c>
      <c r="L35" s="13">
        <f>'Flowers 2016(Final Est.)'!AN32</f>
        <v>1.3549999999999998</v>
      </c>
      <c r="M35" s="13">
        <f>'Flowers 2016(Final Est.)'!AO32</f>
        <v>0.47166666666666668</v>
      </c>
      <c r="N35" s="13">
        <f>'Spices 2016 (Final Est.)'!AK31</f>
        <v>2.7159999999999997</v>
      </c>
      <c r="O35" s="13">
        <f>'Spices 2016 (Final Est.)'!AL31</f>
        <v>3.8209999999999997</v>
      </c>
      <c r="P35" s="13">
        <v>1.2</v>
      </c>
      <c r="Q35" s="14">
        <f t="shared" si="0"/>
        <v>182.43690000000001</v>
      </c>
      <c r="R35" s="14">
        <f t="shared" si="1"/>
        <v>962.19283520042575</v>
      </c>
    </row>
    <row r="36" spans="1:18" ht="26.25" customHeight="1" x14ac:dyDescent="0.25">
      <c r="A36" s="177" t="s">
        <v>103</v>
      </c>
      <c r="B36" s="177"/>
      <c r="C36" s="17">
        <f>SUM(C7:C35)</f>
        <v>6300.6671699999988</v>
      </c>
      <c r="D36" s="17">
        <f t="shared" ref="D36:Q36" si="2">SUM(D7:D35)</f>
        <v>90183.038455000002</v>
      </c>
      <c r="E36" s="54">
        <f>'Vegetables 2016 (Final Est)'!AW32</f>
        <v>10106.293529999997</v>
      </c>
      <c r="F36" s="54">
        <f>'Vegetables 2016 (Final Est)'!AX32</f>
        <v>169063.93445</v>
      </c>
      <c r="G36" s="17">
        <f t="shared" si="2"/>
        <v>3679.6660000000002</v>
      </c>
      <c r="H36" s="17">
        <f t="shared" si="2"/>
        <v>16658.293568533762</v>
      </c>
      <c r="I36" s="17">
        <f>SUM(I7:I35)</f>
        <v>633.94299999999987</v>
      </c>
      <c r="J36" s="17">
        <f>SUM(J7:J35)</f>
        <v>1022.450192</v>
      </c>
      <c r="K36" s="17">
        <f t="shared" si="2"/>
        <v>277.570943</v>
      </c>
      <c r="L36" s="17">
        <f t="shared" si="2"/>
        <v>1656.2398180000005</v>
      </c>
      <c r="M36" s="17">
        <f t="shared" si="2"/>
        <v>527.67249376849702</v>
      </c>
      <c r="N36" s="17">
        <f t="shared" si="2"/>
        <v>3473.5340000000001</v>
      </c>
      <c r="O36" s="17">
        <f t="shared" si="2"/>
        <v>6988.4709999999995</v>
      </c>
      <c r="P36" s="17">
        <f>SUM(P7:P35)</f>
        <v>87.616</v>
      </c>
      <c r="Q36" s="17">
        <f t="shared" si="2"/>
        <v>24471.674642999998</v>
      </c>
      <c r="R36" s="17">
        <f>SUM(R7:R35)</f>
        <v>286187.71597730223</v>
      </c>
    </row>
    <row r="39" spans="1:18" x14ac:dyDescent="0.25">
      <c r="D39" s="155"/>
    </row>
  </sheetData>
  <mergeCells count="14">
    <mergeCell ref="K4:M4"/>
    <mergeCell ref="N4:O4"/>
    <mergeCell ref="A36:B36"/>
    <mergeCell ref="A4:A5"/>
    <mergeCell ref="A1:R1"/>
    <mergeCell ref="A2:R2"/>
    <mergeCell ref="A3:R3"/>
    <mergeCell ref="Q4:R4"/>
    <mergeCell ref="L5:M5"/>
    <mergeCell ref="B4:B5"/>
    <mergeCell ref="C4:D4"/>
    <mergeCell ref="E4:F4"/>
    <mergeCell ref="G4:H4"/>
    <mergeCell ref="I4:J4"/>
  </mergeCells>
  <pageMargins left="0.25" right="0.2" top="0.46" bottom="0.3" header="0.26" footer="0.16"/>
  <pageSetup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4"/>
  <sheetViews>
    <sheetView zoomScaleNormal="100" zoomScaleSheetLayoutView="100" workbookViewId="0">
      <pane xSplit="2" ySplit="1" topLeftCell="AU26" activePane="bottomRight" state="frozen"/>
      <selection pane="topRight" activeCell="C1" sqref="C1"/>
      <selection pane="bottomLeft" activeCell="A2" sqref="A2"/>
      <selection pane="bottomRight" activeCell="A33" sqref="A33:B34"/>
    </sheetView>
  </sheetViews>
  <sheetFormatPr defaultColWidth="27.5703125" defaultRowHeight="15.75" x14ac:dyDescent="0.25"/>
  <cols>
    <col min="1" max="1" width="7.28515625" style="92" customWidth="1"/>
    <col min="2" max="2" width="25.140625" style="83" customWidth="1"/>
    <col min="3" max="14" width="10.85546875" style="83" customWidth="1"/>
    <col min="15" max="24" width="9.7109375" style="83" customWidth="1"/>
    <col min="25" max="25" width="10.85546875" style="83" customWidth="1"/>
    <col min="26" max="26" width="10.28515625" style="83" customWidth="1"/>
    <col min="27" max="27" width="10.42578125" style="83" customWidth="1"/>
    <col min="28" max="28" width="11.7109375" style="83" customWidth="1"/>
    <col min="29" max="29" width="12.5703125" style="83" customWidth="1"/>
    <col min="30" max="30" width="10.5703125" style="83" customWidth="1"/>
    <col min="31" max="31" width="10.42578125" style="83" customWidth="1"/>
    <col min="32" max="32" width="10.85546875" style="83" customWidth="1"/>
    <col min="33" max="33" width="10.5703125" style="83" customWidth="1"/>
    <col min="34" max="34" width="10.42578125" style="83" customWidth="1"/>
    <col min="35" max="52" width="9.7109375" style="83" customWidth="1"/>
    <col min="53" max="53" width="12.140625" style="83" customWidth="1"/>
    <col min="54" max="54" width="14.85546875" style="83" customWidth="1"/>
    <col min="55" max="55" width="14.42578125" style="83" customWidth="1"/>
    <col min="56" max="56" width="15.140625" style="83" customWidth="1"/>
    <col min="57" max="57" width="14.28515625" style="83" customWidth="1"/>
    <col min="58" max="58" width="13.42578125" style="83" customWidth="1"/>
    <col min="59" max="59" width="14.28515625" style="83" customWidth="1"/>
    <col min="60" max="60" width="13.5703125" style="83" customWidth="1"/>
    <col min="61" max="61" width="1.28515625" style="83" customWidth="1"/>
    <col min="62" max="235" width="9.140625" style="83" customWidth="1"/>
    <col min="236" max="236" width="6.140625" style="83" bestFit="1" customWidth="1"/>
    <col min="237" max="16384" width="27.5703125" style="83"/>
  </cols>
  <sheetData>
    <row r="1" spans="1:63" s="79" customFormat="1" ht="31.5" customHeight="1" x14ac:dyDescent="0.25">
      <c r="A1" s="182" t="s">
        <v>248</v>
      </c>
      <c r="B1" s="183" t="s">
        <v>104</v>
      </c>
      <c r="C1" s="180" t="s">
        <v>152</v>
      </c>
      <c r="D1" s="180"/>
      <c r="E1" s="185" t="s">
        <v>153</v>
      </c>
      <c r="F1" s="180"/>
      <c r="G1" s="180" t="s">
        <v>154</v>
      </c>
      <c r="H1" s="180"/>
      <c r="I1" s="180" t="s">
        <v>155</v>
      </c>
      <c r="J1" s="180"/>
      <c r="K1" s="180" t="s">
        <v>156</v>
      </c>
      <c r="L1" s="180"/>
      <c r="M1" s="180" t="s">
        <v>157</v>
      </c>
      <c r="N1" s="180"/>
      <c r="O1" s="181" t="s">
        <v>158</v>
      </c>
      <c r="P1" s="181"/>
      <c r="Q1" s="180" t="s">
        <v>159</v>
      </c>
      <c r="R1" s="180"/>
      <c r="S1" s="180" t="s">
        <v>160</v>
      </c>
      <c r="T1" s="180"/>
      <c r="U1" s="180" t="s">
        <v>161</v>
      </c>
      <c r="V1" s="180"/>
      <c r="W1" s="180" t="s">
        <v>162</v>
      </c>
      <c r="X1" s="180"/>
      <c r="Y1" s="180" t="s">
        <v>163</v>
      </c>
      <c r="Z1" s="180"/>
      <c r="AA1" s="180" t="s">
        <v>164</v>
      </c>
      <c r="AB1" s="180"/>
      <c r="AC1" s="180" t="s">
        <v>194</v>
      </c>
      <c r="AD1" s="180"/>
      <c r="AE1" s="180" t="s">
        <v>165</v>
      </c>
      <c r="AF1" s="180"/>
      <c r="AG1" s="180" t="s">
        <v>166</v>
      </c>
      <c r="AH1" s="180"/>
      <c r="AI1" s="180" t="s">
        <v>167</v>
      </c>
      <c r="AJ1" s="180"/>
      <c r="AK1" s="180" t="s">
        <v>168</v>
      </c>
      <c r="AL1" s="180"/>
      <c r="AM1" s="180" t="s">
        <v>169</v>
      </c>
      <c r="AN1" s="180"/>
      <c r="AO1" s="180" t="s">
        <v>170</v>
      </c>
      <c r="AP1" s="180"/>
      <c r="AQ1" s="180" t="s">
        <v>171</v>
      </c>
      <c r="AR1" s="180"/>
      <c r="AS1" s="180" t="s">
        <v>172</v>
      </c>
      <c r="AT1" s="180"/>
      <c r="AU1" s="180" t="s">
        <v>173</v>
      </c>
      <c r="AV1" s="180"/>
      <c r="AW1" s="180" t="s">
        <v>174</v>
      </c>
      <c r="AX1" s="180"/>
      <c r="AY1" s="180" t="s">
        <v>175</v>
      </c>
      <c r="AZ1" s="180"/>
      <c r="BA1" s="180" t="s">
        <v>176</v>
      </c>
      <c r="BB1" s="180"/>
      <c r="BC1" s="180" t="s">
        <v>205</v>
      </c>
      <c r="BD1" s="180"/>
      <c r="BE1" s="180" t="s">
        <v>177</v>
      </c>
      <c r="BF1" s="180"/>
      <c r="BG1" s="180" t="s">
        <v>178</v>
      </c>
      <c r="BH1" s="180"/>
    </row>
    <row r="2" spans="1:63" s="79" customFormat="1" x14ac:dyDescent="0.25">
      <c r="A2" s="182"/>
      <c r="B2" s="184"/>
      <c r="C2" s="80" t="s">
        <v>110</v>
      </c>
      <c r="D2" s="80" t="s">
        <v>111</v>
      </c>
      <c r="E2" s="80" t="s">
        <v>110</v>
      </c>
      <c r="F2" s="80" t="s">
        <v>111</v>
      </c>
      <c r="G2" s="80" t="s">
        <v>110</v>
      </c>
      <c r="H2" s="80" t="s">
        <v>111</v>
      </c>
      <c r="I2" s="80" t="s">
        <v>110</v>
      </c>
      <c r="J2" s="80" t="s">
        <v>111</v>
      </c>
      <c r="K2" s="80" t="s">
        <v>110</v>
      </c>
      <c r="L2" s="80" t="s">
        <v>111</v>
      </c>
      <c r="M2" s="80" t="s">
        <v>110</v>
      </c>
      <c r="N2" s="80" t="s">
        <v>111</v>
      </c>
      <c r="O2" s="80" t="s">
        <v>110</v>
      </c>
      <c r="P2" s="80" t="s">
        <v>111</v>
      </c>
      <c r="Q2" s="80" t="s">
        <v>110</v>
      </c>
      <c r="R2" s="80" t="s">
        <v>111</v>
      </c>
      <c r="S2" s="80" t="s">
        <v>110</v>
      </c>
      <c r="T2" s="80" t="s">
        <v>111</v>
      </c>
      <c r="U2" s="80" t="s">
        <v>110</v>
      </c>
      <c r="V2" s="80" t="s">
        <v>111</v>
      </c>
      <c r="W2" s="80" t="s">
        <v>110</v>
      </c>
      <c r="X2" s="80" t="s">
        <v>111</v>
      </c>
      <c r="Y2" s="80" t="s">
        <v>110</v>
      </c>
      <c r="Z2" s="80" t="s">
        <v>111</v>
      </c>
      <c r="AA2" s="80" t="s">
        <v>110</v>
      </c>
      <c r="AB2" s="80" t="s">
        <v>111</v>
      </c>
      <c r="AC2" s="80" t="s">
        <v>110</v>
      </c>
      <c r="AD2" s="80" t="s">
        <v>111</v>
      </c>
      <c r="AE2" s="80" t="s">
        <v>110</v>
      </c>
      <c r="AF2" s="80" t="s">
        <v>111</v>
      </c>
      <c r="AG2" s="80" t="s">
        <v>110</v>
      </c>
      <c r="AH2" s="80" t="s">
        <v>111</v>
      </c>
      <c r="AI2" s="80" t="s">
        <v>110</v>
      </c>
      <c r="AJ2" s="80" t="s">
        <v>111</v>
      </c>
      <c r="AK2" s="80" t="s">
        <v>110</v>
      </c>
      <c r="AL2" s="80" t="s">
        <v>111</v>
      </c>
      <c r="AM2" s="80" t="s">
        <v>110</v>
      </c>
      <c r="AN2" s="80" t="s">
        <v>111</v>
      </c>
      <c r="AO2" s="80" t="s">
        <v>110</v>
      </c>
      <c r="AP2" s="80" t="s">
        <v>111</v>
      </c>
      <c r="AQ2" s="80" t="s">
        <v>110</v>
      </c>
      <c r="AR2" s="80" t="s">
        <v>111</v>
      </c>
      <c r="AS2" s="80" t="s">
        <v>110</v>
      </c>
      <c r="AT2" s="80" t="s">
        <v>111</v>
      </c>
      <c r="AU2" s="80" t="s">
        <v>110</v>
      </c>
      <c r="AV2" s="80" t="s">
        <v>111</v>
      </c>
      <c r="AW2" s="80" t="s">
        <v>110</v>
      </c>
      <c r="AX2" s="80" t="s">
        <v>111</v>
      </c>
      <c r="AY2" s="80" t="s">
        <v>110</v>
      </c>
      <c r="AZ2" s="80" t="s">
        <v>111</v>
      </c>
      <c r="BA2" s="80" t="s">
        <v>110</v>
      </c>
      <c r="BB2" s="80" t="s">
        <v>111</v>
      </c>
      <c r="BC2" s="80" t="s">
        <v>110</v>
      </c>
      <c r="BD2" s="80" t="s">
        <v>111</v>
      </c>
      <c r="BE2" s="80" t="s">
        <v>110</v>
      </c>
      <c r="BF2" s="80" t="s">
        <v>111</v>
      </c>
      <c r="BG2" s="80" t="s">
        <v>110</v>
      </c>
      <c r="BH2" s="80" t="s">
        <v>111</v>
      </c>
    </row>
    <row r="3" spans="1:63" ht="23.25" customHeight="1" x14ac:dyDescent="0.25">
      <c r="A3" s="81">
        <v>1</v>
      </c>
      <c r="B3" s="56" t="s">
        <v>112</v>
      </c>
      <c r="C3" s="51"/>
      <c r="D3" s="51"/>
      <c r="E3" s="51">
        <v>0.99399999999999999</v>
      </c>
      <c r="F3" s="51">
        <v>21.808</v>
      </c>
      <c r="G3" s="51"/>
      <c r="H3" s="51"/>
      <c r="I3" s="51"/>
      <c r="J3" s="51"/>
      <c r="K3" s="51">
        <v>75.72</v>
      </c>
      <c r="L3" s="51">
        <v>3570.6179999999999</v>
      </c>
      <c r="M3" s="51">
        <v>1.214</v>
      </c>
      <c r="N3" s="51">
        <v>23.757999999999999</v>
      </c>
      <c r="O3" s="51">
        <v>1.389</v>
      </c>
      <c r="P3" s="51">
        <v>11.347</v>
      </c>
      <c r="Q3" s="51">
        <v>0.73199999999999998</v>
      </c>
      <c r="R3" s="51">
        <v>14.64</v>
      </c>
      <c r="S3" s="51">
        <v>6.0410000000000004</v>
      </c>
      <c r="T3" s="51">
        <v>109.029</v>
      </c>
      <c r="U3" s="51">
        <v>0.18099999999999999</v>
      </c>
      <c r="V3" s="51">
        <v>6.2779999999999996</v>
      </c>
      <c r="W3" s="51"/>
      <c r="X3" s="51"/>
      <c r="Y3" s="51"/>
      <c r="Z3" s="51"/>
      <c r="AA3" s="51">
        <v>327.30799999999999</v>
      </c>
      <c r="AB3" s="51">
        <v>2803.663</v>
      </c>
      <c r="AC3" s="51">
        <v>6</v>
      </c>
      <c r="AD3" s="51">
        <v>151.5</v>
      </c>
      <c r="AE3" s="51">
        <v>10.928000000000001</v>
      </c>
      <c r="AF3" s="51">
        <v>987.94399999999996</v>
      </c>
      <c r="AG3" s="51"/>
      <c r="AH3" s="51"/>
      <c r="AI3" s="82">
        <f>' Citrus 2016(Final Est.)'!K3</f>
        <v>112.20400000000001</v>
      </c>
      <c r="AJ3" s="82">
        <f>' Citrus 2016(Final Est.)'!L3</f>
        <v>1828.9</v>
      </c>
      <c r="AK3" s="51"/>
      <c r="AL3" s="51"/>
      <c r="AM3" s="51"/>
      <c r="AN3" s="51"/>
      <c r="AO3" s="51"/>
      <c r="AP3" s="51"/>
      <c r="AQ3" s="51">
        <v>3.794</v>
      </c>
      <c r="AR3" s="51">
        <v>55.38</v>
      </c>
      <c r="AS3" s="51"/>
      <c r="AT3" s="51"/>
      <c r="AU3" s="51">
        <v>8.3849999999999998</v>
      </c>
      <c r="AV3" s="51">
        <v>113.27500000000001</v>
      </c>
      <c r="AW3" s="51">
        <v>11.849</v>
      </c>
      <c r="AX3" s="51">
        <v>148.75800000000001</v>
      </c>
      <c r="AY3" s="51"/>
      <c r="AZ3" s="51"/>
      <c r="BA3" s="51"/>
      <c r="BB3" s="51"/>
      <c r="BC3" s="51">
        <v>7.2380000000000004</v>
      </c>
      <c r="BD3" s="51">
        <v>206.602</v>
      </c>
      <c r="BE3" s="51">
        <v>3.048</v>
      </c>
      <c r="BF3" s="51">
        <v>35.32</v>
      </c>
      <c r="BG3" s="82">
        <f>C3+E3+G3+I3+K3+M3+O3+Q3+S3+U3+W3+Y3+AA3+AC3+AE3+AG3+AI3+AK3+AM3+AO3+AQ3+AS3+AU3+AW3+AY3+BA3+BC3+BE3</f>
        <v>577.02500000000009</v>
      </c>
      <c r="BH3" s="82">
        <f>D3+F3+H3+J3+L3+N3+P3+R3+T3+V3+X3+Z3+AB3+AD3+AF3+AH3+AJ3+AL3+AN3+AP3+AR3+AT3+AV3+AX3+AZ3+BB3+BD3+BF3</f>
        <v>10088.819999999998</v>
      </c>
    </row>
    <row r="4" spans="1:63" ht="23.25" customHeight="1" x14ac:dyDescent="0.25">
      <c r="A4" s="81">
        <v>2</v>
      </c>
      <c r="B4" s="84" t="s">
        <v>113</v>
      </c>
      <c r="C4" s="51"/>
      <c r="D4" s="51"/>
      <c r="E4" s="51"/>
      <c r="F4" s="51"/>
      <c r="G4" s="51">
        <v>4.6822999999999997</v>
      </c>
      <c r="H4" s="51">
        <v>7.2805799999999996</v>
      </c>
      <c r="I4" s="51"/>
      <c r="J4" s="51"/>
      <c r="K4" s="51">
        <v>5.4210000000000003</v>
      </c>
      <c r="L4" s="51">
        <v>31.644079999999999</v>
      </c>
      <c r="M4" s="51"/>
      <c r="N4" s="51"/>
      <c r="O4" s="51"/>
      <c r="P4" s="51"/>
      <c r="Q4" s="51">
        <v>3.5E-4</v>
      </c>
      <c r="R4" s="51">
        <v>5.0000000000000004E-6</v>
      </c>
      <c r="S4" s="51">
        <v>0.46378999999999998</v>
      </c>
      <c r="T4" s="51">
        <v>0.64809000000000005</v>
      </c>
      <c r="U4" s="51">
        <v>0.17050000000000001</v>
      </c>
      <c r="V4" s="51">
        <v>2.3894000000000002</v>
      </c>
      <c r="W4" s="51">
        <v>3.379</v>
      </c>
      <c r="X4" s="51">
        <v>6.0473400000000002</v>
      </c>
      <c r="Y4" s="51"/>
      <c r="Z4" s="51"/>
      <c r="AA4" s="51">
        <v>5.1999999999999998E-2</v>
      </c>
      <c r="AB4" s="51">
        <v>2.58E-2</v>
      </c>
      <c r="AC4" s="51"/>
      <c r="AD4" s="51"/>
      <c r="AE4" s="51">
        <v>6.0999999999999999E-2</v>
      </c>
      <c r="AF4" s="51">
        <v>0.1875</v>
      </c>
      <c r="AG4" s="51"/>
      <c r="AH4" s="51"/>
      <c r="AI4" s="82">
        <f>' Citrus 2016(Final Est.)'!K4</f>
        <v>42.661000000000001</v>
      </c>
      <c r="AJ4" s="82">
        <f>' Citrus 2016(Final Est.)'!L4</f>
        <v>217.12107</v>
      </c>
      <c r="AK4" s="51">
        <v>1E-3</v>
      </c>
      <c r="AL4" s="51">
        <v>1.5E-3</v>
      </c>
      <c r="AM4" s="51">
        <v>0.41937000000000002</v>
      </c>
      <c r="AN4" s="51">
        <v>0.79752000000000001</v>
      </c>
      <c r="AO4" s="51"/>
      <c r="AP4" s="51"/>
      <c r="AQ4" s="51">
        <v>6.9635999999999996</v>
      </c>
      <c r="AR4" s="51">
        <v>37.331899999999997</v>
      </c>
      <c r="AS4" s="51"/>
      <c r="AT4" s="51"/>
      <c r="AU4" s="51">
        <v>1.25E-3</v>
      </c>
      <c r="AV4" s="51">
        <v>1.5E-3</v>
      </c>
      <c r="AW4" s="51"/>
      <c r="AX4" s="51"/>
      <c r="AY4" s="51"/>
      <c r="AZ4" s="51"/>
      <c r="BA4" s="51">
        <v>1.1088</v>
      </c>
      <c r="BB4" s="51">
        <v>0.59719999999999995</v>
      </c>
      <c r="BC4" s="51"/>
      <c r="BD4" s="51"/>
      <c r="BE4" s="51">
        <v>0.82904</v>
      </c>
      <c r="BF4" s="51">
        <v>2.1966399999999999</v>
      </c>
      <c r="BG4" s="82">
        <f t="shared" ref="BG4:BG31" si="0">C4+E4+G4+I4+K4+M4+O4+Q4+S4+U4+W4+Y4+AA4+AC4+AE4+AG4+AI4+AK4+AM4+AO4+AQ4+AS4+AU4+AW4+AY4+BA4+BC4+BE4</f>
        <v>66.214000000000013</v>
      </c>
      <c r="BH4" s="82">
        <f t="shared" ref="BH4:BH9" si="1">D4+F4+H4+J4+L4+N4+P4+R4+T4+V4+X4+Z4+AB4+AD4+AF4+AH4+AJ4+AL4+AN4+AP4+AR4+AT4+AV4+AX4+AZ4+BB4+BD4+BF4</f>
        <v>306.27012500000006</v>
      </c>
    </row>
    <row r="5" spans="1:63" ht="23.25" customHeight="1" x14ac:dyDescent="0.25">
      <c r="A5" s="81">
        <v>3</v>
      </c>
      <c r="B5" s="56" t="s">
        <v>114</v>
      </c>
      <c r="C5" s="51"/>
      <c r="D5" s="51"/>
      <c r="E5" s="51">
        <v>0.91800000000000004</v>
      </c>
      <c r="F5" s="51">
        <v>16.835999999999999</v>
      </c>
      <c r="G5" s="51"/>
      <c r="H5" s="51"/>
      <c r="I5" s="51"/>
      <c r="J5" s="51"/>
      <c r="K5" s="51">
        <v>51.103000000000002</v>
      </c>
      <c r="L5" s="51">
        <v>882.70600000000002</v>
      </c>
      <c r="M5" s="51"/>
      <c r="N5" s="51"/>
      <c r="O5" s="51"/>
      <c r="P5" s="51"/>
      <c r="Q5" s="51"/>
      <c r="R5" s="51"/>
      <c r="S5" s="51">
        <v>4.3609999999999998</v>
      </c>
      <c r="T5" s="51">
        <v>95.614999999999995</v>
      </c>
      <c r="U5" s="51">
        <v>21.997</v>
      </c>
      <c r="V5" s="51">
        <v>197.203</v>
      </c>
      <c r="W5" s="51"/>
      <c r="X5" s="51"/>
      <c r="Y5" s="51">
        <v>5.52</v>
      </c>
      <c r="Z5" s="51">
        <v>49.597000000000001</v>
      </c>
      <c r="AA5" s="51">
        <v>4.617</v>
      </c>
      <c r="AB5" s="51">
        <v>46.146000000000001</v>
      </c>
      <c r="AC5" s="51"/>
      <c r="AD5" s="51"/>
      <c r="AE5" s="51">
        <v>7.2190000000000003</v>
      </c>
      <c r="AF5" s="51">
        <v>145.476</v>
      </c>
      <c r="AG5" s="51"/>
      <c r="AH5" s="51"/>
      <c r="AI5" s="82">
        <f>' Citrus 2016(Final Est.)'!K5</f>
        <v>29.285</v>
      </c>
      <c r="AJ5" s="82">
        <f>' Citrus 2016(Final Est.)'!L5</f>
        <v>323.39299999999997</v>
      </c>
      <c r="AK5" s="51"/>
      <c r="AL5" s="51"/>
      <c r="AM5" s="51"/>
      <c r="AN5" s="51"/>
      <c r="AO5" s="51"/>
      <c r="AP5" s="51"/>
      <c r="AQ5" s="51">
        <v>16.195</v>
      </c>
      <c r="AR5" s="51">
        <v>285.16500000000002</v>
      </c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>
        <v>4.4939999999999998</v>
      </c>
      <c r="BF5" s="51">
        <v>35.628</v>
      </c>
      <c r="BG5" s="82">
        <f t="shared" si="0"/>
        <v>145.70899999999997</v>
      </c>
      <c r="BH5" s="82">
        <f t="shared" si="1"/>
        <v>2077.7650000000003</v>
      </c>
      <c r="BJ5" s="85"/>
      <c r="BK5" s="85"/>
    </row>
    <row r="6" spans="1:63" ht="23.25" customHeight="1" x14ac:dyDescent="0.25">
      <c r="A6" s="81">
        <v>4</v>
      </c>
      <c r="B6" s="56" t="s">
        <v>115</v>
      </c>
      <c r="C6" s="51"/>
      <c r="D6" s="51"/>
      <c r="E6" s="51">
        <v>0.9</v>
      </c>
      <c r="F6" s="51">
        <v>14.8</v>
      </c>
      <c r="G6" s="51"/>
      <c r="H6" s="51"/>
      <c r="I6" s="51"/>
      <c r="J6" s="51"/>
      <c r="K6" s="51">
        <v>34.799999999999997</v>
      </c>
      <c r="L6" s="51">
        <v>1535.3</v>
      </c>
      <c r="M6" s="51"/>
      <c r="N6" s="51"/>
      <c r="O6" s="51"/>
      <c r="P6" s="51"/>
      <c r="Q6" s="51"/>
      <c r="R6" s="51"/>
      <c r="S6" s="51">
        <v>29.335000000000001</v>
      </c>
      <c r="T6" s="51">
        <v>370.00099999999998</v>
      </c>
      <c r="U6" s="51"/>
      <c r="V6" s="51"/>
      <c r="W6" s="51"/>
      <c r="X6" s="51"/>
      <c r="Y6" s="51">
        <v>32.1</v>
      </c>
      <c r="Z6" s="51">
        <v>198</v>
      </c>
      <c r="AA6" s="51">
        <v>149.14400000000001</v>
      </c>
      <c r="AB6" s="51">
        <v>1464.931</v>
      </c>
      <c r="AC6" s="51">
        <v>1.7</v>
      </c>
      <c r="AD6" s="51">
        <v>12.9</v>
      </c>
      <c r="AE6" s="51">
        <v>1.6</v>
      </c>
      <c r="AF6" s="51">
        <v>43.6</v>
      </c>
      <c r="AG6" s="51"/>
      <c r="AH6" s="51"/>
      <c r="AI6" s="82">
        <f>' Citrus 2016(Final Est.)'!K6</f>
        <v>50.902000000000001</v>
      </c>
      <c r="AJ6" s="82">
        <f>' Citrus 2016(Final Est.)'!L6</f>
        <v>445.101</v>
      </c>
      <c r="AK6" s="51"/>
      <c r="AL6" s="51"/>
      <c r="AM6" s="51"/>
      <c r="AN6" s="51"/>
      <c r="AO6" s="51"/>
      <c r="AP6" s="51"/>
      <c r="AQ6" s="51">
        <v>4.3</v>
      </c>
      <c r="AR6" s="51">
        <v>116.3</v>
      </c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>
        <v>1.4</v>
      </c>
      <c r="BD6" s="51">
        <v>29.7</v>
      </c>
      <c r="BE6" s="51"/>
      <c r="BF6" s="51"/>
      <c r="BG6" s="82">
        <f t="shared" si="0"/>
        <v>306.18099999999998</v>
      </c>
      <c r="BH6" s="82">
        <f t="shared" si="1"/>
        <v>4230.6329999999998</v>
      </c>
    </row>
    <row r="7" spans="1:63" ht="23.25" customHeight="1" x14ac:dyDescent="0.25">
      <c r="A7" s="81">
        <v>5</v>
      </c>
      <c r="B7" s="56" t="s">
        <v>150</v>
      </c>
      <c r="C7" s="51"/>
      <c r="D7" s="51"/>
      <c r="E7" s="51">
        <v>3.5249999999999999</v>
      </c>
      <c r="F7" s="51">
        <v>38.429000000000002</v>
      </c>
      <c r="G7" s="51"/>
      <c r="H7" s="51"/>
      <c r="I7" s="51"/>
      <c r="J7" s="51"/>
      <c r="K7" s="51">
        <v>25.762</v>
      </c>
      <c r="L7" s="51">
        <v>587.42100000000005</v>
      </c>
      <c r="M7" s="51">
        <v>3.9159999999999999</v>
      </c>
      <c r="N7" s="51">
        <v>70.757000000000005</v>
      </c>
      <c r="O7" s="51">
        <v>8.0060000000000002</v>
      </c>
      <c r="P7" s="51">
        <v>39.579000000000001</v>
      </c>
      <c r="Q7" s="51"/>
      <c r="R7" s="51"/>
      <c r="S7" s="51">
        <v>20.631</v>
      </c>
      <c r="T7" s="51">
        <v>179.59100000000001</v>
      </c>
      <c r="U7" s="51">
        <v>9.3030000000000008</v>
      </c>
      <c r="V7" s="51">
        <v>183.227</v>
      </c>
      <c r="W7" s="51"/>
      <c r="X7" s="51"/>
      <c r="Y7" s="51">
        <v>6.6139999999999999</v>
      </c>
      <c r="Z7" s="51">
        <v>45.381</v>
      </c>
      <c r="AA7" s="51">
        <v>71.515000000000001</v>
      </c>
      <c r="AB7" s="51">
        <v>420.60899999999998</v>
      </c>
      <c r="AC7" s="51">
        <v>2.028</v>
      </c>
      <c r="AD7" s="51">
        <v>18.327999999999999</v>
      </c>
      <c r="AE7" s="51">
        <v>13.722</v>
      </c>
      <c r="AF7" s="51">
        <v>341.93200000000002</v>
      </c>
      <c r="AG7" s="51"/>
      <c r="AH7" s="51"/>
      <c r="AI7" s="82">
        <f>' Citrus 2016(Final Est.)'!K7</f>
        <v>12.574999999999999</v>
      </c>
      <c r="AJ7" s="82">
        <f>' Citrus 2016(Final Est.)'!L7</f>
        <v>91.218999999999994</v>
      </c>
      <c r="AK7" s="51"/>
      <c r="AL7" s="51"/>
      <c r="AM7" s="51">
        <v>1.2350000000000001</v>
      </c>
      <c r="AN7" s="51">
        <v>5.8710000000000004</v>
      </c>
      <c r="AO7" s="51"/>
      <c r="AP7" s="51"/>
      <c r="AQ7" s="51">
        <v>0</v>
      </c>
      <c r="AR7" s="51">
        <v>0</v>
      </c>
      <c r="AS7" s="51"/>
      <c r="AT7" s="51"/>
      <c r="AU7" s="51">
        <v>0.41599999999999998</v>
      </c>
      <c r="AV7" s="51">
        <v>0.96899999999999997</v>
      </c>
      <c r="AW7" s="51">
        <v>0.221</v>
      </c>
      <c r="AX7" s="51">
        <v>1.153</v>
      </c>
      <c r="AY7" s="51"/>
      <c r="AZ7" s="51"/>
      <c r="BA7" s="51"/>
      <c r="BB7" s="51"/>
      <c r="BC7" s="51">
        <v>3.2029999999999998</v>
      </c>
      <c r="BD7" s="51">
        <v>52.127000000000002</v>
      </c>
      <c r="BE7" s="51">
        <v>27.196999999999999</v>
      </c>
      <c r="BF7" s="51">
        <v>218.13800000000001</v>
      </c>
      <c r="BG7" s="82">
        <f t="shared" si="0"/>
        <v>209.869</v>
      </c>
      <c r="BH7" s="82">
        <f t="shared" si="1"/>
        <v>2294.7310000000002</v>
      </c>
    </row>
    <row r="8" spans="1:63" ht="23.25" customHeight="1" x14ac:dyDescent="0.25">
      <c r="A8" s="81">
        <v>6</v>
      </c>
      <c r="B8" s="56" t="s">
        <v>117</v>
      </c>
      <c r="C8" s="86"/>
      <c r="D8" s="86"/>
      <c r="E8" s="86">
        <v>8.5440000000000005</v>
      </c>
      <c r="F8" s="86">
        <v>85.352000000000004</v>
      </c>
      <c r="G8" s="86"/>
      <c r="H8" s="86"/>
      <c r="I8" s="87"/>
      <c r="J8" s="87"/>
      <c r="K8" s="87">
        <v>64.691999999999993</v>
      </c>
      <c r="L8" s="87">
        <v>4185.5200000000004</v>
      </c>
      <c r="M8" s="86">
        <v>11.808</v>
      </c>
      <c r="N8" s="86">
        <v>120.307</v>
      </c>
      <c r="O8" s="86">
        <v>5.9249999999999998</v>
      </c>
      <c r="P8" s="86">
        <v>61.177</v>
      </c>
      <c r="Q8" s="87"/>
      <c r="R8" s="87"/>
      <c r="S8" s="87">
        <v>11.637</v>
      </c>
      <c r="T8" s="87">
        <v>153.03800000000001</v>
      </c>
      <c r="U8" s="86"/>
      <c r="V8" s="86"/>
      <c r="W8" s="87"/>
      <c r="X8" s="87"/>
      <c r="Y8" s="87"/>
      <c r="Z8" s="87"/>
      <c r="AA8" s="87">
        <v>153.18</v>
      </c>
      <c r="AB8" s="87">
        <v>1241.5940000000001</v>
      </c>
      <c r="AC8" s="87"/>
      <c r="AD8" s="87"/>
      <c r="AE8" s="86">
        <v>20.173999999999999</v>
      </c>
      <c r="AF8" s="86">
        <v>1241.2744</v>
      </c>
      <c r="AG8" s="87"/>
      <c r="AH8" s="87"/>
      <c r="AI8" s="82">
        <f>' Citrus 2016(Final Est.)'!K8</f>
        <v>43.27</v>
      </c>
      <c r="AJ8" s="82">
        <f>' Citrus 2016(Final Est.)'!L8</f>
        <v>562.49144000000001</v>
      </c>
      <c r="AK8" s="87"/>
      <c r="AL8" s="87"/>
      <c r="AM8" s="87"/>
      <c r="AN8" s="87"/>
      <c r="AO8" s="86"/>
      <c r="AP8" s="86"/>
      <c r="AQ8" s="86"/>
      <c r="AR8" s="86"/>
      <c r="AS8" s="87"/>
      <c r="AT8" s="87"/>
      <c r="AU8" s="86">
        <v>18.538</v>
      </c>
      <c r="AV8" s="86">
        <v>278.10424999999998</v>
      </c>
      <c r="AW8" s="87">
        <v>29.562000000000001</v>
      </c>
      <c r="AX8" s="87">
        <v>325.15100000000001</v>
      </c>
      <c r="AY8" s="86"/>
      <c r="AZ8" s="86"/>
      <c r="BA8" s="86"/>
      <c r="BB8" s="86"/>
      <c r="BC8" s="86"/>
      <c r="BD8" s="86"/>
      <c r="BE8" s="87">
        <f>18.226+6.965</f>
        <v>25.190999999999999</v>
      </c>
      <c r="BF8" s="87">
        <f>54.69021+168.4744</f>
        <v>223.16461000000001</v>
      </c>
      <c r="BG8" s="82">
        <f t="shared" si="0"/>
        <v>392.52099999999996</v>
      </c>
      <c r="BH8" s="82">
        <f t="shared" si="1"/>
        <v>8477.1737000000012</v>
      </c>
    </row>
    <row r="9" spans="1:63" ht="23.25" customHeight="1" x14ac:dyDescent="0.25">
      <c r="A9" s="81">
        <v>7</v>
      </c>
      <c r="B9" s="56" t="s">
        <v>118</v>
      </c>
      <c r="C9" s="51"/>
      <c r="D9" s="51"/>
      <c r="E9" s="51">
        <v>2.226</v>
      </c>
      <c r="F9" s="51">
        <v>12.055999999999999</v>
      </c>
      <c r="G9" s="51"/>
      <c r="H9" s="51"/>
      <c r="I9" s="51">
        <v>9.5000000000000001E-2</v>
      </c>
      <c r="J9" s="51">
        <v>0.186</v>
      </c>
      <c r="K9" s="51"/>
      <c r="L9" s="51"/>
      <c r="M9" s="51">
        <v>4.1360000000000001</v>
      </c>
      <c r="N9" s="51">
        <v>39.494999999999997</v>
      </c>
      <c r="O9" s="51"/>
      <c r="P9" s="51"/>
      <c r="Q9" s="51">
        <v>3.7999999999999999E-2</v>
      </c>
      <c r="R9" s="51">
        <v>0.16</v>
      </c>
      <c r="S9" s="51">
        <v>11.211</v>
      </c>
      <c r="T9" s="51">
        <v>152.184</v>
      </c>
      <c r="U9" s="51"/>
      <c r="V9" s="51"/>
      <c r="W9" s="51"/>
      <c r="X9" s="51"/>
      <c r="Y9" s="51">
        <v>0.20100000000000001</v>
      </c>
      <c r="Z9" s="51">
        <v>1.8420000000000001</v>
      </c>
      <c r="AA9" s="51">
        <v>9.2590000000000003</v>
      </c>
      <c r="AB9" s="51">
        <v>89.965000000000003</v>
      </c>
      <c r="AC9" s="51">
        <v>3.4119999999999999</v>
      </c>
      <c r="AD9" s="51">
        <v>30.164999999999999</v>
      </c>
      <c r="AE9" s="51"/>
      <c r="AF9" s="51"/>
      <c r="AG9" s="51"/>
      <c r="AH9" s="51"/>
      <c r="AI9" s="82">
        <f>' Citrus 2016(Final Est.)'!K9</f>
        <v>19.652000000000001</v>
      </c>
      <c r="AJ9" s="82">
        <f>' Citrus 2016(Final Est.)'!L9</f>
        <v>301.76400000000001</v>
      </c>
      <c r="AK9" s="51">
        <v>0.27800000000000002</v>
      </c>
      <c r="AL9" s="51">
        <v>3.5030000000000001</v>
      </c>
      <c r="AM9" s="51">
        <v>0.27100000000000002</v>
      </c>
      <c r="AN9" s="51">
        <v>3.544</v>
      </c>
      <c r="AO9" s="51">
        <v>0</v>
      </c>
      <c r="AP9" s="51"/>
      <c r="AQ9" s="51"/>
      <c r="AR9" s="51"/>
      <c r="AS9" s="51">
        <v>6.8000000000000005E-2</v>
      </c>
      <c r="AT9" s="51">
        <v>0.97799999999999998</v>
      </c>
      <c r="AU9" s="51"/>
      <c r="AV9" s="51"/>
      <c r="AW9" s="51">
        <v>1.6319999999999999</v>
      </c>
      <c r="AX9" s="51">
        <v>16.021999999999998</v>
      </c>
      <c r="AY9" s="51">
        <v>0.14000000000000001</v>
      </c>
      <c r="AZ9" s="51">
        <v>1.651</v>
      </c>
      <c r="BA9" s="51"/>
      <c r="BB9" s="51"/>
      <c r="BC9" s="51">
        <v>5.4880000000000004</v>
      </c>
      <c r="BD9" s="51">
        <v>58.457000000000001</v>
      </c>
      <c r="BE9" s="51">
        <v>2.8079999999999998</v>
      </c>
      <c r="BF9" s="51">
        <v>25.847999999999999</v>
      </c>
      <c r="BG9" s="82">
        <f t="shared" si="0"/>
        <v>60.914999999999999</v>
      </c>
      <c r="BH9" s="82">
        <f t="shared" si="1"/>
        <v>737.81999999999994</v>
      </c>
    </row>
    <row r="10" spans="1:63" ht="23.25" customHeight="1" x14ac:dyDescent="0.25">
      <c r="A10" s="81">
        <v>8</v>
      </c>
      <c r="B10" s="56" t="s">
        <v>119</v>
      </c>
      <c r="C10" s="51">
        <v>5.1050000000000004</v>
      </c>
      <c r="D10" s="51">
        <v>0.93700000000000006</v>
      </c>
      <c r="E10" s="51">
        <v>2.524</v>
      </c>
      <c r="F10" s="51">
        <v>2.1549999999999998</v>
      </c>
      <c r="G10" s="51">
        <v>110.679</v>
      </c>
      <c r="H10" s="51">
        <v>777.12599999999998</v>
      </c>
      <c r="I10" s="51">
        <v>1.0999999999999999E-2</v>
      </c>
      <c r="J10" s="51">
        <v>3.4000000000000002E-2</v>
      </c>
      <c r="K10" s="51">
        <v>8.6999999999999994E-2</v>
      </c>
      <c r="L10" s="51">
        <v>0.41799999999999998</v>
      </c>
      <c r="M10" s="51">
        <v>3.1E-2</v>
      </c>
      <c r="N10" s="51">
        <v>3.0000000000000001E-3</v>
      </c>
      <c r="O10" s="51"/>
      <c r="P10" s="51"/>
      <c r="Q10" s="51">
        <v>8.5999999999999993E-2</v>
      </c>
      <c r="R10" s="51">
        <v>0.129</v>
      </c>
      <c r="S10" s="51">
        <v>2.266</v>
      </c>
      <c r="T10" s="51">
        <v>2.61</v>
      </c>
      <c r="U10" s="51">
        <v>1.0680000000000001</v>
      </c>
      <c r="V10" s="51">
        <v>0.51100000000000001</v>
      </c>
      <c r="W10" s="51">
        <v>0.123</v>
      </c>
      <c r="X10" s="51">
        <v>0.34399999999999997</v>
      </c>
      <c r="Y10" s="51">
        <v>5.4089999999999998</v>
      </c>
      <c r="Z10" s="51">
        <v>6.0709999999999997</v>
      </c>
      <c r="AA10" s="51">
        <v>41.523000000000003</v>
      </c>
      <c r="AB10" s="51">
        <v>37.628</v>
      </c>
      <c r="AC10" s="51"/>
      <c r="AD10" s="51"/>
      <c r="AE10" s="51">
        <v>0.22600000000000001</v>
      </c>
      <c r="AF10" s="51">
        <v>1.3009999999999999</v>
      </c>
      <c r="AG10" s="51"/>
      <c r="AH10" s="51"/>
      <c r="AI10" s="82">
        <f>' Citrus 2016(Final Est.)'!K10</f>
        <v>24.062999999999999</v>
      </c>
      <c r="AJ10" s="82">
        <f>' Citrus 2016(Final Est.)'!L10</f>
        <v>26.624000000000002</v>
      </c>
      <c r="AK10" s="51">
        <v>5.0759999999999996</v>
      </c>
      <c r="AL10" s="51">
        <v>8.0449999999999999</v>
      </c>
      <c r="AM10" s="51">
        <v>6.9770000000000003</v>
      </c>
      <c r="AN10" s="51">
        <v>32.039000000000001</v>
      </c>
      <c r="AO10" s="51">
        <v>0.90300000000000002</v>
      </c>
      <c r="AP10" s="51">
        <v>0.184</v>
      </c>
      <c r="AQ10" s="51"/>
      <c r="AR10" s="51"/>
      <c r="AS10" s="51">
        <v>8.6010000000000009</v>
      </c>
      <c r="AT10" s="51">
        <v>20.523</v>
      </c>
      <c r="AU10" s="51">
        <v>2.4820000000000002</v>
      </c>
      <c r="AV10" s="51">
        <v>1.986</v>
      </c>
      <c r="AW10" s="51">
        <v>4.8000000000000001E-2</v>
      </c>
      <c r="AX10" s="51">
        <v>0.01</v>
      </c>
      <c r="AY10" s="51">
        <v>5.5E-2</v>
      </c>
      <c r="AZ10" s="51">
        <v>0.47599999999999998</v>
      </c>
      <c r="BA10" s="51">
        <v>4.4710000000000001</v>
      </c>
      <c r="BB10" s="51">
        <v>2.25</v>
      </c>
      <c r="BC10" s="51"/>
      <c r="BD10" s="51"/>
      <c r="BE10" s="51">
        <f>0.865+0.449+0.01+3.661</f>
        <v>4.9850000000000003</v>
      </c>
      <c r="BF10" s="51">
        <f>1.63+0.617+0.006+5.172</f>
        <v>7.4249999999999989</v>
      </c>
      <c r="BG10" s="82">
        <f t="shared" si="0"/>
        <v>226.79900000000004</v>
      </c>
      <c r="BH10" s="82">
        <f t="shared" ref="BH10:BH31" si="2">D10+F10+H10+J10+L10+N10+P10+R10+T10+V10+X10+Z10+AB10+AD10+AF10+AH10+AJ10+AL10+AN10+AP10+AR10+AT10+AV10+AX10+AZ10+BB10+BD10+BF10</f>
        <v>928.82900000000006</v>
      </c>
    </row>
    <row r="11" spans="1:63" ht="23.25" customHeight="1" x14ac:dyDescent="0.25">
      <c r="A11" s="81">
        <v>9</v>
      </c>
      <c r="B11" s="56" t="s">
        <v>120</v>
      </c>
      <c r="C11" s="51">
        <v>6.58</v>
      </c>
      <c r="D11" s="51">
        <v>6.9960000000000004</v>
      </c>
      <c r="E11" s="51">
        <v>1.968</v>
      </c>
      <c r="F11" s="51">
        <v>3.2759999999999998</v>
      </c>
      <c r="G11" s="51">
        <v>136.53700000000001</v>
      </c>
      <c r="H11" s="51">
        <v>1672.72</v>
      </c>
      <c r="I11" s="51"/>
      <c r="J11" s="51"/>
      <c r="K11" s="51"/>
      <c r="L11" s="51"/>
      <c r="M11" s="51">
        <v>5.3789999999999996</v>
      </c>
      <c r="N11" s="51">
        <v>10.805</v>
      </c>
      <c r="O11" s="51"/>
      <c r="P11" s="51"/>
      <c r="Q11" s="51">
        <v>0.127</v>
      </c>
      <c r="R11" s="51">
        <v>0.32</v>
      </c>
      <c r="S11" s="51">
        <v>2.464</v>
      </c>
      <c r="T11" s="51">
        <v>8.6509999999999998</v>
      </c>
      <c r="U11" s="51"/>
      <c r="V11" s="51"/>
      <c r="W11" s="51">
        <v>1.0999999999999999E-2</v>
      </c>
      <c r="X11" s="51">
        <v>8.9999999999999993E-3</v>
      </c>
      <c r="Y11" s="51">
        <v>0.93</v>
      </c>
      <c r="Z11" s="51">
        <v>2.2530000000000001</v>
      </c>
      <c r="AA11" s="51">
        <v>12.672000000000001</v>
      </c>
      <c r="AB11" s="51">
        <v>23.742999999999999</v>
      </c>
      <c r="AC11" s="51"/>
      <c r="AD11" s="51"/>
      <c r="AE11" s="51"/>
      <c r="AF11" s="51"/>
      <c r="AG11" s="51"/>
      <c r="AH11" s="51"/>
      <c r="AI11" s="82">
        <f>' Citrus 2016(Final Est.)'!K11</f>
        <v>14.391</v>
      </c>
      <c r="AJ11" s="82">
        <f>' Citrus 2016(Final Est.)'!L11</f>
        <v>34.052</v>
      </c>
      <c r="AK11" s="51">
        <v>2.0859999999999999</v>
      </c>
      <c r="AL11" s="51">
        <v>4.07</v>
      </c>
      <c r="AM11" s="51">
        <v>12.709</v>
      </c>
      <c r="AN11" s="51">
        <v>94.423000000000002</v>
      </c>
      <c r="AO11" s="51">
        <v>0.46500000000000002</v>
      </c>
      <c r="AP11" s="51">
        <v>0.46500000000000002</v>
      </c>
      <c r="AQ11" s="51"/>
      <c r="AR11" s="51"/>
      <c r="AS11" s="52">
        <v>3.4769999999999999</v>
      </c>
      <c r="AT11" s="52">
        <v>8.1509999999999998</v>
      </c>
      <c r="AU11" s="51">
        <v>2E-3</v>
      </c>
      <c r="AV11" s="51">
        <v>6.0000000000000001E-3</v>
      </c>
      <c r="AW11" s="51"/>
      <c r="AX11" s="51"/>
      <c r="AY11" s="51">
        <v>0.13</v>
      </c>
      <c r="AZ11" s="51">
        <v>5.6000000000000001E-2</v>
      </c>
      <c r="BA11" s="51">
        <v>69.238</v>
      </c>
      <c r="BB11" s="51">
        <v>206.42699999999999</v>
      </c>
      <c r="BC11" s="51"/>
      <c r="BD11" s="51"/>
      <c r="BE11" s="51">
        <f>9.685+5.95+1.432</f>
        <v>17.067</v>
      </c>
      <c r="BF11" s="51">
        <f>18.006+12.963+8.33</f>
        <v>39.298999999999999</v>
      </c>
      <c r="BG11" s="82">
        <f t="shared" si="0"/>
        <v>286.23300000000006</v>
      </c>
      <c r="BH11" s="82">
        <f t="shared" si="2"/>
        <v>2115.7219999999998</v>
      </c>
    </row>
    <row r="12" spans="1:63" ht="23.25" customHeight="1" x14ac:dyDescent="0.25">
      <c r="A12" s="81">
        <v>10</v>
      </c>
      <c r="B12" s="56" t="s">
        <v>121</v>
      </c>
      <c r="C12" s="51"/>
      <c r="D12" s="51"/>
      <c r="E12" s="51">
        <v>0.28000000000000003</v>
      </c>
      <c r="F12" s="51">
        <v>1.3049999999999999</v>
      </c>
      <c r="G12" s="51"/>
      <c r="H12" s="51"/>
      <c r="I12" s="51">
        <v>0.52400000000000002</v>
      </c>
      <c r="J12" s="51">
        <v>35.587000000000003</v>
      </c>
      <c r="K12" s="51">
        <v>12.526999999999999</v>
      </c>
      <c r="L12" s="51">
        <v>33.279000000000003</v>
      </c>
      <c r="M12" s="51">
        <v>0.47499999999999998</v>
      </c>
      <c r="N12" s="51">
        <v>2.827</v>
      </c>
      <c r="O12" s="51"/>
      <c r="P12" s="51"/>
      <c r="Q12" s="51"/>
      <c r="R12" s="51"/>
      <c r="S12" s="51">
        <v>8.0980000000000008</v>
      </c>
      <c r="T12" s="51">
        <v>80.046999999999997</v>
      </c>
      <c r="U12" s="51">
        <v>12.332000000000001</v>
      </c>
      <c r="V12" s="51">
        <v>117.464</v>
      </c>
      <c r="W12" s="51"/>
      <c r="X12" s="51"/>
      <c r="Y12" s="51">
        <v>3.4510000000000001</v>
      </c>
      <c r="Z12" s="51">
        <v>40.009</v>
      </c>
      <c r="AA12" s="51">
        <v>50.411999999999999</v>
      </c>
      <c r="AB12" s="51">
        <v>393.66800000000001</v>
      </c>
      <c r="AC12" s="51"/>
      <c r="AD12" s="51"/>
      <c r="AE12" s="51">
        <v>1.784</v>
      </c>
      <c r="AF12" s="51">
        <v>106.691</v>
      </c>
      <c r="AG12" s="51"/>
      <c r="AH12" s="51"/>
      <c r="AI12" s="82">
        <f>' Citrus 2016(Final Est.)'!K12</f>
        <v>4.843</v>
      </c>
      <c r="AJ12" s="82">
        <f>' Citrus 2016(Final Est.)'!L12</f>
        <v>47.737000000000002</v>
      </c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>
        <v>0.01</v>
      </c>
      <c r="AV12" s="51">
        <v>3.7999999999999999E-2</v>
      </c>
      <c r="AW12" s="51"/>
      <c r="AX12" s="51"/>
      <c r="AY12" s="51"/>
      <c r="AZ12" s="51"/>
      <c r="BA12" s="51"/>
      <c r="BB12" s="51"/>
      <c r="BC12" s="51"/>
      <c r="BD12" s="51"/>
      <c r="BE12" s="51">
        <v>1.8</v>
      </c>
      <c r="BF12" s="51">
        <v>102.535</v>
      </c>
      <c r="BG12" s="82">
        <f t="shared" si="0"/>
        <v>96.536000000000016</v>
      </c>
      <c r="BH12" s="82">
        <f t="shared" si="2"/>
        <v>961.18700000000001</v>
      </c>
    </row>
    <row r="13" spans="1:63" ht="23.25" customHeight="1" x14ac:dyDescent="0.25">
      <c r="A13" s="81">
        <v>11</v>
      </c>
      <c r="B13" s="56" t="s">
        <v>149</v>
      </c>
      <c r="C13" s="51"/>
      <c r="D13" s="51"/>
      <c r="E13" s="51">
        <v>0.158</v>
      </c>
      <c r="F13" s="51">
        <v>1.05</v>
      </c>
      <c r="G13" s="51"/>
      <c r="H13" s="51"/>
      <c r="I13" s="51"/>
      <c r="J13" s="51"/>
      <c r="K13" s="51">
        <v>96.634</v>
      </c>
      <c r="L13" s="51">
        <v>2370.9479999999999</v>
      </c>
      <c r="M13" s="51">
        <v>0.47599999999999998</v>
      </c>
      <c r="N13" s="51">
        <v>12.746</v>
      </c>
      <c r="O13" s="51">
        <v>1.742</v>
      </c>
      <c r="P13" s="51">
        <v>14.451000000000001</v>
      </c>
      <c r="Q13" s="51">
        <v>23.35</v>
      </c>
      <c r="R13" s="51">
        <v>429.77499999999998</v>
      </c>
      <c r="S13" s="51">
        <v>6.6120000000000001</v>
      </c>
      <c r="T13" s="51">
        <v>128.10499999999999</v>
      </c>
      <c r="U13" s="51">
        <v>5.202</v>
      </c>
      <c r="V13" s="51">
        <v>193.47</v>
      </c>
      <c r="W13" s="51"/>
      <c r="X13" s="51"/>
      <c r="Y13" s="51"/>
      <c r="Z13" s="51"/>
      <c r="AA13" s="51">
        <v>181.697</v>
      </c>
      <c r="AB13" s="51">
        <v>1725.6669999999999</v>
      </c>
      <c r="AC13" s="51">
        <v>1.0760000000000001</v>
      </c>
      <c r="AD13" s="51">
        <v>17.384</v>
      </c>
      <c r="AE13" s="51">
        <v>7.3940000000000001</v>
      </c>
      <c r="AF13" s="51">
        <v>507.55900000000003</v>
      </c>
      <c r="AG13" s="51"/>
      <c r="AH13" s="51"/>
      <c r="AI13" s="82">
        <f>' Citrus 2016(Final Est.)'!K13</f>
        <v>18.288</v>
      </c>
      <c r="AJ13" s="82">
        <f>' Citrus 2016(Final Est.)'!L13</f>
        <v>415.16899999999998</v>
      </c>
      <c r="AK13" s="51"/>
      <c r="AL13" s="51"/>
      <c r="AM13" s="51"/>
      <c r="AN13" s="51"/>
      <c r="AO13" s="51"/>
      <c r="AP13" s="51"/>
      <c r="AQ13" s="51">
        <v>2.4769999999999999</v>
      </c>
      <c r="AR13" s="51">
        <v>155.41</v>
      </c>
      <c r="AS13" s="51"/>
      <c r="AT13" s="51"/>
      <c r="AU13" s="51">
        <v>27.257000000000001</v>
      </c>
      <c r="AV13" s="51">
        <v>319.33800000000002</v>
      </c>
      <c r="AW13" s="51">
        <v>28.292999999999999</v>
      </c>
      <c r="AX13" s="51">
        <v>330.50200000000001</v>
      </c>
      <c r="AY13" s="51"/>
      <c r="AZ13" s="51"/>
      <c r="BA13" s="51"/>
      <c r="BB13" s="51"/>
      <c r="BC13" s="51">
        <v>11.17</v>
      </c>
      <c r="BD13" s="51">
        <v>370.04399999999998</v>
      </c>
      <c r="BE13" s="51">
        <f>2.028+1.516</f>
        <v>3.544</v>
      </c>
      <c r="BF13" s="51">
        <f>20.695+11.375</f>
        <v>32.07</v>
      </c>
      <c r="BG13" s="82">
        <f t="shared" si="0"/>
        <v>415.37</v>
      </c>
      <c r="BH13" s="82">
        <f t="shared" si="2"/>
        <v>7023.6879999999992</v>
      </c>
    </row>
    <row r="14" spans="1:63" ht="23.25" customHeight="1" x14ac:dyDescent="0.25">
      <c r="A14" s="81">
        <v>12</v>
      </c>
      <c r="B14" s="56" t="s">
        <v>123</v>
      </c>
      <c r="C14" s="51"/>
      <c r="D14" s="51"/>
      <c r="E14" s="51">
        <v>1</v>
      </c>
      <c r="F14" s="51">
        <v>0.1</v>
      </c>
      <c r="G14" s="51"/>
      <c r="H14" s="51"/>
      <c r="I14" s="51"/>
      <c r="J14" s="51"/>
      <c r="K14" s="51">
        <v>84.56</v>
      </c>
      <c r="L14" s="51">
        <v>1292.4100000000001</v>
      </c>
      <c r="M14" s="51"/>
      <c r="N14" s="51"/>
      <c r="O14" s="51">
        <v>0.01</v>
      </c>
      <c r="P14" s="51">
        <v>0.19</v>
      </c>
      <c r="Q14" s="51">
        <v>1</v>
      </c>
      <c r="R14" s="51">
        <v>15.5</v>
      </c>
      <c r="S14" s="51">
        <v>0.22</v>
      </c>
      <c r="T14" s="51">
        <v>1.37</v>
      </c>
      <c r="U14" s="51">
        <v>59.85</v>
      </c>
      <c r="V14" s="51">
        <v>190.14</v>
      </c>
      <c r="W14" s="51"/>
      <c r="X14" s="51"/>
      <c r="Y14" s="51"/>
      <c r="Z14" s="51"/>
      <c r="AA14" s="51">
        <v>70.12</v>
      </c>
      <c r="AB14" s="51">
        <v>382.52</v>
      </c>
      <c r="AC14" s="51">
        <v>0.09</v>
      </c>
      <c r="AD14" s="51">
        <v>0</v>
      </c>
      <c r="AE14" s="51">
        <v>11.94</v>
      </c>
      <c r="AF14" s="51">
        <v>79.06</v>
      </c>
      <c r="AG14" s="51">
        <v>0.02</v>
      </c>
      <c r="AH14" s="51">
        <v>0.13</v>
      </c>
      <c r="AI14" s="82">
        <f>' Citrus 2016(Final Est.)'!K14</f>
        <v>0.47100000000000003</v>
      </c>
      <c r="AJ14" s="82">
        <f>' Citrus 2016(Final Est.)'!L14</f>
        <v>1.7649999999999999</v>
      </c>
      <c r="AK14" s="51"/>
      <c r="AL14" s="51"/>
      <c r="AM14" s="51"/>
      <c r="AN14" s="51"/>
      <c r="AO14" s="51"/>
      <c r="AP14" s="51"/>
      <c r="AQ14" s="51">
        <v>10.97</v>
      </c>
      <c r="AR14" s="51">
        <v>305.67</v>
      </c>
      <c r="AS14" s="51"/>
      <c r="AT14" s="51"/>
      <c r="AU14" s="51">
        <v>0.01</v>
      </c>
      <c r="AV14" s="51">
        <v>7.0000000000000007E-2</v>
      </c>
      <c r="AW14" s="51">
        <v>0.69</v>
      </c>
      <c r="AX14" s="51">
        <v>0.7</v>
      </c>
      <c r="AY14" s="51"/>
      <c r="AZ14" s="51"/>
      <c r="BA14" s="51"/>
      <c r="BB14" s="51"/>
      <c r="BC14" s="51">
        <v>0.22</v>
      </c>
      <c r="BD14" s="51">
        <v>1.03</v>
      </c>
      <c r="BE14" s="51">
        <v>1.98</v>
      </c>
      <c r="BF14" s="51">
        <v>262.27999999999997</v>
      </c>
      <c r="BG14" s="82">
        <f t="shared" si="0"/>
        <v>243.15100000000001</v>
      </c>
      <c r="BH14" s="82">
        <f t="shared" si="2"/>
        <v>2532.9350000000004</v>
      </c>
    </row>
    <row r="15" spans="1:63" ht="23.25" customHeight="1" x14ac:dyDescent="0.25">
      <c r="A15" s="81">
        <v>13</v>
      </c>
      <c r="B15" s="56" t="s">
        <v>124</v>
      </c>
      <c r="C15" s="51"/>
      <c r="D15" s="51"/>
      <c r="E15" s="51">
        <v>14.85</v>
      </c>
      <c r="F15" s="51">
        <v>187.07</v>
      </c>
      <c r="G15" s="51"/>
      <c r="H15" s="51"/>
      <c r="I15" s="51">
        <v>9.0999999999999998E-2</v>
      </c>
      <c r="J15" s="51">
        <v>1.462</v>
      </c>
      <c r="K15" s="51">
        <v>28.350999999999999</v>
      </c>
      <c r="L15" s="51">
        <v>1758.046</v>
      </c>
      <c r="M15" s="51">
        <v>5.1749999999999998</v>
      </c>
      <c r="N15" s="51">
        <v>55.764000000000003</v>
      </c>
      <c r="O15" s="51">
        <v>4.6420000000000003</v>
      </c>
      <c r="P15" s="51">
        <v>56.743000000000002</v>
      </c>
      <c r="Q15" s="51">
        <v>0.16200000000000001</v>
      </c>
      <c r="R15" s="51">
        <v>2.2029999999999998</v>
      </c>
      <c r="S15" s="51">
        <v>28.44</v>
      </c>
      <c r="T15" s="51">
        <v>990</v>
      </c>
      <c r="U15" s="51">
        <v>3</v>
      </c>
      <c r="V15" s="51">
        <v>53.09</v>
      </c>
      <c r="W15" s="51"/>
      <c r="X15" s="51"/>
      <c r="Y15" s="51"/>
      <c r="Z15" s="51"/>
      <c r="AA15" s="51">
        <v>27.89</v>
      </c>
      <c r="AB15" s="51">
        <v>371.48</v>
      </c>
      <c r="AC15" s="51">
        <v>2.5910000000000002</v>
      </c>
      <c r="AD15" s="51">
        <v>40.299999999999997</v>
      </c>
      <c r="AE15" s="51">
        <v>14.512</v>
      </c>
      <c r="AF15" s="51">
        <v>464.67399999999998</v>
      </c>
      <c r="AG15" s="51"/>
      <c r="AH15" s="51"/>
      <c r="AI15" s="82">
        <f>' Citrus 2016(Final Est.)'!K15</f>
        <v>111.108</v>
      </c>
      <c r="AJ15" s="82">
        <f>' Citrus 2016(Final Est.)'!L15</f>
        <v>1332.0640000000001</v>
      </c>
      <c r="AK15" s="51"/>
      <c r="AL15" s="51"/>
      <c r="AM15" s="51">
        <v>0.05</v>
      </c>
      <c r="AN15" s="51">
        <v>0.752</v>
      </c>
      <c r="AO15" s="51"/>
      <c r="AP15" s="51"/>
      <c r="AQ15" s="51"/>
      <c r="AR15" s="51"/>
      <c r="AS15" s="51">
        <v>0.248</v>
      </c>
      <c r="AT15" s="51">
        <v>3.181</v>
      </c>
      <c r="AU15" s="51">
        <v>6.282</v>
      </c>
      <c r="AV15" s="51">
        <v>54.201000000000001</v>
      </c>
      <c r="AW15" s="51">
        <v>0.127</v>
      </c>
      <c r="AX15" s="51">
        <v>1.548</v>
      </c>
      <c r="AY15" s="51">
        <v>1E-3</v>
      </c>
      <c r="AZ15" s="51">
        <v>5.9999999999999995E-4</v>
      </c>
      <c r="BA15" s="51"/>
      <c r="BB15" s="51"/>
      <c r="BC15" s="51">
        <v>5.0069999999999997</v>
      </c>
      <c r="BD15" s="51">
        <v>117.342</v>
      </c>
      <c r="BE15" s="51">
        <v>24.29</v>
      </c>
      <c r="BF15" s="51">
        <v>293.14</v>
      </c>
      <c r="BG15" s="82">
        <f t="shared" si="0"/>
        <v>276.81700000000006</v>
      </c>
      <c r="BH15" s="82">
        <f t="shared" si="2"/>
        <v>5783.0606000000007</v>
      </c>
    </row>
    <row r="16" spans="1:63" ht="23.25" customHeight="1" x14ac:dyDescent="0.25">
      <c r="A16" s="81">
        <v>14</v>
      </c>
      <c r="B16" s="56" t="s">
        <v>125</v>
      </c>
      <c r="C16" s="51"/>
      <c r="D16" s="51"/>
      <c r="E16" s="51">
        <v>1.0740000000000001</v>
      </c>
      <c r="F16" s="51">
        <v>8.8629999999999995</v>
      </c>
      <c r="G16" s="51"/>
      <c r="H16" s="51"/>
      <c r="I16" s="51"/>
      <c r="J16" s="51"/>
      <c r="K16" s="51">
        <v>69.552999999999997</v>
      </c>
      <c r="L16" s="51">
        <v>3025.1480000000001</v>
      </c>
      <c r="M16" s="51">
        <v>0.95899999999999996</v>
      </c>
      <c r="N16" s="51">
        <v>11.045</v>
      </c>
      <c r="O16" s="51">
        <v>12.983000000000001</v>
      </c>
      <c r="P16" s="51">
        <v>92.319000000000003</v>
      </c>
      <c r="Q16" s="51">
        <v>90.09</v>
      </c>
      <c r="R16" s="51">
        <v>2048.1109999999999</v>
      </c>
      <c r="S16" s="51">
        <v>11.736000000000001</v>
      </c>
      <c r="T16" s="51">
        <v>130.71199999999999</v>
      </c>
      <c r="U16" s="51">
        <v>0.23699999999999999</v>
      </c>
      <c r="V16" s="51">
        <v>1.0449999999999999</v>
      </c>
      <c r="W16" s="51"/>
      <c r="X16" s="51"/>
      <c r="Y16" s="51"/>
      <c r="Z16" s="51"/>
      <c r="AA16" s="51">
        <v>162.084</v>
      </c>
      <c r="AB16" s="51">
        <v>463.17</v>
      </c>
      <c r="AC16" s="51">
        <v>0.45700000000000002</v>
      </c>
      <c r="AD16" s="51">
        <v>9.1910000000000007</v>
      </c>
      <c r="AE16" s="51">
        <v>10.304</v>
      </c>
      <c r="AF16" s="51">
        <v>316.827</v>
      </c>
      <c r="AG16" s="51"/>
      <c r="AH16" s="51"/>
      <c r="AI16" s="82">
        <f>' Citrus 2016(Final Est.)'!K16</f>
        <v>185.28900000000002</v>
      </c>
      <c r="AJ16" s="82">
        <f>' Citrus 2016(Final Est.)'!L16</f>
        <v>1661.6580000000001</v>
      </c>
      <c r="AK16" s="51"/>
      <c r="AL16" s="51"/>
      <c r="AM16" s="51"/>
      <c r="AN16" s="51"/>
      <c r="AO16" s="51"/>
      <c r="AP16" s="51"/>
      <c r="AQ16" s="51">
        <v>0.10199999999999999</v>
      </c>
      <c r="AR16" s="51">
        <v>0.39700000000000002</v>
      </c>
      <c r="AS16" s="51"/>
      <c r="AT16" s="51"/>
      <c r="AU16" s="51">
        <v>128.39500000000001</v>
      </c>
      <c r="AV16" s="51">
        <v>1486.1089999999999</v>
      </c>
      <c r="AW16" s="51">
        <v>17.850999999999999</v>
      </c>
      <c r="AX16" s="51">
        <v>159.91999999999999</v>
      </c>
      <c r="AY16" s="51">
        <v>7.0000000000000007E-2</v>
      </c>
      <c r="AZ16" s="51">
        <v>0.69</v>
      </c>
      <c r="BA16" s="51"/>
      <c r="BB16" s="51"/>
      <c r="BC16" s="51">
        <v>5.6680000000000001</v>
      </c>
      <c r="BD16" s="51">
        <v>152.476</v>
      </c>
      <c r="BE16" s="51">
        <v>39.835000000000001</v>
      </c>
      <c r="BF16" s="51">
        <v>182.12</v>
      </c>
      <c r="BG16" s="82">
        <f t="shared" si="0"/>
        <v>736.68700000000001</v>
      </c>
      <c r="BH16" s="82">
        <f t="shared" si="2"/>
        <v>9749.8010000000031</v>
      </c>
    </row>
    <row r="17" spans="1:60" ht="23.25" customHeight="1" x14ac:dyDescent="0.25">
      <c r="A17" s="81">
        <v>15</v>
      </c>
      <c r="B17" s="88" t="s">
        <v>126</v>
      </c>
      <c r="C17" s="51"/>
      <c r="D17" s="51"/>
      <c r="E17" s="51"/>
      <c r="F17" s="51"/>
      <c r="G17" s="51"/>
      <c r="H17" s="51"/>
      <c r="I17" s="51"/>
      <c r="J17" s="51"/>
      <c r="K17" s="51">
        <v>6.952</v>
      </c>
      <c r="L17" s="51">
        <v>93.944999999999993</v>
      </c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>
        <v>5.7270000000000003</v>
      </c>
      <c r="AH17" s="51">
        <v>57.9</v>
      </c>
      <c r="AI17" s="82">
        <f>' Citrus 2016(Final Est.)'!K17</f>
        <v>11.221</v>
      </c>
      <c r="AJ17" s="82">
        <f>' Citrus 2016(Final Est.)'!L17</f>
        <v>100.35400000000001</v>
      </c>
      <c r="AK17" s="51"/>
      <c r="AL17" s="51"/>
      <c r="AM17" s="51"/>
      <c r="AN17" s="51"/>
      <c r="AO17" s="51"/>
      <c r="AP17" s="51"/>
      <c r="AQ17" s="51">
        <v>13.663</v>
      </c>
      <c r="AR17" s="51">
        <v>128.51</v>
      </c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>
        <v>13.561</v>
      </c>
      <c r="BF17" s="51">
        <v>87.046000000000006</v>
      </c>
      <c r="BG17" s="82">
        <f t="shared" si="0"/>
        <v>51.124000000000002</v>
      </c>
      <c r="BH17" s="82">
        <f t="shared" si="2"/>
        <v>467.755</v>
      </c>
    </row>
    <row r="18" spans="1:60" ht="23.25" customHeight="1" x14ac:dyDescent="0.25">
      <c r="A18" s="81">
        <v>16</v>
      </c>
      <c r="B18" s="56" t="s">
        <v>127</v>
      </c>
      <c r="C18" s="51"/>
      <c r="D18" s="51"/>
      <c r="E18" s="51"/>
      <c r="F18" s="51"/>
      <c r="G18" s="51"/>
      <c r="H18" s="51"/>
      <c r="I18" s="51"/>
      <c r="J18" s="51"/>
      <c r="K18" s="51">
        <v>7.1120000000000001</v>
      </c>
      <c r="L18" s="51">
        <v>88.709000000000003</v>
      </c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>
        <v>0.82699999999999996</v>
      </c>
      <c r="AF18" s="51">
        <v>6.5869999999999997</v>
      </c>
      <c r="AG18" s="51"/>
      <c r="AH18" s="51"/>
      <c r="AI18" s="82">
        <f>' Citrus 2016(Final Est.)'!K18</f>
        <v>12.465</v>
      </c>
      <c r="AJ18" s="82">
        <f>' Citrus 2016(Final Est.)'!L18</f>
        <v>57.994</v>
      </c>
      <c r="AK18" s="51"/>
      <c r="AL18" s="51"/>
      <c r="AM18" s="51"/>
      <c r="AN18" s="51"/>
      <c r="AO18" s="51"/>
      <c r="AP18" s="51"/>
      <c r="AQ18" s="51">
        <v>11.577</v>
      </c>
      <c r="AR18" s="51">
        <v>123.126</v>
      </c>
      <c r="AS18" s="51"/>
      <c r="AT18" s="51"/>
      <c r="AU18" s="51"/>
      <c r="AV18" s="51"/>
      <c r="AW18" s="51"/>
      <c r="AX18" s="51"/>
      <c r="AY18" s="51">
        <v>0.14199999999999999</v>
      </c>
      <c r="AZ18" s="51">
        <v>0.89600000000000002</v>
      </c>
      <c r="BA18" s="51"/>
      <c r="BB18" s="51"/>
      <c r="BC18" s="51"/>
      <c r="BD18" s="51"/>
      <c r="BE18" s="51">
        <v>4.468</v>
      </c>
      <c r="BF18" s="51">
        <v>118.083</v>
      </c>
      <c r="BG18" s="82">
        <f t="shared" si="0"/>
        <v>36.591000000000008</v>
      </c>
      <c r="BH18" s="82">
        <f t="shared" si="2"/>
        <v>395.3950000000001</v>
      </c>
    </row>
    <row r="19" spans="1:60" ht="23.25" customHeight="1" x14ac:dyDescent="0.25">
      <c r="A19" s="81">
        <v>17</v>
      </c>
      <c r="B19" s="56" t="s">
        <v>128</v>
      </c>
      <c r="C19" s="51"/>
      <c r="D19" s="51"/>
      <c r="E19" s="51">
        <v>0.33</v>
      </c>
      <c r="F19" s="51">
        <v>2.04</v>
      </c>
      <c r="G19" s="51"/>
      <c r="H19" s="51"/>
      <c r="I19" s="51"/>
      <c r="J19" s="51"/>
      <c r="K19" s="51">
        <v>10.91</v>
      </c>
      <c r="L19" s="51">
        <v>141.03</v>
      </c>
      <c r="M19" s="51"/>
      <c r="N19" s="51"/>
      <c r="O19" s="51"/>
      <c r="P19" s="51"/>
      <c r="Q19" s="51">
        <v>2.4700000000000002</v>
      </c>
      <c r="R19" s="51">
        <v>22.55</v>
      </c>
      <c r="S19" s="51">
        <v>0.43</v>
      </c>
      <c r="T19" s="51">
        <v>2.4700000000000002</v>
      </c>
      <c r="U19" s="51"/>
      <c r="V19" s="51"/>
      <c r="W19" s="51">
        <v>0.33</v>
      </c>
      <c r="X19" s="51">
        <v>1.02</v>
      </c>
      <c r="Y19" s="51">
        <v>0.44</v>
      </c>
      <c r="Z19" s="51">
        <v>1.63</v>
      </c>
      <c r="AA19" s="51">
        <v>0.87</v>
      </c>
      <c r="AB19" s="51">
        <v>4.18</v>
      </c>
      <c r="AC19" s="51">
        <v>0.16</v>
      </c>
      <c r="AD19" s="51">
        <v>0.24</v>
      </c>
      <c r="AE19" s="51">
        <v>1.24</v>
      </c>
      <c r="AF19" s="51">
        <v>26.49</v>
      </c>
      <c r="AG19" s="51">
        <v>0.98</v>
      </c>
      <c r="AH19" s="51">
        <v>2.13</v>
      </c>
      <c r="AI19" s="82">
        <f>' Citrus 2016(Final Est.)'!K19</f>
        <v>27.119999999999997</v>
      </c>
      <c r="AJ19" s="82">
        <f>' Citrus 2016(Final Est.)'!L19</f>
        <v>78.5</v>
      </c>
      <c r="AK19" s="51"/>
      <c r="AL19" s="51"/>
      <c r="AM19" s="51"/>
      <c r="AN19" s="51"/>
      <c r="AO19" s="51"/>
      <c r="AP19" s="51"/>
      <c r="AQ19" s="51">
        <v>4.8600000000000003</v>
      </c>
      <c r="AR19" s="51">
        <v>32.869999999999997</v>
      </c>
      <c r="AS19" s="51"/>
      <c r="AT19" s="51"/>
      <c r="AU19" s="51"/>
      <c r="AV19" s="51"/>
      <c r="AW19" s="51">
        <v>4.0000000000000001E-3</v>
      </c>
      <c r="AX19" s="51">
        <v>0.03</v>
      </c>
      <c r="AY19" s="51">
        <v>0.15</v>
      </c>
      <c r="AZ19" s="51">
        <v>1.08</v>
      </c>
      <c r="BA19" s="51"/>
      <c r="BB19" s="51"/>
      <c r="BC19" s="51">
        <v>0.26</v>
      </c>
      <c r="BD19" s="51">
        <v>0.94</v>
      </c>
      <c r="BE19" s="51">
        <v>4.46</v>
      </c>
      <c r="BF19" s="51">
        <v>13.08</v>
      </c>
      <c r="BG19" s="82">
        <f t="shared" si="0"/>
        <v>55.013999999999996</v>
      </c>
      <c r="BH19" s="82">
        <f t="shared" si="2"/>
        <v>330.28</v>
      </c>
    </row>
    <row r="20" spans="1:60" ht="23.25" customHeight="1" x14ac:dyDescent="0.25">
      <c r="A20" s="81">
        <v>18</v>
      </c>
      <c r="B20" s="84" t="s">
        <v>129</v>
      </c>
      <c r="C20" s="51"/>
      <c r="D20" s="51"/>
      <c r="E20" s="51">
        <v>0.247</v>
      </c>
      <c r="F20" s="51">
        <v>2.59</v>
      </c>
      <c r="G20" s="51">
        <v>0.27100000000000002</v>
      </c>
      <c r="H20" s="51">
        <v>2.0059999999999998</v>
      </c>
      <c r="I20" s="51"/>
      <c r="J20" s="51"/>
      <c r="K20" s="51">
        <v>7.2539999999999996</v>
      </c>
      <c r="L20" s="51">
        <v>108.511</v>
      </c>
      <c r="M20" s="51">
        <v>3.6999999999999998E-2</v>
      </c>
      <c r="N20" s="51">
        <v>0.871</v>
      </c>
      <c r="O20" s="51"/>
      <c r="P20" s="51"/>
      <c r="Q20" s="51">
        <v>0.26400000000000001</v>
      </c>
      <c r="R20" s="51">
        <v>0.502</v>
      </c>
      <c r="S20" s="51">
        <v>0.53200000000000003</v>
      </c>
      <c r="T20" s="51">
        <v>4.2889999999999997</v>
      </c>
      <c r="U20" s="51">
        <v>0.14099999999999999</v>
      </c>
      <c r="V20" s="51">
        <v>1.542</v>
      </c>
      <c r="W20" s="51">
        <v>0.23400000000000001</v>
      </c>
      <c r="X20" s="51">
        <v>2.4359999999999999</v>
      </c>
      <c r="Y20" s="51">
        <v>0.53500000000000003</v>
      </c>
      <c r="Z20" s="51">
        <v>3.5419999999999998</v>
      </c>
      <c r="AA20" s="51">
        <v>0.56599999999999995</v>
      </c>
      <c r="AB20" s="51">
        <v>3.7389999999999999</v>
      </c>
      <c r="AC20" s="51"/>
      <c r="AD20" s="51"/>
      <c r="AE20" s="51">
        <v>1.353</v>
      </c>
      <c r="AF20" s="51">
        <v>16.574000000000002</v>
      </c>
      <c r="AG20" s="51">
        <v>6.734</v>
      </c>
      <c r="AH20" s="51">
        <v>18.116</v>
      </c>
      <c r="AI20" s="82">
        <f>' Citrus 2016(Final Est.)'!K20</f>
        <v>8.1630000000000003</v>
      </c>
      <c r="AJ20" s="82">
        <f>' Citrus 2016(Final Est.)'!L20</f>
        <v>67.804000000000016</v>
      </c>
      <c r="AK20" s="51">
        <v>0.253</v>
      </c>
      <c r="AL20" s="51">
        <v>1.9379999999999999</v>
      </c>
      <c r="AM20" s="51">
        <v>0.253</v>
      </c>
      <c r="AN20" s="51">
        <v>2.4740000000000002</v>
      </c>
      <c r="AO20" s="51"/>
      <c r="AP20" s="51"/>
      <c r="AQ20" s="51">
        <v>8.9870000000000001</v>
      </c>
      <c r="AR20" s="51">
        <v>127.806</v>
      </c>
      <c r="AS20" s="51">
        <v>0.47499999999999998</v>
      </c>
      <c r="AT20" s="51">
        <v>3.1150000000000002</v>
      </c>
      <c r="AU20" s="51">
        <v>7.8E-2</v>
      </c>
      <c r="AV20" s="51">
        <v>0.45800000000000002</v>
      </c>
      <c r="AW20" s="51"/>
      <c r="AX20" s="51"/>
      <c r="AY20" s="51"/>
      <c r="AZ20" s="51"/>
      <c r="BA20" s="51"/>
      <c r="BB20" s="51"/>
      <c r="BC20" s="51">
        <v>0.108</v>
      </c>
      <c r="BD20" s="51">
        <v>0.99199999999999999</v>
      </c>
      <c r="BE20" s="51">
        <v>0.56399999999999995</v>
      </c>
      <c r="BF20" s="51">
        <v>4.8280000000000003</v>
      </c>
      <c r="BG20" s="82">
        <f t="shared" si="0"/>
        <v>37.048999999999999</v>
      </c>
      <c r="BH20" s="82">
        <f t="shared" si="2"/>
        <v>374.13300000000004</v>
      </c>
    </row>
    <row r="21" spans="1:60" ht="23.25" customHeight="1" x14ac:dyDescent="0.25">
      <c r="A21" s="81">
        <v>19</v>
      </c>
      <c r="B21" s="56" t="s">
        <v>130</v>
      </c>
      <c r="C21" s="51"/>
      <c r="D21" s="51"/>
      <c r="E21" s="51">
        <v>2.0223</v>
      </c>
      <c r="F21" s="51">
        <v>0.71109</v>
      </c>
      <c r="G21" s="51"/>
      <c r="H21" s="51"/>
      <c r="I21" s="51">
        <v>8.7443100000000005</v>
      </c>
      <c r="J21" s="51">
        <v>48.564169999999997</v>
      </c>
      <c r="K21" s="51">
        <v>24.4696</v>
      </c>
      <c r="L21" s="51">
        <v>462.71384</v>
      </c>
      <c r="M21" s="51">
        <v>7.5794800000000002</v>
      </c>
      <c r="N21" s="51">
        <v>39.462969999999999</v>
      </c>
      <c r="O21" s="51"/>
      <c r="P21" s="51"/>
      <c r="Q21" s="51"/>
      <c r="R21" s="51"/>
      <c r="S21" s="51">
        <v>14.214399999999999</v>
      </c>
      <c r="T21" s="51">
        <v>103.79465999999999</v>
      </c>
      <c r="U21" s="51">
        <v>12.39762</v>
      </c>
      <c r="V21" s="51">
        <v>232.78575000000001</v>
      </c>
      <c r="W21" s="51"/>
      <c r="X21" s="51"/>
      <c r="Y21" s="51">
        <v>4.4592000000000001</v>
      </c>
      <c r="Z21" s="51">
        <v>20.316369999999999</v>
      </c>
      <c r="AA21" s="51">
        <v>199.29005000000001</v>
      </c>
      <c r="AB21" s="51">
        <v>778.72122999999999</v>
      </c>
      <c r="AC21" s="51">
        <v>8.0699999999999994E-2</v>
      </c>
      <c r="AD21" s="51">
        <v>1.3587100000000001</v>
      </c>
      <c r="AE21" s="51">
        <v>3.0310600000000001</v>
      </c>
      <c r="AF21" s="51">
        <v>70.183850000000007</v>
      </c>
      <c r="AG21" s="51"/>
      <c r="AH21" s="51"/>
      <c r="AI21" s="82">
        <f>' Citrus 2016(Final Est.)'!K21</f>
        <v>27.912800000000001</v>
      </c>
      <c r="AJ21" s="82">
        <f>' Citrus 2016(Final Est.)'!L21</f>
        <v>267.98495000000003</v>
      </c>
      <c r="AK21" s="51"/>
      <c r="AL21" s="51"/>
      <c r="AM21" s="51"/>
      <c r="AN21" s="51"/>
      <c r="AO21" s="51"/>
      <c r="AP21" s="51"/>
      <c r="AQ21" s="51">
        <v>0.94879999999999998</v>
      </c>
      <c r="AR21" s="51">
        <v>11.67515</v>
      </c>
      <c r="AS21" s="51"/>
      <c r="AT21" s="51"/>
      <c r="AU21" s="51">
        <v>0.2361</v>
      </c>
      <c r="AV21" s="51">
        <v>0.88736000000000004</v>
      </c>
      <c r="AW21" s="51">
        <v>3.3521999999999998</v>
      </c>
      <c r="AX21" s="51">
        <v>15.67178</v>
      </c>
      <c r="AY21" s="51"/>
      <c r="AZ21" s="51"/>
      <c r="BA21" s="51"/>
      <c r="BB21" s="51"/>
      <c r="BC21" s="51">
        <v>11.7285</v>
      </c>
      <c r="BD21" s="51">
        <v>226.63978</v>
      </c>
      <c r="BE21" s="51">
        <v>20.33605</v>
      </c>
      <c r="BF21" s="51">
        <v>105.47207</v>
      </c>
      <c r="BG21" s="82">
        <f t="shared" si="0"/>
        <v>340.80317000000002</v>
      </c>
      <c r="BH21" s="82">
        <f t="shared" si="2"/>
        <v>2386.9437299999995</v>
      </c>
    </row>
    <row r="22" spans="1:60" ht="23.25" customHeight="1" x14ac:dyDescent="0.25">
      <c r="A22" s="81">
        <v>20</v>
      </c>
      <c r="B22" s="56" t="s">
        <v>245</v>
      </c>
      <c r="C22" s="51"/>
      <c r="D22" s="51"/>
      <c r="E22" s="51">
        <v>0.48299999999999998</v>
      </c>
      <c r="F22" s="51">
        <v>6.6379999999999999</v>
      </c>
      <c r="G22" s="51"/>
      <c r="H22" s="51"/>
      <c r="I22" s="51"/>
      <c r="J22" s="51"/>
      <c r="K22" s="51">
        <v>0.112</v>
      </c>
      <c r="L22" s="51">
        <v>6.4249999999999998</v>
      </c>
      <c r="M22" s="51">
        <v>1.675</v>
      </c>
      <c r="N22" s="51">
        <v>28.041</v>
      </c>
      <c r="O22" s="51"/>
      <c r="P22" s="51"/>
      <c r="Q22" s="51">
        <v>0.29699999999999999</v>
      </c>
      <c r="R22" s="51">
        <v>8.4930000000000003</v>
      </c>
      <c r="S22" s="51">
        <v>8.1170000000000009</v>
      </c>
      <c r="T22" s="51">
        <v>182.267</v>
      </c>
      <c r="U22" s="51"/>
      <c r="V22" s="51"/>
      <c r="W22" s="51"/>
      <c r="X22" s="51"/>
      <c r="Y22" s="51">
        <v>2.1520000000000001</v>
      </c>
      <c r="Z22" s="51">
        <v>34.881999999999998</v>
      </c>
      <c r="AA22" s="51">
        <v>6.7439999999999998</v>
      </c>
      <c r="AB22" s="51">
        <v>113.501</v>
      </c>
      <c r="AC22" s="51">
        <v>5.12</v>
      </c>
      <c r="AD22" s="51">
        <v>91.26</v>
      </c>
      <c r="AE22" s="51"/>
      <c r="AF22" s="51"/>
      <c r="AG22" s="51"/>
      <c r="AH22" s="51"/>
      <c r="AI22" s="82">
        <f>' Citrus 2016(Final Est.)'!K22</f>
        <v>52.836000000000006</v>
      </c>
      <c r="AJ22" s="82">
        <f>' Citrus 2016(Final Est.)'!L22</f>
        <v>1168.5719999999999</v>
      </c>
      <c r="AK22" s="51">
        <v>1.7629999999999999</v>
      </c>
      <c r="AL22" s="51">
        <v>31.318000000000001</v>
      </c>
      <c r="AM22" s="51">
        <v>2.879</v>
      </c>
      <c r="AN22" s="51">
        <v>66.046999999999997</v>
      </c>
      <c r="AO22" s="51"/>
      <c r="AP22" s="51"/>
      <c r="AQ22" s="51"/>
      <c r="AR22" s="51"/>
      <c r="AS22" s="51">
        <v>0.23400000000000001</v>
      </c>
      <c r="AT22" s="51">
        <v>4.1689999999999996</v>
      </c>
      <c r="AU22" s="51"/>
      <c r="AV22" s="51"/>
      <c r="AW22" s="51"/>
      <c r="AX22" s="51"/>
      <c r="AY22" s="51"/>
      <c r="AZ22" s="51"/>
      <c r="BA22" s="51"/>
      <c r="BB22" s="51"/>
      <c r="BC22" s="51">
        <v>1.252</v>
      </c>
      <c r="BD22" s="51">
        <v>22.349</v>
      </c>
      <c r="BE22" s="51">
        <v>1.794</v>
      </c>
      <c r="BF22" s="51">
        <v>26.975000000000001</v>
      </c>
      <c r="BG22" s="82">
        <f t="shared" si="0"/>
        <v>85.457999999999998</v>
      </c>
      <c r="BH22" s="82">
        <f t="shared" si="2"/>
        <v>1790.9369999999997</v>
      </c>
    </row>
    <row r="23" spans="1:60" ht="23.25" customHeight="1" x14ac:dyDescent="0.25">
      <c r="A23" s="81">
        <v>21</v>
      </c>
      <c r="B23" s="56" t="s">
        <v>151</v>
      </c>
      <c r="C23" s="51"/>
      <c r="D23" s="51"/>
      <c r="E23" s="51">
        <v>1.655</v>
      </c>
      <c r="F23" s="51">
        <v>14.099</v>
      </c>
      <c r="G23" s="51"/>
      <c r="H23" s="51"/>
      <c r="I23" s="51"/>
      <c r="J23" s="51"/>
      <c r="K23" s="51">
        <v>3.4000000000000002E-2</v>
      </c>
      <c r="L23" s="51">
        <v>0.40500000000000003</v>
      </c>
      <c r="M23" s="51">
        <v>0.71399999999999997</v>
      </c>
      <c r="N23" s="51">
        <v>6.7320000000000002</v>
      </c>
      <c r="O23" s="51">
        <v>0.52400000000000002</v>
      </c>
      <c r="P23" s="51">
        <v>6.1210000000000004</v>
      </c>
      <c r="Q23" s="51">
        <v>5.0000000000000001E-3</v>
      </c>
      <c r="R23" s="51">
        <v>2.4E-2</v>
      </c>
      <c r="S23" s="51">
        <v>3.85</v>
      </c>
      <c r="T23" s="51">
        <v>41.353999999999999</v>
      </c>
      <c r="U23" s="51"/>
      <c r="V23" s="51"/>
      <c r="W23" s="51"/>
      <c r="X23" s="51"/>
      <c r="Y23" s="51"/>
      <c r="Z23" s="51"/>
      <c r="AA23" s="51">
        <v>5</v>
      </c>
      <c r="AB23" s="51">
        <v>82.268000000000001</v>
      </c>
      <c r="AC23" s="51">
        <v>0.98199999999999998</v>
      </c>
      <c r="AD23" s="51">
        <v>6.6619999999999999</v>
      </c>
      <c r="AE23" s="51">
        <v>0.71599999999999997</v>
      </c>
      <c r="AF23" s="51">
        <v>10.718</v>
      </c>
      <c r="AG23" s="51"/>
      <c r="AH23" s="51"/>
      <c r="AI23" s="82">
        <f>' Citrus 2016(Final Est.)'!K23</f>
        <v>24.379000000000001</v>
      </c>
      <c r="AJ23" s="82">
        <f>' Citrus 2016(Final Est.)'!L23</f>
        <v>475.53800000000001</v>
      </c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>
        <v>2.4649999999999999</v>
      </c>
      <c r="AV23" s="51">
        <v>10.050000000000001</v>
      </c>
      <c r="AW23" s="51">
        <v>1.2E-2</v>
      </c>
      <c r="AX23" s="51">
        <v>3.5000000000000003E-2</v>
      </c>
      <c r="AY23" s="51"/>
      <c r="AZ23" s="51"/>
      <c r="BA23" s="51"/>
      <c r="BB23" s="51"/>
      <c r="BC23" s="51">
        <v>2.93</v>
      </c>
      <c r="BD23" s="51">
        <v>27.564</v>
      </c>
      <c r="BE23" s="51"/>
      <c r="BF23" s="51"/>
      <c r="BG23" s="82">
        <f t="shared" si="0"/>
        <v>43.265999999999998</v>
      </c>
      <c r="BH23" s="82">
        <f t="shared" si="2"/>
        <v>681.56999999999994</v>
      </c>
    </row>
    <row r="24" spans="1:60" ht="23.25" customHeight="1" x14ac:dyDescent="0.25">
      <c r="A24" s="81">
        <v>22</v>
      </c>
      <c r="B24" s="56" t="s">
        <v>133</v>
      </c>
      <c r="C24" s="51"/>
      <c r="D24" s="51"/>
      <c r="E24" s="51"/>
      <c r="F24" s="51"/>
      <c r="G24" s="51">
        <v>1E-3</v>
      </c>
      <c r="H24" s="51">
        <v>1E-3</v>
      </c>
      <c r="I24" s="51"/>
      <c r="J24" s="51"/>
      <c r="K24" s="51">
        <v>1.1539999999999999</v>
      </c>
      <c r="L24" s="51">
        <v>3.5609999999999999</v>
      </c>
      <c r="M24" s="51"/>
      <c r="N24" s="51"/>
      <c r="O24" s="51"/>
      <c r="P24" s="51"/>
      <c r="Q24" s="51"/>
      <c r="R24" s="51"/>
      <c r="S24" s="51">
        <v>1.2210000000000001</v>
      </c>
      <c r="T24" s="51">
        <v>0.11600000000000001</v>
      </c>
      <c r="U24" s="51"/>
      <c r="V24" s="51"/>
      <c r="W24" s="51">
        <v>0.17199999999999999</v>
      </c>
      <c r="X24" s="51">
        <v>0.79</v>
      </c>
      <c r="Y24" s="51">
        <v>0.35199999999999998</v>
      </c>
      <c r="Z24" s="51">
        <v>3.3000000000000002E-2</v>
      </c>
      <c r="AA24" s="51"/>
      <c r="AB24" s="51"/>
      <c r="AC24" s="51"/>
      <c r="AD24" s="51"/>
      <c r="AE24" s="51">
        <v>0.78600000000000003</v>
      </c>
      <c r="AF24" s="51">
        <v>0.59499999999999997</v>
      </c>
      <c r="AG24" s="51">
        <v>1E-3</v>
      </c>
      <c r="AH24" s="51">
        <v>1E-3</v>
      </c>
      <c r="AI24" s="82">
        <f>' Citrus 2016(Final Est.)'!K24</f>
        <v>12.379</v>
      </c>
      <c r="AJ24" s="82">
        <f>' Citrus 2016(Final Est.)'!L24</f>
        <v>16.797000000000001</v>
      </c>
      <c r="AK24" s="51">
        <v>0.187</v>
      </c>
      <c r="AL24" s="51">
        <v>9.1999999999999998E-2</v>
      </c>
      <c r="AM24" s="51">
        <v>1.2130000000000001</v>
      </c>
      <c r="AN24" s="51">
        <v>1.492</v>
      </c>
      <c r="AO24" s="51"/>
      <c r="AP24" s="51"/>
      <c r="AQ24" s="51">
        <v>6.5000000000000002E-2</v>
      </c>
      <c r="AR24" s="51">
        <v>0</v>
      </c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82">
        <f t="shared" si="0"/>
        <v>17.531000000000002</v>
      </c>
      <c r="BH24" s="82">
        <f t="shared" si="2"/>
        <v>23.478000000000002</v>
      </c>
    </row>
    <row r="25" spans="1:60" ht="23.25" customHeight="1" x14ac:dyDescent="0.25">
      <c r="A25" s="81">
        <v>23</v>
      </c>
      <c r="B25" s="56" t="s">
        <v>134</v>
      </c>
      <c r="C25" s="51"/>
      <c r="D25" s="51"/>
      <c r="E25" s="51">
        <v>8.3870000000000005</v>
      </c>
      <c r="F25" s="51">
        <v>171.47399999999999</v>
      </c>
      <c r="G25" s="51">
        <v>3.0000000000000001E-3</v>
      </c>
      <c r="H25" s="51">
        <v>1.6E-2</v>
      </c>
      <c r="I25" s="51"/>
      <c r="J25" s="51"/>
      <c r="K25" s="51">
        <v>94.611000000000004</v>
      </c>
      <c r="L25" s="51">
        <v>4331.6459999999997</v>
      </c>
      <c r="M25" s="51">
        <v>7.0000000000000001E-3</v>
      </c>
      <c r="N25" s="51">
        <v>9.4E-2</v>
      </c>
      <c r="O25" s="51">
        <v>4.0000000000000001E-3</v>
      </c>
      <c r="P25" s="51">
        <v>9.6000000000000002E-2</v>
      </c>
      <c r="Q25" s="51">
        <v>2.44</v>
      </c>
      <c r="R25" s="51">
        <v>34.094999999999999</v>
      </c>
      <c r="S25" s="51">
        <v>9.0009999999999994</v>
      </c>
      <c r="T25" s="51">
        <v>71.97</v>
      </c>
      <c r="U25" s="51">
        <v>2.7570000000000001</v>
      </c>
      <c r="V25" s="51">
        <v>49.725000000000001</v>
      </c>
      <c r="W25" s="51"/>
      <c r="X25" s="51"/>
      <c r="Y25" s="51"/>
      <c r="Z25" s="51"/>
      <c r="AA25" s="51">
        <v>125.976</v>
      </c>
      <c r="AB25" s="51">
        <v>975.10500000000002</v>
      </c>
      <c r="AC25" s="51">
        <v>0.58299999999999996</v>
      </c>
      <c r="AD25" s="51">
        <v>19.25</v>
      </c>
      <c r="AE25" s="51">
        <v>1.863</v>
      </c>
      <c r="AF25" s="51">
        <v>428.012</v>
      </c>
      <c r="AG25" s="51"/>
      <c r="AH25" s="51"/>
      <c r="AI25" s="82">
        <f>' Citrus 2016(Final Est.)'!K25</f>
        <v>12.501000000000001</v>
      </c>
      <c r="AJ25" s="82">
        <f>' Citrus 2016(Final Est.)'!L25</f>
        <v>49.832999999999998</v>
      </c>
      <c r="AK25" s="51">
        <v>5.2999999999999999E-2</v>
      </c>
      <c r="AL25" s="51">
        <v>0.30399999999999999</v>
      </c>
      <c r="AM25" s="51">
        <v>0.874</v>
      </c>
      <c r="AN25" s="51">
        <v>36.780999999999999</v>
      </c>
      <c r="AO25" s="51"/>
      <c r="AP25" s="51"/>
      <c r="AQ25" s="51">
        <v>0.77100000000000002</v>
      </c>
      <c r="AR25" s="51">
        <v>26.216000000000001</v>
      </c>
      <c r="AS25" s="51">
        <v>0.45400000000000001</v>
      </c>
      <c r="AT25" s="51">
        <v>5.84</v>
      </c>
      <c r="AU25" s="51">
        <v>0.48099999999999998</v>
      </c>
      <c r="AV25" s="51">
        <v>15.92</v>
      </c>
      <c r="AW25" s="51">
        <v>6.7480000000000002</v>
      </c>
      <c r="AX25" s="51">
        <v>225.39599999999999</v>
      </c>
      <c r="AY25" s="51">
        <v>6.0000000000000001E-3</v>
      </c>
      <c r="AZ25" s="51">
        <v>5.2999999999999999E-2</v>
      </c>
      <c r="BA25" s="51"/>
      <c r="BB25" s="51"/>
      <c r="BC25" s="51">
        <v>6.423</v>
      </c>
      <c r="BD25" s="51">
        <v>175.15100000000001</v>
      </c>
      <c r="BE25" s="51">
        <v>0.90700000000000003</v>
      </c>
      <c r="BF25" s="51">
        <v>18.119</v>
      </c>
      <c r="BG25" s="82">
        <f t="shared" si="0"/>
        <v>274.85000000000002</v>
      </c>
      <c r="BH25" s="82">
        <f t="shared" si="2"/>
        <v>6635.0959999999986</v>
      </c>
    </row>
    <row r="26" spans="1:60" ht="23.25" customHeight="1" x14ac:dyDescent="0.25">
      <c r="A26" s="81">
        <v>24</v>
      </c>
      <c r="B26" s="89" t="s">
        <v>135</v>
      </c>
      <c r="C26" s="51"/>
      <c r="D26" s="51"/>
      <c r="E26" s="51">
        <v>1E-3</v>
      </c>
      <c r="F26" s="51">
        <v>7.0000000000000001E-3</v>
      </c>
      <c r="G26" s="51"/>
      <c r="H26" s="51"/>
      <c r="I26" s="51"/>
      <c r="J26" s="51"/>
      <c r="K26" s="51">
        <v>4.6539999999999999</v>
      </c>
      <c r="L26" s="51">
        <v>183.69800000000001</v>
      </c>
      <c r="M26" s="51">
        <v>0.191</v>
      </c>
      <c r="N26" s="51">
        <v>1.881</v>
      </c>
      <c r="O26" s="51">
        <v>1.5740000000000001</v>
      </c>
      <c r="P26" s="51">
        <v>15.911</v>
      </c>
      <c r="Q26" s="51">
        <v>0.58699999999999997</v>
      </c>
      <c r="R26" s="51">
        <v>13.535</v>
      </c>
      <c r="S26" s="51">
        <v>5.3769999999999998</v>
      </c>
      <c r="T26" s="51">
        <v>101.11360000000001</v>
      </c>
      <c r="U26" s="51"/>
      <c r="V26" s="51"/>
      <c r="W26" s="51"/>
      <c r="X26" s="51"/>
      <c r="Y26" s="51"/>
      <c r="Z26" s="51"/>
      <c r="AA26" s="51">
        <v>194.05199999999999</v>
      </c>
      <c r="AB26" s="51">
        <v>1778.3246999999999</v>
      </c>
      <c r="AC26" s="51">
        <v>0.48799999999999999</v>
      </c>
      <c r="AD26" s="51">
        <v>7.55</v>
      </c>
      <c r="AE26" s="51">
        <v>4.7919999999999998</v>
      </c>
      <c r="AF26" s="51">
        <v>393.404</v>
      </c>
      <c r="AG26" s="51"/>
      <c r="AH26" s="51"/>
      <c r="AI26" s="82">
        <f>' Citrus 2016(Final Est.)'!K26</f>
        <v>112.97</v>
      </c>
      <c r="AJ26" s="82">
        <f>' Citrus 2016(Final Est.)'!L26</f>
        <v>1725.8880000000001</v>
      </c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>
        <v>1.84</v>
      </c>
      <c r="AV26" s="51">
        <v>25.02</v>
      </c>
      <c r="AW26" s="51">
        <v>1.4510000000000001</v>
      </c>
      <c r="AX26" s="51">
        <v>18.524999999999999</v>
      </c>
      <c r="AY26" s="51"/>
      <c r="AZ26" s="51"/>
      <c r="BA26" s="51"/>
      <c r="BB26" s="51"/>
      <c r="BC26" s="51">
        <v>1.8420000000000001</v>
      </c>
      <c r="BD26" s="51">
        <v>40.933999999999997</v>
      </c>
      <c r="BE26" s="51">
        <f>1.606+0.061</f>
        <v>1.667</v>
      </c>
      <c r="BF26" s="51">
        <f>13.65+0.426</f>
        <v>14.076000000000001</v>
      </c>
      <c r="BG26" s="82">
        <f t="shared" si="0"/>
        <v>331.48599999999993</v>
      </c>
      <c r="BH26" s="82">
        <f t="shared" si="2"/>
        <v>4319.8673000000008</v>
      </c>
    </row>
    <row r="27" spans="1:60" ht="23.25" customHeight="1" x14ac:dyDescent="0.25">
      <c r="A27" s="81">
        <v>25</v>
      </c>
      <c r="B27" s="56" t="s">
        <v>136</v>
      </c>
      <c r="C27" s="51"/>
      <c r="D27" s="51"/>
      <c r="E27" s="51"/>
      <c r="F27" s="51"/>
      <c r="G27" s="51"/>
      <c r="H27" s="51"/>
      <c r="I27" s="51"/>
      <c r="J27" s="51"/>
      <c r="K27" s="51">
        <v>14.62</v>
      </c>
      <c r="L27" s="51">
        <v>153.62100000000001</v>
      </c>
      <c r="M27" s="51">
        <v>5.5E-2</v>
      </c>
      <c r="N27" s="51">
        <v>0</v>
      </c>
      <c r="O27" s="51"/>
      <c r="P27" s="51"/>
      <c r="Q27" s="51"/>
      <c r="R27" s="51"/>
      <c r="S27" s="51">
        <v>1.01</v>
      </c>
      <c r="T27" s="51">
        <v>5.077</v>
      </c>
      <c r="U27" s="51">
        <v>10.069000000000001</v>
      </c>
      <c r="V27" s="51">
        <v>291.58999999999997</v>
      </c>
      <c r="W27" s="51"/>
      <c r="X27" s="51"/>
      <c r="Y27" s="51">
        <v>3.964</v>
      </c>
      <c r="Z27" s="51">
        <v>20.32</v>
      </c>
      <c r="AA27" s="51">
        <v>11.753</v>
      </c>
      <c r="AB27" s="51">
        <v>59.058</v>
      </c>
      <c r="AC27" s="51"/>
      <c r="AD27" s="51"/>
      <c r="AE27" s="51">
        <v>3.8130000000000002</v>
      </c>
      <c r="AF27" s="51">
        <v>37.933999999999997</v>
      </c>
      <c r="AG27" s="51"/>
      <c r="AH27" s="51"/>
      <c r="AI27" s="82">
        <f>' Citrus 2016(Final Est.)'!K27</f>
        <v>14.706</v>
      </c>
      <c r="AJ27" s="82">
        <f>' Citrus 2016(Final Est.)'!L27</f>
        <v>61.429000000000002</v>
      </c>
      <c r="AK27" s="51"/>
      <c r="AL27" s="51"/>
      <c r="AM27" s="51"/>
      <c r="AN27" s="51"/>
      <c r="AO27" s="51"/>
      <c r="AP27" s="51"/>
      <c r="AQ27" s="51">
        <v>12.693</v>
      </c>
      <c r="AR27" s="51">
        <v>180.25700000000001</v>
      </c>
      <c r="AS27" s="51"/>
      <c r="AT27" s="51"/>
      <c r="AU27" s="51"/>
      <c r="AV27" s="51"/>
      <c r="AW27" s="51">
        <v>0.20699999999999999</v>
      </c>
      <c r="AX27" s="51">
        <v>1.8109999999999999</v>
      </c>
      <c r="AY27" s="51"/>
      <c r="AZ27" s="51"/>
      <c r="BA27" s="51"/>
      <c r="BB27" s="51"/>
      <c r="BC27" s="51">
        <v>1.038</v>
      </c>
      <c r="BD27" s="51">
        <v>26.998000000000001</v>
      </c>
      <c r="BE27" s="51">
        <v>1.8149999999999999</v>
      </c>
      <c r="BF27" s="51">
        <v>15.952999999999999</v>
      </c>
      <c r="BG27" s="82">
        <f t="shared" si="0"/>
        <v>75.742999999999981</v>
      </c>
      <c r="BH27" s="82">
        <f t="shared" si="2"/>
        <v>854.04800000000012</v>
      </c>
    </row>
    <row r="28" spans="1:60" ht="23.25" customHeight="1" x14ac:dyDescent="0.25">
      <c r="A28" s="81">
        <v>26</v>
      </c>
      <c r="B28" s="56" t="s">
        <v>137</v>
      </c>
      <c r="C28" s="51"/>
      <c r="D28" s="51"/>
      <c r="E28" s="51">
        <v>35.366999999999997</v>
      </c>
      <c r="F28" s="51">
        <v>379.14299999999997</v>
      </c>
      <c r="G28" s="51"/>
      <c r="H28" s="51"/>
      <c r="I28" s="51"/>
      <c r="J28" s="51"/>
      <c r="K28" s="51">
        <v>66.997</v>
      </c>
      <c r="L28" s="51">
        <v>3061.212</v>
      </c>
      <c r="M28" s="51"/>
      <c r="N28" s="51"/>
      <c r="O28" s="51"/>
      <c r="P28" s="51"/>
      <c r="Q28" s="51"/>
      <c r="R28" s="51"/>
      <c r="S28" s="51">
        <v>48.698</v>
      </c>
      <c r="T28" s="51">
        <v>914.36</v>
      </c>
      <c r="U28" s="51">
        <v>0.58399999999999996</v>
      </c>
      <c r="V28" s="51">
        <v>14.412000000000001</v>
      </c>
      <c r="W28" s="51"/>
      <c r="X28" s="51"/>
      <c r="Y28" s="51">
        <v>4.1559999999999997</v>
      </c>
      <c r="Z28" s="51">
        <v>35.871000000000002</v>
      </c>
      <c r="AA28" s="51">
        <v>263.27499999999998</v>
      </c>
      <c r="AB28" s="51">
        <v>4512.7070000000003</v>
      </c>
      <c r="AC28" s="51">
        <v>20.318999999999999</v>
      </c>
      <c r="AD28" s="51">
        <v>528.346</v>
      </c>
      <c r="AE28" s="51">
        <v>1.7769999999999999</v>
      </c>
      <c r="AF28" s="51">
        <v>85.468999999999994</v>
      </c>
      <c r="AG28" s="51"/>
      <c r="AH28" s="51"/>
      <c r="AI28" s="82">
        <f>' Citrus 2016(Final Est.)'!K28</f>
        <v>3.92</v>
      </c>
      <c r="AJ28" s="82">
        <f>' Citrus 2016(Final Est.)'!L28</f>
        <v>15.103999999999999</v>
      </c>
      <c r="AK28" s="51"/>
      <c r="AL28" s="51"/>
      <c r="AM28" s="51"/>
      <c r="AN28" s="51"/>
      <c r="AO28" s="51"/>
      <c r="AP28" s="51"/>
      <c r="AQ28" s="51"/>
      <c r="AR28" s="58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>
        <v>12.987</v>
      </c>
      <c r="BD28" s="51">
        <v>584.976</v>
      </c>
      <c r="BE28" s="51">
        <v>10.811999999999999</v>
      </c>
      <c r="BF28" s="51">
        <v>164.54400000000001</v>
      </c>
      <c r="BG28" s="82">
        <f t="shared" si="0"/>
        <v>468.89200000000005</v>
      </c>
      <c r="BH28" s="82">
        <f t="shared" si="2"/>
        <v>10296.144</v>
      </c>
    </row>
    <row r="29" spans="1:60" ht="23.25" customHeight="1" x14ac:dyDescent="0.25">
      <c r="A29" s="81">
        <v>27</v>
      </c>
      <c r="B29" s="56" t="s">
        <v>138</v>
      </c>
      <c r="C29" s="86"/>
      <c r="D29" s="86"/>
      <c r="E29" s="86">
        <v>0.81399999999999995</v>
      </c>
      <c r="F29" s="86">
        <v>2.3690000000000002</v>
      </c>
      <c r="G29" s="86">
        <v>24.981999999999999</v>
      </c>
      <c r="H29" s="86">
        <v>61.941000000000003</v>
      </c>
      <c r="I29" s="87"/>
      <c r="J29" s="87"/>
      <c r="K29" s="87"/>
      <c r="L29" s="87"/>
      <c r="M29" s="86"/>
      <c r="N29" s="86"/>
      <c r="O29" s="86"/>
      <c r="P29" s="86"/>
      <c r="Q29" s="87"/>
      <c r="R29" s="87"/>
      <c r="S29" s="87">
        <v>3.367</v>
      </c>
      <c r="T29" s="87">
        <v>19.085000000000001</v>
      </c>
      <c r="U29" s="86"/>
      <c r="V29" s="86"/>
      <c r="W29" s="87"/>
      <c r="X29" s="87"/>
      <c r="Y29" s="87">
        <v>10.253</v>
      </c>
      <c r="Z29" s="87">
        <v>23.742000000000001</v>
      </c>
      <c r="AA29" s="87">
        <v>35.911999999999999</v>
      </c>
      <c r="AB29" s="87">
        <v>149.727</v>
      </c>
      <c r="AC29" s="87"/>
      <c r="AD29" s="87"/>
      <c r="AE29" s="86"/>
      <c r="AF29" s="86"/>
      <c r="AG29" s="87"/>
      <c r="AH29" s="87"/>
      <c r="AI29" s="82">
        <f>' Citrus 2016(Final Est.)'!K29</f>
        <v>21.152999999999999</v>
      </c>
      <c r="AJ29" s="82">
        <f>' Citrus 2016(Final Est.)'!L29</f>
        <v>88.728999999999999</v>
      </c>
      <c r="AK29" s="87">
        <v>7.8559999999999999</v>
      </c>
      <c r="AL29" s="87">
        <v>57.933999999999997</v>
      </c>
      <c r="AM29" s="87">
        <v>13.029</v>
      </c>
      <c r="AN29" s="87">
        <v>78.778000000000006</v>
      </c>
      <c r="AO29" s="86"/>
      <c r="AP29" s="86"/>
      <c r="AQ29" s="86"/>
      <c r="AR29" s="86"/>
      <c r="AS29" s="87">
        <v>8.8379999999999992</v>
      </c>
      <c r="AT29" s="87">
        <v>36.155000000000001</v>
      </c>
      <c r="AU29" s="86"/>
      <c r="AV29" s="86"/>
      <c r="AW29" s="87"/>
      <c r="AX29" s="87"/>
      <c r="AY29" s="86"/>
      <c r="AZ29" s="86"/>
      <c r="BA29" s="86">
        <v>17.244</v>
      </c>
      <c r="BB29" s="86">
        <v>19.323</v>
      </c>
      <c r="BC29" s="86"/>
      <c r="BD29" s="86"/>
      <c r="BE29" s="87">
        <f>23.929+7.954</f>
        <v>31.882999999999999</v>
      </c>
      <c r="BF29" s="87">
        <f>93.114+28.198</f>
        <v>121.31200000000001</v>
      </c>
      <c r="BG29" s="82">
        <f t="shared" si="0"/>
        <v>175.33099999999999</v>
      </c>
      <c r="BH29" s="82">
        <f t="shared" si="2"/>
        <v>659.09500000000003</v>
      </c>
    </row>
    <row r="30" spans="1:60" ht="23.25" customHeight="1" x14ac:dyDescent="0.25">
      <c r="A30" s="81">
        <v>28</v>
      </c>
      <c r="B30" s="56" t="s">
        <v>139</v>
      </c>
      <c r="C30" s="51"/>
      <c r="D30" s="51"/>
      <c r="E30" s="51"/>
      <c r="F30" s="51"/>
      <c r="G30" s="51"/>
      <c r="H30" s="51"/>
      <c r="I30" s="51"/>
      <c r="J30" s="51"/>
      <c r="K30" s="51">
        <v>48.067999999999998</v>
      </c>
      <c r="L30" s="51">
        <v>1172.338</v>
      </c>
      <c r="M30" s="51"/>
      <c r="N30" s="51"/>
      <c r="O30" s="51"/>
      <c r="P30" s="51"/>
      <c r="Q30" s="51"/>
      <c r="R30" s="51"/>
      <c r="S30" s="51">
        <v>15.369</v>
      </c>
      <c r="T30" s="51">
        <v>198.79400000000001</v>
      </c>
      <c r="U30" s="51">
        <v>11.686</v>
      </c>
      <c r="V30" s="51">
        <v>196.76400000000001</v>
      </c>
      <c r="W30" s="51"/>
      <c r="X30" s="51"/>
      <c r="Y30" s="51">
        <v>9.51</v>
      </c>
      <c r="Z30" s="51">
        <v>75.281000000000006</v>
      </c>
      <c r="AA30" s="51">
        <v>96.742999999999995</v>
      </c>
      <c r="AB30" s="51">
        <v>693.39400000000001</v>
      </c>
      <c r="AC30" s="51"/>
      <c r="AD30" s="51"/>
      <c r="AE30" s="51">
        <v>11.955</v>
      </c>
      <c r="AF30" s="51">
        <v>350.774</v>
      </c>
      <c r="AG30" s="51"/>
      <c r="AH30" s="51"/>
      <c r="AI30" s="82">
        <f>' Citrus 2016(Final Est.)'!K30</f>
        <v>12.456</v>
      </c>
      <c r="AJ30" s="82">
        <f>' Citrus 2016(Final Est.)'!L30</f>
        <v>115.92599999999999</v>
      </c>
      <c r="AK30" s="51"/>
      <c r="AL30" s="51"/>
      <c r="AM30" s="51"/>
      <c r="AN30" s="51"/>
      <c r="AO30" s="51"/>
      <c r="AP30" s="51"/>
      <c r="AQ30" s="51">
        <v>10.999000000000001</v>
      </c>
      <c r="AR30" s="51">
        <v>330.065</v>
      </c>
      <c r="AS30" s="51"/>
      <c r="AT30" s="51"/>
      <c r="AU30" s="51"/>
      <c r="AV30" s="51"/>
      <c r="AW30" s="51">
        <v>4.2960000000000003</v>
      </c>
      <c r="AX30" s="51">
        <v>46.726999999999997</v>
      </c>
      <c r="AY30" s="51"/>
      <c r="AZ30" s="51"/>
      <c r="BA30" s="51"/>
      <c r="BB30" s="51"/>
      <c r="BC30" s="51">
        <v>16.536000000000001</v>
      </c>
      <c r="BD30" s="51">
        <v>229.96</v>
      </c>
      <c r="BE30" s="51">
        <v>11.605</v>
      </c>
      <c r="BF30" s="51">
        <v>106.682</v>
      </c>
      <c r="BG30" s="82">
        <f t="shared" si="0"/>
        <v>249.22299999999996</v>
      </c>
      <c r="BH30" s="82">
        <f t="shared" si="2"/>
        <v>3516.7049999999995</v>
      </c>
    </row>
    <row r="31" spans="1:60" ht="23.25" customHeight="1" x14ac:dyDescent="0.25">
      <c r="A31" s="81">
        <v>29</v>
      </c>
      <c r="B31" s="56" t="s">
        <v>207</v>
      </c>
      <c r="C31" s="51">
        <v>0</v>
      </c>
      <c r="D31" s="51">
        <v>0</v>
      </c>
      <c r="E31" s="51">
        <v>0.19900000000000001</v>
      </c>
      <c r="F31" s="51">
        <v>0.11700000000000001</v>
      </c>
      <c r="G31" s="51">
        <v>0</v>
      </c>
      <c r="H31" s="51">
        <v>0</v>
      </c>
      <c r="I31" s="51">
        <v>0</v>
      </c>
      <c r="J31" s="51">
        <v>0</v>
      </c>
      <c r="K31" s="51">
        <v>5.0299999999999994</v>
      </c>
      <c r="L31" s="51">
        <v>53.548999999999999</v>
      </c>
      <c r="M31" s="51">
        <v>0</v>
      </c>
      <c r="N31" s="51">
        <v>0</v>
      </c>
      <c r="O31" s="51">
        <v>3.1E-2</v>
      </c>
      <c r="P31" s="51">
        <v>7.3999999999999996E-2</v>
      </c>
      <c r="Q31" s="51">
        <v>0</v>
      </c>
      <c r="R31" s="51">
        <v>0</v>
      </c>
      <c r="S31" s="51">
        <v>0.16699999999999998</v>
      </c>
      <c r="T31" s="51">
        <v>1.502</v>
      </c>
      <c r="U31" s="51">
        <v>0</v>
      </c>
      <c r="V31" s="51">
        <v>0</v>
      </c>
      <c r="W31" s="51">
        <v>0</v>
      </c>
      <c r="X31" s="51">
        <v>0</v>
      </c>
      <c r="Y31" s="51">
        <v>0</v>
      </c>
      <c r="Z31" s="51">
        <v>0</v>
      </c>
      <c r="AA31" s="51">
        <v>6.907</v>
      </c>
      <c r="AB31" s="51">
        <v>26.999000000000002</v>
      </c>
      <c r="AC31" s="51">
        <v>3.9E-2</v>
      </c>
      <c r="AD31" s="51">
        <v>0.38999999999999996</v>
      </c>
      <c r="AE31" s="51">
        <v>0.39200000000000002</v>
      </c>
      <c r="AF31" s="51">
        <v>3.7979999999999996</v>
      </c>
      <c r="AG31" s="51">
        <v>0</v>
      </c>
      <c r="AH31" s="51">
        <v>0</v>
      </c>
      <c r="AI31" s="82">
        <f>' Citrus 2016(Final Est.)'!K31</f>
        <v>0.36099999999999999</v>
      </c>
      <c r="AJ31" s="82">
        <f>' Citrus 2016(Final Est.)'!L31</f>
        <v>1.2520000000000002</v>
      </c>
      <c r="AK31" s="51">
        <v>0</v>
      </c>
      <c r="AL31" s="51">
        <v>0</v>
      </c>
      <c r="AM31" s="51">
        <v>0</v>
      </c>
      <c r="AN31" s="51">
        <v>0</v>
      </c>
      <c r="AO31" s="51">
        <v>0</v>
      </c>
      <c r="AP31" s="51">
        <v>0</v>
      </c>
      <c r="AQ31" s="51">
        <v>0.46200000000000002</v>
      </c>
      <c r="AR31" s="51">
        <v>8.0389999999999997</v>
      </c>
      <c r="AS31" s="51">
        <v>0</v>
      </c>
      <c r="AT31" s="51">
        <v>0</v>
      </c>
      <c r="AU31" s="51">
        <v>8.0000000000000002E-3</v>
      </c>
      <c r="AV31" s="51">
        <v>4.0000000000000001E-3</v>
      </c>
      <c r="AW31" s="51">
        <v>0.34600000000000003</v>
      </c>
      <c r="AX31" s="51">
        <v>1.7990000000000002</v>
      </c>
      <c r="AY31" s="51">
        <v>0</v>
      </c>
      <c r="AZ31" s="51">
        <v>0</v>
      </c>
      <c r="BA31" s="51">
        <v>0</v>
      </c>
      <c r="BB31" s="51">
        <v>0</v>
      </c>
      <c r="BC31" s="51">
        <v>9.4E-2</v>
      </c>
      <c r="BD31" s="51">
        <v>1.157</v>
      </c>
      <c r="BE31" s="51">
        <v>4.2430000000000003</v>
      </c>
      <c r="BF31" s="51">
        <v>44.475999999999992</v>
      </c>
      <c r="BG31" s="82">
        <f t="shared" si="0"/>
        <v>18.278999999999996</v>
      </c>
      <c r="BH31" s="82">
        <f t="shared" si="2"/>
        <v>143.15600000000001</v>
      </c>
    </row>
    <row r="32" spans="1:60" ht="23.25" customHeight="1" x14ac:dyDescent="0.25">
      <c r="A32" s="90"/>
      <c r="B32" s="56" t="s">
        <v>109</v>
      </c>
      <c r="C32" s="91">
        <f>SUM(C3:C31)</f>
        <v>11.685</v>
      </c>
      <c r="D32" s="91">
        <f t="shared" ref="D32:BH32" si="3">SUM(D3:D31)</f>
        <v>7.9330000000000007</v>
      </c>
      <c r="E32" s="91">
        <f t="shared" si="3"/>
        <v>88.466299999999976</v>
      </c>
      <c r="F32" s="91">
        <f t="shared" si="3"/>
        <v>972.2880899999999</v>
      </c>
      <c r="G32" s="91">
        <f t="shared" si="3"/>
        <v>277.15530000000001</v>
      </c>
      <c r="H32" s="91">
        <f t="shared" si="3"/>
        <v>2521.09058</v>
      </c>
      <c r="I32" s="91">
        <f t="shared" si="3"/>
        <v>9.4653100000000006</v>
      </c>
      <c r="J32" s="91">
        <f t="shared" si="3"/>
        <v>85.833169999999996</v>
      </c>
      <c r="K32" s="91">
        <f t="shared" si="3"/>
        <v>841.18759999999986</v>
      </c>
      <c r="L32" s="91">
        <f t="shared" si="3"/>
        <v>29134.821919999995</v>
      </c>
      <c r="M32" s="91">
        <f t="shared" si="3"/>
        <v>43.827479999999994</v>
      </c>
      <c r="N32" s="91">
        <f t="shared" si="3"/>
        <v>424.58896999999996</v>
      </c>
      <c r="O32" s="91">
        <f t="shared" si="3"/>
        <v>36.83</v>
      </c>
      <c r="P32" s="91">
        <f t="shared" si="3"/>
        <v>298.00799999999998</v>
      </c>
      <c r="Q32" s="91">
        <f t="shared" si="3"/>
        <v>121.64834999999999</v>
      </c>
      <c r="R32" s="91">
        <f t="shared" si="3"/>
        <v>2590.0370049999992</v>
      </c>
      <c r="S32" s="91">
        <f t="shared" si="3"/>
        <v>254.86919</v>
      </c>
      <c r="T32" s="91">
        <f t="shared" si="3"/>
        <v>4047.7933499999995</v>
      </c>
      <c r="U32" s="91">
        <f t="shared" si="3"/>
        <v>150.97512</v>
      </c>
      <c r="V32" s="91">
        <f t="shared" si="3"/>
        <v>1731.6361499999998</v>
      </c>
      <c r="W32" s="91">
        <f t="shared" si="3"/>
        <v>4.2489999999999997</v>
      </c>
      <c r="X32" s="91">
        <f t="shared" si="3"/>
        <v>10.646340000000002</v>
      </c>
      <c r="Y32" s="91">
        <f t="shared" si="3"/>
        <v>90.046200000000013</v>
      </c>
      <c r="Z32" s="91">
        <f t="shared" si="3"/>
        <v>558.77036999999996</v>
      </c>
      <c r="AA32" s="91">
        <f t="shared" si="3"/>
        <v>2208.5610500000003</v>
      </c>
      <c r="AB32" s="91">
        <f t="shared" si="3"/>
        <v>18642.533729999999</v>
      </c>
      <c r="AC32" s="91">
        <f t="shared" si="3"/>
        <v>45.125700000000002</v>
      </c>
      <c r="AD32" s="91">
        <f t="shared" si="3"/>
        <v>934.82470999999998</v>
      </c>
      <c r="AE32" s="91">
        <f t="shared" si="3"/>
        <v>132.40905999999998</v>
      </c>
      <c r="AF32" s="91">
        <f t="shared" si="3"/>
        <v>5667.0647499999995</v>
      </c>
      <c r="AG32" s="91">
        <f t="shared" si="3"/>
        <v>13.462</v>
      </c>
      <c r="AH32" s="91">
        <f t="shared" si="3"/>
        <v>78.277000000000015</v>
      </c>
      <c r="AI32" s="91">
        <f t="shared" si="3"/>
        <v>1023.5448000000001</v>
      </c>
      <c r="AJ32" s="91">
        <f t="shared" si="3"/>
        <v>11580.763460000002</v>
      </c>
      <c r="AK32" s="91">
        <f t="shared" si="3"/>
        <v>17.552999999999997</v>
      </c>
      <c r="AL32" s="91">
        <f t="shared" si="3"/>
        <v>107.2055</v>
      </c>
      <c r="AM32" s="91">
        <f t="shared" si="3"/>
        <v>39.909370000000003</v>
      </c>
      <c r="AN32" s="91">
        <f t="shared" si="3"/>
        <v>322.99851999999998</v>
      </c>
      <c r="AO32" s="91">
        <f t="shared" si="3"/>
        <v>1.3680000000000001</v>
      </c>
      <c r="AP32" s="91">
        <f t="shared" si="3"/>
        <v>0.64900000000000002</v>
      </c>
      <c r="AQ32" s="91">
        <f t="shared" si="3"/>
        <v>109.82739999999998</v>
      </c>
      <c r="AR32" s="91">
        <f t="shared" si="3"/>
        <v>1924.2180499999999</v>
      </c>
      <c r="AS32" s="91">
        <f t="shared" si="3"/>
        <v>22.395</v>
      </c>
      <c r="AT32" s="91">
        <f t="shared" si="3"/>
        <v>82.111999999999995</v>
      </c>
      <c r="AU32" s="91">
        <f t="shared" si="3"/>
        <v>196.88635000000002</v>
      </c>
      <c r="AV32" s="91">
        <f t="shared" si="3"/>
        <v>2306.4371100000003</v>
      </c>
      <c r="AW32" s="91">
        <f t="shared" si="3"/>
        <v>106.6892</v>
      </c>
      <c r="AX32" s="91">
        <f t="shared" si="3"/>
        <v>1293.7587800000001</v>
      </c>
      <c r="AY32" s="91">
        <f t="shared" si="3"/>
        <v>0.69400000000000006</v>
      </c>
      <c r="AZ32" s="91">
        <f t="shared" si="3"/>
        <v>4.9025999999999996</v>
      </c>
      <c r="BA32" s="91">
        <f t="shared" si="3"/>
        <v>92.061800000000005</v>
      </c>
      <c r="BB32" s="91">
        <f t="shared" si="3"/>
        <v>228.59719999999999</v>
      </c>
      <c r="BC32" s="91">
        <f t="shared" si="3"/>
        <v>94.592499999999987</v>
      </c>
      <c r="BD32" s="91">
        <f t="shared" si="3"/>
        <v>2325.4387800000004</v>
      </c>
      <c r="BE32" s="91">
        <f t="shared" si="3"/>
        <v>265.18309000000005</v>
      </c>
      <c r="BF32" s="91">
        <f t="shared" si="3"/>
        <v>2299.8103199999996</v>
      </c>
      <c r="BG32" s="91">
        <f t="shared" si="3"/>
        <v>6300.6671699999988</v>
      </c>
      <c r="BH32" s="91">
        <f t="shared" si="3"/>
        <v>90183.038455000002</v>
      </c>
    </row>
    <row r="33" spans="1:58" ht="18.75" x14ac:dyDescent="0.3">
      <c r="A33" s="156" t="s">
        <v>252</v>
      </c>
      <c r="BF33" s="93"/>
    </row>
    <row r="34" spans="1:58" x14ac:dyDescent="0.25">
      <c r="A34" s="156" t="s">
        <v>2</v>
      </c>
    </row>
  </sheetData>
  <mergeCells count="31">
    <mergeCell ref="AC1:AD1"/>
    <mergeCell ref="A1:A2"/>
    <mergeCell ref="I1:J1"/>
    <mergeCell ref="B1:B2"/>
    <mergeCell ref="C1:D1"/>
    <mergeCell ref="E1:F1"/>
    <mergeCell ref="G1:H1"/>
    <mergeCell ref="AA1:AB1"/>
    <mergeCell ref="BG1:BH1"/>
    <mergeCell ref="AI1:AJ1"/>
    <mergeCell ref="K1:L1"/>
    <mergeCell ref="M1:N1"/>
    <mergeCell ref="O1:P1"/>
    <mergeCell ref="Q1:R1"/>
    <mergeCell ref="S1:T1"/>
    <mergeCell ref="U1:V1"/>
    <mergeCell ref="W1:X1"/>
    <mergeCell ref="Y1:Z1"/>
    <mergeCell ref="AE1:AF1"/>
    <mergeCell ref="AG1:AH1"/>
    <mergeCell ref="AU1:AV1"/>
    <mergeCell ref="AW1:AX1"/>
    <mergeCell ref="AY1:AZ1"/>
    <mergeCell ref="BA1:BB1"/>
    <mergeCell ref="BE1:BF1"/>
    <mergeCell ref="AK1:AL1"/>
    <mergeCell ref="AM1:AN1"/>
    <mergeCell ref="AO1:AP1"/>
    <mergeCell ref="AQ1:AR1"/>
    <mergeCell ref="AS1:AT1"/>
    <mergeCell ref="BC1:BD1"/>
  </mergeCells>
  <pageMargins left="0.2" right="0.2" top="0.78" bottom="0.23" header="0.44" footer="0.19"/>
  <pageSetup paperSize="9" scale="69" orientation="landscape" r:id="rId1"/>
  <headerFooter>
    <oddHeader>&amp;C&amp;"-,Bold"&amp;14Area and Production of Fruit Crops for 2015-16(Final)&amp;R&amp;"-,Bold"&amp;12Area in '000 Ha 
Production in '000 Tonnes</oddHeader>
  </headerFooter>
  <colBreaks count="3" manualBreakCount="3">
    <brk id="18" max="1048575" man="1"/>
    <brk id="34" max="1048575" man="1"/>
    <brk id="5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4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A33" sqref="A33:B34"/>
    </sheetView>
  </sheetViews>
  <sheetFormatPr defaultColWidth="9.5703125" defaultRowHeight="17.25" customHeight="1" x14ac:dyDescent="0.25"/>
  <cols>
    <col min="1" max="1" width="9.5703125" style="36"/>
    <col min="2" max="2" width="29.42578125" style="18" customWidth="1"/>
    <col min="3" max="12" width="13.5703125" style="18" customWidth="1"/>
    <col min="13" max="16384" width="9.5703125" style="18"/>
  </cols>
  <sheetData>
    <row r="1" spans="1:12" ht="38.25" customHeight="1" x14ac:dyDescent="0.25">
      <c r="A1" s="186" t="s">
        <v>247</v>
      </c>
      <c r="B1" s="31" t="s">
        <v>104</v>
      </c>
      <c r="C1" s="188" t="s">
        <v>179</v>
      </c>
      <c r="D1" s="188"/>
      <c r="E1" s="189" t="s">
        <v>180</v>
      </c>
      <c r="F1" s="189"/>
      <c r="G1" s="189" t="s">
        <v>181</v>
      </c>
      <c r="H1" s="189"/>
      <c r="I1" s="188" t="s">
        <v>182</v>
      </c>
      <c r="J1" s="188"/>
      <c r="K1" s="188" t="s">
        <v>109</v>
      </c>
      <c r="L1" s="188"/>
    </row>
    <row r="2" spans="1:12" ht="17.25" customHeight="1" x14ac:dyDescent="0.25">
      <c r="A2" s="187"/>
      <c r="B2" s="21"/>
      <c r="C2" s="31" t="s">
        <v>110</v>
      </c>
      <c r="D2" s="31" t="s">
        <v>111</v>
      </c>
      <c r="E2" s="31" t="s">
        <v>110</v>
      </c>
      <c r="F2" s="31" t="s">
        <v>111</v>
      </c>
      <c r="G2" s="31" t="s">
        <v>110</v>
      </c>
      <c r="H2" s="31" t="s">
        <v>111</v>
      </c>
      <c r="I2" s="31" t="s">
        <v>110</v>
      </c>
      <c r="J2" s="31" t="s">
        <v>111</v>
      </c>
      <c r="K2" s="31" t="s">
        <v>110</v>
      </c>
      <c r="L2" s="31" t="s">
        <v>111</v>
      </c>
    </row>
    <row r="3" spans="1:12" ht="20.25" customHeight="1" x14ac:dyDescent="0.25">
      <c r="A3" s="35">
        <v>1</v>
      </c>
      <c r="B3" s="16" t="s">
        <v>112</v>
      </c>
      <c r="C3" s="32">
        <v>34.264000000000003</v>
      </c>
      <c r="D3" s="32">
        <v>563.74099999999999</v>
      </c>
      <c r="E3" s="32"/>
      <c r="F3" s="32"/>
      <c r="G3" s="32">
        <v>77.94</v>
      </c>
      <c r="H3" s="32">
        <v>1265.1590000000001</v>
      </c>
      <c r="I3" s="32"/>
      <c r="J3" s="32"/>
      <c r="K3" s="33">
        <f>C3+E3+G3+I3</f>
        <v>112.20400000000001</v>
      </c>
      <c r="L3" s="33">
        <f>D3+F3+H3+J3</f>
        <v>1828.9</v>
      </c>
    </row>
    <row r="4" spans="1:12" ht="20.25" customHeight="1" x14ac:dyDescent="0.25">
      <c r="A4" s="35">
        <v>2</v>
      </c>
      <c r="B4" s="22" t="s">
        <v>113</v>
      </c>
      <c r="C4" s="32">
        <v>2.1000000000000001E-2</v>
      </c>
      <c r="D4" s="32">
        <v>7.6999999999999999E-2</v>
      </c>
      <c r="E4" s="32">
        <v>42.64</v>
      </c>
      <c r="F4" s="32">
        <v>217.04407</v>
      </c>
      <c r="G4" s="32"/>
      <c r="H4" s="32"/>
      <c r="I4" s="32"/>
      <c r="J4" s="32"/>
      <c r="K4" s="33">
        <f t="shared" ref="K4:K31" si="0">C4+E4+G4+I4</f>
        <v>42.661000000000001</v>
      </c>
      <c r="L4" s="33">
        <f t="shared" ref="L4:L31" si="1">D4+F4+H4+J4</f>
        <v>217.12107</v>
      </c>
    </row>
    <row r="5" spans="1:12" ht="20.25" customHeight="1" x14ac:dyDescent="0.25">
      <c r="A5" s="35">
        <v>3</v>
      </c>
      <c r="B5" s="16" t="s">
        <v>114</v>
      </c>
      <c r="C5" s="32">
        <v>13.173</v>
      </c>
      <c r="D5" s="32">
        <v>108.492</v>
      </c>
      <c r="E5" s="32">
        <v>15.648999999999999</v>
      </c>
      <c r="F5" s="32">
        <v>210.14099999999999</v>
      </c>
      <c r="G5" s="32">
        <v>0.46300000000000002</v>
      </c>
      <c r="H5" s="32">
        <v>4.76</v>
      </c>
      <c r="I5" s="32"/>
      <c r="J5" s="32"/>
      <c r="K5" s="33">
        <f t="shared" si="0"/>
        <v>29.285</v>
      </c>
      <c r="L5" s="33">
        <f t="shared" si="1"/>
        <v>323.39299999999997</v>
      </c>
    </row>
    <row r="6" spans="1:12" ht="20.25" customHeight="1" x14ac:dyDescent="0.25">
      <c r="A6" s="35">
        <v>4</v>
      </c>
      <c r="B6" s="16" t="s">
        <v>115</v>
      </c>
      <c r="C6" s="32">
        <v>18</v>
      </c>
      <c r="D6" s="32">
        <v>128.69999999999999</v>
      </c>
      <c r="E6" s="32"/>
      <c r="F6" s="32"/>
      <c r="G6" s="32">
        <v>0.5</v>
      </c>
      <c r="H6" s="32">
        <v>5.5</v>
      </c>
      <c r="I6" s="32">
        <v>32.402000000000001</v>
      </c>
      <c r="J6" s="32">
        <v>310.90100000000001</v>
      </c>
      <c r="K6" s="33">
        <f t="shared" si="0"/>
        <v>50.902000000000001</v>
      </c>
      <c r="L6" s="33">
        <f t="shared" si="1"/>
        <v>445.101</v>
      </c>
    </row>
    <row r="7" spans="1:12" ht="20.25" customHeight="1" x14ac:dyDescent="0.25">
      <c r="A7" s="35">
        <v>5</v>
      </c>
      <c r="B7" s="16" t="s">
        <v>116</v>
      </c>
      <c r="C7" s="32">
        <v>12.167999999999999</v>
      </c>
      <c r="D7" s="32">
        <v>89.03</v>
      </c>
      <c r="E7" s="32"/>
      <c r="F7" s="32"/>
      <c r="G7" s="32">
        <v>0.40699999999999997</v>
      </c>
      <c r="H7" s="32">
        <v>2.1890000000000001</v>
      </c>
      <c r="I7" s="32"/>
      <c r="J7" s="32"/>
      <c r="K7" s="33">
        <f t="shared" si="0"/>
        <v>12.574999999999999</v>
      </c>
      <c r="L7" s="33">
        <f t="shared" si="1"/>
        <v>91.218999999999994</v>
      </c>
    </row>
    <row r="8" spans="1:12" ht="20.25" customHeight="1" x14ac:dyDescent="0.25">
      <c r="A8" s="35">
        <v>6</v>
      </c>
      <c r="B8" s="16" t="s">
        <v>117</v>
      </c>
      <c r="C8" s="32"/>
      <c r="D8" s="32"/>
      <c r="E8" s="32"/>
      <c r="F8" s="32"/>
      <c r="G8" s="32"/>
      <c r="H8" s="32"/>
      <c r="I8" s="32">
        <v>43.27</v>
      </c>
      <c r="J8" s="32">
        <v>562.49144000000001</v>
      </c>
      <c r="K8" s="33">
        <f t="shared" si="0"/>
        <v>43.27</v>
      </c>
      <c r="L8" s="33">
        <f t="shared" si="1"/>
        <v>562.49144000000001</v>
      </c>
    </row>
    <row r="9" spans="1:12" ht="20.25" customHeight="1" x14ac:dyDescent="0.25">
      <c r="A9" s="35">
        <v>7</v>
      </c>
      <c r="B9" s="16" t="s">
        <v>118</v>
      </c>
      <c r="C9" s="32"/>
      <c r="D9" s="32"/>
      <c r="E9" s="32"/>
      <c r="F9" s="32"/>
      <c r="G9" s="32"/>
      <c r="H9" s="32"/>
      <c r="I9" s="32">
        <v>19.652000000000001</v>
      </c>
      <c r="J9" s="32">
        <v>301.76400000000001</v>
      </c>
      <c r="K9" s="33">
        <f t="shared" si="0"/>
        <v>19.652000000000001</v>
      </c>
      <c r="L9" s="33">
        <f t="shared" si="1"/>
        <v>301.76400000000001</v>
      </c>
    </row>
    <row r="10" spans="1:12" ht="20.25" customHeight="1" x14ac:dyDescent="0.25">
      <c r="A10" s="35">
        <v>8</v>
      </c>
      <c r="B10" s="16" t="s">
        <v>119</v>
      </c>
      <c r="C10" s="32">
        <v>11.185</v>
      </c>
      <c r="D10" s="32">
        <v>7.41</v>
      </c>
      <c r="E10" s="32">
        <v>8.7240000000000002</v>
      </c>
      <c r="F10" s="32">
        <v>13.028</v>
      </c>
      <c r="G10" s="32">
        <v>1.694</v>
      </c>
      <c r="H10" s="32">
        <v>2.2189999999999999</v>
      </c>
      <c r="I10" s="32">
        <v>2.46</v>
      </c>
      <c r="J10" s="32">
        <v>3.9670000000000001</v>
      </c>
      <c r="K10" s="33">
        <f t="shared" si="0"/>
        <v>24.062999999999999</v>
      </c>
      <c r="L10" s="33">
        <f t="shared" si="1"/>
        <v>26.624000000000002</v>
      </c>
    </row>
    <row r="11" spans="1:12" ht="20.25" customHeight="1" x14ac:dyDescent="0.25">
      <c r="A11" s="35">
        <v>9</v>
      </c>
      <c r="B11" s="16" t="s">
        <v>120</v>
      </c>
      <c r="C11" s="32">
        <v>4.12</v>
      </c>
      <c r="D11" s="32">
        <v>10.656000000000001</v>
      </c>
      <c r="E11" s="32">
        <v>2.347</v>
      </c>
      <c r="F11" s="32">
        <v>4.2089999999999996</v>
      </c>
      <c r="G11" s="32">
        <v>1.7729999999999999</v>
      </c>
      <c r="H11" s="32">
        <v>2.6</v>
      </c>
      <c r="I11" s="32">
        <v>6.1509999999999998</v>
      </c>
      <c r="J11" s="32">
        <v>16.587</v>
      </c>
      <c r="K11" s="33">
        <f t="shared" si="0"/>
        <v>14.391</v>
      </c>
      <c r="L11" s="33">
        <f t="shared" si="1"/>
        <v>34.052</v>
      </c>
    </row>
    <row r="12" spans="1:12" ht="20.25" customHeight="1" x14ac:dyDescent="0.25">
      <c r="A12" s="35">
        <v>10</v>
      </c>
      <c r="B12" s="16" t="s">
        <v>121</v>
      </c>
      <c r="C12" s="32">
        <v>4.843</v>
      </c>
      <c r="D12" s="32">
        <v>47.737000000000002</v>
      </c>
      <c r="E12" s="32"/>
      <c r="F12" s="32"/>
      <c r="G12" s="32"/>
      <c r="H12" s="32"/>
      <c r="I12" s="32"/>
      <c r="J12" s="32"/>
      <c r="K12" s="33">
        <f t="shared" si="0"/>
        <v>4.843</v>
      </c>
      <c r="L12" s="33">
        <f t="shared" si="1"/>
        <v>47.737000000000002</v>
      </c>
    </row>
    <row r="13" spans="1:12" ht="20.25" customHeight="1" x14ac:dyDescent="0.25">
      <c r="A13" s="35">
        <v>11</v>
      </c>
      <c r="B13" s="16" t="s">
        <v>149</v>
      </c>
      <c r="C13" s="32">
        <v>12.337</v>
      </c>
      <c r="D13" s="32">
        <v>292.685</v>
      </c>
      <c r="E13" s="32">
        <v>3.9729999999999999</v>
      </c>
      <c r="F13" s="32">
        <v>92.05</v>
      </c>
      <c r="G13" s="32">
        <v>1.704</v>
      </c>
      <c r="H13" s="32">
        <v>27.428999999999998</v>
      </c>
      <c r="I13" s="32">
        <v>0.27400000000000002</v>
      </c>
      <c r="J13" s="32">
        <v>3.0049999999999999</v>
      </c>
      <c r="K13" s="33">
        <f t="shared" si="0"/>
        <v>18.288</v>
      </c>
      <c r="L13" s="33">
        <f t="shared" si="1"/>
        <v>415.16899999999998</v>
      </c>
    </row>
    <row r="14" spans="1:12" ht="20.25" customHeight="1" x14ac:dyDescent="0.25">
      <c r="A14" s="35">
        <v>12</v>
      </c>
      <c r="B14" s="16" t="s">
        <v>123</v>
      </c>
      <c r="C14" s="32">
        <v>0.46</v>
      </c>
      <c r="D14" s="32">
        <v>1.73</v>
      </c>
      <c r="E14" s="32">
        <v>0</v>
      </c>
      <c r="F14" s="32">
        <v>0.03</v>
      </c>
      <c r="G14" s="32"/>
      <c r="H14" s="32"/>
      <c r="I14" s="32">
        <v>1.0999999999999999E-2</v>
      </c>
      <c r="J14" s="32">
        <v>5.0000000000000001E-3</v>
      </c>
      <c r="K14" s="33">
        <f t="shared" si="0"/>
        <v>0.47100000000000003</v>
      </c>
      <c r="L14" s="33">
        <f t="shared" si="1"/>
        <v>1.7649999999999999</v>
      </c>
    </row>
    <row r="15" spans="1:12" ht="20.25" customHeight="1" x14ac:dyDescent="0.25">
      <c r="A15" s="35">
        <v>13</v>
      </c>
      <c r="B15" s="16" t="s">
        <v>124</v>
      </c>
      <c r="C15" s="32">
        <v>12.468</v>
      </c>
      <c r="D15" s="32">
        <v>148.03899999999999</v>
      </c>
      <c r="E15" s="32">
        <v>94.488</v>
      </c>
      <c r="F15" s="32">
        <v>1126.268</v>
      </c>
      <c r="G15" s="32">
        <v>3.0419999999999998</v>
      </c>
      <c r="H15" s="32">
        <v>43.478999999999999</v>
      </c>
      <c r="I15" s="32">
        <v>1.1100000000000001</v>
      </c>
      <c r="J15" s="32">
        <v>14.278</v>
      </c>
      <c r="K15" s="33">
        <f t="shared" si="0"/>
        <v>111.108</v>
      </c>
      <c r="L15" s="33">
        <f t="shared" si="1"/>
        <v>1332.0640000000001</v>
      </c>
    </row>
    <row r="16" spans="1:12" ht="20.25" customHeight="1" x14ac:dyDescent="0.25">
      <c r="A16" s="35">
        <v>14</v>
      </c>
      <c r="B16" s="16" t="s">
        <v>125</v>
      </c>
      <c r="C16" s="32">
        <v>20.081</v>
      </c>
      <c r="D16" s="32">
        <v>201.119</v>
      </c>
      <c r="E16" s="32">
        <v>106.89700000000001</v>
      </c>
      <c r="F16" s="32">
        <v>768.99</v>
      </c>
      <c r="G16" s="32">
        <v>54.261000000000003</v>
      </c>
      <c r="H16" s="32">
        <v>659.149</v>
      </c>
      <c r="I16" s="32">
        <v>4.05</v>
      </c>
      <c r="J16" s="32">
        <v>32.4</v>
      </c>
      <c r="K16" s="33">
        <f t="shared" si="0"/>
        <v>185.28900000000002</v>
      </c>
      <c r="L16" s="33">
        <f t="shared" si="1"/>
        <v>1661.6580000000001</v>
      </c>
    </row>
    <row r="17" spans="1:12" ht="20.25" customHeight="1" x14ac:dyDescent="0.25">
      <c r="A17" s="35">
        <v>15</v>
      </c>
      <c r="B17" s="23" t="s">
        <v>126</v>
      </c>
      <c r="C17" s="32">
        <v>6.3140000000000001</v>
      </c>
      <c r="D17" s="32">
        <v>57.011000000000003</v>
      </c>
      <c r="E17" s="32">
        <v>4.907</v>
      </c>
      <c r="F17" s="32">
        <v>43.343000000000004</v>
      </c>
      <c r="G17" s="32"/>
      <c r="H17" s="32"/>
      <c r="I17" s="32"/>
      <c r="J17" s="32"/>
      <c r="K17" s="33">
        <f t="shared" si="0"/>
        <v>11.221</v>
      </c>
      <c r="L17" s="33">
        <f t="shared" si="1"/>
        <v>100.35400000000001</v>
      </c>
    </row>
    <row r="18" spans="1:12" ht="20.25" customHeight="1" x14ac:dyDescent="0.25">
      <c r="A18" s="35">
        <v>16</v>
      </c>
      <c r="B18" s="16" t="s">
        <v>127</v>
      </c>
      <c r="C18" s="32">
        <v>1.4379999999999999</v>
      </c>
      <c r="D18" s="32">
        <v>8.7870000000000008</v>
      </c>
      <c r="E18" s="32">
        <v>8.7530000000000001</v>
      </c>
      <c r="F18" s="32">
        <v>42.837000000000003</v>
      </c>
      <c r="G18" s="32"/>
      <c r="H18" s="32"/>
      <c r="I18" s="32">
        <v>2.274</v>
      </c>
      <c r="J18" s="32">
        <v>6.37</v>
      </c>
      <c r="K18" s="33">
        <f t="shared" si="0"/>
        <v>12.465</v>
      </c>
      <c r="L18" s="33">
        <f t="shared" si="1"/>
        <v>57.994</v>
      </c>
    </row>
    <row r="19" spans="1:12" ht="20.25" customHeight="1" x14ac:dyDescent="0.25">
      <c r="A19" s="35">
        <v>17</v>
      </c>
      <c r="B19" s="16" t="s">
        <v>128</v>
      </c>
      <c r="C19" s="32">
        <v>8.11</v>
      </c>
      <c r="D19" s="32">
        <v>25.9</v>
      </c>
      <c r="E19" s="32">
        <v>14.37</v>
      </c>
      <c r="F19" s="32">
        <v>41.34</v>
      </c>
      <c r="G19" s="32">
        <v>1.96</v>
      </c>
      <c r="H19" s="32">
        <v>4.55</v>
      </c>
      <c r="I19" s="32">
        <v>2.68</v>
      </c>
      <c r="J19" s="32">
        <v>6.71</v>
      </c>
      <c r="K19" s="33">
        <f t="shared" si="0"/>
        <v>27.119999999999997</v>
      </c>
      <c r="L19" s="33">
        <f t="shared" si="1"/>
        <v>78.5</v>
      </c>
    </row>
    <row r="20" spans="1:12" ht="20.25" customHeight="1" x14ac:dyDescent="0.25">
      <c r="A20" s="35">
        <v>18</v>
      </c>
      <c r="B20" s="22" t="s">
        <v>129</v>
      </c>
      <c r="C20" s="32">
        <v>1.464</v>
      </c>
      <c r="D20" s="32">
        <v>11.224</v>
      </c>
      <c r="E20" s="32">
        <v>6.1230000000000002</v>
      </c>
      <c r="F20" s="32">
        <v>51.688000000000002</v>
      </c>
      <c r="G20" s="32">
        <v>0.27100000000000002</v>
      </c>
      <c r="H20" s="32">
        <v>2.0609999999999999</v>
      </c>
      <c r="I20" s="32">
        <v>0.30499999999999999</v>
      </c>
      <c r="J20" s="32">
        <v>2.831</v>
      </c>
      <c r="K20" s="33">
        <f t="shared" si="0"/>
        <v>8.1630000000000003</v>
      </c>
      <c r="L20" s="33">
        <f t="shared" si="1"/>
        <v>67.804000000000016</v>
      </c>
    </row>
    <row r="21" spans="1:12" ht="20.25" customHeight="1" x14ac:dyDescent="0.25">
      <c r="A21" s="35">
        <v>19</v>
      </c>
      <c r="B21" s="16" t="s">
        <v>130</v>
      </c>
      <c r="C21" s="32">
        <v>26.9557</v>
      </c>
      <c r="D21" s="32">
        <v>261.36739</v>
      </c>
      <c r="E21" s="32"/>
      <c r="F21" s="32"/>
      <c r="G21" s="32"/>
      <c r="H21" s="32"/>
      <c r="I21" s="32">
        <v>0.95709999999999995</v>
      </c>
      <c r="J21" s="32">
        <v>6.6175600000000001</v>
      </c>
      <c r="K21" s="33">
        <f t="shared" si="0"/>
        <v>27.912800000000001</v>
      </c>
      <c r="L21" s="33">
        <f t="shared" si="1"/>
        <v>267.98495000000003</v>
      </c>
    </row>
    <row r="22" spans="1:12" ht="20.25" customHeight="1" x14ac:dyDescent="0.25">
      <c r="A22" s="35">
        <v>20</v>
      </c>
      <c r="B22" s="16" t="s">
        <v>131</v>
      </c>
      <c r="C22" s="32">
        <v>0.75800000000000001</v>
      </c>
      <c r="D22" s="32">
        <v>5.8360000000000003</v>
      </c>
      <c r="E22" s="32">
        <v>49.356000000000002</v>
      </c>
      <c r="F22" s="32">
        <v>1140.3119999999999</v>
      </c>
      <c r="G22" s="32">
        <v>2.722</v>
      </c>
      <c r="H22" s="32">
        <v>22.423999999999999</v>
      </c>
      <c r="I22" s="32"/>
      <c r="J22" s="32"/>
      <c r="K22" s="33">
        <f t="shared" si="0"/>
        <v>52.836000000000006</v>
      </c>
      <c r="L22" s="33">
        <f t="shared" si="1"/>
        <v>1168.5719999999999</v>
      </c>
    </row>
    <row r="23" spans="1:12" ht="20.25" customHeight="1" x14ac:dyDescent="0.25">
      <c r="A23" s="35">
        <v>21</v>
      </c>
      <c r="B23" s="16" t="s">
        <v>132</v>
      </c>
      <c r="C23" s="32">
        <v>2.891</v>
      </c>
      <c r="D23" s="32">
        <v>16.363</v>
      </c>
      <c r="E23" s="32">
        <v>12.476000000000001</v>
      </c>
      <c r="F23" s="32">
        <v>267.34300000000002</v>
      </c>
      <c r="G23" s="32">
        <v>0.192</v>
      </c>
      <c r="H23" s="32">
        <v>2.3490000000000002</v>
      </c>
      <c r="I23" s="32">
        <v>8.82</v>
      </c>
      <c r="J23" s="32">
        <v>189.483</v>
      </c>
      <c r="K23" s="33">
        <f t="shared" si="0"/>
        <v>24.379000000000001</v>
      </c>
      <c r="L23" s="33">
        <f t="shared" si="1"/>
        <v>475.53800000000001</v>
      </c>
    </row>
    <row r="24" spans="1:12" ht="20.25" customHeight="1" x14ac:dyDescent="0.25">
      <c r="A24" s="35">
        <v>22</v>
      </c>
      <c r="B24" s="16" t="s">
        <v>133</v>
      </c>
      <c r="C24" s="32"/>
      <c r="D24" s="32"/>
      <c r="E24" s="32">
        <v>12.379</v>
      </c>
      <c r="F24" s="32">
        <v>16.797000000000001</v>
      </c>
      <c r="G24" s="32"/>
      <c r="H24" s="32"/>
      <c r="I24" s="32"/>
      <c r="J24" s="32"/>
      <c r="K24" s="33">
        <f t="shared" si="0"/>
        <v>12.379</v>
      </c>
      <c r="L24" s="33">
        <f t="shared" si="1"/>
        <v>16.797000000000001</v>
      </c>
    </row>
    <row r="25" spans="1:12" ht="20.25" customHeight="1" x14ac:dyDescent="0.25">
      <c r="A25" s="35">
        <v>23</v>
      </c>
      <c r="B25" s="16" t="s">
        <v>134</v>
      </c>
      <c r="C25" s="32">
        <v>9.4309999999999992</v>
      </c>
      <c r="D25" s="32">
        <v>28.350999999999999</v>
      </c>
      <c r="E25" s="32">
        <v>2.0310000000000001</v>
      </c>
      <c r="F25" s="32">
        <v>6.2640000000000002</v>
      </c>
      <c r="G25" s="32">
        <v>0.127</v>
      </c>
      <c r="H25" s="32">
        <v>2.198</v>
      </c>
      <c r="I25" s="32">
        <v>0.91200000000000003</v>
      </c>
      <c r="J25" s="32">
        <v>13.02</v>
      </c>
      <c r="K25" s="33">
        <f t="shared" si="0"/>
        <v>12.501000000000001</v>
      </c>
      <c r="L25" s="33">
        <f t="shared" si="1"/>
        <v>49.832999999999998</v>
      </c>
    </row>
    <row r="26" spans="1:12" ht="20.25" customHeight="1" x14ac:dyDescent="0.25">
      <c r="A26" s="35">
        <v>24</v>
      </c>
      <c r="B26" s="34" t="s">
        <v>135</v>
      </c>
      <c r="C26" s="32">
        <v>17.637</v>
      </c>
      <c r="D26" s="32">
        <v>305.14</v>
      </c>
      <c r="E26" s="32">
        <v>3.4000000000000002E-2</v>
      </c>
      <c r="F26" s="32">
        <v>0.44400000000000001</v>
      </c>
      <c r="G26" s="32">
        <v>95.299000000000007</v>
      </c>
      <c r="H26" s="32">
        <v>1420.3040000000001</v>
      </c>
      <c r="I26" s="32"/>
      <c r="J26" s="32"/>
      <c r="K26" s="33">
        <f t="shared" si="0"/>
        <v>112.97</v>
      </c>
      <c r="L26" s="33">
        <f t="shared" si="1"/>
        <v>1725.8880000000001</v>
      </c>
    </row>
    <row r="27" spans="1:12" ht="20.25" customHeight="1" x14ac:dyDescent="0.25">
      <c r="A27" s="35">
        <v>25</v>
      </c>
      <c r="B27" s="16" t="s">
        <v>136</v>
      </c>
      <c r="C27" s="32">
        <v>5.702</v>
      </c>
      <c r="D27" s="32">
        <v>28.384</v>
      </c>
      <c r="E27" s="32">
        <v>7.6760000000000002</v>
      </c>
      <c r="F27" s="32">
        <v>31.402999999999999</v>
      </c>
      <c r="G27" s="32">
        <v>1.3280000000000001</v>
      </c>
      <c r="H27" s="32">
        <v>1.6419999999999999</v>
      </c>
      <c r="I27" s="32"/>
      <c r="J27" s="32"/>
      <c r="K27" s="33">
        <f t="shared" si="0"/>
        <v>14.706</v>
      </c>
      <c r="L27" s="33">
        <f t="shared" si="1"/>
        <v>61.429000000000002</v>
      </c>
    </row>
    <row r="28" spans="1:12" ht="20.25" customHeight="1" x14ac:dyDescent="0.25">
      <c r="A28" s="35">
        <v>26</v>
      </c>
      <c r="B28" s="16" t="s">
        <v>137</v>
      </c>
      <c r="C28" s="32"/>
      <c r="D28" s="32"/>
      <c r="E28" s="32"/>
      <c r="F28" s="32"/>
      <c r="G28" s="32"/>
      <c r="H28" s="32"/>
      <c r="I28" s="32">
        <v>3.92</v>
      </c>
      <c r="J28" s="32">
        <v>15.103999999999999</v>
      </c>
      <c r="K28" s="33">
        <f t="shared" si="0"/>
        <v>3.92</v>
      </c>
      <c r="L28" s="33">
        <f t="shared" si="1"/>
        <v>15.103999999999999</v>
      </c>
    </row>
    <row r="29" spans="1:12" ht="20.25" customHeight="1" x14ac:dyDescent="0.25">
      <c r="A29" s="35">
        <v>27</v>
      </c>
      <c r="B29" s="16" t="s">
        <v>138</v>
      </c>
      <c r="C29" s="32">
        <v>21.152999999999999</v>
      </c>
      <c r="D29" s="32">
        <v>88.728999999999999</v>
      </c>
      <c r="E29" s="32"/>
      <c r="F29" s="32"/>
      <c r="G29" s="32"/>
      <c r="H29" s="32"/>
      <c r="I29" s="32"/>
      <c r="J29" s="32"/>
      <c r="K29" s="33">
        <f t="shared" si="0"/>
        <v>21.152999999999999</v>
      </c>
      <c r="L29" s="33">
        <f t="shared" si="1"/>
        <v>88.728999999999999</v>
      </c>
    </row>
    <row r="30" spans="1:12" ht="20.25" customHeight="1" x14ac:dyDescent="0.25">
      <c r="A30" s="35">
        <v>28</v>
      </c>
      <c r="B30" s="16" t="s">
        <v>139</v>
      </c>
      <c r="C30" s="32"/>
      <c r="D30" s="32"/>
      <c r="E30" s="32">
        <v>4.0220000000000002</v>
      </c>
      <c r="F30" s="32">
        <v>39.207000000000001</v>
      </c>
      <c r="G30" s="32"/>
      <c r="H30" s="32"/>
      <c r="I30" s="32">
        <v>8.4339999999999993</v>
      </c>
      <c r="J30" s="32">
        <v>76.718999999999994</v>
      </c>
      <c r="K30" s="33">
        <f t="shared" si="0"/>
        <v>12.456</v>
      </c>
      <c r="L30" s="33">
        <f t="shared" si="1"/>
        <v>115.92599999999999</v>
      </c>
    </row>
    <row r="31" spans="1:12" ht="20.25" customHeight="1" x14ac:dyDescent="0.25">
      <c r="A31" s="35">
        <v>29</v>
      </c>
      <c r="B31" s="16" t="s">
        <v>207</v>
      </c>
      <c r="C31" s="32">
        <v>0.19699999999999998</v>
      </c>
      <c r="D31" s="32">
        <v>1.0630000000000002</v>
      </c>
      <c r="E31" s="32">
        <v>8.5000000000000006E-2</v>
      </c>
      <c r="F31" s="32">
        <v>6.4000000000000001E-2</v>
      </c>
      <c r="G31" s="32">
        <v>7.9000000000000001E-2</v>
      </c>
      <c r="H31" s="32">
        <v>0.125</v>
      </c>
      <c r="I31" s="32">
        <v>0</v>
      </c>
      <c r="J31" s="32">
        <v>0</v>
      </c>
      <c r="K31" s="33">
        <f t="shared" si="0"/>
        <v>0.36099999999999999</v>
      </c>
      <c r="L31" s="33">
        <f t="shared" si="1"/>
        <v>1.2520000000000002</v>
      </c>
    </row>
    <row r="32" spans="1:12" ht="20.25" customHeight="1" x14ac:dyDescent="0.25">
      <c r="A32" s="35"/>
      <c r="B32" s="16" t="s">
        <v>109</v>
      </c>
      <c r="C32" s="33">
        <f>SUM(C3:C31)</f>
        <v>245.17069999999998</v>
      </c>
      <c r="D32" s="33">
        <f t="shared" ref="D32:L32" si="2">SUM(D3:D31)</f>
        <v>2437.5713899999996</v>
      </c>
      <c r="E32" s="33">
        <f t="shared" si="2"/>
        <v>396.92999999999995</v>
      </c>
      <c r="F32" s="33">
        <f t="shared" si="2"/>
        <v>4112.8020700000006</v>
      </c>
      <c r="G32" s="33">
        <f t="shared" si="2"/>
        <v>243.76200000000003</v>
      </c>
      <c r="H32" s="33">
        <f t="shared" si="2"/>
        <v>3468.1370000000002</v>
      </c>
      <c r="I32" s="33">
        <f t="shared" si="2"/>
        <v>137.68209999999999</v>
      </c>
      <c r="J32" s="33">
        <f t="shared" si="2"/>
        <v>1562.2530000000004</v>
      </c>
      <c r="K32" s="33">
        <f t="shared" si="2"/>
        <v>1023.5448000000001</v>
      </c>
      <c r="L32" s="33">
        <f t="shared" si="2"/>
        <v>11580.763460000002</v>
      </c>
    </row>
    <row r="33" spans="1:5" ht="17.25" customHeight="1" x14ac:dyDescent="0.25">
      <c r="A33" s="156" t="s">
        <v>252</v>
      </c>
      <c r="B33" s="83"/>
      <c r="C33" s="157"/>
      <c r="D33" s="157"/>
      <c r="E33" s="157"/>
    </row>
    <row r="34" spans="1:5" ht="17.25" customHeight="1" x14ac:dyDescent="0.25">
      <c r="A34" s="156" t="s">
        <v>2</v>
      </c>
      <c r="B34" s="83"/>
    </row>
  </sheetData>
  <mergeCells count="6">
    <mergeCell ref="A1:A2"/>
    <mergeCell ref="K1:L1"/>
    <mergeCell ref="C1:D1"/>
    <mergeCell ref="E1:F1"/>
    <mergeCell ref="G1:H1"/>
    <mergeCell ref="I1:J1"/>
  </mergeCells>
  <printOptions horizontalCentered="1" verticalCentered="1"/>
  <pageMargins left="0.52" right="0.28000000000000003" top="0.81" bottom="1.28" header="0.46" footer="0.17"/>
  <pageSetup scale="68" orientation="landscape" r:id="rId1"/>
  <headerFooter alignWithMargins="0">
    <oddHeader xml:space="preserve">&amp;C&amp;"-,Bold"&amp;14Area and Production of Citrus Crops 2015-16 (Final)&amp;R&amp;"-,Bold"&amp;12Area in '000 Ha 
Prdouction in '000 MT 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37"/>
  <sheetViews>
    <sheetView zoomScaleNormal="10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D36" sqref="D36"/>
    </sheetView>
  </sheetViews>
  <sheetFormatPr defaultColWidth="27.42578125" defaultRowHeight="15.75" x14ac:dyDescent="0.25"/>
  <cols>
    <col min="1" max="1" width="9" style="61" customWidth="1"/>
    <col min="2" max="2" width="24.7109375" style="61" customWidth="1"/>
    <col min="3" max="4" width="13" style="61" customWidth="1"/>
    <col min="5" max="5" width="11.7109375" style="61" customWidth="1"/>
    <col min="6" max="6" width="13.28515625" style="61" customWidth="1"/>
    <col min="7" max="7" width="12.7109375" style="61" customWidth="1"/>
    <col min="8" max="8" width="13.85546875" style="61" customWidth="1"/>
    <col min="9" max="9" width="13.5703125" style="61" customWidth="1"/>
    <col min="10" max="10" width="12.42578125" style="61" customWidth="1"/>
    <col min="11" max="11" width="13.28515625" style="61" customWidth="1"/>
    <col min="12" max="12" width="12.85546875" style="61" customWidth="1"/>
    <col min="13" max="13" width="12.42578125" style="61" customWidth="1"/>
    <col min="14" max="14" width="13.42578125" style="61" customWidth="1"/>
    <col min="15" max="15" width="14" style="61" customWidth="1"/>
    <col min="16" max="16" width="15.140625" style="61" customWidth="1"/>
    <col min="17" max="17" width="14.85546875" style="61" customWidth="1"/>
    <col min="18" max="18" width="13.42578125" style="61" customWidth="1"/>
    <col min="19" max="19" width="13.7109375" style="61" customWidth="1"/>
    <col min="20" max="20" width="13.28515625" style="61" customWidth="1"/>
    <col min="21" max="21" width="11.5703125" style="61" customWidth="1"/>
    <col min="22" max="22" width="13.42578125" style="61" customWidth="1"/>
    <col min="23" max="23" width="11.85546875" style="61" customWidth="1"/>
    <col min="24" max="24" width="13.42578125" style="61" customWidth="1"/>
    <col min="25" max="25" width="11.85546875" style="61" customWidth="1"/>
    <col min="26" max="26" width="13.140625" style="61" customWidth="1"/>
    <col min="27" max="27" width="13.5703125" style="61" customWidth="1"/>
    <col min="28" max="28" width="13.28515625" style="61" customWidth="1"/>
    <col min="29" max="29" width="13" style="61" customWidth="1"/>
    <col min="30" max="30" width="13.7109375" style="61" customWidth="1"/>
    <col min="31" max="31" width="12.85546875" style="61" customWidth="1"/>
    <col min="32" max="32" width="14" style="61" customWidth="1"/>
    <col min="33" max="33" width="12.42578125" style="61" customWidth="1"/>
    <col min="34" max="35" width="13.140625" style="61" customWidth="1"/>
    <col min="36" max="36" width="13.5703125" style="61" customWidth="1"/>
    <col min="37" max="37" width="12.28515625" style="61" customWidth="1"/>
    <col min="38" max="38" width="13.7109375" style="61" customWidth="1"/>
    <col min="39" max="39" width="12.140625" style="61" customWidth="1"/>
    <col min="40" max="40" width="11.5703125" style="61" customWidth="1"/>
    <col min="41" max="41" width="10.28515625" style="61" customWidth="1"/>
    <col min="42" max="42" width="12.5703125" style="61" customWidth="1"/>
    <col min="43" max="43" width="11.7109375" style="61" customWidth="1"/>
    <col min="44" max="44" width="13.140625" style="61" customWidth="1"/>
    <col min="45" max="45" width="14.42578125" style="61" customWidth="1"/>
    <col min="46" max="46" width="10" style="61" customWidth="1"/>
    <col min="47" max="47" width="14" style="61" customWidth="1"/>
    <col min="48" max="48" width="13" style="61" customWidth="1"/>
    <col min="49" max="49" width="10.7109375" style="61" customWidth="1"/>
    <col min="50" max="50" width="12.5703125" style="61" customWidth="1"/>
    <col min="51" max="52" width="10.7109375" style="61" customWidth="1"/>
    <col min="53" max="54" width="11.85546875" style="61" customWidth="1"/>
    <col min="55" max="55" width="13" style="61" customWidth="1"/>
    <col min="56" max="56" width="6.28515625" style="61" customWidth="1"/>
    <col min="57" max="57" width="10.7109375" style="61" customWidth="1"/>
    <col min="58" max="58" width="11.85546875" style="61" customWidth="1"/>
    <col min="59" max="59" width="13" style="61" customWidth="1"/>
    <col min="60" max="60" width="12.7109375" style="61" customWidth="1"/>
    <col min="61" max="61" width="11.85546875" style="61" customWidth="1"/>
    <col min="62" max="249" width="6.5703125" style="61" customWidth="1"/>
    <col min="250" max="250" width="6" style="61" bestFit="1" customWidth="1"/>
    <col min="251" max="16384" width="27.42578125" style="61"/>
  </cols>
  <sheetData>
    <row r="1" spans="1:64" s="95" customFormat="1" ht="31.5" customHeight="1" x14ac:dyDescent="0.25">
      <c r="A1" s="192" t="s">
        <v>248</v>
      </c>
      <c r="B1" s="94" t="s">
        <v>104</v>
      </c>
      <c r="C1" s="193" t="s">
        <v>183</v>
      </c>
      <c r="D1" s="193"/>
      <c r="E1" s="190" t="s">
        <v>184</v>
      </c>
      <c r="F1" s="190"/>
      <c r="G1" s="190" t="s">
        <v>185</v>
      </c>
      <c r="H1" s="190"/>
      <c r="I1" s="190" t="s">
        <v>186</v>
      </c>
      <c r="J1" s="190"/>
      <c r="K1" s="190" t="s">
        <v>187</v>
      </c>
      <c r="L1" s="190"/>
      <c r="M1" s="190" t="s">
        <v>188</v>
      </c>
      <c r="N1" s="190"/>
      <c r="O1" s="190" t="s">
        <v>189</v>
      </c>
      <c r="P1" s="190"/>
      <c r="Q1" s="190" t="s">
        <v>190</v>
      </c>
      <c r="R1" s="190"/>
      <c r="S1" s="190" t="s">
        <v>191</v>
      </c>
      <c r="T1" s="190"/>
      <c r="U1" s="191" t="s">
        <v>192</v>
      </c>
      <c r="V1" s="190"/>
      <c r="W1" s="191" t="s">
        <v>193</v>
      </c>
      <c r="X1" s="190"/>
      <c r="Y1" s="190" t="s">
        <v>195</v>
      </c>
      <c r="Z1" s="190"/>
      <c r="AA1" s="190" t="s">
        <v>196</v>
      </c>
      <c r="AB1" s="190"/>
      <c r="AC1" s="191" t="s">
        <v>197</v>
      </c>
      <c r="AD1" s="190"/>
      <c r="AE1" s="190" t="s">
        <v>198</v>
      </c>
      <c r="AF1" s="190"/>
      <c r="AG1" s="190" t="s">
        <v>199</v>
      </c>
      <c r="AH1" s="190"/>
      <c r="AI1" s="190" t="s">
        <v>200</v>
      </c>
      <c r="AJ1" s="190"/>
      <c r="AK1" s="190" t="s">
        <v>201</v>
      </c>
      <c r="AL1" s="190"/>
      <c r="AM1" s="190" t="s">
        <v>202</v>
      </c>
      <c r="AN1" s="190"/>
      <c r="AO1" s="190" t="s">
        <v>203</v>
      </c>
      <c r="AP1" s="190"/>
      <c r="AQ1" s="190" t="s">
        <v>204</v>
      </c>
      <c r="AR1" s="190"/>
      <c r="AS1" s="190" t="s">
        <v>206</v>
      </c>
      <c r="AT1" s="190"/>
      <c r="AU1" s="190" t="s">
        <v>207</v>
      </c>
      <c r="AV1" s="190"/>
      <c r="AW1" s="190" t="s">
        <v>109</v>
      </c>
      <c r="AX1" s="190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</row>
    <row r="2" spans="1:64" s="98" customFormat="1" ht="20.25" customHeight="1" x14ac:dyDescent="0.25">
      <c r="A2" s="192"/>
      <c r="B2" s="96"/>
      <c r="C2" s="97" t="s">
        <v>110</v>
      </c>
      <c r="D2" s="97" t="s">
        <v>111</v>
      </c>
      <c r="E2" s="97" t="s">
        <v>110</v>
      </c>
      <c r="F2" s="97" t="s">
        <v>111</v>
      </c>
      <c r="G2" s="97" t="s">
        <v>110</v>
      </c>
      <c r="H2" s="97" t="s">
        <v>111</v>
      </c>
      <c r="I2" s="97" t="s">
        <v>110</v>
      </c>
      <c r="J2" s="97" t="s">
        <v>111</v>
      </c>
      <c r="K2" s="97" t="s">
        <v>110</v>
      </c>
      <c r="L2" s="97" t="s">
        <v>111</v>
      </c>
      <c r="M2" s="97" t="s">
        <v>110</v>
      </c>
      <c r="N2" s="97" t="s">
        <v>111</v>
      </c>
      <c r="O2" s="97" t="s">
        <v>110</v>
      </c>
      <c r="P2" s="97" t="s">
        <v>111</v>
      </c>
      <c r="Q2" s="97" t="s">
        <v>110</v>
      </c>
      <c r="R2" s="97" t="s">
        <v>111</v>
      </c>
      <c r="S2" s="97" t="s">
        <v>110</v>
      </c>
      <c r="T2" s="97" t="s">
        <v>111</v>
      </c>
      <c r="U2" s="97" t="s">
        <v>110</v>
      </c>
      <c r="V2" s="97" t="s">
        <v>111</v>
      </c>
      <c r="W2" s="97" t="s">
        <v>110</v>
      </c>
      <c r="X2" s="97" t="s">
        <v>111</v>
      </c>
      <c r="Y2" s="97" t="s">
        <v>110</v>
      </c>
      <c r="Z2" s="97" t="s">
        <v>111</v>
      </c>
      <c r="AA2" s="97" t="s">
        <v>110</v>
      </c>
      <c r="AB2" s="97" t="s">
        <v>111</v>
      </c>
      <c r="AC2" s="97" t="s">
        <v>110</v>
      </c>
      <c r="AD2" s="97" t="s">
        <v>111</v>
      </c>
      <c r="AE2" s="97" t="s">
        <v>110</v>
      </c>
      <c r="AF2" s="97" t="s">
        <v>111</v>
      </c>
      <c r="AG2" s="97" t="s">
        <v>110</v>
      </c>
      <c r="AH2" s="97" t="s">
        <v>111</v>
      </c>
      <c r="AI2" s="97" t="s">
        <v>110</v>
      </c>
      <c r="AJ2" s="97" t="s">
        <v>111</v>
      </c>
      <c r="AK2" s="97" t="s">
        <v>110</v>
      </c>
      <c r="AL2" s="97" t="s">
        <v>111</v>
      </c>
      <c r="AM2" s="97" t="s">
        <v>110</v>
      </c>
      <c r="AN2" s="97" t="s">
        <v>111</v>
      </c>
      <c r="AO2" s="97" t="s">
        <v>110</v>
      </c>
      <c r="AP2" s="97" t="s">
        <v>111</v>
      </c>
      <c r="AQ2" s="97" t="s">
        <v>110</v>
      </c>
      <c r="AR2" s="97" t="s">
        <v>111</v>
      </c>
      <c r="AS2" s="97" t="s">
        <v>110</v>
      </c>
      <c r="AT2" s="97" t="s">
        <v>111</v>
      </c>
      <c r="AU2" s="97" t="s">
        <v>110</v>
      </c>
      <c r="AV2" s="97" t="s">
        <v>111</v>
      </c>
      <c r="AW2" s="97" t="s">
        <v>110</v>
      </c>
      <c r="AX2" s="97" t="s">
        <v>111</v>
      </c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</row>
    <row r="3" spans="1:64" ht="21.75" customHeight="1" x14ac:dyDescent="0.25">
      <c r="A3" s="99">
        <v>1</v>
      </c>
      <c r="B3" s="56" t="s">
        <v>112</v>
      </c>
      <c r="C3" s="52">
        <v>15.109</v>
      </c>
      <c r="D3" s="52">
        <v>163.78800000000001</v>
      </c>
      <c r="E3" s="52">
        <v>6.97</v>
      </c>
      <c r="F3" s="52">
        <v>109.283</v>
      </c>
      <c r="G3" s="52">
        <v>2.4449999999999998</v>
      </c>
      <c r="H3" s="52">
        <v>33.792999999999999</v>
      </c>
      <c r="I3" s="52">
        <v>17.062000000000001</v>
      </c>
      <c r="J3" s="52">
        <v>419.06200000000001</v>
      </c>
      <c r="K3" s="52">
        <v>2.3460000000000001</v>
      </c>
      <c r="L3" s="52">
        <v>40.578000000000003</v>
      </c>
      <c r="M3" s="52">
        <v>0.13200000000000001</v>
      </c>
      <c r="N3" s="52">
        <v>2.1779999999999999</v>
      </c>
      <c r="O3" s="52">
        <v>2.254</v>
      </c>
      <c r="P3" s="52">
        <v>43.758000000000003</v>
      </c>
      <c r="Q3" s="52">
        <v>2.6970000000000001</v>
      </c>
      <c r="R3" s="52">
        <v>36.014000000000003</v>
      </c>
      <c r="S3" s="52">
        <v>4.9770000000000003</v>
      </c>
      <c r="T3" s="52">
        <v>90.578000000000003</v>
      </c>
      <c r="U3" s="52">
        <v>17.015000000000001</v>
      </c>
      <c r="V3" s="52">
        <v>340.39800000000002</v>
      </c>
      <c r="W3" s="52">
        <v>3.609</v>
      </c>
      <c r="X3" s="52">
        <v>207.52099999999999</v>
      </c>
      <c r="Y3" s="52">
        <v>17.975999999999999</v>
      </c>
      <c r="Z3" s="52">
        <v>225.47399999999999</v>
      </c>
      <c r="AA3" s="58">
        <v>45.021000000000001</v>
      </c>
      <c r="AB3" s="58">
        <v>885.41700000000003</v>
      </c>
      <c r="AC3" s="52">
        <v>0.89900000000000002</v>
      </c>
      <c r="AD3" s="52">
        <v>25.911000000000001</v>
      </c>
      <c r="AE3" s="52">
        <v>1.0999999999999999E-2</v>
      </c>
      <c r="AF3" s="52">
        <v>6.6000000000000003E-2</v>
      </c>
      <c r="AG3" s="58">
        <v>2.6059999999999999</v>
      </c>
      <c r="AH3" s="58">
        <v>38.86</v>
      </c>
      <c r="AI3" s="52">
        <v>0.77700000000000002</v>
      </c>
      <c r="AJ3" s="52">
        <v>14.340999999999999</v>
      </c>
      <c r="AK3" s="52">
        <v>0.375</v>
      </c>
      <c r="AL3" s="52">
        <v>8.0370000000000008</v>
      </c>
      <c r="AM3" s="52">
        <v>0.51700000000000002</v>
      </c>
      <c r="AN3" s="52">
        <v>10.715999999999999</v>
      </c>
      <c r="AO3" s="52">
        <v>10.978</v>
      </c>
      <c r="AP3" s="52">
        <v>164.77199999999999</v>
      </c>
      <c r="AQ3" s="52">
        <v>59.079000000000001</v>
      </c>
      <c r="AR3" s="52">
        <v>2236.556</v>
      </c>
      <c r="AS3" s="52"/>
      <c r="AT3" s="52"/>
      <c r="AU3" s="52">
        <v>25.544</v>
      </c>
      <c r="AV3" s="52">
        <v>345.673</v>
      </c>
      <c r="AW3" s="60">
        <f t="shared" ref="AW3:AW31" si="0">C3+E3+G3+I3+K3+M3+O3+Q3+S3+U3+W3+Y3+AA3+AC3+AE3+AG3+AI3+AK3+AM3+AO3+AQ3+AS3+AU3</f>
        <v>238.399</v>
      </c>
      <c r="AX3" s="60">
        <f t="shared" ref="AX3:AX31" si="1">D3+F3+H3+J3+L3+N3+P3+R3+T3+V3+X3+Z3+AB3+AD3+AF3+AH3+AJ3+AL3+AN3+AP3+AR3+AT3+AV3</f>
        <v>5442.7739999999994</v>
      </c>
    </row>
    <row r="4" spans="1:64" ht="21.75" customHeight="1" x14ac:dyDescent="0.25">
      <c r="A4" s="55">
        <v>2</v>
      </c>
      <c r="B4" s="84" t="s">
        <v>208</v>
      </c>
      <c r="C4" s="52">
        <v>0.2661</v>
      </c>
      <c r="D4" s="52">
        <v>0.76326000000000005</v>
      </c>
      <c r="E4" s="52"/>
      <c r="F4" s="52"/>
      <c r="G4" s="52"/>
      <c r="H4" s="52"/>
      <c r="I4" s="52">
        <v>0.39035999999999998</v>
      </c>
      <c r="J4" s="52">
        <v>2.2093500000000001</v>
      </c>
      <c r="K4" s="52">
        <v>0.77200000000000002</v>
      </c>
      <c r="L4" s="52">
        <v>9.6150000000000002</v>
      </c>
      <c r="M4" s="52">
        <v>1.6E-2</v>
      </c>
      <c r="N4" s="52">
        <v>9.8000000000000004E-2</v>
      </c>
      <c r="O4" s="52">
        <v>0.04</v>
      </c>
      <c r="P4" s="52">
        <v>0.42</v>
      </c>
      <c r="Q4" s="52">
        <v>0.31748999999999999</v>
      </c>
      <c r="R4" s="52">
        <v>2.6724299999999999</v>
      </c>
      <c r="S4" s="52">
        <v>0.31407000000000002</v>
      </c>
      <c r="T4" s="52">
        <v>0.82543</v>
      </c>
      <c r="U4" s="52"/>
      <c r="V4" s="52"/>
      <c r="W4" s="52"/>
      <c r="X4" s="52"/>
      <c r="Y4" s="52">
        <v>2.9000000000000001E-2</v>
      </c>
      <c r="Z4" s="52">
        <v>0.17399999999999999</v>
      </c>
      <c r="AA4" s="58"/>
      <c r="AB4" s="58"/>
      <c r="AC4" s="52"/>
      <c r="AD4" s="52"/>
      <c r="AE4" s="52">
        <v>3.5000000000000003E-2</v>
      </c>
      <c r="AF4" s="52">
        <v>3.9E-2</v>
      </c>
      <c r="AG4" s="58">
        <v>0.75941999999999998</v>
      </c>
      <c r="AH4" s="58">
        <v>5.6502299999999996</v>
      </c>
      <c r="AI4" s="52">
        <v>3.5000000000000003E-2</v>
      </c>
      <c r="AJ4" s="52">
        <v>0.21199999999999999</v>
      </c>
      <c r="AK4" s="52">
        <v>0.23580999999999999</v>
      </c>
      <c r="AL4" s="52">
        <v>2.0924999999999998</v>
      </c>
      <c r="AM4" s="52"/>
      <c r="AN4" s="52"/>
      <c r="AO4" s="52">
        <v>0</v>
      </c>
      <c r="AP4" s="52">
        <v>0</v>
      </c>
      <c r="AQ4" s="52">
        <v>0.23499</v>
      </c>
      <c r="AR4" s="52">
        <v>3.3163200000000002</v>
      </c>
      <c r="AS4" s="52">
        <v>4.6699999999999997E-3</v>
      </c>
      <c r="AT4" s="52">
        <v>2.5500000000000002E-3</v>
      </c>
      <c r="AU4" s="52">
        <f>0.50369+0.029+0.02</f>
        <v>0.55269000000000001</v>
      </c>
      <c r="AV4" s="52">
        <f>4.5112+0.174+0.235</f>
        <v>4.9202000000000004</v>
      </c>
      <c r="AW4" s="60">
        <f t="shared" si="0"/>
        <v>4.0026000000000002</v>
      </c>
      <c r="AX4" s="60">
        <f t="shared" si="1"/>
        <v>33.010270000000006</v>
      </c>
    </row>
    <row r="5" spans="1:64" ht="21.75" customHeight="1" x14ac:dyDescent="0.25">
      <c r="A5" s="99">
        <v>3</v>
      </c>
      <c r="B5" s="56" t="s">
        <v>114</v>
      </c>
      <c r="C5" s="52">
        <v>1.8640000000000001</v>
      </c>
      <c r="D5" s="52">
        <v>27.204000000000001</v>
      </c>
      <c r="E5" s="52">
        <v>5.1390000000000002</v>
      </c>
      <c r="F5" s="52">
        <v>49.136000000000003</v>
      </c>
      <c r="G5" s="52">
        <v>2.87</v>
      </c>
      <c r="H5" s="52">
        <v>50.313000000000002</v>
      </c>
      <c r="I5" s="52">
        <v>16.917000000000002</v>
      </c>
      <c r="J5" s="52">
        <v>265.66500000000002</v>
      </c>
      <c r="K5" s="52">
        <v>32.286999999999999</v>
      </c>
      <c r="L5" s="52">
        <v>754.976</v>
      </c>
      <c r="M5" s="52">
        <v>0.38400000000000001</v>
      </c>
      <c r="N5" s="52">
        <v>2.6389999999999998</v>
      </c>
      <c r="O5" s="52">
        <v>4.2939999999999996</v>
      </c>
      <c r="P5" s="52">
        <v>69.855000000000004</v>
      </c>
      <c r="Q5" s="52">
        <v>22.073</v>
      </c>
      <c r="R5" s="52">
        <v>443.94799999999998</v>
      </c>
      <c r="S5" s="52">
        <v>6.5750000000000002</v>
      </c>
      <c r="T5" s="52">
        <v>72.427999999999997</v>
      </c>
      <c r="U5" s="52">
        <v>21.312000000000001</v>
      </c>
      <c r="V5" s="52">
        <v>19.120999999999999</v>
      </c>
      <c r="W5" s="52"/>
      <c r="X5" s="52"/>
      <c r="Y5" s="52">
        <v>11.683999999999999</v>
      </c>
      <c r="Z5" s="52">
        <v>183.29300000000001</v>
      </c>
      <c r="AA5" s="58">
        <v>8.4659999999999993</v>
      </c>
      <c r="AB5" s="58">
        <v>80.305000000000007</v>
      </c>
      <c r="AC5" s="52">
        <v>1.829</v>
      </c>
      <c r="AD5" s="52">
        <v>17.643000000000001</v>
      </c>
      <c r="AE5" s="52">
        <v>30.805</v>
      </c>
      <c r="AF5" s="52">
        <v>25.713000000000001</v>
      </c>
      <c r="AG5" s="58">
        <v>104.827</v>
      </c>
      <c r="AH5" s="58">
        <v>1037.2629999999999</v>
      </c>
      <c r="AI5" s="52">
        <v>20.018999999999998</v>
      </c>
      <c r="AJ5" s="52">
        <v>218.86099999999999</v>
      </c>
      <c r="AK5" s="52"/>
      <c r="AL5" s="52"/>
      <c r="AM5" s="52">
        <v>5.4109999999999996</v>
      </c>
      <c r="AN5" s="52">
        <v>29.151</v>
      </c>
      <c r="AO5" s="52">
        <v>3.1709999999999998</v>
      </c>
      <c r="AP5" s="52">
        <v>29.181999999999999</v>
      </c>
      <c r="AQ5" s="52">
        <v>17.664000000000001</v>
      </c>
      <c r="AR5" s="52">
        <v>445.017</v>
      </c>
      <c r="AS5" s="52"/>
      <c r="AT5" s="52"/>
      <c r="AU5" s="52"/>
      <c r="AV5" s="52"/>
      <c r="AW5" s="60">
        <f t="shared" si="0"/>
        <v>317.59100000000001</v>
      </c>
      <c r="AX5" s="60">
        <f t="shared" si="1"/>
        <v>3821.7129999999993</v>
      </c>
    </row>
    <row r="6" spans="1:64" ht="21.75" customHeight="1" x14ac:dyDescent="0.25">
      <c r="A6" s="55">
        <v>4</v>
      </c>
      <c r="B6" s="56" t="s">
        <v>115</v>
      </c>
      <c r="C6" s="52">
        <v>17.600000000000001</v>
      </c>
      <c r="D6" s="52">
        <v>109.1</v>
      </c>
      <c r="E6" s="52">
        <v>9.6999999999999993</v>
      </c>
      <c r="F6" s="52">
        <v>67.3</v>
      </c>
      <c r="G6" s="52">
        <v>40.301000000000002</v>
      </c>
      <c r="H6" s="52">
        <v>631.60199999999998</v>
      </c>
      <c r="I6" s="52">
        <v>57.619</v>
      </c>
      <c r="J6" s="52">
        <v>1138.0519999999999</v>
      </c>
      <c r="K6" s="52">
        <v>40.515000000000001</v>
      </c>
      <c r="L6" s="52">
        <v>719.80499999999995</v>
      </c>
      <c r="M6" s="52"/>
      <c r="N6" s="52"/>
      <c r="O6" s="52">
        <v>9.1</v>
      </c>
      <c r="P6" s="52">
        <v>53.4</v>
      </c>
      <c r="Q6" s="52">
        <v>65.706999999999994</v>
      </c>
      <c r="R6" s="52">
        <v>1003.9</v>
      </c>
      <c r="S6" s="52">
        <v>3.6</v>
      </c>
      <c r="T6" s="52">
        <v>67</v>
      </c>
      <c r="U6" s="52">
        <v>44.8</v>
      </c>
      <c r="V6" s="52">
        <v>418.3</v>
      </c>
      <c r="W6" s="52">
        <v>0.5</v>
      </c>
      <c r="X6" s="52">
        <v>36.200000000000003</v>
      </c>
      <c r="Y6" s="52">
        <v>57.9</v>
      </c>
      <c r="Z6" s="52">
        <v>763</v>
      </c>
      <c r="AA6" s="58">
        <v>54.03</v>
      </c>
      <c r="AB6" s="58">
        <v>1247.335</v>
      </c>
      <c r="AC6" s="52">
        <v>6.6</v>
      </c>
      <c r="AD6" s="52">
        <v>69.599999999999994</v>
      </c>
      <c r="AE6" s="52">
        <v>10.401999999999999</v>
      </c>
      <c r="AF6" s="52">
        <v>65.7</v>
      </c>
      <c r="AG6" s="58">
        <v>319.13099999999997</v>
      </c>
      <c r="AH6" s="58">
        <v>6345.5159999999996</v>
      </c>
      <c r="AI6" s="52">
        <v>24.303999999999998</v>
      </c>
      <c r="AJ6" s="52">
        <v>246.5</v>
      </c>
      <c r="AK6" s="52">
        <v>0</v>
      </c>
      <c r="AL6" s="52">
        <v>13</v>
      </c>
      <c r="AM6" s="52">
        <v>0.9</v>
      </c>
      <c r="AN6" s="52">
        <v>8.4</v>
      </c>
      <c r="AO6" s="52"/>
      <c r="AP6" s="52"/>
      <c r="AQ6" s="52">
        <v>45.805</v>
      </c>
      <c r="AR6" s="52">
        <v>1001.006</v>
      </c>
      <c r="AS6" s="52"/>
      <c r="AT6" s="52"/>
      <c r="AU6" s="52">
        <v>29</v>
      </c>
      <c r="AV6" s="52">
        <v>395.4</v>
      </c>
      <c r="AW6" s="60">
        <f t="shared" si="0"/>
        <v>837.51399999999978</v>
      </c>
      <c r="AX6" s="60">
        <f t="shared" si="1"/>
        <v>14400.115999999998</v>
      </c>
    </row>
    <row r="7" spans="1:64" ht="21.75" customHeight="1" x14ac:dyDescent="0.25">
      <c r="A7" s="99">
        <v>5</v>
      </c>
      <c r="B7" s="56" t="s">
        <v>116</v>
      </c>
      <c r="C7" s="52">
        <v>6.5730000000000004</v>
      </c>
      <c r="D7" s="52">
        <v>60.082000000000001</v>
      </c>
      <c r="E7" s="52">
        <v>10.82</v>
      </c>
      <c r="F7" s="52">
        <v>127.313</v>
      </c>
      <c r="G7" s="52">
        <v>12.887</v>
      </c>
      <c r="H7" s="52">
        <v>235.89099999999999</v>
      </c>
      <c r="I7" s="52">
        <v>35.173000000000002</v>
      </c>
      <c r="J7" s="52">
        <v>642.33500000000004</v>
      </c>
      <c r="K7" s="52">
        <v>20.167999999999999</v>
      </c>
      <c r="L7" s="52">
        <v>374.37</v>
      </c>
      <c r="M7" s="52"/>
      <c r="N7" s="52"/>
      <c r="O7" s="52">
        <v>1.726</v>
      </c>
      <c r="P7" s="52">
        <v>24.222000000000001</v>
      </c>
      <c r="Q7" s="52">
        <v>22.885999999999999</v>
      </c>
      <c r="R7" s="52">
        <v>433.3</v>
      </c>
      <c r="S7" s="52"/>
      <c r="T7" s="52"/>
      <c r="U7" s="52">
        <v>36.380000000000003</v>
      </c>
      <c r="V7" s="52">
        <v>256.60500000000002</v>
      </c>
      <c r="W7" s="52">
        <v>3.073</v>
      </c>
      <c r="X7" s="52">
        <v>25.988</v>
      </c>
      <c r="Y7" s="52">
        <v>28.189</v>
      </c>
      <c r="Z7" s="52">
        <v>291.26900000000001</v>
      </c>
      <c r="AA7" s="58">
        <v>23.486999999999998</v>
      </c>
      <c r="AB7" s="58">
        <v>375.988</v>
      </c>
      <c r="AC7" s="52">
        <v>2.7530000000000001</v>
      </c>
      <c r="AD7" s="52">
        <v>33.409999999999997</v>
      </c>
      <c r="AE7" s="52">
        <v>9.968</v>
      </c>
      <c r="AF7" s="52">
        <v>119.461</v>
      </c>
      <c r="AG7" s="58">
        <v>41.951999999999998</v>
      </c>
      <c r="AH7" s="58">
        <v>644.82899999999995</v>
      </c>
      <c r="AI7" s="52">
        <v>11.201000000000001</v>
      </c>
      <c r="AJ7" s="52">
        <v>200.601</v>
      </c>
      <c r="AK7" s="52">
        <v>8.0129999999999999</v>
      </c>
      <c r="AL7" s="52">
        <v>106.554</v>
      </c>
      <c r="AM7" s="52">
        <v>3.6880000000000002</v>
      </c>
      <c r="AN7" s="52">
        <v>38.229999999999997</v>
      </c>
      <c r="AO7" s="52"/>
      <c r="AP7" s="52"/>
      <c r="AQ7" s="52">
        <v>54.906999999999996</v>
      </c>
      <c r="AR7" s="52">
        <v>908.98</v>
      </c>
      <c r="AS7" s="52"/>
      <c r="AT7" s="52"/>
      <c r="AU7" s="52">
        <f>6.977+2.478+8.127+123.803</f>
        <v>141.38499999999999</v>
      </c>
      <c r="AV7" s="52">
        <f>99.575+21.252+85.133+1213.018</f>
        <v>1418.9780000000001</v>
      </c>
      <c r="AW7" s="60">
        <f t="shared" si="0"/>
        <v>475.22899999999993</v>
      </c>
      <c r="AX7" s="60">
        <f t="shared" si="1"/>
        <v>6318.4059999999999</v>
      </c>
    </row>
    <row r="8" spans="1:64" ht="21.75" customHeight="1" x14ac:dyDescent="0.25">
      <c r="A8" s="55">
        <v>6</v>
      </c>
      <c r="B8" s="56" t="s">
        <v>117</v>
      </c>
      <c r="C8" s="52">
        <v>69.634</v>
      </c>
      <c r="D8" s="52">
        <v>719.11</v>
      </c>
      <c r="E8" s="52"/>
      <c r="F8" s="52"/>
      <c r="G8" s="52"/>
      <c r="H8" s="52"/>
      <c r="I8" s="52">
        <v>74.057000000000002</v>
      </c>
      <c r="J8" s="52">
        <v>1471.1568199999999</v>
      </c>
      <c r="K8" s="52">
        <v>27.858000000000001</v>
      </c>
      <c r="L8" s="52">
        <v>608.16310999999996</v>
      </c>
      <c r="M8" s="52"/>
      <c r="N8" s="52"/>
      <c r="O8" s="52"/>
      <c r="P8" s="52"/>
      <c r="Q8" s="52">
        <v>25.018000000000001</v>
      </c>
      <c r="R8" s="52">
        <v>544.70569</v>
      </c>
      <c r="S8" s="52"/>
      <c r="T8" s="52"/>
      <c r="U8" s="52"/>
      <c r="V8" s="52"/>
      <c r="W8" s="52"/>
      <c r="X8" s="52"/>
      <c r="Y8" s="52">
        <v>73.786000000000001</v>
      </c>
      <c r="Z8" s="52">
        <v>859.46810000000005</v>
      </c>
      <c r="AA8" s="58">
        <v>53.2</v>
      </c>
      <c r="AB8" s="58">
        <v>1355.7840000000001</v>
      </c>
      <c r="AC8" s="52"/>
      <c r="AD8" s="52"/>
      <c r="AE8" s="52"/>
      <c r="AF8" s="52"/>
      <c r="AG8" s="58">
        <v>112.4</v>
      </c>
      <c r="AH8" s="58">
        <v>3549.38</v>
      </c>
      <c r="AI8" s="52"/>
      <c r="AJ8" s="52"/>
      <c r="AK8" s="52"/>
      <c r="AL8" s="52"/>
      <c r="AM8" s="52"/>
      <c r="AN8" s="52"/>
      <c r="AO8" s="52"/>
      <c r="AP8" s="52"/>
      <c r="AQ8" s="52">
        <v>46.396999999999998</v>
      </c>
      <c r="AR8" s="52">
        <v>1319.1133</v>
      </c>
      <c r="AS8" s="52"/>
      <c r="AT8" s="52"/>
      <c r="AU8" s="52">
        <f>39.203+30.431+84.325+59.533</f>
        <v>213.49200000000002</v>
      </c>
      <c r="AV8" s="52">
        <f>397.01824+322.09453+1326.63204+928.76318</f>
        <v>2974.5079900000001</v>
      </c>
      <c r="AW8" s="60">
        <f t="shared" si="0"/>
        <v>695.84199999999998</v>
      </c>
      <c r="AX8" s="60">
        <f t="shared" si="1"/>
        <v>13401.389010000001</v>
      </c>
    </row>
    <row r="9" spans="1:64" ht="21.75" customHeight="1" x14ac:dyDescent="0.25">
      <c r="A9" s="99">
        <v>7</v>
      </c>
      <c r="B9" s="56" t="s">
        <v>118</v>
      </c>
      <c r="C9" s="52"/>
      <c r="D9" s="52"/>
      <c r="E9" s="52">
        <v>5.8730000000000002</v>
      </c>
      <c r="F9" s="52">
        <v>53.390999999999998</v>
      </c>
      <c r="G9" s="52">
        <v>24.337</v>
      </c>
      <c r="H9" s="52">
        <v>307.79300000000001</v>
      </c>
      <c r="I9" s="52">
        <v>17.530999999999999</v>
      </c>
      <c r="J9" s="52">
        <v>331.16899999999998</v>
      </c>
      <c r="K9" s="52">
        <v>21.024999999999999</v>
      </c>
      <c r="L9" s="52">
        <v>310.553</v>
      </c>
      <c r="M9" s="52">
        <v>3.282</v>
      </c>
      <c r="N9" s="52">
        <v>25.885000000000002</v>
      </c>
      <c r="O9" s="52">
        <v>26.49</v>
      </c>
      <c r="P9" s="52">
        <v>372.12599999999998</v>
      </c>
      <c r="Q9" s="52">
        <v>36.143000000000001</v>
      </c>
      <c r="R9" s="52">
        <v>578.95299999999997</v>
      </c>
      <c r="S9" s="52">
        <v>14.471</v>
      </c>
      <c r="T9" s="52">
        <v>161.24199999999999</v>
      </c>
      <c r="U9" s="52">
        <v>17.606999999999999</v>
      </c>
      <c r="V9" s="52">
        <v>115.89100000000001</v>
      </c>
      <c r="W9" s="52"/>
      <c r="X9" s="52"/>
      <c r="Y9" s="52">
        <v>21.419</v>
      </c>
      <c r="Z9" s="52">
        <v>193.822</v>
      </c>
      <c r="AA9" s="58">
        <v>30.645</v>
      </c>
      <c r="AB9" s="58">
        <v>705.79499999999996</v>
      </c>
      <c r="AC9" s="52"/>
      <c r="AD9" s="52"/>
      <c r="AE9" s="52">
        <v>14.276</v>
      </c>
      <c r="AF9" s="52">
        <v>111.081</v>
      </c>
      <c r="AG9" s="58">
        <v>34.273000000000003</v>
      </c>
      <c r="AH9" s="58">
        <v>853.80600000000004</v>
      </c>
      <c r="AI9" s="52">
        <v>31.175999999999998</v>
      </c>
      <c r="AJ9" s="52">
        <v>470.66</v>
      </c>
      <c r="AK9" s="52">
        <v>4.2130000000000001</v>
      </c>
      <c r="AL9" s="52">
        <v>64.168000000000006</v>
      </c>
      <c r="AM9" s="52"/>
      <c r="AN9" s="52"/>
      <c r="AO9" s="52"/>
      <c r="AP9" s="52"/>
      <c r="AQ9" s="52">
        <v>29.027000000000001</v>
      </c>
      <c r="AR9" s="52">
        <v>675.38400000000001</v>
      </c>
      <c r="AS9" s="52"/>
      <c r="AT9" s="52"/>
      <c r="AU9" s="52">
        <f>1.147+13.999+31.93+31.44</f>
        <v>78.516000000000005</v>
      </c>
      <c r="AV9" s="52">
        <f>12.416+144.582+370.646+269.993</f>
        <v>797.63699999999994</v>
      </c>
      <c r="AW9" s="60">
        <f t="shared" si="0"/>
        <v>410.30400000000003</v>
      </c>
      <c r="AX9" s="60">
        <f t="shared" si="1"/>
        <v>6129.3559999999998</v>
      </c>
    </row>
    <row r="10" spans="1:64" ht="21.75" customHeight="1" x14ac:dyDescent="0.25">
      <c r="A10" s="55">
        <v>8</v>
      </c>
      <c r="B10" s="56" t="s">
        <v>119</v>
      </c>
      <c r="C10" s="52">
        <v>3.6869999999999998</v>
      </c>
      <c r="D10" s="52">
        <v>44.689</v>
      </c>
      <c r="E10" s="52"/>
      <c r="F10" s="52"/>
      <c r="G10" s="52"/>
      <c r="H10" s="52"/>
      <c r="I10" s="52">
        <v>1.2130000000000001</v>
      </c>
      <c r="J10" s="52">
        <v>27.71</v>
      </c>
      <c r="K10" s="52">
        <v>4.9050000000000002</v>
      </c>
      <c r="L10" s="52">
        <v>160.744</v>
      </c>
      <c r="M10" s="52">
        <v>2.4660000000000002</v>
      </c>
      <c r="N10" s="52">
        <v>57.405000000000001</v>
      </c>
      <c r="O10" s="52">
        <v>0.36799999999999999</v>
      </c>
      <c r="P10" s="52">
        <v>7.2380000000000004</v>
      </c>
      <c r="Q10" s="52">
        <v>5.27</v>
      </c>
      <c r="R10" s="52">
        <v>119.01</v>
      </c>
      <c r="S10" s="52"/>
      <c r="T10" s="52"/>
      <c r="U10" s="52">
        <v>1.1399999999999999</v>
      </c>
      <c r="V10" s="52">
        <v>14.525</v>
      </c>
      <c r="W10" s="52"/>
      <c r="X10" s="52"/>
      <c r="Y10" s="52">
        <v>2.903</v>
      </c>
      <c r="Z10" s="52">
        <v>38.768000000000001</v>
      </c>
      <c r="AA10" s="58">
        <v>2.5249999999999999</v>
      </c>
      <c r="AB10" s="58">
        <v>47.963999999999999</v>
      </c>
      <c r="AC10" s="52"/>
      <c r="AD10" s="52"/>
      <c r="AE10" s="52">
        <v>23.574000000000002</v>
      </c>
      <c r="AF10" s="52">
        <v>276.35899999999998</v>
      </c>
      <c r="AG10" s="58">
        <v>18.021999999999998</v>
      </c>
      <c r="AH10" s="58">
        <v>183.25200000000001</v>
      </c>
      <c r="AI10" s="52">
        <v>1.9159999999999999</v>
      </c>
      <c r="AJ10" s="52">
        <v>38.988</v>
      </c>
      <c r="AK10" s="52"/>
      <c r="AL10" s="52"/>
      <c r="AM10" s="52"/>
      <c r="AN10" s="52"/>
      <c r="AO10" s="52"/>
      <c r="AP10" s="52"/>
      <c r="AQ10" s="52">
        <v>11.037000000000001</v>
      </c>
      <c r="AR10" s="52">
        <v>485.536</v>
      </c>
      <c r="AS10" s="52"/>
      <c r="AT10" s="52">
        <v>8.9060000000000006</v>
      </c>
      <c r="AU10" s="52">
        <f>8.624+0.633</f>
        <v>9.2570000000000014</v>
      </c>
      <c r="AV10" s="52">
        <f>188.635+15.428</f>
        <v>204.06299999999999</v>
      </c>
      <c r="AW10" s="60">
        <f t="shared" si="0"/>
        <v>88.283000000000015</v>
      </c>
      <c r="AX10" s="60">
        <f t="shared" si="1"/>
        <v>1715.1569999999997</v>
      </c>
    </row>
    <row r="11" spans="1:64" ht="21.75" customHeight="1" x14ac:dyDescent="0.25">
      <c r="A11" s="99">
        <v>9</v>
      </c>
      <c r="B11" s="56" t="s">
        <v>209</v>
      </c>
      <c r="C11" s="52">
        <v>1.7829999999999999</v>
      </c>
      <c r="D11" s="52">
        <v>32.682000000000002</v>
      </c>
      <c r="E11" s="52">
        <v>0.627</v>
      </c>
      <c r="F11" s="52">
        <v>10.14</v>
      </c>
      <c r="G11" s="52">
        <v>1.597</v>
      </c>
      <c r="H11" s="52">
        <v>36.167999999999999</v>
      </c>
      <c r="I11" s="52">
        <v>2.0230000000000001</v>
      </c>
      <c r="J11" s="52">
        <v>45.237000000000002</v>
      </c>
      <c r="K11" s="52">
        <v>2.488</v>
      </c>
      <c r="L11" s="52">
        <v>73.225999999999999</v>
      </c>
      <c r="M11" s="52">
        <v>1.0489999999999999</v>
      </c>
      <c r="N11" s="52">
        <v>23.158999999999999</v>
      </c>
      <c r="O11" s="52">
        <v>1.35</v>
      </c>
      <c r="P11" s="52">
        <v>33.332999999999998</v>
      </c>
      <c r="Q11" s="52">
        <v>3.254</v>
      </c>
      <c r="R11" s="52">
        <v>85.262</v>
      </c>
      <c r="S11" s="52">
        <v>1.6419999999999999</v>
      </c>
      <c r="T11" s="52">
        <v>64.507999999999996</v>
      </c>
      <c r="U11" s="52"/>
      <c r="V11" s="52"/>
      <c r="W11" s="52"/>
      <c r="X11" s="52"/>
      <c r="Y11" s="52">
        <v>2.5169999999999999</v>
      </c>
      <c r="Z11" s="52">
        <v>42.99</v>
      </c>
      <c r="AA11" s="58">
        <v>2.8450000000000002</v>
      </c>
      <c r="AB11" s="58">
        <v>65.266000000000005</v>
      </c>
      <c r="AC11" s="52"/>
      <c r="AD11" s="52"/>
      <c r="AE11" s="52">
        <v>2.7930000000000001</v>
      </c>
      <c r="AF11" s="52">
        <v>58.081000000000003</v>
      </c>
      <c r="AG11" s="58">
        <v>6.9089999999999998</v>
      </c>
      <c r="AH11" s="58">
        <v>127.244</v>
      </c>
      <c r="AI11" s="52">
        <v>3.63</v>
      </c>
      <c r="AJ11" s="52">
        <v>81.444999999999993</v>
      </c>
      <c r="AK11" s="52">
        <v>0.629</v>
      </c>
      <c r="AL11" s="52">
        <v>15.702</v>
      </c>
      <c r="AM11" s="52"/>
      <c r="AN11" s="52"/>
      <c r="AO11" s="52"/>
      <c r="AP11" s="52"/>
      <c r="AQ11" s="52">
        <v>3.5760000000000001</v>
      </c>
      <c r="AR11" s="52">
        <v>88.084999999999994</v>
      </c>
      <c r="AS11" s="52"/>
      <c r="AT11" s="52"/>
      <c r="AU11" s="52">
        <v>23.917999999999999</v>
      </c>
      <c r="AV11" s="52">
        <v>503.83699999999999</v>
      </c>
      <c r="AW11" s="60">
        <f t="shared" si="0"/>
        <v>62.629999999999995</v>
      </c>
      <c r="AX11" s="60">
        <f t="shared" si="1"/>
        <v>1386.365</v>
      </c>
    </row>
    <row r="12" spans="1:64" ht="21.75" customHeight="1" x14ac:dyDescent="0.25">
      <c r="A12" s="55">
        <v>10</v>
      </c>
      <c r="B12" s="56" t="s">
        <v>121</v>
      </c>
      <c r="C12" s="52">
        <v>10.375999999999999</v>
      </c>
      <c r="D12" s="52">
        <v>154.554</v>
      </c>
      <c r="E12" s="52">
        <v>1.4219999999999999</v>
      </c>
      <c r="F12" s="52">
        <v>12.311999999999999</v>
      </c>
      <c r="G12" s="52">
        <v>1.63</v>
      </c>
      <c r="H12" s="52">
        <v>13.961</v>
      </c>
      <c r="I12" s="52">
        <v>22.963000000000001</v>
      </c>
      <c r="J12" s="52">
        <v>219.65100000000001</v>
      </c>
      <c r="K12" s="52">
        <v>30.5</v>
      </c>
      <c r="L12" s="52">
        <v>475.99200000000002</v>
      </c>
      <c r="M12" s="52">
        <v>18.63</v>
      </c>
      <c r="N12" s="52">
        <v>17.346</v>
      </c>
      <c r="O12" s="52">
        <v>0.65</v>
      </c>
      <c r="P12" s="52">
        <v>6.9690000000000003</v>
      </c>
      <c r="Q12" s="52">
        <v>20.7</v>
      </c>
      <c r="R12" s="52">
        <v>258.64</v>
      </c>
      <c r="S12" s="52">
        <v>0.37</v>
      </c>
      <c r="T12" s="52">
        <v>25.699000000000002</v>
      </c>
      <c r="U12" s="52">
        <v>11.992000000000001</v>
      </c>
      <c r="V12" s="52">
        <v>144.84</v>
      </c>
      <c r="W12" s="52"/>
      <c r="X12" s="52"/>
      <c r="Y12" s="52">
        <v>32.869</v>
      </c>
      <c r="Z12" s="52">
        <v>452.12299999999999</v>
      </c>
      <c r="AA12" s="58">
        <v>14.86</v>
      </c>
      <c r="AB12" s="58">
        <v>254.626</v>
      </c>
      <c r="AC12" s="52"/>
      <c r="AD12" s="52"/>
      <c r="AE12" s="52">
        <v>13.845000000000001</v>
      </c>
      <c r="AF12" s="52">
        <v>192.21199999999999</v>
      </c>
      <c r="AG12" s="58">
        <v>44.930999999999997</v>
      </c>
      <c r="AH12" s="58">
        <v>627.00900000000001</v>
      </c>
      <c r="AI12" s="52">
        <v>1.0449999999999999</v>
      </c>
      <c r="AJ12" s="52">
        <v>11.734</v>
      </c>
      <c r="AK12" s="52">
        <v>0.27200000000000002</v>
      </c>
      <c r="AL12" s="52">
        <v>3.6</v>
      </c>
      <c r="AM12" s="52"/>
      <c r="AN12" s="52"/>
      <c r="AO12" s="52"/>
      <c r="AP12" s="52"/>
      <c r="AQ12" s="52">
        <v>18.157</v>
      </c>
      <c r="AR12" s="52">
        <v>230.19200000000001</v>
      </c>
      <c r="AS12" s="52"/>
      <c r="AT12" s="52"/>
      <c r="AU12" s="52">
        <v>19.003</v>
      </c>
      <c r="AV12" s="52">
        <v>272.36099999999999</v>
      </c>
      <c r="AW12" s="60">
        <f t="shared" si="0"/>
        <v>264.21500000000003</v>
      </c>
      <c r="AX12" s="60">
        <f t="shared" si="1"/>
        <v>3373.8209999999999</v>
      </c>
    </row>
    <row r="13" spans="1:64" ht="21.75" customHeight="1" x14ac:dyDescent="0.25">
      <c r="A13" s="99">
        <v>11</v>
      </c>
      <c r="B13" s="56" t="s">
        <v>149</v>
      </c>
      <c r="C13" s="52">
        <v>16.097000000000001</v>
      </c>
      <c r="D13" s="52">
        <v>160.66999999999999</v>
      </c>
      <c r="E13" s="52">
        <v>3.1539999999999999</v>
      </c>
      <c r="F13" s="52">
        <v>27.215</v>
      </c>
      <c r="G13" s="52">
        <v>0.64700000000000002</v>
      </c>
      <c r="H13" s="52">
        <v>8.3640000000000008</v>
      </c>
      <c r="I13" s="52">
        <v>16.550999999999998</v>
      </c>
      <c r="J13" s="52">
        <v>421.99</v>
      </c>
      <c r="K13" s="52">
        <v>10.772</v>
      </c>
      <c r="L13" s="52">
        <v>231.21199999999999</v>
      </c>
      <c r="M13" s="52">
        <v>3.4279999999999999</v>
      </c>
      <c r="N13" s="52">
        <v>56.701000000000001</v>
      </c>
      <c r="O13" s="52">
        <v>5.14</v>
      </c>
      <c r="P13" s="52">
        <v>92.158000000000001</v>
      </c>
      <c r="Q13" s="52">
        <v>4.8310000000000004</v>
      </c>
      <c r="R13" s="52">
        <v>83.314999999999998</v>
      </c>
      <c r="S13" s="52">
        <v>8.1359999999999992</v>
      </c>
      <c r="T13" s="52">
        <v>136.143</v>
      </c>
      <c r="U13" s="52">
        <v>42.387999999999998</v>
      </c>
      <c r="V13" s="52">
        <v>569.68200000000002</v>
      </c>
      <c r="W13" s="52">
        <v>0.373</v>
      </c>
      <c r="X13" s="52">
        <v>14.529</v>
      </c>
      <c r="Y13" s="52">
        <v>10.510999999999999</v>
      </c>
      <c r="Z13" s="52">
        <v>90.816999999999993</v>
      </c>
      <c r="AA13" s="52">
        <v>190.21299999999999</v>
      </c>
      <c r="AB13" s="52">
        <v>2695.9929999999999</v>
      </c>
      <c r="AC13" s="52">
        <v>1.2050000000000001</v>
      </c>
      <c r="AD13" s="52">
        <v>15.779</v>
      </c>
      <c r="AE13" s="52">
        <v>1.536</v>
      </c>
      <c r="AF13" s="52">
        <v>20.364999999999998</v>
      </c>
      <c r="AG13" s="58">
        <v>33.152000000000001</v>
      </c>
      <c r="AH13" s="58">
        <v>455.452</v>
      </c>
      <c r="AI13" s="52">
        <v>5.5209999999999999</v>
      </c>
      <c r="AJ13" s="52">
        <v>60.87</v>
      </c>
      <c r="AK13" s="52">
        <v>2.516</v>
      </c>
      <c r="AL13" s="52">
        <v>64.867999999999995</v>
      </c>
      <c r="AM13" s="52">
        <v>2.4</v>
      </c>
      <c r="AN13" s="52">
        <v>31.036000000000001</v>
      </c>
      <c r="AO13" s="52">
        <v>1.157</v>
      </c>
      <c r="AP13" s="52">
        <v>14.759</v>
      </c>
      <c r="AQ13" s="52">
        <v>60.984000000000002</v>
      </c>
      <c r="AR13" s="52">
        <v>2046.1410000000001</v>
      </c>
      <c r="AS13" s="52"/>
      <c r="AT13" s="52"/>
      <c r="AU13" s="52">
        <f>3.87+8.634+5.408+16.973+1.886+2.865</f>
        <v>39.63600000000001</v>
      </c>
      <c r="AV13" s="52">
        <f>68.558+85.814+65.427+186.309+45.005+55.394</f>
        <v>506.50700000000006</v>
      </c>
      <c r="AW13" s="60">
        <f t="shared" si="0"/>
        <v>460.34799999999996</v>
      </c>
      <c r="AX13" s="60">
        <f t="shared" si="1"/>
        <v>7804.5660000000007</v>
      </c>
    </row>
    <row r="14" spans="1:64" ht="21.75" customHeight="1" x14ac:dyDescent="0.25">
      <c r="A14" s="55">
        <v>12</v>
      </c>
      <c r="B14" s="56" t="s">
        <v>123</v>
      </c>
      <c r="C14" s="52">
        <v>0.03</v>
      </c>
      <c r="D14" s="52">
        <v>0.7</v>
      </c>
      <c r="E14" s="52">
        <v>2.88</v>
      </c>
      <c r="F14" s="52">
        <v>42.25</v>
      </c>
      <c r="G14" s="52">
        <v>1.46</v>
      </c>
      <c r="H14" s="52">
        <v>12.06</v>
      </c>
      <c r="I14" s="52">
        <v>1.99</v>
      </c>
      <c r="J14" s="52">
        <v>27.98</v>
      </c>
      <c r="K14" s="52">
        <v>0.94</v>
      </c>
      <c r="L14" s="52">
        <v>21.19</v>
      </c>
      <c r="M14" s="52">
        <v>0.76</v>
      </c>
      <c r="N14" s="52">
        <v>0.08</v>
      </c>
      <c r="O14" s="52">
        <v>1E-4</v>
      </c>
      <c r="P14" s="52">
        <v>17.440000000000001</v>
      </c>
      <c r="Q14" s="52">
        <v>1.51</v>
      </c>
      <c r="R14" s="52">
        <v>6.44</v>
      </c>
      <c r="S14" s="52">
        <v>2.61</v>
      </c>
      <c r="T14" s="52">
        <v>38.18</v>
      </c>
      <c r="U14" s="52">
        <v>1.89</v>
      </c>
      <c r="V14" s="52">
        <v>14.83</v>
      </c>
      <c r="W14" s="52">
        <v>4.8600000000000003</v>
      </c>
      <c r="X14" s="52">
        <v>110.37</v>
      </c>
      <c r="Y14" s="52">
        <v>3.19</v>
      </c>
      <c r="Z14" s="52">
        <v>31.86</v>
      </c>
      <c r="AA14" s="58">
        <v>0.14000000000000001</v>
      </c>
      <c r="AB14" s="58">
        <v>0.28000000000000003</v>
      </c>
      <c r="AC14" s="52">
        <v>0.11</v>
      </c>
      <c r="AD14" s="52">
        <v>0.76</v>
      </c>
      <c r="AE14" s="52"/>
      <c r="AF14" s="52"/>
      <c r="AG14" s="58">
        <v>1.34</v>
      </c>
      <c r="AH14" s="58">
        <v>17.920000000000002</v>
      </c>
      <c r="AI14" s="52"/>
      <c r="AJ14" s="52"/>
      <c r="AK14" s="52">
        <v>2.4700000000000002</v>
      </c>
      <c r="AL14" s="52">
        <v>47.26</v>
      </c>
      <c r="AM14" s="52">
        <v>20.82</v>
      </c>
      <c r="AN14" s="52">
        <v>338.54</v>
      </c>
      <c r="AO14" s="52">
        <v>86.94</v>
      </c>
      <c r="AP14" s="52">
        <v>1212.8</v>
      </c>
      <c r="AQ14" s="52">
        <v>3.12</v>
      </c>
      <c r="AR14" s="52">
        <v>58.8</v>
      </c>
      <c r="AS14" s="52">
        <v>3.25</v>
      </c>
      <c r="AT14" s="52">
        <v>20.3</v>
      </c>
      <c r="AU14" s="52">
        <f>0.03+0.07+0.1+0.02+0.3+0.06+4.1</f>
        <v>4.68</v>
      </c>
      <c r="AV14" s="52">
        <f>58.09+0.38+0.46+1.2+0.08+8.3+0.11</f>
        <v>68.62</v>
      </c>
      <c r="AW14" s="60">
        <f t="shared" si="0"/>
        <v>144.99010000000001</v>
      </c>
      <c r="AX14" s="60">
        <f t="shared" si="1"/>
        <v>2088.66</v>
      </c>
    </row>
    <row r="15" spans="1:64" ht="21.75" customHeight="1" x14ac:dyDescent="0.25">
      <c r="A15" s="99">
        <v>13</v>
      </c>
      <c r="B15" s="56" t="s">
        <v>124</v>
      </c>
      <c r="C15" s="52">
        <v>5.3529999999999998</v>
      </c>
      <c r="D15" s="52">
        <v>38.83</v>
      </c>
      <c r="E15" s="52">
        <v>7.5919999999999996</v>
      </c>
      <c r="F15" s="52">
        <v>91.543000000000006</v>
      </c>
      <c r="G15" s="52">
        <v>12.145</v>
      </c>
      <c r="H15" s="52">
        <v>235.64699999999999</v>
      </c>
      <c r="I15" s="52">
        <v>45.11</v>
      </c>
      <c r="J15" s="52">
        <v>1160.5</v>
      </c>
      <c r="K15" s="52">
        <v>21.298999999999999</v>
      </c>
      <c r="L15" s="52">
        <v>444.42</v>
      </c>
      <c r="M15" s="52">
        <v>7.1859999999999999</v>
      </c>
      <c r="N15" s="52">
        <v>33.838000000000001</v>
      </c>
      <c r="O15" s="52">
        <v>3.1080000000000001</v>
      </c>
      <c r="P15" s="52">
        <v>47.612000000000002</v>
      </c>
      <c r="Q15" s="52">
        <v>29.34</v>
      </c>
      <c r="R15" s="52">
        <v>842.05799999999999</v>
      </c>
      <c r="S15" s="52">
        <v>5.1890000000000001</v>
      </c>
      <c r="T15" s="52">
        <v>118.914</v>
      </c>
      <c r="U15" s="52">
        <v>25.75</v>
      </c>
      <c r="V15" s="52">
        <v>514.09900000000005</v>
      </c>
      <c r="W15" s="52">
        <v>0.189</v>
      </c>
      <c r="X15" s="52">
        <v>3.331</v>
      </c>
      <c r="Y15" s="52">
        <v>27.111999999999998</v>
      </c>
      <c r="Z15" s="52">
        <v>342.04500000000002</v>
      </c>
      <c r="AA15" s="58">
        <v>118.2</v>
      </c>
      <c r="AB15" s="58">
        <v>2848</v>
      </c>
      <c r="AC15" s="52">
        <v>0.17599999999999999</v>
      </c>
      <c r="AD15" s="52">
        <v>3.4590000000000001</v>
      </c>
      <c r="AE15" s="52">
        <v>69.7</v>
      </c>
      <c r="AF15" s="52">
        <v>707.45500000000004</v>
      </c>
      <c r="AG15" s="58">
        <v>141.05000000000001</v>
      </c>
      <c r="AH15" s="58">
        <v>3161</v>
      </c>
      <c r="AI15" s="52">
        <v>11.08</v>
      </c>
      <c r="AJ15" s="52">
        <v>157.19</v>
      </c>
      <c r="AK15" s="52">
        <v>12.768000000000001</v>
      </c>
      <c r="AL15" s="52">
        <v>273.29599999999999</v>
      </c>
      <c r="AM15" s="52">
        <v>4.09</v>
      </c>
      <c r="AN15" s="52">
        <v>80.099999999999994</v>
      </c>
      <c r="AO15" s="52">
        <v>0.105</v>
      </c>
      <c r="AP15" s="52">
        <v>2.2469999999999999</v>
      </c>
      <c r="AQ15" s="52">
        <v>73.7</v>
      </c>
      <c r="AR15" s="52">
        <v>2285.9</v>
      </c>
      <c r="AS15" s="52"/>
      <c r="AT15" s="52"/>
      <c r="AU15" s="52">
        <v>137.43</v>
      </c>
      <c r="AV15" s="52">
        <v>2176.7710000000002</v>
      </c>
      <c r="AW15" s="60">
        <f t="shared" si="0"/>
        <v>757.67200000000025</v>
      </c>
      <c r="AX15" s="60">
        <f t="shared" si="1"/>
        <v>15568.255000000001</v>
      </c>
    </row>
    <row r="16" spans="1:64" ht="21.75" customHeight="1" x14ac:dyDescent="0.25">
      <c r="A16" s="55">
        <v>14</v>
      </c>
      <c r="B16" s="56" t="s">
        <v>125</v>
      </c>
      <c r="C16" s="52">
        <v>7.0030000000000001</v>
      </c>
      <c r="D16" s="52">
        <v>71.55</v>
      </c>
      <c r="E16" s="52">
        <v>1.256</v>
      </c>
      <c r="F16" s="52">
        <v>14.083</v>
      </c>
      <c r="G16" s="52">
        <v>1.625</v>
      </c>
      <c r="H16" s="52">
        <v>37.219000000000001</v>
      </c>
      <c r="I16" s="57">
        <v>21.09</v>
      </c>
      <c r="J16" s="57">
        <v>407.64</v>
      </c>
      <c r="K16" s="52">
        <v>8.8529999999999998</v>
      </c>
      <c r="L16" s="52">
        <v>179.21199999999999</v>
      </c>
      <c r="M16" s="52">
        <v>3.8029999999999999</v>
      </c>
      <c r="N16" s="52">
        <v>29.332999999999998</v>
      </c>
      <c r="O16" s="52">
        <v>1.238</v>
      </c>
      <c r="P16" s="52">
        <v>14.023</v>
      </c>
      <c r="Q16" s="52">
        <v>10.688000000000001</v>
      </c>
      <c r="R16" s="52">
        <v>187</v>
      </c>
      <c r="S16" s="52">
        <v>3.4390000000000001</v>
      </c>
      <c r="T16" s="52">
        <v>47.353000000000002</v>
      </c>
      <c r="U16" s="52">
        <v>29.053000000000001</v>
      </c>
      <c r="V16" s="52">
        <v>288.702</v>
      </c>
      <c r="W16" s="52"/>
      <c r="X16" s="52"/>
      <c r="Y16" s="52">
        <v>12.186999999999999</v>
      </c>
      <c r="Z16" s="52">
        <v>119.093</v>
      </c>
      <c r="AA16" s="58">
        <v>522.34699999999998</v>
      </c>
      <c r="AB16" s="58">
        <f>AA16*12.5</f>
        <v>6529.3374999999996</v>
      </c>
      <c r="AC16" s="52">
        <v>6.5000000000000002E-2</v>
      </c>
      <c r="AD16" s="52">
        <v>0.97</v>
      </c>
      <c r="AE16" s="52">
        <v>3.831</v>
      </c>
      <c r="AF16" s="52">
        <v>16.850000000000001</v>
      </c>
      <c r="AG16" s="58">
        <v>12.5</v>
      </c>
      <c r="AH16" s="58">
        <v>251.46100000000001</v>
      </c>
      <c r="AI16" s="52">
        <v>0.94899999999999995</v>
      </c>
      <c r="AJ16" s="52">
        <v>8.1959999999999997</v>
      </c>
      <c r="AK16" s="52">
        <v>4.9000000000000002E-2</v>
      </c>
      <c r="AL16" s="52">
        <v>0.54</v>
      </c>
      <c r="AM16" s="52">
        <v>0.54400000000000004</v>
      </c>
      <c r="AN16" s="52">
        <v>12.839</v>
      </c>
      <c r="AO16" s="52"/>
      <c r="AP16" s="52"/>
      <c r="AQ16" s="59">
        <v>44.241999999999997</v>
      </c>
      <c r="AR16" s="59">
        <v>976.577</v>
      </c>
      <c r="AS16" s="52"/>
      <c r="AT16" s="52"/>
      <c r="AU16" s="59">
        <v>28.62</v>
      </c>
      <c r="AV16" s="59">
        <v>260.08999999999997</v>
      </c>
      <c r="AW16" s="60">
        <f t="shared" si="0"/>
        <v>713.38199999999995</v>
      </c>
      <c r="AX16" s="60">
        <f t="shared" si="1"/>
        <v>9452.0684999999994</v>
      </c>
      <c r="BJ16" s="62"/>
      <c r="BK16" s="62"/>
      <c r="BL16" s="62"/>
    </row>
    <row r="17" spans="1:64" ht="21.75" customHeight="1" x14ac:dyDescent="0.25">
      <c r="A17" s="99">
        <v>15</v>
      </c>
      <c r="B17" s="88" t="s">
        <v>126</v>
      </c>
      <c r="C17" s="52"/>
      <c r="D17" s="52"/>
      <c r="E17" s="52"/>
      <c r="F17" s="52"/>
      <c r="G17" s="52"/>
      <c r="H17" s="52"/>
      <c r="I17" s="52"/>
      <c r="J17" s="52"/>
      <c r="K17" s="52">
        <v>8.06</v>
      </c>
      <c r="L17" s="52">
        <v>96.983999999999995</v>
      </c>
      <c r="M17" s="52"/>
      <c r="N17" s="52"/>
      <c r="O17" s="52"/>
      <c r="P17" s="52"/>
      <c r="Q17" s="52">
        <v>3.004</v>
      </c>
      <c r="R17" s="52">
        <v>32.603000000000002</v>
      </c>
      <c r="S17" s="52"/>
      <c r="T17" s="52"/>
      <c r="U17" s="52">
        <v>0.19900000000000001</v>
      </c>
      <c r="V17" s="52">
        <v>1.5109999999999999</v>
      </c>
      <c r="W17" s="52"/>
      <c r="X17" s="52"/>
      <c r="Y17" s="52">
        <v>0.216</v>
      </c>
      <c r="Z17" s="52">
        <v>1.53</v>
      </c>
      <c r="AA17" s="58">
        <v>0.42399999999999999</v>
      </c>
      <c r="AB17" s="58">
        <v>5.165</v>
      </c>
      <c r="AC17" s="52"/>
      <c r="AD17" s="52"/>
      <c r="AE17" s="52">
        <v>8.0500000000000007</v>
      </c>
      <c r="AF17" s="52">
        <v>82.450999999999993</v>
      </c>
      <c r="AG17" s="58"/>
      <c r="AH17" s="58"/>
      <c r="AI17" s="52"/>
      <c r="AJ17" s="52"/>
      <c r="AK17" s="52"/>
      <c r="AL17" s="52"/>
      <c r="AM17" s="52"/>
      <c r="AN17" s="52"/>
      <c r="AO17" s="52"/>
      <c r="AP17" s="52"/>
      <c r="AQ17" s="52">
        <v>3.0630000000000002</v>
      </c>
      <c r="AR17" s="52">
        <v>31.614000000000001</v>
      </c>
      <c r="AS17" s="52"/>
      <c r="AT17" s="52"/>
      <c r="AU17" s="52">
        <v>11.343999999999999</v>
      </c>
      <c r="AV17" s="52">
        <v>64.655000000000001</v>
      </c>
      <c r="AW17" s="60">
        <f t="shared" si="0"/>
        <v>34.36</v>
      </c>
      <c r="AX17" s="60">
        <f t="shared" si="1"/>
        <v>316.51299999999998</v>
      </c>
      <c r="BJ17" s="62"/>
      <c r="BK17" s="62"/>
      <c r="BL17" s="62"/>
    </row>
    <row r="18" spans="1:64" s="62" customFormat="1" ht="21.75" customHeight="1" x14ac:dyDescent="0.25">
      <c r="A18" s="55">
        <v>16</v>
      </c>
      <c r="B18" s="56" t="s">
        <v>127</v>
      </c>
      <c r="C18" s="52">
        <v>0.95</v>
      </c>
      <c r="D18" s="52">
        <v>6.6989999999999998</v>
      </c>
      <c r="E18" s="52">
        <v>0.60499999999999998</v>
      </c>
      <c r="F18" s="52">
        <v>5.8630000000000004</v>
      </c>
      <c r="G18" s="52">
        <v>0.71399999999999997</v>
      </c>
      <c r="H18" s="52">
        <v>8.718</v>
      </c>
      <c r="I18" s="52">
        <v>1.0349999999999999</v>
      </c>
      <c r="J18" s="52">
        <v>14.348000000000001</v>
      </c>
      <c r="K18" s="52">
        <v>1.8959999999999999</v>
      </c>
      <c r="L18" s="52">
        <v>41.567999999999998</v>
      </c>
      <c r="M18" s="52">
        <v>0.55400000000000005</v>
      </c>
      <c r="N18" s="52">
        <v>4.3170000000000002</v>
      </c>
      <c r="O18" s="52">
        <v>1.22</v>
      </c>
      <c r="P18" s="52">
        <v>22.459</v>
      </c>
      <c r="Q18" s="52">
        <v>1.2190000000000001</v>
      </c>
      <c r="R18" s="52">
        <v>20.474</v>
      </c>
      <c r="S18" s="52">
        <v>0.56699999999999995</v>
      </c>
      <c r="T18" s="52">
        <v>4.6239999999999997</v>
      </c>
      <c r="U18" s="52"/>
      <c r="V18" s="52"/>
      <c r="W18" s="52"/>
      <c r="X18" s="52"/>
      <c r="Y18" s="52">
        <v>0.45700000000000002</v>
      </c>
      <c r="Z18" s="52">
        <v>3.4369999999999998</v>
      </c>
      <c r="AA18" s="58">
        <v>0.52100000000000002</v>
      </c>
      <c r="AB18" s="58">
        <v>4.5949999999999998</v>
      </c>
      <c r="AC18" s="52"/>
      <c r="AD18" s="52"/>
      <c r="AE18" s="52"/>
      <c r="AF18" s="52"/>
      <c r="AG18" s="58">
        <v>18.559999999999999</v>
      </c>
      <c r="AH18" s="58">
        <v>183.816</v>
      </c>
      <c r="AI18" s="52">
        <v>1.5189999999999999</v>
      </c>
      <c r="AJ18" s="52">
        <v>29.068000000000001</v>
      </c>
      <c r="AK18" s="52">
        <v>1.36</v>
      </c>
      <c r="AL18" s="52">
        <v>17.759</v>
      </c>
      <c r="AM18" s="52">
        <v>4.5490000000000004</v>
      </c>
      <c r="AN18" s="52">
        <v>16.420999999999999</v>
      </c>
      <c r="AO18" s="52">
        <v>5.4139999999999997</v>
      </c>
      <c r="AP18" s="52">
        <v>33.304000000000002</v>
      </c>
      <c r="AQ18" s="52">
        <v>2.1459999999999999</v>
      </c>
      <c r="AR18" s="52">
        <v>34.015000000000001</v>
      </c>
      <c r="AS18" s="52"/>
      <c r="AT18" s="52"/>
      <c r="AU18" s="52">
        <f>0.836+0.647+1.283+0.701+0.206+0.536</f>
        <v>4.2089999999999996</v>
      </c>
      <c r="AV18" s="52">
        <f>10.236+7.958+6.149+8.405+1.985+8.663</f>
        <v>43.396000000000001</v>
      </c>
      <c r="AW18" s="60">
        <f t="shared" si="0"/>
        <v>47.495000000000005</v>
      </c>
      <c r="AX18" s="60">
        <f t="shared" si="1"/>
        <v>494.88100000000003</v>
      </c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</row>
    <row r="19" spans="1:64" s="62" customFormat="1" ht="21.75" customHeight="1" x14ac:dyDescent="0.25">
      <c r="A19" s="99">
        <v>17</v>
      </c>
      <c r="B19" s="56" t="s">
        <v>128</v>
      </c>
      <c r="C19" s="52">
        <v>2.11</v>
      </c>
      <c r="D19" s="52">
        <v>5.2</v>
      </c>
      <c r="E19" s="52">
        <v>4.2</v>
      </c>
      <c r="F19" s="52">
        <v>20.3</v>
      </c>
      <c r="G19" s="52"/>
      <c r="H19" s="52"/>
      <c r="I19" s="52">
        <v>3.04</v>
      </c>
      <c r="J19" s="52">
        <v>18.18</v>
      </c>
      <c r="K19" s="52">
        <v>3.69</v>
      </c>
      <c r="L19" s="52">
        <v>48.9</v>
      </c>
      <c r="M19" s="52">
        <v>0.33</v>
      </c>
      <c r="N19" s="52">
        <v>3.68</v>
      </c>
      <c r="O19" s="52">
        <v>0.18</v>
      </c>
      <c r="P19" s="52">
        <v>1.85</v>
      </c>
      <c r="Q19" s="52">
        <v>0.13</v>
      </c>
      <c r="R19" s="52">
        <v>1.08</v>
      </c>
      <c r="S19" s="52">
        <v>0.31</v>
      </c>
      <c r="T19" s="52">
        <v>2.14</v>
      </c>
      <c r="U19" s="52">
        <v>9.14</v>
      </c>
      <c r="V19" s="52">
        <v>9.33</v>
      </c>
      <c r="W19" s="52"/>
      <c r="X19" s="52"/>
      <c r="Y19" s="52">
        <v>3.63</v>
      </c>
      <c r="Z19" s="52">
        <v>25</v>
      </c>
      <c r="AA19" s="58">
        <v>2.2200000000000002</v>
      </c>
      <c r="AB19" s="58">
        <v>8.43</v>
      </c>
      <c r="AC19" s="52"/>
      <c r="AD19" s="52"/>
      <c r="AE19" s="52">
        <v>0.52</v>
      </c>
      <c r="AF19" s="52">
        <v>2.31</v>
      </c>
      <c r="AG19" s="58">
        <v>0.13</v>
      </c>
      <c r="AH19" s="58">
        <v>1.44</v>
      </c>
      <c r="AI19" s="52">
        <v>0.31</v>
      </c>
      <c r="AJ19" s="52">
        <v>1.72</v>
      </c>
      <c r="AK19" s="52"/>
      <c r="AL19" s="52"/>
      <c r="AM19" s="52">
        <v>0.17</v>
      </c>
      <c r="AN19" s="52">
        <v>1.2</v>
      </c>
      <c r="AO19" s="52"/>
      <c r="AP19" s="52"/>
      <c r="AQ19" s="52">
        <v>1.0900000000000001</v>
      </c>
      <c r="AR19" s="52">
        <v>10.199999999999999</v>
      </c>
      <c r="AS19" s="52"/>
      <c r="AT19" s="52"/>
      <c r="AU19" s="52">
        <f>13.14+0.87</f>
        <v>14.01</v>
      </c>
      <c r="AV19" s="52">
        <f>11.69+6.37</f>
        <v>18.059999999999999</v>
      </c>
      <c r="AW19" s="60">
        <f t="shared" si="0"/>
        <v>45.21</v>
      </c>
      <c r="AX19" s="60">
        <f t="shared" si="1"/>
        <v>179.01999999999998</v>
      </c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</row>
    <row r="20" spans="1:64" s="62" customFormat="1" ht="21.75" customHeight="1" x14ac:dyDescent="0.25">
      <c r="A20" s="55">
        <v>18</v>
      </c>
      <c r="B20" s="84" t="s">
        <v>129</v>
      </c>
      <c r="C20" s="52">
        <v>2.2530000000000001</v>
      </c>
      <c r="D20" s="52">
        <v>18.216000000000001</v>
      </c>
      <c r="E20" s="52">
        <v>6.4000000000000001E-2</v>
      </c>
      <c r="F20" s="52">
        <v>0.154</v>
      </c>
      <c r="G20" s="52">
        <v>2.9000000000000001E-2</v>
      </c>
      <c r="H20" s="52">
        <v>0.16500000000000001</v>
      </c>
      <c r="I20" s="52">
        <v>0.42399999999999999</v>
      </c>
      <c r="J20" s="52">
        <v>3.4580000000000002</v>
      </c>
      <c r="K20" s="52">
        <v>7.2859999999999996</v>
      </c>
      <c r="L20" s="52">
        <v>135.672</v>
      </c>
      <c r="M20" s="52"/>
      <c r="N20" s="52"/>
      <c r="O20" s="52">
        <v>0.47</v>
      </c>
      <c r="P20" s="52">
        <v>5.6779999999999999</v>
      </c>
      <c r="Q20" s="52">
        <v>0.63100000000000001</v>
      </c>
      <c r="R20" s="52">
        <v>4.9470000000000001</v>
      </c>
      <c r="S20" s="52">
        <v>0.56399999999999995</v>
      </c>
      <c r="T20" s="52">
        <v>4.6580000000000004</v>
      </c>
      <c r="U20" s="52">
        <v>5.3979999999999997</v>
      </c>
      <c r="V20" s="52">
        <v>40.076999999999998</v>
      </c>
      <c r="W20" s="52"/>
      <c r="X20" s="52"/>
      <c r="Y20" s="52">
        <v>0.186</v>
      </c>
      <c r="Z20" s="52">
        <v>1.548</v>
      </c>
      <c r="AA20" s="58">
        <v>0.67600000000000005</v>
      </c>
      <c r="AB20" s="58">
        <v>7.1360000000000001</v>
      </c>
      <c r="AC20" s="52"/>
      <c r="AD20" s="52"/>
      <c r="AE20" s="52">
        <v>1.5349999999999999</v>
      </c>
      <c r="AF20" s="52">
        <v>9.1329999999999991</v>
      </c>
      <c r="AG20" s="58">
        <v>4.67</v>
      </c>
      <c r="AH20" s="58">
        <v>60.936</v>
      </c>
      <c r="AI20" s="52">
        <v>0.52200000000000002</v>
      </c>
      <c r="AJ20" s="52">
        <v>5.3869999999999996</v>
      </c>
      <c r="AK20" s="52">
        <v>0.54100000000000004</v>
      </c>
      <c r="AL20" s="52">
        <v>4.6710000000000003</v>
      </c>
      <c r="AM20" s="52">
        <v>1.0029999999999999</v>
      </c>
      <c r="AN20" s="52">
        <v>14.925000000000001</v>
      </c>
      <c r="AO20" s="52">
        <v>4.9130000000000003</v>
      </c>
      <c r="AP20" s="52">
        <v>70.063999999999993</v>
      </c>
      <c r="AQ20" s="52">
        <v>2.8679999999999999</v>
      </c>
      <c r="AR20" s="52">
        <v>20.100000000000001</v>
      </c>
      <c r="AS20" s="52">
        <v>0.92900000000000005</v>
      </c>
      <c r="AT20" s="52">
        <v>6.0720000000000001</v>
      </c>
      <c r="AU20" s="52">
        <f>1.501+0.03+4.091+0.012+2.938</f>
        <v>8.5719999999999992</v>
      </c>
      <c r="AV20" s="52">
        <f>17.878+0.029+29.772+0.035+33.901</f>
        <v>81.615000000000009</v>
      </c>
      <c r="AW20" s="60">
        <f t="shared" si="0"/>
        <v>43.534000000000006</v>
      </c>
      <c r="AX20" s="60">
        <f t="shared" si="1"/>
        <v>494.61199999999997</v>
      </c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</row>
    <row r="21" spans="1:64" s="62" customFormat="1" ht="21.75" customHeight="1" x14ac:dyDescent="0.25">
      <c r="A21" s="99">
        <v>19</v>
      </c>
      <c r="B21" s="56" t="s">
        <v>130</v>
      </c>
      <c r="C21" s="52">
        <v>10.571999999999999</v>
      </c>
      <c r="D21" s="52">
        <v>48.675899999999999</v>
      </c>
      <c r="E21" s="52">
        <v>10.91</v>
      </c>
      <c r="F21" s="52">
        <v>106.81108</v>
      </c>
      <c r="G21" s="52">
        <v>10.097</v>
      </c>
      <c r="H21" s="52">
        <v>137.86563000000001</v>
      </c>
      <c r="I21" s="52">
        <v>117.895</v>
      </c>
      <c r="J21" s="52">
        <v>2010.5814800000001</v>
      </c>
      <c r="K21" s="52">
        <v>37.698</v>
      </c>
      <c r="L21" s="52">
        <v>1057.6655699999999</v>
      </c>
      <c r="M21" s="52">
        <v>0.46</v>
      </c>
      <c r="N21" s="52">
        <v>6.77013</v>
      </c>
      <c r="O21" s="52">
        <v>9.8000000000000004E-2</v>
      </c>
      <c r="P21" s="52">
        <v>1.2156100000000001</v>
      </c>
      <c r="Q21" s="52">
        <v>40.677999999999997</v>
      </c>
      <c r="R21" s="52">
        <v>614.52548999999999</v>
      </c>
      <c r="S21" s="52">
        <v>2.077</v>
      </c>
      <c r="T21" s="52">
        <v>28.323119999999999</v>
      </c>
      <c r="U21" s="52"/>
      <c r="V21" s="52"/>
      <c r="W21" s="52"/>
      <c r="X21" s="52"/>
      <c r="Y21" s="52">
        <v>63.988</v>
      </c>
      <c r="Z21" s="52">
        <v>566.16797999999994</v>
      </c>
      <c r="AA21" s="58">
        <v>33.450000000000003</v>
      </c>
      <c r="AB21" s="58">
        <v>378.57677000000001</v>
      </c>
      <c r="AC21" s="52">
        <v>1.7410000000000001</v>
      </c>
      <c r="AD21" s="52">
        <v>24.606670000000001</v>
      </c>
      <c r="AE21" s="52">
        <v>5.5039999999999996</v>
      </c>
      <c r="AF21" s="52">
        <v>49.38279</v>
      </c>
      <c r="AG21" s="58">
        <v>25.183</v>
      </c>
      <c r="AH21" s="58">
        <v>278.74705999999998</v>
      </c>
      <c r="AI21" s="52">
        <v>12.513999999999999</v>
      </c>
      <c r="AJ21" s="52">
        <v>135.91165000000001</v>
      </c>
      <c r="AK21" s="52">
        <v>21.059000000000001</v>
      </c>
      <c r="AL21" s="52">
        <v>459.82932</v>
      </c>
      <c r="AM21" s="52">
        <v>40.835999999999999</v>
      </c>
      <c r="AN21" s="52">
        <v>385.54503999999997</v>
      </c>
      <c r="AO21" s="52">
        <v>6.9000000000000006E-2</v>
      </c>
      <c r="AP21" s="52">
        <v>1.1027199999999999</v>
      </c>
      <c r="AQ21" s="52">
        <v>90.91</v>
      </c>
      <c r="AR21" s="52">
        <v>1290.99181</v>
      </c>
      <c r="AS21" s="52">
        <v>0</v>
      </c>
      <c r="AT21" s="52">
        <v>10.89282</v>
      </c>
      <c r="AU21" s="52">
        <f>113.42112+12.89071</f>
        <v>126.31183</v>
      </c>
      <c r="AV21" s="52">
        <f>1114.34849+46.97254</f>
        <v>1161.3210300000001</v>
      </c>
      <c r="AW21" s="60">
        <f t="shared" si="0"/>
        <v>652.05083000000002</v>
      </c>
      <c r="AX21" s="60">
        <f t="shared" si="1"/>
        <v>8755.5096699999995</v>
      </c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</row>
    <row r="22" spans="1:64" s="62" customFormat="1" ht="21.75" customHeight="1" x14ac:dyDescent="0.25">
      <c r="A22" s="55">
        <v>20</v>
      </c>
      <c r="B22" s="56" t="s">
        <v>131</v>
      </c>
      <c r="C22" s="52"/>
      <c r="D22" s="52"/>
      <c r="E22" s="52">
        <v>2.16</v>
      </c>
      <c r="F22" s="52">
        <v>33.799999999999997</v>
      </c>
      <c r="G22" s="52">
        <v>8.1</v>
      </c>
      <c r="H22" s="52">
        <v>124.7</v>
      </c>
      <c r="I22" s="52">
        <v>4</v>
      </c>
      <c r="J22" s="52">
        <v>86.606999999999999</v>
      </c>
      <c r="K22" s="52">
        <v>5.59</v>
      </c>
      <c r="L22" s="52">
        <v>104.41</v>
      </c>
      <c r="M22" s="52">
        <v>0.31</v>
      </c>
      <c r="N22" s="52">
        <v>4.8099999999999996</v>
      </c>
      <c r="O22" s="52">
        <v>6.69</v>
      </c>
      <c r="P22" s="52">
        <v>151.47</v>
      </c>
      <c r="Q22" s="52">
        <v>13.824</v>
      </c>
      <c r="R22" s="52">
        <v>248.45400000000001</v>
      </c>
      <c r="S22" s="52">
        <v>2.2799999999999998</v>
      </c>
      <c r="T22" s="52">
        <v>35.090000000000003</v>
      </c>
      <c r="U22" s="52">
        <v>7.5010000000000003</v>
      </c>
      <c r="V22" s="52">
        <v>14.084</v>
      </c>
      <c r="W22" s="52"/>
      <c r="X22" s="52"/>
      <c r="Y22" s="58">
        <v>4.0860000000000003</v>
      </c>
      <c r="Z22" s="58">
        <v>42.594999999999999</v>
      </c>
      <c r="AA22" s="52">
        <v>8.5</v>
      </c>
      <c r="AB22" s="52">
        <v>193.708</v>
      </c>
      <c r="AC22" s="52"/>
      <c r="AD22" s="52"/>
      <c r="AE22" s="52">
        <v>31.302</v>
      </c>
      <c r="AF22" s="52">
        <v>323.16399999999999</v>
      </c>
      <c r="AG22" s="58">
        <v>92.358999999999995</v>
      </c>
      <c r="AH22" s="58">
        <v>2385.261</v>
      </c>
      <c r="AI22" s="52">
        <v>12.95</v>
      </c>
      <c r="AJ22" s="52">
        <v>292.76</v>
      </c>
      <c r="AK22" s="52">
        <v>0.11</v>
      </c>
      <c r="AL22" s="52">
        <v>1.68</v>
      </c>
      <c r="AM22" s="52"/>
      <c r="AN22" s="52"/>
      <c r="AO22" s="52"/>
      <c r="AP22" s="52"/>
      <c r="AQ22" s="52">
        <v>7.69</v>
      </c>
      <c r="AR22" s="52">
        <v>191.17599999999999</v>
      </c>
      <c r="AS22" s="52">
        <v>0.01</v>
      </c>
      <c r="AT22" s="52">
        <v>6.02</v>
      </c>
      <c r="AU22" s="52">
        <f>4.339+2.1</f>
        <v>6.4390000000000001</v>
      </c>
      <c r="AV22" s="52">
        <f>12.06+49.78</f>
        <v>61.84</v>
      </c>
      <c r="AW22" s="60">
        <f t="shared" si="0"/>
        <v>213.90099999999998</v>
      </c>
      <c r="AX22" s="60">
        <f t="shared" si="1"/>
        <v>4301.6290000000008</v>
      </c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</row>
    <row r="23" spans="1:64" s="62" customFormat="1" ht="21.75" customHeight="1" x14ac:dyDescent="0.25">
      <c r="A23" s="99">
        <v>21</v>
      </c>
      <c r="B23" s="56" t="s">
        <v>132</v>
      </c>
      <c r="C23" s="52">
        <v>0.78400000000000003</v>
      </c>
      <c r="D23" s="52">
        <v>1.04</v>
      </c>
      <c r="E23" s="52">
        <v>0.82199999999999995</v>
      </c>
      <c r="F23" s="52">
        <v>2.331</v>
      </c>
      <c r="G23" s="52">
        <v>4.4349999999999996</v>
      </c>
      <c r="H23" s="52">
        <v>15.131</v>
      </c>
      <c r="I23" s="52">
        <v>6.0780000000000003</v>
      </c>
      <c r="J23" s="52">
        <v>25.789000000000001</v>
      </c>
      <c r="K23" s="52">
        <v>1.3280000000000001</v>
      </c>
      <c r="L23" s="52">
        <v>6.98</v>
      </c>
      <c r="M23" s="52"/>
      <c r="N23" s="52"/>
      <c r="O23" s="52">
        <v>1.53</v>
      </c>
      <c r="P23" s="52">
        <v>8.9039999999999999</v>
      </c>
      <c r="Q23" s="52">
        <v>12.529</v>
      </c>
      <c r="R23" s="52">
        <v>49.103000000000002</v>
      </c>
      <c r="S23" s="52">
        <v>3.464</v>
      </c>
      <c r="T23" s="52">
        <v>10.039</v>
      </c>
      <c r="U23" s="52">
        <v>5.1390000000000002</v>
      </c>
      <c r="V23" s="52">
        <v>9.4489999999999998</v>
      </c>
      <c r="W23" s="52"/>
      <c r="X23" s="52"/>
      <c r="Y23" s="52">
        <v>3.282</v>
      </c>
      <c r="Z23" s="52">
        <v>10.34</v>
      </c>
      <c r="AA23" s="58">
        <v>86.305999999999997</v>
      </c>
      <c r="AB23" s="58">
        <v>1435.1120000000001</v>
      </c>
      <c r="AC23" s="52"/>
      <c r="AD23" s="52"/>
      <c r="AE23" s="52">
        <v>14.218999999999999</v>
      </c>
      <c r="AF23" s="52">
        <v>31.28</v>
      </c>
      <c r="AG23" s="58">
        <v>14.321999999999999</v>
      </c>
      <c r="AH23" s="58">
        <v>229.82900000000001</v>
      </c>
      <c r="AI23" s="52">
        <v>0.85099999999999998</v>
      </c>
      <c r="AJ23" s="52">
        <v>3.403</v>
      </c>
      <c r="AK23" s="52">
        <v>1.2729999999999999</v>
      </c>
      <c r="AL23" s="52">
        <v>16.449000000000002</v>
      </c>
      <c r="AM23" s="52">
        <v>1.0029999999999999</v>
      </c>
      <c r="AN23" s="52">
        <v>9.6020000000000003</v>
      </c>
      <c r="AO23" s="52"/>
      <c r="AP23" s="52"/>
      <c r="AQ23" s="52">
        <v>20.507000000000001</v>
      </c>
      <c r="AR23" s="52">
        <v>83.286000000000001</v>
      </c>
      <c r="AS23" s="52"/>
      <c r="AT23" s="52"/>
      <c r="AU23" s="52">
        <f>8.398+0.035+2.909+1.495+0.024</f>
        <v>12.860999999999999</v>
      </c>
      <c r="AV23" s="52">
        <f>18.49+0.039+15.974+3.973+0.188</f>
        <v>38.664000000000001</v>
      </c>
      <c r="AW23" s="60">
        <f t="shared" si="0"/>
        <v>190.73299999999998</v>
      </c>
      <c r="AX23" s="60">
        <f t="shared" si="1"/>
        <v>1986.7310000000002</v>
      </c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</row>
    <row r="24" spans="1:64" s="62" customFormat="1" ht="21.75" customHeight="1" x14ac:dyDescent="0.25">
      <c r="A24" s="55">
        <v>22</v>
      </c>
      <c r="B24" s="56" t="s">
        <v>133</v>
      </c>
      <c r="C24" s="52">
        <v>1.1599999999999999</v>
      </c>
      <c r="D24" s="52">
        <v>5.36</v>
      </c>
      <c r="E24" s="52">
        <v>0.33800000000000002</v>
      </c>
      <c r="F24" s="52">
        <v>2.2639999999999998</v>
      </c>
      <c r="G24" s="52">
        <v>0.50700000000000001</v>
      </c>
      <c r="H24" s="52">
        <v>4.3090000000000002</v>
      </c>
      <c r="I24" s="52">
        <v>0.25800000000000001</v>
      </c>
      <c r="J24" s="52">
        <v>1.6559999999999999</v>
      </c>
      <c r="K24" s="52">
        <v>0.95199999999999996</v>
      </c>
      <c r="L24" s="52">
        <v>5.3769999999999998</v>
      </c>
      <c r="M24" s="52">
        <v>4.2999999999999997E-2</v>
      </c>
      <c r="N24" s="52">
        <v>7.3999999999999996E-2</v>
      </c>
      <c r="O24" s="52">
        <v>0.376</v>
      </c>
      <c r="P24" s="52">
        <v>2.2160000000000002</v>
      </c>
      <c r="Q24" s="52">
        <v>0.62</v>
      </c>
      <c r="R24" s="52">
        <v>3.3479999999999999</v>
      </c>
      <c r="S24" s="52">
        <v>6.5000000000000002E-2</v>
      </c>
      <c r="T24" s="52">
        <v>0.27300000000000002</v>
      </c>
      <c r="U24" s="52">
        <v>0.09</v>
      </c>
      <c r="V24" s="52">
        <v>0.316</v>
      </c>
      <c r="W24" s="52"/>
      <c r="X24" s="52"/>
      <c r="Y24" s="52">
        <v>1.125</v>
      </c>
      <c r="Z24" s="52">
        <v>6.867</v>
      </c>
      <c r="AA24" s="58">
        <v>0.315</v>
      </c>
      <c r="AB24" s="58">
        <v>1.732</v>
      </c>
      <c r="AC24" s="52"/>
      <c r="AD24" s="52"/>
      <c r="AE24" s="52">
        <v>2.0499999999999998</v>
      </c>
      <c r="AF24" s="52">
        <v>8.85</v>
      </c>
      <c r="AG24" s="58">
        <v>10.941000000000001</v>
      </c>
      <c r="AH24" s="58">
        <v>53.55</v>
      </c>
      <c r="AI24" s="52">
        <v>0.73499999999999999</v>
      </c>
      <c r="AJ24" s="52">
        <v>5.88</v>
      </c>
      <c r="AK24" s="52"/>
      <c r="AL24" s="52"/>
      <c r="AM24" s="52"/>
      <c r="AN24" s="52"/>
      <c r="AO24" s="52"/>
      <c r="AP24" s="52"/>
      <c r="AQ24" s="52">
        <v>0.55000000000000004</v>
      </c>
      <c r="AR24" s="52">
        <v>4.2469999999999999</v>
      </c>
      <c r="AS24" s="52"/>
      <c r="AT24" s="52"/>
      <c r="AU24" s="52">
        <v>0.125</v>
      </c>
      <c r="AV24" s="52">
        <v>0.61699999999999999</v>
      </c>
      <c r="AW24" s="60">
        <f t="shared" si="0"/>
        <v>20.25</v>
      </c>
      <c r="AX24" s="60">
        <f t="shared" si="1"/>
        <v>106.93600000000001</v>
      </c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</row>
    <row r="25" spans="1:64" s="62" customFormat="1" ht="21.75" customHeight="1" x14ac:dyDescent="0.25">
      <c r="A25" s="99">
        <v>23</v>
      </c>
      <c r="B25" s="56" t="s">
        <v>134</v>
      </c>
      <c r="C25" s="52">
        <v>7.681</v>
      </c>
      <c r="D25" s="52">
        <v>164.76599999999999</v>
      </c>
      <c r="E25" s="52">
        <v>2.6960000000000002</v>
      </c>
      <c r="F25" s="52">
        <v>53.475000000000001</v>
      </c>
      <c r="G25" s="52">
        <v>0.71799999999999997</v>
      </c>
      <c r="H25" s="52">
        <v>15.699</v>
      </c>
      <c r="I25" s="52">
        <v>15.117000000000001</v>
      </c>
      <c r="J25" s="52">
        <v>245.84100000000001</v>
      </c>
      <c r="K25" s="52">
        <v>2.431</v>
      </c>
      <c r="L25" s="52">
        <v>143.86199999999999</v>
      </c>
      <c r="M25" s="52">
        <v>0.13</v>
      </c>
      <c r="N25" s="52">
        <v>0.57999999999999996</v>
      </c>
      <c r="O25" s="52">
        <v>4.8419999999999996</v>
      </c>
      <c r="P25" s="52">
        <v>140.952</v>
      </c>
      <c r="Q25" s="52">
        <v>1.5469999999999999</v>
      </c>
      <c r="R25" s="52">
        <v>36.218000000000004</v>
      </c>
      <c r="S25" s="52">
        <v>1.161</v>
      </c>
      <c r="T25" s="52">
        <v>116.43300000000001</v>
      </c>
      <c r="U25" s="52">
        <v>1.165</v>
      </c>
      <c r="V25" s="52">
        <v>15.37</v>
      </c>
      <c r="W25" s="52">
        <v>1.05</v>
      </c>
      <c r="X25" s="52">
        <v>38.762</v>
      </c>
      <c r="Y25" s="52">
        <v>13.105</v>
      </c>
      <c r="Z25" s="52">
        <v>123.22199999999999</v>
      </c>
      <c r="AA25" s="58">
        <v>36.731000000000002</v>
      </c>
      <c r="AB25" s="58">
        <v>380.95100000000002</v>
      </c>
      <c r="AC25" s="58">
        <v>0.51600000000000001</v>
      </c>
      <c r="AD25" s="58">
        <v>12.247999999999999</v>
      </c>
      <c r="AE25" s="52">
        <v>0.11600000000000001</v>
      </c>
      <c r="AF25" s="52">
        <v>1.6850000000000001</v>
      </c>
      <c r="AG25" s="52">
        <v>3.9820000000000002</v>
      </c>
      <c r="AH25" s="52">
        <v>72.224999999999994</v>
      </c>
      <c r="AI25" s="52">
        <v>1.454</v>
      </c>
      <c r="AJ25" s="52">
        <v>54.811999999999998</v>
      </c>
      <c r="AK25" s="52">
        <v>1.1319999999999999</v>
      </c>
      <c r="AL25" s="52">
        <v>29.155999999999999</v>
      </c>
      <c r="AM25" s="52">
        <v>0.54500000000000004</v>
      </c>
      <c r="AN25" s="52">
        <v>11.170999999999999</v>
      </c>
      <c r="AO25" s="52">
        <v>90.51</v>
      </c>
      <c r="AP25" s="52">
        <v>2810.0309999999999</v>
      </c>
      <c r="AQ25" s="52">
        <v>29.8</v>
      </c>
      <c r="AR25" s="52">
        <v>645.69899999999996</v>
      </c>
      <c r="AS25" s="52">
        <v>3.0000000000000001E-3</v>
      </c>
      <c r="AT25" s="52">
        <v>7.4999999999999997E-2</v>
      </c>
      <c r="AU25" s="52">
        <f>0.506+1.89+0.632+1.03+3.057+47.729</f>
        <v>54.844000000000001</v>
      </c>
      <c r="AV25" s="52">
        <f>11.626+57.952+8.547+18.226+48.812+1717.753</f>
        <v>1862.9159999999999</v>
      </c>
      <c r="AW25" s="60">
        <f t="shared" si="0"/>
        <v>271.27600000000001</v>
      </c>
      <c r="AX25" s="60">
        <f t="shared" si="1"/>
        <v>6976.1489999999994</v>
      </c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</row>
    <row r="26" spans="1:64" s="62" customFormat="1" ht="21.75" customHeight="1" x14ac:dyDescent="0.25">
      <c r="A26" s="55">
        <v>24</v>
      </c>
      <c r="B26" s="89" t="s">
        <v>135</v>
      </c>
      <c r="C26" s="52">
        <v>11.227</v>
      </c>
      <c r="D26" s="52">
        <v>175.38499999999999</v>
      </c>
      <c r="E26" s="52">
        <v>9.4920000000000009</v>
      </c>
      <c r="F26" s="52">
        <v>118.624</v>
      </c>
      <c r="G26" s="52">
        <v>5.0529999999999999</v>
      </c>
      <c r="H26" s="52">
        <v>65.641000000000005</v>
      </c>
      <c r="I26" s="52">
        <v>7.1120000000000001</v>
      </c>
      <c r="J26" s="52">
        <v>138.38800000000001</v>
      </c>
      <c r="K26" s="52">
        <v>3.6080000000000001</v>
      </c>
      <c r="L26" s="52">
        <v>59.241999999999997</v>
      </c>
      <c r="M26" s="52">
        <v>0.373</v>
      </c>
      <c r="N26" s="52">
        <v>4.7009999999999996</v>
      </c>
      <c r="O26" s="52">
        <v>3.4889999999999999</v>
      </c>
      <c r="P26" s="52">
        <v>39.012</v>
      </c>
      <c r="Q26" s="52">
        <v>1.579</v>
      </c>
      <c r="R26" s="52">
        <v>21.905999999999999</v>
      </c>
      <c r="S26" s="52">
        <v>3.9929999999999999</v>
      </c>
      <c r="T26" s="52">
        <v>75.204999999999998</v>
      </c>
      <c r="U26" s="52">
        <v>11.728</v>
      </c>
      <c r="V26" s="52">
        <v>147.22900000000001</v>
      </c>
      <c r="W26" s="52"/>
      <c r="X26" s="52"/>
      <c r="Y26" s="52">
        <v>12.779</v>
      </c>
      <c r="Z26" s="52">
        <v>171.69200000000001</v>
      </c>
      <c r="AA26" s="100">
        <v>20.872</v>
      </c>
      <c r="AB26" s="100">
        <v>395.96</v>
      </c>
      <c r="AC26" s="52">
        <v>5.0000000000000001E-3</v>
      </c>
      <c r="AD26" s="52">
        <v>2.7E-2</v>
      </c>
      <c r="AE26" s="52"/>
      <c r="AF26" s="52"/>
      <c r="AG26" s="58">
        <v>4.2930000000000001</v>
      </c>
      <c r="AH26" s="58">
        <v>71.63</v>
      </c>
      <c r="AI26" s="52">
        <v>8.5000000000000006E-2</v>
      </c>
      <c r="AJ26" s="52">
        <v>1.02</v>
      </c>
      <c r="AK26" s="52">
        <v>8.3000000000000004E-2</v>
      </c>
      <c r="AL26" s="52">
        <v>1.52</v>
      </c>
      <c r="AM26" s="52"/>
      <c r="AN26" s="52"/>
      <c r="AO26" s="52"/>
      <c r="AP26" s="52"/>
      <c r="AQ26" s="52">
        <v>57.968000000000004</v>
      </c>
      <c r="AR26" s="52">
        <v>1475</v>
      </c>
      <c r="AS26" s="52"/>
      <c r="AT26" s="52"/>
      <c r="AU26" s="52">
        <f>6.768+4.131+6.551+0.043+0.568</f>
        <v>18.061000000000003</v>
      </c>
      <c r="AV26" s="52">
        <f>101.711+34.277+84.425+0.946+11.899</f>
        <v>233.25800000000001</v>
      </c>
      <c r="AW26" s="60">
        <f t="shared" si="0"/>
        <v>171.79999999999998</v>
      </c>
      <c r="AX26" s="60">
        <f t="shared" si="1"/>
        <v>3195.4399999999996</v>
      </c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</row>
    <row r="27" spans="1:64" s="62" customFormat="1" ht="21.75" customHeight="1" x14ac:dyDescent="0.25">
      <c r="A27" s="99">
        <v>25</v>
      </c>
      <c r="B27" s="56" t="s">
        <v>136</v>
      </c>
      <c r="C27" s="52">
        <v>1.3959999999999999</v>
      </c>
      <c r="D27" s="52">
        <v>18.388000000000002</v>
      </c>
      <c r="E27" s="52">
        <v>0.81899999999999995</v>
      </c>
      <c r="F27" s="52">
        <v>7.9160000000000004</v>
      </c>
      <c r="G27" s="52">
        <v>2.1240000000000001</v>
      </c>
      <c r="H27" s="52">
        <v>43.627000000000002</v>
      </c>
      <c r="I27" s="52">
        <v>3.6520000000000001</v>
      </c>
      <c r="J27" s="52">
        <v>70.872</v>
      </c>
      <c r="K27" s="52">
        <v>3.14</v>
      </c>
      <c r="L27" s="52">
        <v>83.052000000000007</v>
      </c>
      <c r="M27" s="52">
        <v>0.13800000000000001</v>
      </c>
      <c r="N27" s="52">
        <v>1.097</v>
      </c>
      <c r="O27" s="52">
        <v>0.39600000000000002</v>
      </c>
      <c r="P27" s="52">
        <v>4.7350000000000003</v>
      </c>
      <c r="Q27" s="52">
        <v>2.601</v>
      </c>
      <c r="R27" s="52">
        <v>63.381</v>
      </c>
      <c r="S27" s="52">
        <v>1.6739999999999999</v>
      </c>
      <c r="T27" s="52">
        <v>18.18</v>
      </c>
      <c r="U27" s="52">
        <v>2.145</v>
      </c>
      <c r="V27" s="52">
        <v>19.797000000000001</v>
      </c>
      <c r="W27" s="52">
        <v>9.4E-2</v>
      </c>
      <c r="X27" s="52">
        <v>2.1819999999999999</v>
      </c>
      <c r="Y27" s="52">
        <v>1.79</v>
      </c>
      <c r="Z27" s="52">
        <v>17.074999999999999</v>
      </c>
      <c r="AA27" s="58">
        <v>0.22600000000000001</v>
      </c>
      <c r="AB27" s="58">
        <v>1.38</v>
      </c>
      <c r="AC27" s="52">
        <v>0.48299999999999998</v>
      </c>
      <c r="AD27" s="52">
        <v>5.7</v>
      </c>
      <c r="AE27" s="52">
        <v>0.622</v>
      </c>
      <c r="AF27" s="52">
        <v>2.4820000000000002</v>
      </c>
      <c r="AG27" s="58">
        <v>7.6840000000000002</v>
      </c>
      <c r="AH27" s="58">
        <v>128.511</v>
      </c>
      <c r="AI27" s="52">
        <v>3.1019999999999999</v>
      </c>
      <c r="AJ27" s="52">
        <v>54.283000000000001</v>
      </c>
      <c r="AK27" s="52">
        <v>0.82399999999999995</v>
      </c>
      <c r="AL27" s="52">
        <v>15.404999999999999</v>
      </c>
      <c r="AM27" s="52"/>
      <c r="AN27" s="52"/>
      <c r="AO27" s="52"/>
      <c r="AP27" s="52"/>
      <c r="AQ27" s="52">
        <v>1.81</v>
      </c>
      <c r="AR27" s="52">
        <v>53.805</v>
      </c>
      <c r="AS27" s="52">
        <v>1.038</v>
      </c>
      <c r="AT27" s="52">
        <v>26.998000000000001</v>
      </c>
      <c r="AU27" s="52">
        <f>1.252+0.624+0.314+0.074+1.925+1.112+5.422</f>
        <v>10.722999999999999</v>
      </c>
      <c r="AV27" s="52">
        <f>20.73+10.618+4.304+0.525+27.608+17.966+72.626</f>
        <v>154.37700000000001</v>
      </c>
      <c r="AW27" s="60">
        <f t="shared" si="0"/>
        <v>46.480999999999995</v>
      </c>
      <c r="AX27" s="60">
        <f t="shared" si="1"/>
        <v>793.24300000000017</v>
      </c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</row>
    <row r="28" spans="1:64" s="101" customFormat="1" ht="21.75" customHeight="1" x14ac:dyDescent="0.25">
      <c r="A28" s="55">
        <v>26</v>
      </c>
      <c r="B28" s="56" t="s">
        <v>137</v>
      </c>
      <c r="C28" s="52">
        <v>8.843</v>
      </c>
      <c r="D28" s="52">
        <v>132.64500000000001</v>
      </c>
      <c r="E28" s="52">
        <v>4.0999999999999996</v>
      </c>
      <c r="F28" s="52">
        <v>76.584999999999994</v>
      </c>
      <c r="G28" s="52">
        <v>14.311999999999999</v>
      </c>
      <c r="H28" s="52">
        <v>422.74</v>
      </c>
      <c r="I28" s="52">
        <v>7.78</v>
      </c>
      <c r="J28" s="52">
        <v>267.18900000000002</v>
      </c>
      <c r="K28" s="52">
        <v>8.3550000000000004</v>
      </c>
      <c r="L28" s="52">
        <v>292.02199999999999</v>
      </c>
      <c r="M28" s="52"/>
      <c r="N28" s="52"/>
      <c r="O28" s="52">
        <v>6.2009999999999996</v>
      </c>
      <c r="P28" s="52">
        <v>154.96899999999999</v>
      </c>
      <c r="Q28" s="52">
        <v>17.225000000000001</v>
      </c>
      <c r="R28" s="52">
        <v>393.26400000000001</v>
      </c>
      <c r="S28" s="52">
        <v>2.883</v>
      </c>
      <c r="T28" s="52">
        <v>72.075000000000003</v>
      </c>
      <c r="U28" s="52"/>
      <c r="V28" s="52"/>
      <c r="W28" s="52"/>
      <c r="X28" s="52"/>
      <c r="Y28" s="52">
        <v>22.5</v>
      </c>
      <c r="Z28" s="52">
        <v>301.20800000000003</v>
      </c>
      <c r="AA28" s="58">
        <v>24.957999999999998</v>
      </c>
      <c r="AB28" s="58">
        <v>422.74799999999999</v>
      </c>
      <c r="AC28" s="52">
        <v>2.0249999999999999</v>
      </c>
      <c r="AD28" s="52">
        <v>53.908000000000001</v>
      </c>
      <c r="AE28" s="52">
        <v>218.54900000000001</v>
      </c>
      <c r="AF28" s="52">
        <v>2481.0650000000001</v>
      </c>
      <c r="AG28" s="58">
        <v>607.32100000000003</v>
      </c>
      <c r="AH28" s="58">
        <v>13851.761</v>
      </c>
      <c r="AI28" s="52">
        <v>5.65</v>
      </c>
      <c r="AJ28" s="52">
        <v>145.358</v>
      </c>
      <c r="AK28" s="52">
        <v>9.4440000000000008</v>
      </c>
      <c r="AL28" s="52">
        <v>360.15800000000002</v>
      </c>
      <c r="AM28" s="52">
        <v>17.07</v>
      </c>
      <c r="AN28" s="52">
        <v>225.87</v>
      </c>
      <c r="AO28" s="52"/>
      <c r="AP28" s="52"/>
      <c r="AQ28" s="52">
        <v>20.748000000000001</v>
      </c>
      <c r="AR28" s="52">
        <v>819.37300000000005</v>
      </c>
      <c r="AS28" s="52">
        <v>165</v>
      </c>
      <c r="AT28" s="52">
        <v>357.2</v>
      </c>
      <c r="AU28" s="52">
        <f>187.969+2.397+13.167+9.35+1.45+1.817</f>
        <v>216.14999999999998</v>
      </c>
      <c r="AV28" s="52">
        <f>4818.683+22.261+313.598+155.939+51.088+59.291</f>
        <v>5420.8600000000006</v>
      </c>
      <c r="AW28" s="60">
        <f t="shared" si="0"/>
        <v>1379.114</v>
      </c>
      <c r="AX28" s="60">
        <f t="shared" si="1"/>
        <v>26250.998</v>
      </c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</row>
    <row r="29" spans="1:64" s="102" customFormat="1" ht="21.75" customHeight="1" x14ac:dyDescent="0.25">
      <c r="A29" s="99">
        <v>27</v>
      </c>
      <c r="B29" s="56" t="s">
        <v>138</v>
      </c>
      <c r="C29" s="52">
        <v>5.6820000000000004</v>
      </c>
      <c r="D29" s="52">
        <v>39.954000000000001</v>
      </c>
      <c r="E29" s="52"/>
      <c r="F29" s="52"/>
      <c r="G29" s="52"/>
      <c r="H29" s="52"/>
      <c r="I29" s="52">
        <v>2.4940000000000002</v>
      </c>
      <c r="J29" s="52">
        <v>26.356000000000002</v>
      </c>
      <c r="K29" s="52">
        <v>6.1180000000000003</v>
      </c>
      <c r="L29" s="52">
        <v>67.569000000000003</v>
      </c>
      <c r="M29" s="52">
        <v>2.472</v>
      </c>
      <c r="N29" s="52">
        <v>13.77</v>
      </c>
      <c r="O29" s="52"/>
      <c r="P29" s="52"/>
      <c r="Q29" s="52">
        <v>3.0070000000000001</v>
      </c>
      <c r="R29" s="52">
        <v>38.484999999999999</v>
      </c>
      <c r="S29" s="52"/>
      <c r="T29" s="52"/>
      <c r="U29" s="52"/>
      <c r="V29" s="52"/>
      <c r="W29" s="52"/>
      <c r="X29" s="52"/>
      <c r="Y29" s="52">
        <v>3.2789999999999999</v>
      </c>
      <c r="Z29" s="52">
        <v>24.260999999999999</v>
      </c>
      <c r="AA29" s="58">
        <v>4.0670000000000002</v>
      </c>
      <c r="AB29" s="58">
        <v>41.587000000000003</v>
      </c>
      <c r="AC29" s="52"/>
      <c r="AD29" s="52"/>
      <c r="AE29" s="52">
        <v>11.823</v>
      </c>
      <c r="AF29" s="52">
        <v>83.009</v>
      </c>
      <c r="AG29" s="58">
        <v>25.89</v>
      </c>
      <c r="AH29" s="58">
        <v>358.24400000000003</v>
      </c>
      <c r="AI29" s="52">
        <v>4.9950000000000001</v>
      </c>
      <c r="AJ29" s="52">
        <v>56.533999999999999</v>
      </c>
      <c r="AK29" s="52"/>
      <c r="AL29" s="52"/>
      <c r="AM29" s="52"/>
      <c r="AN29" s="52"/>
      <c r="AO29" s="52"/>
      <c r="AP29" s="52"/>
      <c r="AQ29" s="52">
        <v>8.5500000000000007</v>
      </c>
      <c r="AR29" s="52">
        <v>93.222999999999999</v>
      </c>
      <c r="AS29" s="52"/>
      <c r="AT29" s="52"/>
      <c r="AU29" s="52">
        <v>11.458</v>
      </c>
      <c r="AV29" s="52">
        <v>102.371</v>
      </c>
      <c r="AW29" s="60">
        <f t="shared" si="0"/>
        <v>89.835000000000008</v>
      </c>
      <c r="AX29" s="60">
        <f t="shared" si="1"/>
        <v>945.36300000000006</v>
      </c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</row>
    <row r="30" spans="1:64" ht="21.75" customHeight="1" x14ac:dyDescent="0.25">
      <c r="A30" s="55">
        <v>28</v>
      </c>
      <c r="B30" s="56" t="s">
        <v>139</v>
      </c>
      <c r="C30" s="52">
        <v>24.061</v>
      </c>
      <c r="D30" s="52">
        <v>134.107</v>
      </c>
      <c r="E30" s="52"/>
      <c r="F30" s="52"/>
      <c r="G30" s="52"/>
      <c r="H30" s="52"/>
      <c r="I30" s="52">
        <v>162.18700000000001</v>
      </c>
      <c r="J30" s="52">
        <v>3003.576</v>
      </c>
      <c r="K30" s="52">
        <v>78.882999999999996</v>
      </c>
      <c r="L30" s="52">
        <v>2258.0309999999999</v>
      </c>
      <c r="M30" s="52"/>
      <c r="N30" s="52"/>
      <c r="O30" s="52"/>
      <c r="P30" s="52"/>
      <c r="Q30" s="52">
        <v>74.099000000000004</v>
      </c>
      <c r="R30" s="52">
        <v>1889.0440000000001</v>
      </c>
      <c r="S30" s="52"/>
      <c r="T30" s="52"/>
      <c r="U30" s="52"/>
      <c r="V30" s="52"/>
      <c r="W30" s="52">
        <v>14.026999999999999</v>
      </c>
      <c r="X30" s="52">
        <v>293.84399999999999</v>
      </c>
      <c r="Y30" s="52">
        <v>76.308999999999997</v>
      </c>
      <c r="Z30" s="52">
        <v>897.29600000000005</v>
      </c>
      <c r="AA30" s="58">
        <v>33.975000000000001</v>
      </c>
      <c r="AB30" s="58">
        <v>544.54700000000003</v>
      </c>
      <c r="AC30" s="52"/>
      <c r="AD30" s="52"/>
      <c r="AE30" s="52">
        <v>22.042999999999999</v>
      </c>
      <c r="AF30" s="52">
        <v>135.43899999999999</v>
      </c>
      <c r="AG30" s="58">
        <v>427</v>
      </c>
      <c r="AH30" s="58">
        <v>8427</v>
      </c>
      <c r="AI30" s="52">
        <v>40.576999999999998</v>
      </c>
      <c r="AJ30" s="52">
        <v>505.45</v>
      </c>
      <c r="AK30" s="52"/>
      <c r="AL30" s="52"/>
      <c r="AM30" s="52">
        <v>22.713000000000001</v>
      </c>
      <c r="AN30" s="52">
        <v>239.80799999999999</v>
      </c>
      <c r="AO30" s="52"/>
      <c r="AP30" s="52"/>
      <c r="AQ30" s="52">
        <v>57.168999999999997</v>
      </c>
      <c r="AR30" s="52">
        <v>1204.431</v>
      </c>
      <c r="AS30" s="52"/>
      <c r="AT30" s="52"/>
      <c r="AU30" s="52">
        <f>337.905+20.467</f>
        <v>358.37199999999996</v>
      </c>
      <c r="AV30" s="52">
        <f>2912.265+380.61</f>
        <v>3292.875</v>
      </c>
      <c r="AW30" s="60">
        <f t="shared" si="0"/>
        <v>1391.415</v>
      </c>
      <c r="AX30" s="60">
        <f t="shared" si="1"/>
        <v>22825.448</v>
      </c>
    </row>
    <row r="31" spans="1:64" ht="21.75" customHeight="1" x14ac:dyDescent="0.25">
      <c r="A31" s="99">
        <v>29</v>
      </c>
      <c r="B31" s="56" t="s">
        <v>207</v>
      </c>
      <c r="C31" s="52">
        <v>6.0999999999999999E-2</v>
      </c>
      <c r="D31" s="52">
        <v>0.16</v>
      </c>
      <c r="E31" s="52">
        <v>1.2349999999999997</v>
      </c>
      <c r="F31" s="52">
        <v>13.629</v>
      </c>
      <c r="G31" s="52">
        <v>1.1919999999999999</v>
      </c>
      <c r="H31" s="52">
        <v>16.433999999999997</v>
      </c>
      <c r="I31" s="52">
        <v>1.7830000000000001</v>
      </c>
      <c r="J31" s="52">
        <v>21.991999999999997</v>
      </c>
      <c r="K31" s="52">
        <v>7.1999999999999995E-2</v>
      </c>
      <c r="L31" s="52">
        <v>0.56300000000000006</v>
      </c>
      <c r="M31" s="52">
        <v>5.0000000000000001E-3</v>
      </c>
      <c r="N31" s="52">
        <v>3.0000000000000001E-3</v>
      </c>
      <c r="O31" s="52">
        <v>1.0529999999999999</v>
      </c>
      <c r="P31" s="52">
        <v>22.457999999999998</v>
      </c>
      <c r="Q31" s="52">
        <v>2.9409999999999998</v>
      </c>
      <c r="R31" s="52">
        <v>47.716999999999999</v>
      </c>
      <c r="S31" s="52">
        <v>0.98699999999999999</v>
      </c>
      <c r="T31" s="52">
        <v>11.929</v>
      </c>
      <c r="U31" s="52">
        <v>0.22600000000000001</v>
      </c>
      <c r="V31" s="52">
        <v>1.2629999999999999</v>
      </c>
      <c r="W31" s="52">
        <v>0</v>
      </c>
      <c r="X31" s="52">
        <v>0</v>
      </c>
      <c r="Y31" s="52">
        <v>2.04</v>
      </c>
      <c r="Z31" s="52">
        <v>22.119000000000003</v>
      </c>
      <c r="AA31" s="52">
        <v>0.81800000000000006</v>
      </c>
      <c r="AB31" s="52">
        <v>17.491</v>
      </c>
      <c r="AC31" s="52">
        <v>0</v>
      </c>
      <c r="AD31" s="52">
        <v>0</v>
      </c>
      <c r="AE31" s="52">
        <v>0.46</v>
      </c>
      <c r="AF31" s="52">
        <v>7.1419999999999995</v>
      </c>
      <c r="AG31" s="52">
        <v>0.74099999999999999</v>
      </c>
      <c r="AH31" s="52">
        <v>15.452999999999999</v>
      </c>
      <c r="AI31" s="52">
        <v>2.5759999999999996</v>
      </c>
      <c r="AJ31" s="52">
        <v>42.506</v>
      </c>
      <c r="AK31" s="52">
        <v>0.27200000000000002</v>
      </c>
      <c r="AL31" s="52">
        <v>3.2429999999999999</v>
      </c>
      <c r="AM31" s="52">
        <v>0.122</v>
      </c>
      <c r="AN31" s="52">
        <v>0.78</v>
      </c>
      <c r="AO31" s="52">
        <v>0.247</v>
      </c>
      <c r="AP31" s="52">
        <v>5.9</v>
      </c>
      <c r="AQ31" s="52">
        <v>1.0839999999999999</v>
      </c>
      <c r="AR31" s="52">
        <v>14.203000000000001</v>
      </c>
      <c r="AS31" s="52">
        <v>3.0000000000000001E-3</v>
      </c>
      <c r="AT31" s="52">
        <v>4.0000000000000001E-3</v>
      </c>
      <c r="AU31" s="52">
        <v>20.518999999999998</v>
      </c>
      <c r="AV31" s="52">
        <v>240.816</v>
      </c>
      <c r="AW31" s="60">
        <f t="shared" si="0"/>
        <v>38.436999999999998</v>
      </c>
      <c r="AX31" s="60">
        <f t="shared" si="1"/>
        <v>505.80499999999995</v>
      </c>
    </row>
    <row r="32" spans="1:64" ht="21.75" customHeight="1" x14ac:dyDescent="0.25">
      <c r="A32" s="55"/>
      <c r="B32" s="56" t="s">
        <v>109</v>
      </c>
      <c r="C32" s="60">
        <f>SUM(C3:C31)</f>
        <v>232.1551</v>
      </c>
      <c r="D32" s="60">
        <f t="shared" ref="D32:AX32" si="2">SUM(D3:D31)</f>
        <v>2334.3181600000003</v>
      </c>
      <c r="E32" s="60">
        <f t="shared" si="2"/>
        <v>92.873999999999995</v>
      </c>
      <c r="F32" s="60">
        <f t="shared" si="2"/>
        <v>1045.7180800000001</v>
      </c>
      <c r="G32" s="60">
        <f t="shared" si="2"/>
        <v>149.22499999999999</v>
      </c>
      <c r="H32" s="60">
        <f t="shared" si="2"/>
        <v>2457.8406300000001</v>
      </c>
      <c r="I32" s="60">
        <f t="shared" si="2"/>
        <v>662.54435999999998</v>
      </c>
      <c r="J32" s="60">
        <f t="shared" si="2"/>
        <v>12515.190650000002</v>
      </c>
      <c r="K32" s="60">
        <f t="shared" si="2"/>
        <v>393.83499999999992</v>
      </c>
      <c r="L32" s="60">
        <f t="shared" si="2"/>
        <v>8805.9536800000005</v>
      </c>
      <c r="M32" s="60">
        <f t="shared" si="2"/>
        <v>45.951000000000001</v>
      </c>
      <c r="N32" s="60">
        <f t="shared" si="2"/>
        <v>288.46412999999995</v>
      </c>
      <c r="O32" s="60">
        <f t="shared" si="2"/>
        <v>82.303100000000001</v>
      </c>
      <c r="P32" s="60">
        <f t="shared" si="2"/>
        <v>1338.47261</v>
      </c>
      <c r="Q32" s="60">
        <f t="shared" si="2"/>
        <v>426.06848999999994</v>
      </c>
      <c r="R32" s="60">
        <f t="shared" si="2"/>
        <v>8089.767609999999</v>
      </c>
      <c r="S32" s="60">
        <f t="shared" si="2"/>
        <v>71.348069999999993</v>
      </c>
      <c r="T32" s="60">
        <f t="shared" si="2"/>
        <v>1201.8395500000001</v>
      </c>
      <c r="U32" s="60">
        <f t="shared" si="2"/>
        <v>292.05799999999999</v>
      </c>
      <c r="V32" s="60">
        <f t="shared" si="2"/>
        <v>2955.4189999999994</v>
      </c>
      <c r="W32" s="60">
        <f t="shared" si="2"/>
        <v>27.774999999999999</v>
      </c>
      <c r="X32" s="60">
        <f t="shared" si="2"/>
        <v>732.72700000000009</v>
      </c>
      <c r="Y32" s="60">
        <f t="shared" si="2"/>
        <v>511.04400000000004</v>
      </c>
      <c r="Z32" s="60">
        <f t="shared" si="2"/>
        <v>5848.5540799999999</v>
      </c>
      <c r="AA32" s="60">
        <f t="shared" si="2"/>
        <v>1320.0380000000002</v>
      </c>
      <c r="AB32" s="60">
        <f t="shared" si="2"/>
        <v>20931.209269999999</v>
      </c>
      <c r="AC32" s="60">
        <f t="shared" si="2"/>
        <v>18.406999999999996</v>
      </c>
      <c r="AD32" s="60">
        <f t="shared" si="2"/>
        <v>264.02166999999997</v>
      </c>
      <c r="AE32" s="60">
        <f t="shared" si="2"/>
        <v>497.56900000000002</v>
      </c>
      <c r="AF32" s="60">
        <f t="shared" si="2"/>
        <v>4810.7747900000004</v>
      </c>
      <c r="AG32" s="60">
        <f t="shared" si="2"/>
        <v>2116.9284200000002</v>
      </c>
      <c r="AH32" s="60">
        <f t="shared" si="2"/>
        <v>43417.045290000002</v>
      </c>
      <c r="AI32" s="60">
        <f t="shared" si="2"/>
        <v>199.49300000000002</v>
      </c>
      <c r="AJ32" s="60">
        <f t="shared" si="2"/>
        <v>2843.6906499999996</v>
      </c>
      <c r="AK32" s="60">
        <f t="shared" si="2"/>
        <v>67.638810000000007</v>
      </c>
      <c r="AL32" s="60">
        <f t="shared" si="2"/>
        <v>1508.9878199999998</v>
      </c>
      <c r="AM32" s="60">
        <f t="shared" si="2"/>
        <v>126.38099999999999</v>
      </c>
      <c r="AN32" s="60">
        <f t="shared" si="2"/>
        <v>1454.33404</v>
      </c>
      <c r="AO32" s="60">
        <f t="shared" si="2"/>
        <v>203.50400000000002</v>
      </c>
      <c r="AP32" s="60">
        <f t="shared" si="2"/>
        <v>4344.1617200000001</v>
      </c>
      <c r="AQ32" s="60">
        <f t="shared" si="2"/>
        <v>773.88298999999972</v>
      </c>
      <c r="AR32" s="60">
        <f t="shared" si="2"/>
        <v>18731.967430000001</v>
      </c>
      <c r="AS32" s="60">
        <f t="shared" si="2"/>
        <v>170.23766999999998</v>
      </c>
      <c r="AT32" s="60">
        <f t="shared" si="2"/>
        <v>436.47037</v>
      </c>
      <c r="AU32" s="60">
        <f t="shared" si="2"/>
        <v>1625.03252</v>
      </c>
      <c r="AV32" s="60">
        <f t="shared" si="2"/>
        <v>22707.006220000003</v>
      </c>
      <c r="AW32" s="60">
        <f t="shared" si="2"/>
        <v>10106.293529999997</v>
      </c>
      <c r="AX32" s="60">
        <f t="shared" si="2"/>
        <v>169063.93445</v>
      </c>
    </row>
    <row r="33" spans="1:44" x14ac:dyDescent="0.25">
      <c r="A33" s="159" t="s">
        <v>253</v>
      </c>
      <c r="B33" s="156" t="s">
        <v>1</v>
      </c>
    </row>
    <row r="34" spans="1:44" x14ac:dyDescent="0.25">
      <c r="B34" s="156" t="s">
        <v>2</v>
      </c>
    </row>
    <row r="35" spans="1:44" x14ac:dyDescent="0.25">
      <c r="S35" s="59"/>
      <c r="T35" s="59"/>
      <c r="AJ35" s="103">
        <f>100*(187-163)/163</f>
        <v>14.723926380368098</v>
      </c>
      <c r="AP35" s="104"/>
      <c r="AQ35" s="105"/>
      <c r="AR35" s="105"/>
    </row>
    <row r="37" spans="1:44" x14ac:dyDescent="0.25">
      <c r="Z37" s="103"/>
    </row>
  </sheetData>
  <mergeCells count="25">
    <mergeCell ref="U1:V1"/>
    <mergeCell ref="AI1:AJ1"/>
    <mergeCell ref="C1:D1"/>
    <mergeCell ref="E1:F1"/>
    <mergeCell ref="G1:H1"/>
    <mergeCell ref="AC1:AD1"/>
    <mergeCell ref="AE1:AF1"/>
    <mergeCell ref="AG1:AH1"/>
    <mergeCell ref="AS1:AT1"/>
    <mergeCell ref="AU1:AV1"/>
    <mergeCell ref="A1:A2"/>
    <mergeCell ref="Q1:R1"/>
    <mergeCell ref="S1:T1"/>
    <mergeCell ref="AK1:AL1"/>
    <mergeCell ref="AM1:AN1"/>
    <mergeCell ref="AO1:AP1"/>
    <mergeCell ref="I1:J1"/>
    <mergeCell ref="K1:L1"/>
    <mergeCell ref="M1:N1"/>
    <mergeCell ref="O1:P1"/>
    <mergeCell ref="AW1:AX1"/>
    <mergeCell ref="AQ1:AR1"/>
    <mergeCell ref="W1:X1"/>
    <mergeCell ref="Y1:Z1"/>
    <mergeCell ref="AA1:AB1"/>
  </mergeCells>
  <pageMargins left="0.4" right="0.43" top="0.86" bottom="0.34" header="0.5" footer="0.2"/>
  <pageSetup paperSize="9" scale="69" orientation="landscape" r:id="rId1"/>
  <headerFooter>
    <oddHeader>&amp;C&amp;"-,Bold"&amp;14Area and Production of Vegetable Crops-2015-16(Final)&amp;R&amp;"-,Bold"&amp;12Area in '000 Ha
Production in '000 Tonnes</oddHeader>
  </headerFooter>
  <colBreaks count="4" manualBreakCount="4">
    <brk id="14" max="33" man="1"/>
    <brk id="26" max="33" man="1"/>
    <brk id="38" max="33" man="1"/>
    <brk id="5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4"/>
  <sheetViews>
    <sheetView zoomScaleNormal="100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A33" sqref="A33"/>
    </sheetView>
  </sheetViews>
  <sheetFormatPr defaultRowHeight="17.25" customHeight="1" x14ac:dyDescent="0.25"/>
  <cols>
    <col min="1" max="1" width="9.140625" style="107"/>
    <col min="2" max="2" width="25" style="107" customWidth="1"/>
    <col min="3" max="3" width="17.5703125" style="107" customWidth="1"/>
    <col min="4" max="4" width="16.42578125" style="107" customWidth="1"/>
    <col min="5" max="5" width="15.7109375" style="107" customWidth="1"/>
    <col min="6" max="6" width="16.5703125" style="107" customWidth="1"/>
    <col min="7" max="7" width="17.85546875" style="107" customWidth="1"/>
    <col min="8" max="8" width="18" style="107" customWidth="1"/>
    <col min="9" max="9" width="17.140625" style="107" customWidth="1"/>
    <col min="10" max="12" width="17" style="107" customWidth="1"/>
    <col min="13" max="14" width="15.42578125" style="107" bestFit="1" customWidth="1"/>
    <col min="15" max="16384" width="9.140625" style="107"/>
  </cols>
  <sheetData>
    <row r="1" spans="1:15" ht="22.5" customHeight="1" x14ac:dyDescent="0.25">
      <c r="A1" s="106" t="s">
        <v>248</v>
      </c>
      <c r="B1" s="106" t="s">
        <v>104</v>
      </c>
      <c r="C1" s="197" t="s">
        <v>105</v>
      </c>
      <c r="D1" s="197"/>
      <c r="E1" s="196" t="s">
        <v>106</v>
      </c>
      <c r="F1" s="196"/>
      <c r="G1" s="196" t="s">
        <v>107</v>
      </c>
      <c r="H1" s="196"/>
      <c r="I1" s="196" t="s">
        <v>108</v>
      </c>
      <c r="J1" s="196"/>
      <c r="K1" s="196" t="s">
        <v>109</v>
      </c>
      <c r="L1" s="196"/>
    </row>
    <row r="2" spans="1:15" ht="22.5" customHeight="1" x14ac:dyDescent="0.25">
      <c r="A2" s="108"/>
      <c r="B2" s="109"/>
      <c r="C2" s="106" t="s">
        <v>110</v>
      </c>
      <c r="D2" s="106" t="s">
        <v>111</v>
      </c>
      <c r="E2" s="106" t="s">
        <v>110</v>
      </c>
      <c r="F2" s="106" t="s">
        <v>111</v>
      </c>
      <c r="G2" s="106" t="s">
        <v>110</v>
      </c>
      <c r="H2" s="106" t="s">
        <v>111</v>
      </c>
      <c r="I2" s="106" t="s">
        <v>110</v>
      </c>
      <c r="J2" s="106" t="s">
        <v>111</v>
      </c>
      <c r="K2" s="106" t="s">
        <v>110</v>
      </c>
      <c r="L2" s="106" t="s">
        <v>111</v>
      </c>
      <c r="M2" s="110"/>
      <c r="N2" s="110"/>
      <c r="O2" s="110"/>
    </row>
    <row r="3" spans="1:15" ht="20.25" customHeight="1" x14ac:dyDescent="0.25">
      <c r="A3" s="111">
        <v>1</v>
      </c>
      <c r="B3" s="112" t="s">
        <v>112</v>
      </c>
      <c r="C3" s="53">
        <v>0.52</v>
      </c>
      <c r="D3" s="53">
        <v>1.8</v>
      </c>
      <c r="E3" s="53">
        <v>185.57</v>
      </c>
      <c r="F3" s="53">
        <v>95.5</v>
      </c>
      <c r="G3" s="53">
        <v>24.155999999999999</v>
      </c>
      <c r="H3" s="53">
        <v>7</v>
      </c>
      <c r="I3" s="53">
        <v>103.94799999999999</v>
      </c>
      <c r="J3" s="53">
        <v>982.42</v>
      </c>
      <c r="K3" s="113">
        <f t="shared" ref="K3:K31" si="0">C3+E3+G3+I3</f>
        <v>314.19400000000002</v>
      </c>
      <c r="L3" s="113">
        <f t="shared" ref="L3:L31" si="1">D3+F3+H3+J3</f>
        <v>1086.72</v>
      </c>
      <c r="M3" s="110"/>
      <c r="N3" s="110"/>
      <c r="O3" s="110"/>
    </row>
    <row r="4" spans="1:15" ht="20.25" customHeight="1" x14ac:dyDescent="0.25">
      <c r="A4" s="111">
        <v>2</v>
      </c>
      <c r="B4" s="114" t="s">
        <v>113</v>
      </c>
      <c r="C4" s="53">
        <v>1.02</v>
      </c>
      <c r="D4" s="53">
        <v>8.2330000000000005</v>
      </c>
      <c r="E4" s="53"/>
      <c r="F4" s="53"/>
      <c r="G4" s="53"/>
      <c r="H4" s="53"/>
      <c r="I4" s="53">
        <v>7.1999999999999995E-2</v>
      </c>
      <c r="J4" s="53">
        <v>0.1014</v>
      </c>
      <c r="K4" s="113">
        <f t="shared" si="0"/>
        <v>1.0920000000000001</v>
      </c>
      <c r="L4" s="113">
        <f t="shared" si="1"/>
        <v>8.3344000000000005</v>
      </c>
      <c r="M4" s="110"/>
      <c r="N4" s="110"/>
      <c r="O4" s="110"/>
    </row>
    <row r="5" spans="1:15" ht="20.25" customHeight="1" x14ac:dyDescent="0.25">
      <c r="A5" s="111">
        <v>3</v>
      </c>
      <c r="B5" s="112" t="s">
        <v>114</v>
      </c>
      <c r="C5" s="53">
        <v>77.62</v>
      </c>
      <c r="D5" s="53">
        <v>74.78</v>
      </c>
      <c r="E5" s="53">
        <v>1.05</v>
      </c>
      <c r="F5" s="53">
        <v>1</v>
      </c>
      <c r="G5" s="53"/>
      <c r="H5" s="53"/>
      <c r="I5" s="53">
        <v>19.73</v>
      </c>
      <c r="J5" s="53">
        <v>91.25</v>
      </c>
      <c r="K5" s="113">
        <f t="shared" si="0"/>
        <v>98.4</v>
      </c>
      <c r="L5" s="113">
        <f t="shared" si="1"/>
        <v>167.03</v>
      </c>
      <c r="M5" s="110"/>
      <c r="N5" s="110"/>
      <c r="O5" s="110"/>
    </row>
    <row r="6" spans="1:15" ht="20.25" customHeight="1" x14ac:dyDescent="0.25">
      <c r="A6" s="111">
        <v>4</v>
      </c>
      <c r="B6" s="112" t="s">
        <v>115</v>
      </c>
      <c r="C6" s="53"/>
      <c r="D6" s="53"/>
      <c r="E6" s="53"/>
      <c r="F6" s="53"/>
      <c r="G6" s="53"/>
      <c r="H6" s="53"/>
      <c r="I6" s="53">
        <v>14.9</v>
      </c>
      <c r="J6" s="53">
        <v>97.3</v>
      </c>
      <c r="K6" s="113">
        <f t="shared" si="0"/>
        <v>14.9</v>
      </c>
      <c r="L6" s="113">
        <f t="shared" si="1"/>
        <v>97.3</v>
      </c>
      <c r="M6" s="110"/>
      <c r="N6" s="110"/>
      <c r="O6" s="110"/>
    </row>
    <row r="7" spans="1:15" ht="20.25" customHeight="1" x14ac:dyDescent="0.25">
      <c r="A7" s="111">
        <v>5</v>
      </c>
      <c r="B7" s="112" t="s">
        <v>116</v>
      </c>
      <c r="C7" s="53"/>
      <c r="D7" s="53"/>
      <c r="E7" s="53">
        <v>13.7</v>
      </c>
      <c r="F7" s="53">
        <v>8</v>
      </c>
      <c r="G7" s="53"/>
      <c r="H7" s="53"/>
      <c r="I7" s="53">
        <v>1.85</v>
      </c>
      <c r="J7" s="53">
        <v>21.02</v>
      </c>
      <c r="K7" s="113">
        <f t="shared" si="0"/>
        <v>15.549999999999999</v>
      </c>
      <c r="L7" s="113">
        <f t="shared" si="1"/>
        <v>29.02</v>
      </c>
      <c r="M7" s="110"/>
      <c r="N7" s="110"/>
      <c r="O7" s="110"/>
    </row>
    <row r="8" spans="1:15" ht="20.25" customHeight="1" x14ac:dyDescent="0.25">
      <c r="A8" s="111">
        <v>6</v>
      </c>
      <c r="B8" s="112" t="s">
        <v>117</v>
      </c>
      <c r="C8" s="53"/>
      <c r="D8" s="53"/>
      <c r="E8" s="53">
        <v>7.22</v>
      </c>
      <c r="F8" s="53">
        <v>6.5</v>
      </c>
      <c r="G8" s="53"/>
      <c r="H8" s="53"/>
      <c r="I8" s="53">
        <v>22.812999999999999</v>
      </c>
      <c r="J8" s="53">
        <v>215.197</v>
      </c>
      <c r="K8" s="113">
        <f t="shared" si="0"/>
        <v>30.032999999999998</v>
      </c>
      <c r="L8" s="113">
        <f t="shared" si="1"/>
        <v>221.697</v>
      </c>
      <c r="M8" s="110"/>
      <c r="N8" s="110"/>
      <c r="O8" s="110"/>
    </row>
    <row r="9" spans="1:15" ht="20.25" customHeight="1" x14ac:dyDescent="0.25">
      <c r="A9" s="111">
        <v>7</v>
      </c>
      <c r="B9" s="112" t="s">
        <v>118</v>
      </c>
      <c r="C9" s="53"/>
      <c r="D9" s="53"/>
      <c r="E9" s="53"/>
      <c r="F9" s="53"/>
      <c r="G9" s="53"/>
      <c r="H9" s="53"/>
      <c r="I9" s="53"/>
      <c r="J9" s="53"/>
      <c r="K9" s="113">
        <f t="shared" si="0"/>
        <v>0</v>
      </c>
      <c r="L9" s="113">
        <f t="shared" si="1"/>
        <v>0</v>
      </c>
      <c r="M9" s="110"/>
      <c r="N9" s="110"/>
      <c r="O9" s="110"/>
    </row>
    <row r="10" spans="1:15" ht="20.25" customHeight="1" x14ac:dyDescent="0.25">
      <c r="A10" s="111">
        <v>8</v>
      </c>
      <c r="B10" s="112" t="s">
        <v>119</v>
      </c>
      <c r="C10" s="53"/>
      <c r="D10" s="53"/>
      <c r="E10" s="53"/>
      <c r="F10" s="53"/>
      <c r="G10" s="53"/>
      <c r="H10" s="53"/>
      <c r="I10" s="53"/>
      <c r="J10" s="53"/>
      <c r="K10" s="113">
        <f t="shared" si="0"/>
        <v>0</v>
      </c>
      <c r="L10" s="113">
        <f t="shared" si="1"/>
        <v>0</v>
      </c>
      <c r="M10" s="110"/>
      <c r="N10" s="110"/>
      <c r="O10" s="110"/>
    </row>
    <row r="11" spans="1:15" ht="20.25" customHeight="1" x14ac:dyDescent="0.25">
      <c r="A11" s="111">
        <v>9</v>
      </c>
      <c r="B11" s="112" t="s">
        <v>120</v>
      </c>
      <c r="C11" s="53"/>
      <c r="D11" s="53"/>
      <c r="E11" s="53"/>
      <c r="F11" s="53"/>
      <c r="G11" s="53"/>
      <c r="H11" s="53"/>
      <c r="I11" s="53"/>
      <c r="J11" s="53"/>
      <c r="K11" s="113">
        <f t="shared" si="0"/>
        <v>0</v>
      </c>
      <c r="L11" s="113">
        <f t="shared" si="1"/>
        <v>0</v>
      </c>
    </row>
    <row r="12" spans="1:15" ht="20.25" customHeight="1" x14ac:dyDescent="0.25">
      <c r="A12" s="111">
        <v>10</v>
      </c>
      <c r="B12" s="112" t="s">
        <v>121</v>
      </c>
      <c r="C12" s="53"/>
      <c r="D12" s="53"/>
      <c r="E12" s="53">
        <v>14.83</v>
      </c>
      <c r="F12" s="53">
        <v>5</v>
      </c>
      <c r="G12" s="53"/>
      <c r="H12" s="53"/>
      <c r="I12" s="53"/>
      <c r="J12" s="53"/>
      <c r="K12" s="113">
        <f t="shared" si="0"/>
        <v>14.83</v>
      </c>
      <c r="L12" s="113">
        <f t="shared" si="1"/>
        <v>5</v>
      </c>
    </row>
    <row r="13" spans="1:15" ht="20.25" customHeight="1" x14ac:dyDescent="0.25">
      <c r="A13" s="111">
        <v>11</v>
      </c>
      <c r="B13" s="112" t="s">
        <v>122</v>
      </c>
      <c r="C13" s="53">
        <v>235.77</v>
      </c>
      <c r="D13" s="53">
        <v>436.29</v>
      </c>
      <c r="E13" s="53">
        <v>125.86</v>
      </c>
      <c r="F13" s="53">
        <v>73</v>
      </c>
      <c r="G13" s="53">
        <v>13.565</v>
      </c>
      <c r="H13" s="53">
        <v>2.2000000000000002</v>
      </c>
      <c r="I13" s="53">
        <v>526.37599999999998</v>
      </c>
      <c r="J13" s="53">
        <v>3529.83</v>
      </c>
      <c r="K13" s="113">
        <f t="shared" si="0"/>
        <v>901.57099999999991</v>
      </c>
      <c r="L13" s="113">
        <f t="shared" si="1"/>
        <v>4041.3199999999997</v>
      </c>
    </row>
    <row r="14" spans="1:15" s="115" customFormat="1" ht="20.25" customHeight="1" x14ac:dyDescent="0.25">
      <c r="A14" s="111">
        <v>12</v>
      </c>
      <c r="B14" s="112" t="s">
        <v>123</v>
      </c>
      <c r="C14" s="53">
        <v>100.1</v>
      </c>
      <c r="D14" s="53">
        <v>102.2</v>
      </c>
      <c r="E14" s="53">
        <v>87.01</v>
      </c>
      <c r="F14" s="53">
        <v>72</v>
      </c>
      <c r="G14" s="53">
        <v>15.343999999999999</v>
      </c>
      <c r="H14" s="53">
        <v>6.5</v>
      </c>
      <c r="I14" s="53">
        <v>770.62</v>
      </c>
      <c r="J14" s="53">
        <v>5113.1400000000003</v>
      </c>
      <c r="K14" s="113">
        <f t="shared" si="0"/>
        <v>973.07400000000007</v>
      </c>
      <c r="L14" s="113">
        <f t="shared" si="1"/>
        <v>5293.84</v>
      </c>
    </row>
    <row r="15" spans="1:15" ht="20.25" customHeight="1" x14ac:dyDescent="0.25">
      <c r="A15" s="111">
        <v>13</v>
      </c>
      <c r="B15" s="112" t="s">
        <v>124</v>
      </c>
      <c r="C15" s="53"/>
      <c r="D15" s="53"/>
      <c r="E15" s="53"/>
      <c r="F15" s="53"/>
      <c r="G15" s="53"/>
      <c r="H15" s="53"/>
      <c r="I15" s="53"/>
      <c r="J15" s="53"/>
      <c r="K15" s="113">
        <f t="shared" si="0"/>
        <v>0</v>
      </c>
      <c r="L15" s="113">
        <f t="shared" si="1"/>
        <v>0</v>
      </c>
    </row>
    <row r="16" spans="1:15" ht="20.25" customHeight="1" x14ac:dyDescent="0.25">
      <c r="A16" s="111">
        <v>14</v>
      </c>
      <c r="B16" s="112" t="s">
        <v>125</v>
      </c>
      <c r="C16" s="53">
        <v>2.35</v>
      </c>
      <c r="D16" s="53">
        <v>3.48</v>
      </c>
      <c r="E16" s="53">
        <v>186.2</v>
      </c>
      <c r="F16" s="53">
        <v>220</v>
      </c>
      <c r="G16" s="53"/>
      <c r="H16" s="53"/>
      <c r="I16" s="53">
        <v>27.747</v>
      </c>
      <c r="J16" s="53">
        <v>186.67400000000001</v>
      </c>
      <c r="K16" s="113">
        <f t="shared" si="0"/>
        <v>216.29699999999997</v>
      </c>
      <c r="L16" s="113">
        <f t="shared" si="1"/>
        <v>410.154</v>
      </c>
    </row>
    <row r="17" spans="1:12" ht="20.25" customHeight="1" x14ac:dyDescent="0.25">
      <c r="A17" s="111">
        <v>15</v>
      </c>
      <c r="B17" s="116" t="s">
        <v>126</v>
      </c>
      <c r="C17" s="53"/>
      <c r="D17" s="53"/>
      <c r="E17" s="53">
        <v>0.9</v>
      </c>
      <c r="F17" s="53">
        <v>0.32400000000000001</v>
      </c>
      <c r="G17" s="53"/>
      <c r="H17" s="53"/>
      <c r="I17" s="117"/>
      <c r="J17" s="53"/>
      <c r="K17" s="113">
        <f t="shared" si="0"/>
        <v>0.9</v>
      </c>
      <c r="L17" s="113">
        <f t="shared" si="1"/>
        <v>0.32400000000000001</v>
      </c>
    </row>
    <row r="18" spans="1:12" ht="20.25" customHeight="1" x14ac:dyDescent="0.25">
      <c r="A18" s="111">
        <v>16</v>
      </c>
      <c r="B18" s="112" t="s">
        <v>127</v>
      </c>
      <c r="C18" s="53">
        <v>16.87</v>
      </c>
      <c r="D18" s="53">
        <v>26.2</v>
      </c>
      <c r="E18" s="53">
        <v>8.5</v>
      </c>
      <c r="F18" s="53">
        <v>5</v>
      </c>
      <c r="G18" s="53"/>
      <c r="H18" s="53"/>
      <c r="I18" s="53"/>
      <c r="J18" s="53"/>
      <c r="K18" s="113">
        <f t="shared" si="0"/>
        <v>25.37</v>
      </c>
      <c r="L18" s="113">
        <f t="shared" si="1"/>
        <v>31.2</v>
      </c>
    </row>
    <row r="19" spans="1:12" ht="20.25" customHeight="1" x14ac:dyDescent="0.25">
      <c r="A19" s="111">
        <v>17</v>
      </c>
      <c r="B19" s="112" t="s">
        <v>128</v>
      </c>
      <c r="C19" s="53">
        <v>10.74</v>
      </c>
      <c r="D19" s="53">
        <v>7.27</v>
      </c>
      <c r="E19" s="53">
        <v>2E-3</v>
      </c>
      <c r="F19" s="53">
        <v>2E-3</v>
      </c>
      <c r="G19" s="53"/>
      <c r="H19" s="53"/>
      <c r="I19" s="53">
        <v>0.03</v>
      </c>
      <c r="J19" s="53">
        <v>0.11</v>
      </c>
      <c r="K19" s="113">
        <f t="shared" si="0"/>
        <v>10.772</v>
      </c>
      <c r="L19" s="113">
        <f t="shared" si="1"/>
        <v>7.3819999999999997</v>
      </c>
    </row>
    <row r="20" spans="1:12" ht="20.25" customHeight="1" x14ac:dyDescent="0.25">
      <c r="A20" s="111">
        <v>18</v>
      </c>
      <c r="B20" s="114" t="s">
        <v>129</v>
      </c>
      <c r="C20" s="53">
        <v>0.39</v>
      </c>
      <c r="D20" s="53">
        <v>2.2999999999999998</v>
      </c>
      <c r="E20" s="53">
        <v>0.5</v>
      </c>
      <c r="F20" s="53">
        <v>0.54</v>
      </c>
      <c r="G20" s="53"/>
      <c r="H20" s="53"/>
      <c r="I20" s="53">
        <v>0.33</v>
      </c>
      <c r="J20" s="53">
        <v>1.84</v>
      </c>
      <c r="K20" s="113">
        <f t="shared" si="0"/>
        <v>1.22</v>
      </c>
      <c r="L20" s="113">
        <f t="shared" si="1"/>
        <v>4.68</v>
      </c>
    </row>
    <row r="21" spans="1:12" ht="20.25" customHeight="1" x14ac:dyDescent="0.25">
      <c r="A21" s="111">
        <v>19</v>
      </c>
      <c r="B21" s="112" t="s">
        <v>130</v>
      </c>
      <c r="C21" s="53"/>
      <c r="D21" s="53"/>
      <c r="E21" s="53">
        <v>182.91</v>
      </c>
      <c r="F21" s="53">
        <v>80.5</v>
      </c>
      <c r="G21" s="53"/>
      <c r="H21" s="53"/>
      <c r="I21" s="53">
        <v>50.905999999999999</v>
      </c>
      <c r="J21" s="53">
        <v>226</v>
      </c>
      <c r="K21" s="113">
        <f t="shared" si="0"/>
        <v>233.816</v>
      </c>
      <c r="L21" s="113">
        <f t="shared" si="1"/>
        <v>306.5</v>
      </c>
    </row>
    <row r="22" spans="1:12" ht="20.25" customHeight="1" x14ac:dyDescent="0.25">
      <c r="A22" s="111">
        <v>20</v>
      </c>
      <c r="B22" s="112" t="s">
        <v>131</v>
      </c>
      <c r="C22" s="53"/>
      <c r="D22" s="53"/>
      <c r="E22" s="53"/>
      <c r="F22" s="53"/>
      <c r="G22" s="53"/>
      <c r="H22" s="53"/>
      <c r="I22" s="53"/>
      <c r="J22" s="53"/>
      <c r="K22" s="113">
        <f t="shared" si="0"/>
        <v>0</v>
      </c>
      <c r="L22" s="113">
        <f t="shared" si="1"/>
        <v>0</v>
      </c>
    </row>
    <row r="23" spans="1:12" ht="20.25" customHeight="1" x14ac:dyDescent="0.25">
      <c r="A23" s="111">
        <v>21</v>
      </c>
      <c r="B23" s="112" t="s">
        <v>132</v>
      </c>
      <c r="C23" s="53"/>
      <c r="D23" s="53"/>
      <c r="E23" s="53"/>
      <c r="F23" s="53"/>
      <c r="G23" s="53"/>
      <c r="H23" s="53"/>
      <c r="I23" s="53"/>
      <c r="J23" s="53"/>
      <c r="K23" s="113">
        <f t="shared" si="0"/>
        <v>0</v>
      </c>
      <c r="L23" s="113">
        <f t="shared" si="1"/>
        <v>0</v>
      </c>
    </row>
    <row r="24" spans="1:12" ht="20.25" customHeight="1" x14ac:dyDescent="0.25">
      <c r="A24" s="111">
        <v>22</v>
      </c>
      <c r="B24" s="112" t="s">
        <v>133</v>
      </c>
      <c r="C24" s="53"/>
      <c r="D24" s="53"/>
      <c r="E24" s="53"/>
      <c r="F24" s="53"/>
      <c r="G24" s="53"/>
      <c r="H24" s="53"/>
      <c r="I24" s="53"/>
      <c r="J24" s="53"/>
      <c r="K24" s="113">
        <f t="shared" si="0"/>
        <v>0</v>
      </c>
      <c r="L24" s="113">
        <f t="shared" si="1"/>
        <v>0</v>
      </c>
    </row>
    <row r="25" spans="1:12" ht="20.25" customHeight="1" x14ac:dyDescent="0.25">
      <c r="A25" s="111">
        <v>23</v>
      </c>
      <c r="B25" s="112" t="s">
        <v>134</v>
      </c>
      <c r="C25" s="53">
        <v>6.69</v>
      </c>
      <c r="D25" s="53">
        <v>9.7899999999999991</v>
      </c>
      <c r="E25" s="53">
        <v>141.33000000000001</v>
      </c>
      <c r="F25" s="53">
        <v>58</v>
      </c>
      <c r="G25" s="117">
        <v>28.209</v>
      </c>
      <c r="H25" s="117">
        <v>1.5</v>
      </c>
      <c r="I25" s="118">
        <v>459.73599999999999</v>
      </c>
      <c r="J25" s="118">
        <v>4247.12</v>
      </c>
      <c r="K25" s="113">
        <f t="shared" si="0"/>
        <v>635.96500000000003</v>
      </c>
      <c r="L25" s="113">
        <f t="shared" si="1"/>
        <v>4316.41</v>
      </c>
    </row>
    <row r="26" spans="1:12" ht="20.25" customHeight="1" x14ac:dyDescent="0.25">
      <c r="A26" s="111">
        <v>24</v>
      </c>
      <c r="B26" s="119" t="s">
        <v>135</v>
      </c>
      <c r="C26" s="53"/>
      <c r="D26" s="53"/>
      <c r="E26" s="53"/>
      <c r="F26" s="53"/>
      <c r="G26" s="117"/>
      <c r="H26" s="117"/>
      <c r="I26" s="53">
        <v>0.48</v>
      </c>
      <c r="J26" s="53">
        <v>0.01</v>
      </c>
      <c r="K26" s="113">
        <f t="shared" si="0"/>
        <v>0.48</v>
      </c>
      <c r="L26" s="113">
        <f t="shared" si="1"/>
        <v>0.01</v>
      </c>
    </row>
    <row r="27" spans="1:12" ht="20.25" customHeight="1" x14ac:dyDescent="0.25">
      <c r="A27" s="111">
        <v>25</v>
      </c>
      <c r="B27" s="112" t="s">
        <v>136</v>
      </c>
      <c r="C27" s="53">
        <v>4.7</v>
      </c>
      <c r="D27" s="53">
        <v>9.92</v>
      </c>
      <c r="E27" s="53">
        <v>4.25</v>
      </c>
      <c r="F27" s="53">
        <v>3</v>
      </c>
      <c r="G27" s="53"/>
      <c r="H27" s="53"/>
      <c r="I27" s="53">
        <v>7.202</v>
      </c>
      <c r="J27" s="53">
        <v>20.309999999999999</v>
      </c>
      <c r="K27" s="113">
        <f t="shared" si="0"/>
        <v>16.152000000000001</v>
      </c>
      <c r="L27" s="113">
        <f t="shared" si="1"/>
        <v>33.229999999999997</v>
      </c>
    </row>
    <row r="28" spans="1:12" ht="20.25" customHeight="1" x14ac:dyDescent="0.25">
      <c r="A28" s="111">
        <v>26</v>
      </c>
      <c r="B28" s="112" t="s">
        <v>137</v>
      </c>
      <c r="C28" s="53"/>
      <c r="D28" s="53"/>
      <c r="E28" s="53"/>
      <c r="F28" s="53"/>
      <c r="G28" s="53"/>
      <c r="H28" s="53"/>
      <c r="I28" s="53"/>
      <c r="J28" s="53"/>
      <c r="K28" s="113">
        <f t="shared" si="0"/>
        <v>0</v>
      </c>
      <c r="L28" s="113">
        <f t="shared" si="1"/>
        <v>0</v>
      </c>
    </row>
    <row r="29" spans="1:12" ht="20.25" customHeight="1" x14ac:dyDescent="0.25">
      <c r="A29" s="111">
        <v>27</v>
      </c>
      <c r="B29" s="112" t="s">
        <v>138</v>
      </c>
      <c r="C29" s="53"/>
      <c r="D29" s="53"/>
      <c r="E29" s="53"/>
      <c r="F29" s="53"/>
      <c r="G29" s="53"/>
      <c r="H29" s="53"/>
      <c r="I29" s="53"/>
      <c r="J29" s="53"/>
      <c r="K29" s="113">
        <f t="shared" si="0"/>
        <v>0</v>
      </c>
      <c r="L29" s="113">
        <f t="shared" si="1"/>
        <v>0</v>
      </c>
    </row>
    <row r="30" spans="1:12" ht="20.25" customHeight="1" x14ac:dyDescent="0.25">
      <c r="A30" s="111">
        <v>28</v>
      </c>
      <c r="B30" s="112" t="s">
        <v>139</v>
      </c>
      <c r="C30" s="53">
        <v>11.52</v>
      </c>
      <c r="D30" s="53">
        <v>22.66</v>
      </c>
      <c r="E30" s="53">
        <v>11.36</v>
      </c>
      <c r="F30" s="53">
        <v>12</v>
      </c>
      <c r="G30" s="53"/>
      <c r="H30" s="53"/>
      <c r="I30" s="53">
        <v>29.513000000000002</v>
      </c>
      <c r="J30" s="53">
        <v>257.11</v>
      </c>
      <c r="K30" s="113">
        <f t="shared" si="0"/>
        <v>52.393000000000001</v>
      </c>
      <c r="L30" s="113">
        <f t="shared" si="1"/>
        <v>291.77</v>
      </c>
    </row>
    <row r="31" spans="1:12" ht="20.25" customHeight="1" x14ac:dyDescent="0.25">
      <c r="A31" s="111">
        <v>29</v>
      </c>
      <c r="B31" s="112" t="s">
        <v>207</v>
      </c>
      <c r="C31" s="53">
        <v>6.07</v>
      </c>
      <c r="D31" s="53">
        <v>8.92</v>
      </c>
      <c r="E31" s="53">
        <v>64.367999999999995</v>
      </c>
      <c r="F31" s="53">
        <v>30.556999999999999</v>
      </c>
      <c r="G31" s="53">
        <v>0</v>
      </c>
      <c r="H31" s="53">
        <v>0</v>
      </c>
      <c r="I31" s="53">
        <v>52.219000000000001</v>
      </c>
      <c r="J31" s="53">
        <v>266.89516853375903</v>
      </c>
      <c r="K31" s="113">
        <f t="shared" si="0"/>
        <v>122.65699999999998</v>
      </c>
      <c r="L31" s="113">
        <f t="shared" si="1"/>
        <v>306.37216853375901</v>
      </c>
    </row>
    <row r="32" spans="1:12" ht="20.25" customHeight="1" x14ac:dyDescent="0.25">
      <c r="A32" s="120"/>
      <c r="B32" s="112" t="s">
        <v>109</v>
      </c>
      <c r="C32" s="121">
        <f>SUM(C3:C31)</f>
        <v>474.35999999999996</v>
      </c>
      <c r="D32" s="121">
        <f t="shared" ref="D32:L32" si="2">SUM(D3:D31)</f>
        <v>713.84299999999996</v>
      </c>
      <c r="E32" s="121">
        <f t="shared" si="2"/>
        <v>1035.56</v>
      </c>
      <c r="F32" s="121">
        <f t="shared" si="2"/>
        <v>670.923</v>
      </c>
      <c r="G32" s="121">
        <f t="shared" si="2"/>
        <v>81.274000000000001</v>
      </c>
      <c r="H32" s="121">
        <f t="shared" si="2"/>
        <v>17.2</v>
      </c>
      <c r="I32" s="121">
        <f t="shared" si="2"/>
        <v>2088.4719999999998</v>
      </c>
      <c r="J32" s="121">
        <f t="shared" si="2"/>
        <v>15256.327568533761</v>
      </c>
      <c r="K32" s="121">
        <f t="shared" si="2"/>
        <v>3679.6660000000002</v>
      </c>
      <c r="L32" s="121">
        <f t="shared" si="2"/>
        <v>16658.293568533762</v>
      </c>
    </row>
    <row r="33" spans="1:12" ht="20.25" customHeight="1" x14ac:dyDescent="0.25">
      <c r="A33" s="111" t="s">
        <v>253</v>
      </c>
      <c r="B33" s="160" t="s">
        <v>1</v>
      </c>
      <c r="C33" s="158"/>
      <c r="D33" s="158"/>
      <c r="E33" s="158"/>
      <c r="F33" s="158"/>
      <c r="G33" s="158"/>
      <c r="H33" s="158"/>
      <c r="I33" s="158"/>
      <c r="J33" s="158"/>
      <c r="K33" s="158"/>
      <c r="L33" s="158"/>
    </row>
    <row r="34" spans="1:12" ht="20.25" customHeight="1" x14ac:dyDescent="0.25">
      <c r="A34" s="120"/>
      <c r="B34" s="160" t="s">
        <v>2</v>
      </c>
      <c r="C34" s="158"/>
      <c r="D34" s="158"/>
      <c r="E34" s="158"/>
      <c r="F34" s="158"/>
      <c r="G34" s="158"/>
      <c r="H34" s="158"/>
      <c r="I34" s="158"/>
      <c r="J34" s="158"/>
      <c r="K34" s="158"/>
      <c r="L34" s="158"/>
    </row>
    <row r="35" spans="1:12" ht="19.5" customHeight="1" x14ac:dyDescent="0.25">
      <c r="A35" s="194" t="s">
        <v>229</v>
      </c>
      <c r="B35" s="194"/>
      <c r="C35" s="122"/>
      <c r="D35" s="122"/>
      <c r="E35" s="122"/>
      <c r="F35" s="122"/>
      <c r="G35" s="115"/>
      <c r="H35" s="115"/>
      <c r="I35" s="115"/>
      <c r="J35" s="123"/>
      <c r="K35" s="124"/>
      <c r="L35" s="124"/>
    </row>
    <row r="36" spans="1:12" ht="17.25" customHeight="1" x14ac:dyDescent="0.25">
      <c r="A36" s="195" t="s">
        <v>140</v>
      </c>
      <c r="B36" s="195"/>
      <c r="C36" s="195"/>
      <c r="D36" s="195"/>
      <c r="E36" s="195"/>
      <c r="F36" s="122"/>
      <c r="G36" s="125"/>
      <c r="H36" s="125"/>
      <c r="I36" s="125"/>
      <c r="J36" s="126"/>
      <c r="K36" s="110"/>
      <c r="L36" s="110"/>
    </row>
    <row r="37" spans="1:12" ht="17.25" customHeight="1" x14ac:dyDescent="0.25">
      <c r="A37" s="195" t="s">
        <v>141</v>
      </c>
      <c r="B37" s="195"/>
      <c r="C37" s="195"/>
      <c r="D37" s="195"/>
      <c r="E37" s="195"/>
      <c r="F37" s="122"/>
      <c r="G37" s="122"/>
      <c r="H37" s="122"/>
      <c r="I37" s="122"/>
      <c r="J37" s="122"/>
    </row>
    <row r="38" spans="1:12" ht="17.25" customHeight="1" x14ac:dyDescent="0.25">
      <c r="A38" s="195" t="s">
        <v>142</v>
      </c>
      <c r="B38" s="195"/>
      <c r="C38" s="195"/>
      <c r="D38" s="195"/>
      <c r="E38" s="195"/>
      <c r="F38" s="122"/>
      <c r="G38" s="122"/>
      <c r="H38" s="125"/>
      <c r="I38" s="125"/>
      <c r="J38" s="125"/>
    </row>
    <row r="39" spans="1:12" ht="17.25" customHeight="1" x14ac:dyDescent="0.25">
      <c r="A39" s="122" t="s">
        <v>143</v>
      </c>
      <c r="B39" s="122"/>
      <c r="C39" s="122"/>
      <c r="D39" s="122"/>
      <c r="E39" s="122"/>
      <c r="F39" s="122"/>
      <c r="G39" s="122"/>
      <c r="H39" s="125"/>
      <c r="I39" s="125"/>
      <c r="J39" s="125"/>
    </row>
    <row r="40" spans="1:12" ht="17.25" customHeight="1" x14ac:dyDescent="0.25">
      <c r="B40" s="122"/>
      <c r="C40" s="122"/>
      <c r="D40" s="122"/>
      <c r="E40" s="122"/>
      <c r="F40" s="122"/>
      <c r="G40" s="122"/>
      <c r="H40" s="127"/>
      <c r="I40" s="127"/>
      <c r="J40" s="127"/>
    </row>
    <row r="41" spans="1:12" ht="17.25" customHeight="1" x14ac:dyDescent="0.25">
      <c r="B41" s="122"/>
      <c r="C41" s="122"/>
      <c r="D41" s="122"/>
      <c r="E41" s="122"/>
      <c r="F41" s="122"/>
      <c r="G41" s="122"/>
    </row>
    <row r="42" spans="1:12" ht="17.25" customHeight="1" x14ac:dyDescent="0.25">
      <c r="B42" s="156"/>
      <c r="C42" s="125"/>
      <c r="D42" s="125"/>
      <c r="E42" s="125"/>
      <c r="F42" s="125"/>
      <c r="G42" s="125"/>
      <c r="L42" s="107" t="s">
        <v>249</v>
      </c>
    </row>
    <row r="43" spans="1:12" ht="17.25" customHeight="1" x14ac:dyDescent="0.25">
      <c r="B43" s="156"/>
      <c r="C43" s="125"/>
      <c r="D43" s="125"/>
      <c r="E43" s="125"/>
      <c r="F43" s="125"/>
      <c r="G43" s="125"/>
    </row>
    <row r="44" spans="1:12" ht="17.25" customHeight="1" x14ac:dyDescent="0.25">
      <c r="B44" s="127"/>
      <c r="C44" s="127"/>
      <c r="D44" s="127"/>
      <c r="E44" s="127"/>
      <c r="F44" s="127"/>
      <c r="G44" s="127"/>
    </row>
  </sheetData>
  <mergeCells count="9">
    <mergeCell ref="A35:B35"/>
    <mergeCell ref="A36:E36"/>
    <mergeCell ref="A37:E37"/>
    <mergeCell ref="A38:E38"/>
    <mergeCell ref="K1:L1"/>
    <mergeCell ref="C1:D1"/>
    <mergeCell ref="E1:F1"/>
    <mergeCell ref="G1:H1"/>
    <mergeCell ref="I1:J1"/>
  </mergeCells>
  <pageMargins left="0.89" right="0.32" top="0.74" bottom="0.23" header="0.42" footer="0.2"/>
  <pageSetup paperSize="9" scale="65" orientation="landscape" r:id="rId1"/>
  <headerFooter>
    <oddHeader>&amp;C&amp;"-,Bold"&amp;14Area and Production of Plantation Crops 2015-16 (Final)&amp;R&amp;"-,Bold"&amp;12Area in '000 Ha
Production in '000 MT</oddHeader>
  </headerFooter>
  <rowBreaks count="1" manualBreakCount="1">
    <brk id="40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4"/>
  <sheetViews>
    <sheetView zoomScaleNormal="100" workbookViewId="0">
      <pane xSplit="2" ySplit="1" topLeftCell="Y26" activePane="bottomRight" state="frozen"/>
      <selection pane="topRight" activeCell="C1" sqref="C1"/>
      <selection pane="bottomLeft" activeCell="A2" sqref="A2"/>
      <selection pane="bottomRight" activeCell="B36" sqref="B36"/>
    </sheetView>
  </sheetViews>
  <sheetFormatPr defaultRowHeight="15.75" x14ac:dyDescent="0.25"/>
  <cols>
    <col min="1" max="1" width="8.85546875" style="150" customWidth="1"/>
    <col min="2" max="2" width="38.140625" style="150" customWidth="1"/>
    <col min="3" max="3" width="9.28515625" style="150" bestFit="1" customWidth="1"/>
    <col min="4" max="4" width="11.42578125" style="150" customWidth="1"/>
    <col min="5" max="5" width="12.7109375" style="150" customWidth="1"/>
    <col min="6" max="6" width="11.85546875" style="150" customWidth="1"/>
    <col min="7" max="7" width="12.42578125" style="150" customWidth="1"/>
    <col min="8" max="9" width="13.140625" style="150" customWidth="1"/>
    <col min="10" max="10" width="13" style="150" customWidth="1"/>
    <col min="11" max="11" width="13.28515625" style="150" customWidth="1"/>
    <col min="12" max="12" width="13.7109375" style="150" customWidth="1"/>
    <col min="13" max="13" width="14.5703125" style="150" customWidth="1"/>
    <col min="14" max="15" width="13.42578125" style="150" customWidth="1"/>
    <col min="16" max="16" width="11.7109375" style="150" customWidth="1"/>
    <col min="17" max="17" width="12" style="150" customWidth="1"/>
    <col min="18" max="18" width="11.5703125" style="150" customWidth="1"/>
    <col min="19" max="19" width="11.7109375" style="150" customWidth="1"/>
    <col min="20" max="20" width="11.42578125" style="150" customWidth="1"/>
    <col min="21" max="21" width="11.85546875" style="150" customWidth="1"/>
    <col min="22" max="22" width="13.85546875" style="150" customWidth="1"/>
    <col min="23" max="23" width="13.42578125" style="150" customWidth="1"/>
    <col min="24" max="24" width="14.7109375" style="150" customWidth="1"/>
    <col min="25" max="25" width="15.85546875" style="150" customWidth="1"/>
    <col min="26" max="26" width="14.42578125" style="150" customWidth="1"/>
    <col min="27" max="27" width="11.85546875" style="150" customWidth="1"/>
    <col min="28" max="28" width="13.5703125" style="150" customWidth="1"/>
    <col min="29" max="29" width="11.85546875" style="150" customWidth="1"/>
    <col min="30" max="30" width="12.28515625" style="150" customWidth="1"/>
    <col min="31" max="31" width="11.85546875" style="150" customWidth="1"/>
    <col min="32" max="32" width="11.140625" style="150" customWidth="1"/>
    <col min="33" max="33" width="11.5703125" style="150" customWidth="1"/>
    <col min="34" max="34" width="11" style="150" customWidth="1"/>
    <col min="35" max="35" width="11.5703125" style="150" customWidth="1"/>
    <col min="36" max="36" width="10.85546875" style="150" customWidth="1"/>
    <col min="37" max="37" width="11.5703125" style="150" customWidth="1"/>
    <col min="38" max="38" width="11.140625" style="150" customWidth="1"/>
    <col min="39" max="16384" width="9.140625" style="150"/>
  </cols>
  <sheetData>
    <row r="1" spans="1:38" ht="30.75" customHeight="1" x14ac:dyDescent="0.25">
      <c r="A1" s="201" t="s">
        <v>248</v>
      </c>
      <c r="B1" s="149" t="s">
        <v>104</v>
      </c>
      <c r="C1" s="198" t="s">
        <v>221</v>
      </c>
      <c r="D1" s="198"/>
      <c r="E1" s="198" t="s">
        <v>244</v>
      </c>
      <c r="F1" s="198"/>
      <c r="G1" s="198" t="s">
        <v>222</v>
      </c>
      <c r="H1" s="198"/>
      <c r="I1" s="198" t="s">
        <v>223</v>
      </c>
      <c r="J1" s="198"/>
      <c r="K1" s="198" t="s">
        <v>224</v>
      </c>
      <c r="L1" s="198"/>
      <c r="M1" s="198" t="s">
        <v>243</v>
      </c>
      <c r="N1" s="198"/>
      <c r="O1" s="198" t="s">
        <v>210</v>
      </c>
      <c r="P1" s="198"/>
      <c r="Q1" s="198" t="s">
        <v>211</v>
      </c>
      <c r="R1" s="198"/>
      <c r="S1" s="198" t="s">
        <v>212</v>
      </c>
      <c r="T1" s="198"/>
      <c r="U1" s="198" t="s">
        <v>213</v>
      </c>
      <c r="V1" s="198"/>
      <c r="W1" s="198" t="s">
        <v>214</v>
      </c>
      <c r="X1" s="198"/>
      <c r="Y1" s="199" t="s">
        <v>215</v>
      </c>
      <c r="Z1" s="200"/>
      <c r="AA1" s="199" t="s">
        <v>216</v>
      </c>
      <c r="AB1" s="200"/>
      <c r="AC1" s="198" t="s">
        <v>217</v>
      </c>
      <c r="AD1" s="198"/>
      <c r="AE1" s="198" t="s">
        <v>218</v>
      </c>
      <c r="AF1" s="198"/>
      <c r="AG1" s="198" t="s">
        <v>219</v>
      </c>
      <c r="AH1" s="198"/>
      <c r="AI1" s="199" t="s">
        <v>220</v>
      </c>
      <c r="AJ1" s="200"/>
      <c r="AK1" s="198" t="s">
        <v>109</v>
      </c>
      <c r="AL1" s="198"/>
    </row>
    <row r="2" spans="1:38" x14ac:dyDescent="0.25">
      <c r="A2" s="201"/>
      <c r="B2" s="96"/>
      <c r="C2" s="151" t="s">
        <v>110</v>
      </c>
      <c r="D2" s="151" t="s">
        <v>111</v>
      </c>
      <c r="E2" s="151" t="s">
        <v>110</v>
      </c>
      <c r="F2" s="151" t="s">
        <v>111</v>
      </c>
      <c r="G2" s="151" t="s">
        <v>110</v>
      </c>
      <c r="H2" s="151" t="s">
        <v>111</v>
      </c>
      <c r="I2" s="151" t="s">
        <v>110</v>
      </c>
      <c r="J2" s="151" t="s">
        <v>111</v>
      </c>
      <c r="K2" s="151" t="s">
        <v>110</v>
      </c>
      <c r="L2" s="151" t="s">
        <v>111</v>
      </c>
      <c r="M2" s="151" t="s">
        <v>110</v>
      </c>
      <c r="N2" s="151" t="s">
        <v>111</v>
      </c>
      <c r="O2" s="151" t="s">
        <v>110</v>
      </c>
      <c r="P2" s="151" t="s">
        <v>111</v>
      </c>
      <c r="Q2" s="151" t="s">
        <v>110</v>
      </c>
      <c r="R2" s="151" t="s">
        <v>111</v>
      </c>
      <c r="S2" s="151" t="s">
        <v>110</v>
      </c>
      <c r="T2" s="151" t="s">
        <v>111</v>
      </c>
      <c r="U2" s="151" t="s">
        <v>110</v>
      </c>
      <c r="V2" s="151" t="s">
        <v>111</v>
      </c>
      <c r="W2" s="151" t="s">
        <v>110</v>
      </c>
      <c r="X2" s="151" t="s">
        <v>111</v>
      </c>
      <c r="Y2" s="151" t="s">
        <v>110</v>
      </c>
      <c r="Z2" s="151" t="s">
        <v>111</v>
      </c>
      <c r="AA2" s="151" t="s">
        <v>110</v>
      </c>
      <c r="AB2" s="151" t="s">
        <v>111</v>
      </c>
      <c r="AC2" s="151" t="s">
        <v>110</v>
      </c>
      <c r="AD2" s="151" t="s">
        <v>111</v>
      </c>
      <c r="AE2" s="151" t="s">
        <v>110</v>
      </c>
      <c r="AF2" s="151" t="s">
        <v>111</v>
      </c>
      <c r="AG2" s="151" t="s">
        <v>110</v>
      </c>
      <c r="AH2" s="151" t="s">
        <v>111</v>
      </c>
      <c r="AI2" s="151" t="s">
        <v>110</v>
      </c>
      <c r="AJ2" s="151" t="s">
        <v>111</v>
      </c>
      <c r="AK2" s="151" t="s">
        <v>110</v>
      </c>
      <c r="AL2" s="151" t="s">
        <v>111</v>
      </c>
    </row>
    <row r="3" spans="1:38" ht="24" customHeight="1" x14ac:dyDescent="0.25">
      <c r="A3" s="152">
        <v>1</v>
      </c>
      <c r="B3" s="56" t="s">
        <v>112</v>
      </c>
      <c r="C3" s="153"/>
      <c r="D3" s="153"/>
      <c r="E3" s="153">
        <v>0.36299999999999999</v>
      </c>
      <c r="F3" s="153">
        <v>0.96</v>
      </c>
      <c r="G3" s="153">
        <v>156.06</v>
      </c>
      <c r="H3" s="153">
        <v>618.41999999999996</v>
      </c>
      <c r="I3" s="153">
        <v>17.02</v>
      </c>
      <c r="J3" s="153">
        <v>121.12</v>
      </c>
      <c r="K3" s="153"/>
      <c r="L3" s="153"/>
      <c r="M3" s="153"/>
      <c r="N3" s="153"/>
      <c r="O3" s="153">
        <v>25.34</v>
      </c>
      <c r="P3" s="153">
        <v>10.4</v>
      </c>
      <c r="Q3" s="153"/>
      <c r="R3" s="153"/>
      <c r="S3" s="153"/>
      <c r="T3" s="153"/>
      <c r="U3" s="153"/>
      <c r="V3" s="153"/>
      <c r="W3" s="153">
        <v>9.1199999999999992</v>
      </c>
      <c r="X3" s="153">
        <v>4.1500000000000004</v>
      </c>
      <c r="Y3" s="153"/>
      <c r="Z3" s="153"/>
      <c r="AA3" s="153"/>
      <c r="AB3" s="153"/>
      <c r="AC3" s="153"/>
      <c r="AD3" s="153"/>
      <c r="AE3" s="153"/>
      <c r="AF3" s="153"/>
      <c r="AG3" s="153">
        <v>4.83</v>
      </c>
      <c r="AH3" s="153">
        <v>11.1</v>
      </c>
      <c r="AI3" s="153">
        <v>0.01</v>
      </c>
      <c r="AJ3" s="153">
        <v>0.01</v>
      </c>
      <c r="AK3" s="154">
        <f t="shared" ref="AK3:AL30" si="0">C3+E3+G3+I3+K3+M3+O3+Q3+S3+U3+W3+Y3+AA3+AC3+AE3+AG3+AI3</f>
        <v>212.74300000000002</v>
      </c>
      <c r="AL3" s="154">
        <f t="shared" si="0"/>
        <v>766.16</v>
      </c>
    </row>
    <row r="4" spans="1:38" ht="24" customHeight="1" x14ac:dyDescent="0.25">
      <c r="A4" s="152">
        <v>2</v>
      </c>
      <c r="B4" s="84" t="s">
        <v>113</v>
      </c>
      <c r="C4" s="153"/>
      <c r="D4" s="153"/>
      <c r="E4" s="153">
        <v>7.65</v>
      </c>
      <c r="F4" s="153">
        <v>56.58</v>
      </c>
      <c r="G4" s="153">
        <v>2.96</v>
      </c>
      <c r="H4" s="153">
        <v>8.2899999999999991</v>
      </c>
      <c r="I4" s="153">
        <v>0.8</v>
      </c>
      <c r="J4" s="153">
        <v>3.84</v>
      </c>
      <c r="K4" s="153">
        <v>0.03</v>
      </c>
      <c r="L4" s="153">
        <v>0.01</v>
      </c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4">
        <f t="shared" si="0"/>
        <v>11.44</v>
      </c>
      <c r="AL4" s="154">
        <f t="shared" si="0"/>
        <v>68.720000000000013</v>
      </c>
    </row>
    <row r="5" spans="1:38" ht="24" customHeight="1" x14ac:dyDescent="0.25">
      <c r="A5" s="152">
        <v>3</v>
      </c>
      <c r="B5" s="56" t="s">
        <v>114</v>
      </c>
      <c r="C5" s="153">
        <v>3.87</v>
      </c>
      <c r="D5" s="153">
        <v>2.61</v>
      </c>
      <c r="E5" s="153">
        <v>18.547999999999998</v>
      </c>
      <c r="F5" s="153">
        <v>163.13</v>
      </c>
      <c r="G5" s="153">
        <v>21.41</v>
      </c>
      <c r="H5" s="153">
        <v>19.12</v>
      </c>
      <c r="I5" s="153">
        <v>16.89</v>
      </c>
      <c r="J5" s="153">
        <v>16.75</v>
      </c>
      <c r="K5" s="153">
        <v>10.39</v>
      </c>
      <c r="L5" s="153">
        <v>76.95</v>
      </c>
      <c r="M5" s="153"/>
      <c r="N5" s="153"/>
      <c r="O5" s="153">
        <v>29.42</v>
      </c>
      <c r="P5" s="153">
        <v>55.13</v>
      </c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4">
        <f t="shared" si="0"/>
        <v>100.52800000000001</v>
      </c>
      <c r="AL5" s="154">
        <f t="shared" si="0"/>
        <v>333.69</v>
      </c>
    </row>
    <row r="6" spans="1:38" ht="24" customHeight="1" x14ac:dyDescent="0.25">
      <c r="A6" s="152">
        <v>4</v>
      </c>
      <c r="B6" s="56" t="s">
        <v>115</v>
      </c>
      <c r="C6" s="153"/>
      <c r="D6" s="153"/>
      <c r="E6" s="153">
        <v>0.56000000000000005</v>
      </c>
      <c r="F6" s="153">
        <v>0.84</v>
      </c>
      <c r="G6" s="153">
        <v>2.9</v>
      </c>
      <c r="H6" s="153">
        <v>3</v>
      </c>
      <c r="I6" s="153">
        <v>3</v>
      </c>
      <c r="J6" s="153">
        <v>3</v>
      </c>
      <c r="K6" s="153">
        <v>4.25</v>
      </c>
      <c r="L6" s="153">
        <v>4</v>
      </c>
      <c r="M6" s="153"/>
      <c r="N6" s="153"/>
      <c r="O6" s="153">
        <v>2.2999999999999998</v>
      </c>
      <c r="P6" s="153">
        <v>1.7</v>
      </c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4">
        <f t="shared" si="0"/>
        <v>13.010000000000002</v>
      </c>
      <c r="AL6" s="154">
        <f t="shared" si="0"/>
        <v>12.54</v>
      </c>
    </row>
    <row r="7" spans="1:38" ht="24" customHeight="1" x14ac:dyDescent="0.25">
      <c r="A7" s="152">
        <v>5</v>
      </c>
      <c r="B7" s="56" t="s">
        <v>116</v>
      </c>
      <c r="C7" s="153"/>
      <c r="D7" s="153"/>
      <c r="E7" s="153">
        <v>1.7390000000000001</v>
      </c>
      <c r="F7" s="153">
        <v>2.14</v>
      </c>
      <c r="G7" s="153">
        <v>4.92</v>
      </c>
      <c r="H7" s="153">
        <v>4.4000000000000004</v>
      </c>
      <c r="I7" s="153">
        <v>1.1000000000000001</v>
      </c>
      <c r="J7" s="153">
        <v>0.96</v>
      </c>
      <c r="K7" s="153">
        <v>1.34</v>
      </c>
      <c r="L7" s="153">
        <v>3.6</v>
      </c>
      <c r="M7" s="153"/>
      <c r="N7" s="153"/>
      <c r="O7" s="153">
        <v>2.65</v>
      </c>
      <c r="P7" s="153">
        <v>0.75</v>
      </c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4">
        <f t="shared" si="0"/>
        <v>11.749000000000001</v>
      </c>
      <c r="AL7" s="154">
        <f t="shared" si="0"/>
        <v>11.850000000000001</v>
      </c>
    </row>
    <row r="8" spans="1:38" ht="24" customHeight="1" x14ac:dyDescent="0.25">
      <c r="A8" s="152">
        <v>6</v>
      </c>
      <c r="B8" s="56" t="s">
        <v>117</v>
      </c>
      <c r="C8" s="153"/>
      <c r="D8" s="153"/>
      <c r="E8" s="153">
        <v>4.6790000000000003</v>
      </c>
      <c r="F8" s="153">
        <v>102.58</v>
      </c>
      <c r="G8" s="153">
        <v>14.72</v>
      </c>
      <c r="H8" s="153">
        <v>26.91</v>
      </c>
      <c r="I8" s="153">
        <v>3.55</v>
      </c>
      <c r="J8" s="153">
        <v>69.25</v>
      </c>
      <c r="K8" s="153">
        <v>40.6</v>
      </c>
      <c r="L8" s="153">
        <v>318.2</v>
      </c>
      <c r="M8" s="153"/>
      <c r="N8" s="153"/>
      <c r="O8" s="153">
        <v>88.6</v>
      </c>
      <c r="P8" s="153">
        <v>138.80000000000001</v>
      </c>
      <c r="Q8" s="153">
        <v>295.39999999999998</v>
      </c>
      <c r="R8" s="153">
        <v>300.94</v>
      </c>
      <c r="S8" s="153">
        <v>45.4</v>
      </c>
      <c r="T8" s="153">
        <v>96.77</v>
      </c>
      <c r="U8" s="153">
        <v>7.04</v>
      </c>
      <c r="V8" s="153">
        <v>14.17</v>
      </c>
      <c r="W8" s="153">
        <v>1.55</v>
      </c>
      <c r="X8" s="153">
        <v>1.47</v>
      </c>
      <c r="Y8" s="153">
        <v>7.2</v>
      </c>
      <c r="Z8" s="153">
        <v>8.48</v>
      </c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4">
        <f t="shared" si="0"/>
        <v>508.73899999999998</v>
      </c>
      <c r="AL8" s="154">
        <f t="shared" si="0"/>
        <v>1077.5700000000002</v>
      </c>
    </row>
    <row r="9" spans="1:38" ht="24" customHeight="1" x14ac:dyDescent="0.25">
      <c r="A9" s="152">
        <v>7</v>
      </c>
      <c r="B9" s="56" t="s">
        <v>118</v>
      </c>
      <c r="C9" s="153"/>
      <c r="D9" s="153"/>
      <c r="E9" s="153">
        <v>0.44500000000000001</v>
      </c>
      <c r="F9" s="153">
        <v>5.65</v>
      </c>
      <c r="G9" s="153">
        <v>2.4300000000000002</v>
      </c>
      <c r="H9" s="153">
        <v>4.22</v>
      </c>
      <c r="I9" s="153">
        <v>1.33</v>
      </c>
      <c r="J9" s="153">
        <v>23.84</v>
      </c>
      <c r="K9" s="153">
        <v>4.4400000000000004</v>
      </c>
      <c r="L9" s="153">
        <v>35.83</v>
      </c>
      <c r="M9" s="153"/>
      <c r="N9" s="153"/>
      <c r="O9" s="153">
        <v>2.4300000000000002</v>
      </c>
      <c r="P9" s="153">
        <v>4.41</v>
      </c>
      <c r="Q9" s="153"/>
      <c r="R9" s="153"/>
      <c r="S9" s="153">
        <v>0.27</v>
      </c>
      <c r="T9" s="153">
        <v>0.17</v>
      </c>
      <c r="U9" s="153">
        <v>4.78</v>
      </c>
      <c r="V9" s="153">
        <v>8.6999999999999993</v>
      </c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4">
        <f t="shared" si="0"/>
        <v>16.125</v>
      </c>
      <c r="AL9" s="154">
        <f t="shared" si="0"/>
        <v>82.82</v>
      </c>
    </row>
    <row r="10" spans="1:38" ht="24" customHeight="1" x14ac:dyDescent="0.25">
      <c r="A10" s="152">
        <v>8</v>
      </c>
      <c r="B10" s="56" t="s">
        <v>119</v>
      </c>
      <c r="C10" s="153"/>
      <c r="D10" s="153"/>
      <c r="E10" s="153">
        <v>2.27</v>
      </c>
      <c r="F10" s="153">
        <v>14.58</v>
      </c>
      <c r="G10" s="153">
        <v>0.55000000000000004</v>
      </c>
      <c r="H10" s="153">
        <v>0.36</v>
      </c>
      <c r="I10" s="153">
        <v>0.26</v>
      </c>
      <c r="J10" s="153">
        <v>0.43</v>
      </c>
      <c r="K10" s="153">
        <v>4.57</v>
      </c>
      <c r="L10" s="153">
        <v>9.35</v>
      </c>
      <c r="M10" s="153"/>
      <c r="N10" s="153"/>
      <c r="O10" s="153">
        <v>0.17</v>
      </c>
      <c r="P10" s="153">
        <v>0.19</v>
      </c>
      <c r="Q10" s="153">
        <v>0.08</v>
      </c>
      <c r="R10" s="153">
        <v>0.02</v>
      </c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4">
        <f t="shared" si="0"/>
        <v>7.9</v>
      </c>
      <c r="AL10" s="154">
        <f t="shared" si="0"/>
        <v>24.93</v>
      </c>
    </row>
    <row r="11" spans="1:38" ht="24" customHeight="1" x14ac:dyDescent="0.25">
      <c r="A11" s="152">
        <v>9</v>
      </c>
      <c r="B11" s="56" t="s">
        <v>120</v>
      </c>
      <c r="C11" s="153"/>
      <c r="D11" s="153"/>
      <c r="E11" s="153">
        <v>2.1000000000000001E-2</v>
      </c>
      <c r="F11" s="153">
        <v>0.03</v>
      </c>
      <c r="G11" s="153">
        <v>0.62</v>
      </c>
      <c r="H11" s="153">
        <v>0.35</v>
      </c>
      <c r="I11" s="153">
        <v>0.01</v>
      </c>
      <c r="J11" s="153">
        <v>0.01</v>
      </c>
      <c r="K11" s="153">
        <v>0.71</v>
      </c>
      <c r="L11" s="153">
        <v>0.56000000000000005</v>
      </c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>
        <v>3.56</v>
      </c>
      <c r="AJ11" s="153">
        <v>0.01</v>
      </c>
      <c r="AK11" s="154">
        <f t="shared" si="0"/>
        <v>4.9210000000000003</v>
      </c>
      <c r="AL11" s="154">
        <f t="shared" si="0"/>
        <v>0.96000000000000008</v>
      </c>
    </row>
    <row r="12" spans="1:38" ht="24" customHeight="1" x14ac:dyDescent="0.25">
      <c r="A12" s="152">
        <v>10</v>
      </c>
      <c r="B12" s="56" t="s">
        <v>121</v>
      </c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4">
        <f t="shared" si="0"/>
        <v>0</v>
      </c>
      <c r="AL12" s="154">
        <f t="shared" si="0"/>
        <v>0</v>
      </c>
    </row>
    <row r="13" spans="1:38" ht="24" customHeight="1" x14ac:dyDescent="0.25">
      <c r="A13" s="152">
        <v>11</v>
      </c>
      <c r="B13" s="56" t="s">
        <v>122</v>
      </c>
      <c r="C13" s="153">
        <v>32.67</v>
      </c>
      <c r="D13" s="153">
        <v>19.190000000000001</v>
      </c>
      <c r="E13" s="153">
        <v>30.786999999999999</v>
      </c>
      <c r="F13" s="153">
        <v>89.44</v>
      </c>
      <c r="G13" s="153">
        <v>95.45</v>
      </c>
      <c r="H13" s="153">
        <v>118.49</v>
      </c>
      <c r="I13" s="153">
        <v>12.82</v>
      </c>
      <c r="J13" s="153">
        <v>76.78</v>
      </c>
      <c r="K13" s="153">
        <v>4.7300000000000004</v>
      </c>
      <c r="L13" s="153">
        <v>5.19</v>
      </c>
      <c r="M13" s="153">
        <v>18.25</v>
      </c>
      <c r="N13" s="153">
        <v>1.43</v>
      </c>
      <c r="O13" s="153">
        <v>4.34</v>
      </c>
      <c r="P13" s="153">
        <v>1.47</v>
      </c>
      <c r="Q13" s="153"/>
      <c r="R13" s="153"/>
      <c r="S13" s="153"/>
      <c r="T13" s="153"/>
      <c r="U13" s="153">
        <v>0.47</v>
      </c>
      <c r="V13" s="153">
        <v>1.1100000000000001</v>
      </c>
      <c r="W13" s="153"/>
      <c r="X13" s="153"/>
      <c r="Y13" s="153">
        <v>0.38</v>
      </c>
      <c r="Z13" s="153">
        <v>1.76</v>
      </c>
      <c r="AA13" s="153">
        <v>0.03</v>
      </c>
      <c r="AB13" s="153">
        <v>0.01</v>
      </c>
      <c r="AC13" s="153">
        <v>0.32</v>
      </c>
      <c r="AD13" s="153">
        <v>0.2</v>
      </c>
      <c r="AE13" s="153">
        <v>0.12</v>
      </c>
      <c r="AF13" s="153">
        <v>0.17</v>
      </c>
      <c r="AG13" s="153">
        <v>14.9</v>
      </c>
      <c r="AH13" s="153">
        <v>72.150000000000006</v>
      </c>
      <c r="AI13" s="153">
        <v>0.69</v>
      </c>
      <c r="AJ13" s="153">
        <v>0.23</v>
      </c>
      <c r="AK13" s="154">
        <f t="shared" si="0"/>
        <v>215.95699999999999</v>
      </c>
      <c r="AL13" s="154">
        <f t="shared" si="0"/>
        <v>387.62</v>
      </c>
    </row>
    <row r="14" spans="1:38" ht="24" customHeight="1" x14ac:dyDescent="0.25">
      <c r="A14" s="152">
        <v>12</v>
      </c>
      <c r="B14" s="56" t="s">
        <v>123</v>
      </c>
      <c r="C14" s="153">
        <v>84.84</v>
      </c>
      <c r="D14" s="153">
        <v>30.47</v>
      </c>
      <c r="E14" s="153">
        <v>4.875</v>
      </c>
      <c r="F14" s="153">
        <v>21.96</v>
      </c>
      <c r="G14" s="153">
        <v>1.58</v>
      </c>
      <c r="H14" s="153">
        <v>1.49</v>
      </c>
      <c r="I14" s="153">
        <v>2.5299999999999998</v>
      </c>
      <c r="J14" s="153">
        <v>6.5</v>
      </c>
      <c r="K14" s="153">
        <v>0.06</v>
      </c>
      <c r="L14" s="153">
        <v>0.37</v>
      </c>
      <c r="M14" s="153">
        <v>39.729999999999997</v>
      </c>
      <c r="N14" s="153">
        <v>16</v>
      </c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>
        <v>0.11</v>
      </c>
      <c r="AB14" s="153">
        <v>0</v>
      </c>
      <c r="AC14" s="153">
        <v>20.63</v>
      </c>
      <c r="AD14" s="153">
        <v>14.19</v>
      </c>
      <c r="AE14" s="153">
        <v>1.07</v>
      </c>
      <c r="AF14" s="153">
        <v>0.08</v>
      </c>
      <c r="AG14" s="153">
        <v>11.24</v>
      </c>
      <c r="AH14" s="153">
        <v>37.299999999999997</v>
      </c>
      <c r="AI14" s="153">
        <v>0.15</v>
      </c>
      <c r="AJ14" s="153">
        <v>0.04</v>
      </c>
      <c r="AK14" s="154">
        <f t="shared" si="0"/>
        <v>166.81500000000003</v>
      </c>
      <c r="AL14" s="154">
        <f t="shared" si="0"/>
        <v>128.39999999999998</v>
      </c>
    </row>
    <row r="15" spans="1:38" ht="24" customHeight="1" x14ac:dyDescent="0.25">
      <c r="A15" s="152">
        <v>13</v>
      </c>
      <c r="B15" s="56" t="s">
        <v>124</v>
      </c>
      <c r="C15" s="153"/>
      <c r="D15" s="153"/>
      <c r="E15" s="153">
        <v>10.912000000000001</v>
      </c>
      <c r="F15" s="153">
        <v>18.86</v>
      </c>
      <c r="G15" s="153">
        <v>72.13</v>
      </c>
      <c r="H15" s="153">
        <v>132.44</v>
      </c>
      <c r="I15" s="153">
        <v>1.42</v>
      </c>
      <c r="J15" s="153">
        <v>1.61</v>
      </c>
      <c r="K15" s="153">
        <v>81.17</v>
      </c>
      <c r="L15" s="153">
        <v>424.5</v>
      </c>
      <c r="M15" s="153"/>
      <c r="N15" s="153"/>
      <c r="O15" s="153">
        <v>165.18</v>
      </c>
      <c r="P15" s="153">
        <v>108.49</v>
      </c>
      <c r="Q15" s="153"/>
      <c r="R15" s="153"/>
      <c r="S15" s="153">
        <v>0.94</v>
      </c>
      <c r="T15" s="153">
        <v>0</v>
      </c>
      <c r="U15" s="153">
        <v>34.29</v>
      </c>
      <c r="V15" s="153">
        <v>25</v>
      </c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4">
        <f t="shared" si="0"/>
        <v>366.04200000000003</v>
      </c>
      <c r="AL15" s="154">
        <f t="shared" si="0"/>
        <v>710.90000000000009</v>
      </c>
    </row>
    <row r="16" spans="1:38" ht="24" customHeight="1" x14ac:dyDescent="0.25">
      <c r="A16" s="152">
        <v>14</v>
      </c>
      <c r="B16" s="56" t="s">
        <v>125</v>
      </c>
      <c r="C16" s="153">
        <v>0.09</v>
      </c>
      <c r="D16" s="153">
        <v>0.1</v>
      </c>
      <c r="E16" s="153">
        <v>11.67</v>
      </c>
      <c r="F16" s="153">
        <v>209.41</v>
      </c>
      <c r="G16" s="153">
        <v>99.5</v>
      </c>
      <c r="H16" s="153">
        <v>45.6</v>
      </c>
      <c r="I16" s="153">
        <v>9.61</v>
      </c>
      <c r="J16" s="153">
        <v>136.87</v>
      </c>
      <c r="K16" s="153">
        <v>2.0499999999999998</v>
      </c>
      <c r="L16" s="153">
        <v>12.69</v>
      </c>
      <c r="M16" s="153"/>
      <c r="N16" s="153"/>
      <c r="O16" s="153">
        <v>0.04</v>
      </c>
      <c r="P16" s="153">
        <v>0.1</v>
      </c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3">
        <v>0.03</v>
      </c>
      <c r="AB16" s="153">
        <v>0.02</v>
      </c>
      <c r="AC16" s="153">
        <v>0.01</v>
      </c>
      <c r="AD16" s="153">
        <v>0.01</v>
      </c>
      <c r="AE16" s="153"/>
      <c r="AF16" s="153"/>
      <c r="AG16" s="153">
        <v>5.7</v>
      </c>
      <c r="AH16" s="153">
        <v>11.4</v>
      </c>
      <c r="AI16" s="153"/>
      <c r="AJ16" s="153"/>
      <c r="AK16" s="154">
        <f t="shared" si="0"/>
        <v>128.70000000000002</v>
      </c>
      <c r="AL16" s="154">
        <f t="shared" si="0"/>
        <v>416.2</v>
      </c>
    </row>
    <row r="17" spans="1:38" ht="24" customHeight="1" x14ac:dyDescent="0.25">
      <c r="A17" s="152">
        <v>15</v>
      </c>
      <c r="B17" s="88" t="s">
        <v>126</v>
      </c>
      <c r="C17" s="153"/>
      <c r="D17" s="153"/>
      <c r="E17" s="153">
        <v>2.4</v>
      </c>
      <c r="F17" s="153">
        <v>3.84</v>
      </c>
      <c r="G17" s="153">
        <v>6.5</v>
      </c>
      <c r="H17" s="153">
        <v>3.9</v>
      </c>
      <c r="I17" s="153">
        <v>1.4</v>
      </c>
      <c r="J17" s="153">
        <v>16.399999999999999</v>
      </c>
      <c r="K17" s="153">
        <v>0.17</v>
      </c>
      <c r="L17" s="153">
        <v>0</v>
      </c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4">
        <f t="shared" si="0"/>
        <v>10.47</v>
      </c>
      <c r="AL17" s="154">
        <f t="shared" si="0"/>
        <v>24.14</v>
      </c>
    </row>
    <row r="18" spans="1:38" ht="24" customHeight="1" x14ac:dyDescent="0.25">
      <c r="A18" s="152">
        <v>16</v>
      </c>
      <c r="B18" s="56" t="s">
        <v>127</v>
      </c>
      <c r="C18" s="153">
        <v>1</v>
      </c>
      <c r="D18" s="153">
        <v>0.73</v>
      </c>
      <c r="E18" s="153">
        <v>9.8510000000000009</v>
      </c>
      <c r="F18" s="153">
        <v>65.430000000000007</v>
      </c>
      <c r="G18" s="153">
        <v>2.25</v>
      </c>
      <c r="H18" s="153">
        <v>2.08</v>
      </c>
      <c r="I18" s="153">
        <v>2.54</v>
      </c>
      <c r="J18" s="153">
        <v>15.86</v>
      </c>
      <c r="K18" s="153">
        <v>0.28000000000000003</v>
      </c>
      <c r="L18" s="153">
        <v>1.1100000000000001</v>
      </c>
      <c r="M18" s="153"/>
      <c r="N18" s="153"/>
      <c r="O18" s="153">
        <v>0.01</v>
      </c>
      <c r="P18" s="153">
        <v>0.05</v>
      </c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>
        <v>2.44</v>
      </c>
      <c r="AB18" s="153">
        <v>5</v>
      </c>
      <c r="AC18" s="153"/>
      <c r="AD18" s="153"/>
      <c r="AE18" s="153"/>
      <c r="AF18" s="153"/>
      <c r="AG18" s="153"/>
      <c r="AH18" s="153"/>
      <c r="AI18" s="153"/>
      <c r="AJ18" s="153"/>
      <c r="AK18" s="154">
        <f t="shared" si="0"/>
        <v>18.371000000000002</v>
      </c>
      <c r="AL18" s="154">
        <f t="shared" si="0"/>
        <v>90.26</v>
      </c>
    </row>
    <row r="19" spans="1:38" ht="24" customHeight="1" x14ac:dyDescent="0.25">
      <c r="A19" s="152">
        <v>17</v>
      </c>
      <c r="B19" s="56" t="s">
        <v>128</v>
      </c>
      <c r="C19" s="153">
        <v>7.0000000000000007E-2</v>
      </c>
      <c r="D19" s="153">
        <v>0</v>
      </c>
      <c r="E19" s="153">
        <v>8.0670000000000002</v>
      </c>
      <c r="F19" s="153">
        <v>31.68</v>
      </c>
      <c r="G19" s="153">
        <v>9.14</v>
      </c>
      <c r="H19" s="153">
        <v>9.33</v>
      </c>
      <c r="I19" s="153">
        <v>7.2</v>
      </c>
      <c r="J19" s="153">
        <v>27.82</v>
      </c>
      <c r="K19" s="153">
        <v>0.02</v>
      </c>
      <c r="L19" s="153">
        <v>0.01</v>
      </c>
      <c r="M19" s="153"/>
      <c r="N19" s="153"/>
      <c r="O19" s="153">
        <v>0.06</v>
      </c>
      <c r="P19" s="153">
        <v>0.02</v>
      </c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>
        <v>0.01</v>
      </c>
      <c r="AH19" s="153">
        <v>0.03</v>
      </c>
      <c r="AI19" s="153"/>
      <c r="AJ19" s="153"/>
      <c r="AK19" s="154">
        <f t="shared" si="0"/>
        <v>24.567</v>
      </c>
      <c r="AL19" s="154">
        <f t="shared" si="0"/>
        <v>68.89</v>
      </c>
    </row>
    <row r="20" spans="1:38" ht="24" customHeight="1" x14ac:dyDescent="0.25">
      <c r="A20" s="152">
        <v>18</v>
      </c>
      <c r="B20" s="84" t="s">
        <v>129</v>
      </c>
      <c r="C20" s="153">
        <v>0.15</v>
      </c>
      <c r="D20" s="153">
        <v>0.03</v>
      </c>
      <c r="E20" s="153">
        <v>3.7349999999999999</v>
      </c>
      <c r="F20" s="153">
        <v>55.23</v>
      </c>
      <c r="G20" s="153">
        <v>6.81</v>
      </c>
      <c r="H20" s="153">
        <v>50.39</v>
      </c>
      <c r="I20" s="153">
        <v>0.69</v>
      </c>
      <c r="J20" s="153">
        <v>9.1199999999999992</v>
      </c>
      <c r="K20" s="153">
        <v>0.28999999999999998</v>
      </c>
      <c r="L20" s="153">
        <v>2.89</v>
      </c>
      <c r="M20" s="153">
        <v>3.23</v>
      </c>
      <c r="N20" s="153">
        <v>1.41</v>
      </c>
      <c r="O20" s="153">
        <v>0.09</v>
      </c>
      <c r="P20" s="153">
        <v>0.18</v>
      </c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  <c r="AI20" s="153"/>
      <c r="AJ20" s="153"/>
      <c r="AK20" s="154">
        <f t="shared" si="0"/>
        <v>14.994999999999999</v>
      </c>
      <c r="AL20" s="154">
        <f t="shared" si="0"/>
        <v>119.25000000000001</v>
      </c>
    </row>
    <row r="21" spans="1:38" ht="24" customHeight="1" x14ac:dyDescent="0.25">
      <c r="A21" s="152">
        <v>19</v>
      </c>
      <c r="B21" s="56" t="s">
        <v>130</v>
      </c>
      <c r="C21" s="153"/>
      <c r="D21" s="153"/>
      <c r="E21" s="153">
        <v>15.843999999999999</v>
      </c>
      <c r="F21" s="153">
        <v>35</v>
      </c>
      <c r="G21" s="153">
        <v>75</v>
      </c>
      <c r="H21" s="153">
        <v>70</v>
      </c>
      <c r="I21" s="153">
        <v>2.48</v>
      </c>
      <c r="J21" s="153">
        <v>30</v>
      </c>
      <c r="K21" s="153">
        <v>10.9</v>
      </c>
      <c r="L21" s="153">
        <v>35.5</v>
      </c>
      <c r="M21" s="153"/>
      <c r="N21" s="153"/>
      <c r="O21" s="153">
        <v>19.100000000000001</v>
      </c>
      <c r="P21" s="153">
        <v>11</v>
      </c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4">
        <f t="shared" si="0"/>
        <v>123.32400000000001</v>
      </c>
      <c r="AL21" s="154">
        <f t="shared" si="0"/>
        <v>181.5</v>
      </c>
    </row>
    <row r="22" spans="1:38" ht="24" customHeight="1" x14ac:dyDescent="0.25">
      <c r="A22" s="152">
        <v>20</v>
      </c>
      <c r="B22" s="56" t="s">
        <v>131</v>
      </c>
      <c r="C22" s="153"/>
      <c r="D22" s="153"/>
      <c r="E22" s="153"/>
      <c r="F22" s="153"/>
      <c r="G22" s="153">
        <v>7.5</v>
      </c>
      <c r="H22" s="153">
        <v>14.08</v>
      </c>
      <c r="I22" s="153">
        <v>0.9</v>
      </c>
      <c r="J22" s="153">
        <v>3.19</v>
      </c>
      <c r="K22" s="153">
        <v>6.46</v>
      </c>
      <c r="L22" s="153">
        <v>73.739999999999995</v>
      </c>
      <c r="M22" s="153"/>
      <c r="N22" s="153"/>
      <c r="O22" s="153"/>
      <c r="P22" s="153"/>
      <c r="Q22" s="153"/>
      <c r="R22" s="153"/>
      <c r="S22" s="153"/>
      <c r="T22" s="153"/>
      <c r="U22" s="153">
        <v>12.46</v>
      </c>
      <c r="V22" s="153">
        <v>2.36</v>
      </c>
      <c r="W22" s="153"/>
      <c r="X22" s="153"/>
      <c r="Y22" s="153">
        <v>4.01</v>
      </c>
      <c r="Z22" s="153">
        <v>5.51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4">
        <f t="shared" si="0"/>
        <v>31.33</v>
      </c>
      <c r="AL22" s="154">
        <f t="shared" si="0"/>
        <v>98.88</v>
      </c>
    </row>
    <row r="23" spans="1:38" ht="24" customHeight="1" x14ac:dyDescent="0.25">
      <c r="A23" s="152">
        <v>21</v>
      </c>
      <c r="B23" s="56" t="s">
        <v>132</v>
      </c>
      <c r="C23" s="153"/>
      <c r="D23" s="153"/>
      <c r="E23" s="153">
        <v>0.13</v>
      </c>
      <c r="F23" s="153">
        <v>0.28999999999999998</v>
      </c>
      <c r="G23" s="153">
        <v>12.32</v>
      </c>
      <c r="H23" s="153">
        <v>18.22</v>
      </c>
      <c r="I23" s="153">
        <v>0.14000000000000001</v>
      </c>
      <c r="J23" s="153">
        <v>0.37</v>
      </c>
      <c r="K23" s="153">
        <v>69.099999999999994</v>
      </c>
      <c r="L23" s="153">
        <v>377.49</v>
      </c>
      <c r="M23" s="153"/>
      <c r="N23" s="153"/>
      <c r="O23" s="153">
        <v>212.73</v>
      </c>
      <c r="P23" s="153">
        <v>227.2</v>
      </c>
      <c r="Q23" s="153">
        <v>511.08</v>
      </c>
      <c r="R23" s="153">
        <v>200.85</v>
      </c>
      <c r="S23" s="153">
        <v>27.59</v>
      </c>
      <c r="T23" s="153">
        <v>30.72</v>
      </c>
      <c r="U23" s="153">
        <v>157</v>
      </c>
      <c r="V23" s="153">
        <v>190.36</v>
      </c>
      <c r="W23" s="153">
        <v>11.66</v>
      </c>
      <c r="X23" s="153">
        <v>4.67</v>
      </c>
      <c r="Y23" s="153">
        <v>12.8</v>
      </c>
      <c r="Z23" s="153">
        <v>6</v>
      </c>
      <c r="AA23" s="153"/>
      <c r="AB23" s="153"/>
      <c r="AC23" s="153"/>
      <c r="AD23" s="153"/>
      <c r="AE23" s="153"/>
      <c r="AF23" s="153"/>
      <c r="AG23" s="153"/>
      <c r="AH23" s="153"/>
      <c r="AI23" s="153"/>
      <c r="AJ23" s="153"/>
      <c r="AK23" s="154">
        <f t="shared" si="0"/>
        <v>1014.55</v>
      </c>
      <c r="AL23" s="154">
        <f t="shared" si="0"/>
        <v>1056.17</v>
      </c>
    </row>
    <row r="24" spans="1:38" ht="24" customHeight="1" x14ac:dyDescent="0.25">
      <c r="A24" s="152">
        <v>22</v>
      </c>
      <c r="B24" s="56" t="s">
        <v>133</v>
      </c>
      <c r="C24" s="153"/>
      <c r="D24" s="153"/>
      <c r="E24" s="153">
        <v>10.029999999999999</v>
      </c>
      <c r="F24" s="153">
        <v>54.99</v>
      </c>
      <c r="G24" s="153"/>
      <c r="H24" s="153"/>
      <c r="I24" s="153">
        <v>1.95</v>
      </c>
      <c r="J24" s="153">
        <v>5.68</v>
      </c>
      <c r="K24" s="153"/>
      <c r="L24" s="153"/>
      <c r="M24" s="153">
        <v>17.48</v>
      </c>
      <c r="N24" s="153">
        <v>4.1100000000000003</v>
      </c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4">
        <f t="shared" si="0"/>
        <v>29.46</v>
      </c>
      <c r="AL24" s="154">
        <f t="shared" si="0"/>
        <v>64.78</v>
      </c>
    </row>
    <row r="25" spans="1:38" ht="24" customHeight="1" x14ac:dyDescent="0.25">
      <c r="A25" s="152">
        <v>23</v>
      </c>
      <c r="B25" s="56" t="s">
        <v>134</v>
      </c>
      <c r="C25" s="153">
        <v>4.01</v>
      </c>
      <c r="D25" s="153">
        <v>0.89</v>
      </c>
      <c r="E25" s="153">
        <v>0.312</v>
      </c>
      <c r="F25" s="153">
        <v>2.1800000000000002</v>
      </c>
      <c r="G25" s="153">
        <v>44.37</v>
      </c>
      <c r="H25" s="153">
        <v>19.55</v>
      </c>
      <c r="I25" s="153">
        <v>34.729999999999997</v>
      </c>
      <c r="J25" s="153">
        <v>132.4</v>
      </c>
      <c r="K25" s="153">
        <v>0.48</v>
      </c>
      <c r="L25" s="153">
        <v>2.72</v>
      </c>
      <c r="M25" s="153">
        <v>4.03</v>
      </c>
      <c r="N25" s="153">
        <v>0.36</v>
      </c>
      <c r="O25" s="153">
        <v>8.31</v>
      </c>
      <c r="P25" s="153">
        <v>3.8</v>
      </c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>
        <v>0.96</v>
      </c>
      <c r="AF25" s="153">
        <v>0.95</v>
      </c>
      <c r="AG25" s="153">
        <v>15.91</v>
      </c>
      <c r="AH25" s="153">
        <v>49.66</v>
      </c>
      <c r="AI25" s="153"/>
      <c r="AJ25" s="153"/>
      <c r="AK25" s="154">
        <f t="shared" si="0"/>
        <v>113.11199999999999</v>
      </c>
      <c r="AL25" s="154">
        <f t="shared" si="0"/>
        <v>212.51000000000002</v>
      </c>
    </row>
    <row r="26" spans="1:38" ht="24" customHeight="1" x14ac:dyDescent="0.25">
      <c r="A26" s="152">
        <v>24</v>
      </c>
      <c r="B26" s="56" t="s">
        <v>135</v>
      </c>
      <c r="C26" s="153"/>
      <c r="D26" s="153"/>
      <c r="E26" s="153">
        <v>1.8280000000000001</v>
      </c>
      <c r="F26" s="153">
        <v>11.9</v>
      </c>
      <c r="G26" s="153">
        <v>81.599999999999994</v>
      </c>
      <c r="H26" s="153">
        <v>227.61</v>
      </c>
      <c r="I26" s="153">
        <v>42.54</v>
      </c>
      <c r="J26" s="153">
        <v>184.29</v>
      </c>
      <c r="K26" s="153">
        <v>0.28999999999999998</v>
      </c>
      <c r="L26" s="153">
        <v>1.01</v>
      </c>
      <c r="M26" s="153"/>
      <c r="N26" s="153"/>
      <c r="O26" s="153">
        <v>1.01</v>
      </c>
      <c r="P26" s="153">
        <v>0.39</v>
      </c>
      <c r="Q26" s="153"/>
      <c r="R26" s="153"/>
      <c r="S26" s="153"/>
      <c r="T26" s="153"/>
      <c r="U26" s="153"/>
      <c r="V26" s="153"/>
      <c r="W26" s="153">
        <v>1.38</v>
      </c>
      <c r="X26" s="153">
        <v>5.72</v>
      </c>
      <c r="Y26" s="153"/>
      <c r="Z26" s="153"/>
      <c r="AA26" s="153"/>
      <c r="AB26" s="153"/>
      <c r="AC26" s="153"/>
      <c r="AD26" s="153"/>
      <c r="AE26" s="153"/>
      <c r="AF26" s="153"/>
      <c r="AG26" s="153">
        <v>0.24</v>
      </c>
      <c r="AH26" s="153">
        <v>12.49</v>
      </c>
      <c r="AI26" s="153"/>
      <c r="AJ26" s="153"/>
      <c r="AK26" s="154">
        <f t="shared" si="0"/>
        <v>128.88800000000001</v>
      </c>
      <c r="AL26" s="154">
        <f t="shared" si="0"/>
        <v>443.41</v>
      </c>
    </row>
    <row r="27" spans="1:38" ht="24" customHeight="1" x14ac:dyDescent="0.25">
      <c r="A27" s="152">
        <v>25</v>
      </c>
      <c r="B27" s="56" t="s">
        <v>136</v>
      </c>
      <c r="C27" s="153">
        <v>0.24</v>
      </c>
      <c r="D27" s="153">
        <v>0.15</v>
      </c>
      <c r="E27" s="153">
        <v>1.8</v>
      </c>
      <c r="F27" s="153">
        <v>7.6</v>
      </c>
      <c r="G27" s="153">
        <v>2.35</v>
      </c>
      <c r="H27" s="153">
        <v>3.7</v>
      </c>
      <c r="I27" s="153">
        <v>1.3</v>
      </c>
      <c r="J27" s="153">
        <v>6.59</v>
      </c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4">
        <f t="shared" si="0"/>
        <v>5.69</v>
      </c>
      <c r="AL27" s="154">
        <f t="shared" si="0"/>
        <v>18.04</v>
      </c>
    </row>
    <row r="28" spans="1:38" ht="24" customHeight="1" x14ac:dyDescent="0.25">
      <c r="A28" s="152">
        <v>26</v>
      </c>
      <c r="B28" s="56" t="s">
        <v>137</v>
      </c>
      <c r="C28" s="153"/>
      <c r="D28" s="153"/>
      <c r="E28" s="153">
        <v>0.94399999999999995</v>
      </c>
      <c r="F28" s="153">
        <v>4.3499999999999996</v>
      </c>
      <c r="G28" s="153">
        <v>13.55</v>
      </c>
      <c r="H28" s="153">
        <v>10.26</v>
      </c>
      <c r="I28" s="153">
        <v>2</v>
      </c>
      <c r="J28" s="153">
        <v>6</v>
      </c>
      <c r="K28" s="153">
        <v>33.6</v>
      </c>
      <c r="L28" s="153">
        <v>193.62</v>
      </c>
      <c r="M28" s="153"/>
      <c r="N28" s="153"/>
      <c r="O28" s="153">
        <v>7.47</v>
      </c>
      <c r="P28" s="153">
        <v>2.58</v>
      </c>
      <c r="Q28" s="153"/>
      <c r="R28" s="153"/>
      <c r="S28" s="153">
        <v>0.71</v>
      </c>
      <c r="T28" s="153">
        <v>0.67</v>
      </c>
      <c r="U28" s="153">
        <v>0.32</v>
      </c>
      <c r="V28" s="153">
        <v>0.19</v>
      </c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4">
        <f t="shared" si="0"/>
        <v>58.594000000000001</v>
      </c>
      <c r="AL28" s="154">
        <f t="shared" si="0"/>
        <v>217.67000000000002</v>
      </c>
    </row>
    <row r="29" spans="1:38" ht="24" customHeight="1" x14ac:dyDescent="0.25">
      <c r="A29" s="152">
        <v>27</v>
      </c>
      <c r="B29" s="56" t="s">
        <v>138</v>
      </c>
      <c r="C29" s="153"/>
      <c r="D29" s="153"/>
      <c r="E29" s="153">
        <v>2.0550000000000002</v>
      </c>
      <c r="F29" s="153">
        <v>19.600000000000001</v>
      </c>
      <c r="G29" s="153">
        <v>9</v>
      </c>
      <c r="H29" s="153">
        <v>7.2</v>
      </c>
      <c r="I29" s="153">
        <v>0.9</v>
      </c>
      <c r="J29" s="153">
        <v>1.74</v>
      </c>
      <c r="K29" s="153">
        <v>1.29</v>
      </c>
      <c r="L29" s="153">
        <v>1.93</v>
      </c>
      <c r="M29" s="153"/>
      <c r="N29" s="153"/>
      <c r="O29" s="153">
        <v>0.9</v>
      </c>
      <c r="P29" s="153">
        <v>3.8</v>
      </c>
      <c r="Q29" s="153">
        <v>0</v>
      </c>
      <c r="R29" s="153">
        <v>0.01</v>
      </c>
      <c r="S29" s="153"/>
      <c r="T29" s="153"/>
      <c r="U29" s="153">
        <v>0.4</v>
      </c>
      <c r="V29" s="153">
        <v>2.61</v>
      </c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4">
        <f t="shared" si="0"/>
        <v>14.545000000000002</v>
      </c>
      <c r="AL29" s="154">
        <f t="shared" si="0"/>
        <v>36.889999999999993</v>
      </c>
    </row>
    <row r="30" spans="1:38" ht="24" customHeight="1" x14ac:dyDescent="0.25">
      <c r="A30" s="152">
        <v>28</v>
      </c>
      <c r="B30" s="56" t="s">
        <v>139</v>
      </c>
      <c r="C30" s="153">
        <v>0.26</v>
      </c>
      <c r="D30" s="153">
        <v>0.06</v>
      </c>
      <c r="E30" s="153">
        <v>11.893000000000001</v>
      </c>
      <c r="F30" s="153">
        <v>129.02000000000001</v>
      </c>
      <c r="G30" s="153">
        <v>65.12</v>
      </c>
      <c r="H30" s="153">
        <v>100.34</v>
      </c>
      <c r="I30" s="153">
        <v>16.71</v>
      </c>
      <c r="J30" s="153">
        <v>42.41</v>
      </c>
      <c r="K30" s="153">
        <v>3.73</v>
      </c>
      <c r="L30" s="153">
        <v>36.07</v>
      </c>
      <c r="M30" s="153">
        <v>2.94</v>
      </c>
      <c r="N30" s="153">
        <v>0.76</v>
      </c>
      <c r="O30" s="153">
        <v>11.45</v>
      </c>
      <c r="P30" s="153">
        <v>14.52</v>
      </c>
      <c r="Q30" s="153">
        <v>1.46</v>
      </c>
      <c r="R30" s="153">
        <v>1.45</v>
      </c>
      <c r="S30" s="153">
        <v>1.02</v>
      </c>
      <c r="T30" s="153">
        <v>1.03</v>
      </c>
      <c r="U30" s="153">
        <v>2.42</v>
      </c>
      <c r="V30" s="153">
        <v>2.64</v>
      </c>
      <c r="W30" s="153"/>
      <c r="X30" s="153"/>
      <c r="Y30" s="153">
        <v>1.25</v>
      </c>
      <c r="Z30" s="153">
        <v>1.6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4">
        <f t="shared" si="0"/>
        <v>118.253</v>
      </c>
      <c r="AL30" s="154">
        <f t="shared" si="0"/>
        <v>329.9</v>
      </c>
    </row>
    <row r="31" spans="1:38" ht="24" customHeight="1" x14ac:dyDescent="0.25">
      <c r="A31" s="152">
        <v>29</v>
      </c>
      <c r="B31" s="56" t="s">
        <v>207</v>
      </c>
      <c r="C31" s="153">
        <v>1.39</v>
      </c>
      <c r="D31" s="153">
        <v>0.41000000000000003</v>
      </c>
      <c r="E31" s="153">
        <v>0.215</v>
      </c>
      <c r="F31" s="153">
        <v>1.91</v>
      </c>
      <c r="G31" s="153">
        <v>0.4</v>
      </c>
      <c r="H31" s="153">
        <v>0.64</v>
      </c>
      <c r="I31" s="153">
        <v>8.1000000000000003E-2</v>
      </c>
      <c r="J31" s="153">
        <v>0.47099999999999997</v>
      </c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>
        <v>0.15</v>
      </c>
      <c r="AB31" s="153">
        <v>0.04</v>
      </c>
      <c r="AC31" s="153">
        <v>0.26</v>
      </c>
      <c r="AD31" s="153">
        <v>6.0000000000000005E-2</v>
      </c>
      <c r="AE31" s="153">
        <v>0.16</v>
      </c>
      <c r="AF31" s="153">
        <v>0.01</v>
      </c>
      <c r="AG31" s="153">
        <v>0.06</v>
      </c>
      <c r="AH31" s="153">
        <v>0.28000000000000003</v>
      </c>
      <c r="AI31" s="153"/>
      <c r="AJ31" s="153"/>
      <c r="AK31" s="154">
        <f>C31+E31+G31+I31+K31+M31+O31+Q31+S31+U31+W31+Y31+AA31+AC31+AE31+AG31+AI31</f>
        <v>2.7159999999999997</v>
      </c>
      <c r="AL31" s="154">
        <f>D31+F31+H31+J31+L31+N31+P31+R31+T31+V31+X31+Z31+AB31+AD31+AF31+AH31+AJ31</f>
        <v>3.8209999999999997</v>
      </c>
    </row>
    <row r="32" spans="1:38" ht="24" customHeight="1" x14ac:dyDescent="0.25">
      <c r="A32" s="152"/>
      <c r="B32" s="56" t="s">
        <v>109</v>
      </c>
      <c r="C32" s="154">
        <f>SUM(C3:C31)</f>
        <v>128.59</v>
      </c>
      <c r="D32" s="154">
        <f t="shared" ref="D32:AL32" si="1">SUM(D3:D31)</f>
        <v>54.639999999999993</v>
      </c>
      <c r="E32" s="154">
        <f t="shared" si="1"/>
        <v>163.62300000000005</v>
      </c>
      <c r="F32" s="154">
        <f t="shared" si="1"/>
        <v>1109.1799999999998</v>
      </c>
      <c r="G32" s="154">
        <f t="shared" si="1"/>
        <v>811.1400000000001</v>
      </c>
      <c r="H32" s="154">
        <f t="shared" si="1"/>
        <v>1520.39</v>
      </c>
      <c r="I32" s="154">
        <f t="shared" si="1"/>
        <v>185.90100000000004</v>
      </c>
      <c r="J32" s="154">
        <f t="shared" si="1"/>
        <v>943.30100000000004</v>
      </c>
      <c r="K32" s="154">
        <f t="shared" si="1"/>
        <v>280.95000000000005</v>
      </c>
      <c r="L32" s="154">
        <f t="shared" si="1"/>
        <v>1617.3400000000001</v>
      </c>
      <c r="M32" s="154">
        <f t="shared" si="1"/>
        <v>85.66</v>
      </c>
      <c r="N32" s="154">
        <f t="shared" si="1"/>
        <v>24.07</v>
      </c>
      <c r="O32" s="154">
        <f t="shared" si="1"/>
        <v>581.6</v>
      </c>
      <c r="P32" s="154">
        <f t="shared" si="1"/>
        <v>584.98</v>
      </c>
      <c r="Q32" s="154">
        <f t="shared" si="1"/>
        <v>808.02</v>
      </c>
      <c r="R32" s="154">
        <f t="shared" si="1"/>
        <v>503.26999999999992</v>
      </c>
      <c r="S32" s="154">
        <f t="shared" si="1"/>
        <v>75.929999999999993</v>
      </c>
      <c r="T32" s="154">
        <f t="shared" si="1"/>
        <v>129.35999999999999</v>
      </c>
      <c r="U32" s="154">
        <f t="shared" si="1"/>
        <v>219.17999999999998</v>
      </c>
      <c r="V32" s="154">
        <f t="shared" si="1"/>
        <v>247.14000000000001</v>
      </c>
      <c r="W32" s="154">
        <f t="shared" si="1"/>
        <v>23.709999999999997</v>
      </c>
      <c r="X32" s="154">
        <f t="shared" si="1"/>
        <v>16.009999999999998</v>
      </c>
      <c r="Y32" s="154">
        <f t="shared" si="1"/>
        <v>25.64</v>
      </c>
      <c r="Z32" s="154">
        <f t="shared" si="1"/>
        <v>23.35</v>
      </c>
      <c r="AA32" s="154">
        <f t="shared" si="1"/>
        <v>2.76</v>
      </c>
      <c r="AB32" s="154">
        <f t="shared" si="1"/>
        <v>5.07</v>
      </c>
      <c r="AC32" s="154">
        <f t="shared" si="1"/>
        <v>21.220000000000002</v>
      </c>
      <c r="AD32" s="154">
        <f t="shared" si="1"/>
        <v>14.459999999999999</v>
      </c>
      <c r="AE32" s="154">
        <f t="shared" si="1"/>
        <v>2.31</v>
      </c>
      <c r="AF32" s="154">
        <f t="shared" si="1"/>
        <v>1.21</v>
      </c>
      <c r="AG32" s="154">
        <f t="shared" si="1"/>
        <v>52.890000000000008</v>
      </c>
      <c r="AH32" s="154">
        <f t="shared" si="1"/>
        <v>194.41</v>
      </c>
      <c r="AI32" s="154">
        <f t="shared" si="1"/>
        <v>4.41</v>
      </c>
      <c r="AJ32" s="154">
        <f t="shared" si="1"/>
        <v>0.28999999999999998</v>
      </c>
      <c r="AK32" s="154">
        <f t="shared" si="1"/>
        <v>3473.5340000000001</v>
      </c>
      <c r="AL32" s="154">
        <f t="shared" si="1"/>
        <v>6988.4709999999995</v>
      </c>
    </row>
    <row r="33" spans="1:2" x14ac:dyDescent="0.25">
      <c r="A33" s="156" t="s">
        <v>252</v>
      </c>
      <c r="B33" s="83"/>
    </row>
    <row r="34" spans="1:2" x14ac:dyDescent="0.25">
      <c r="A34" s="156" t="s">
        <v>2</v>
      </c>
      <c r="B34" s="83"/>
    </row>
  </sheetData>
  <mergeCells count="19">
    <mergeCell ref="A1:A2"/>
    <mergeCell ref="AG1:AH1"/>
    <mergeCell ref="AI1:AJ1"/>
    <mergeCell ref="M1:N1"/>
    <mergeCell ref="C1:D1"/>
    <mergeCell ref="E1:F1"/>
    <mergeCell ref="G1:H1"/>
    <mergeCell ref="I1:J1"/>
    <mergeCell ref="K1:L1"/>
    <mergeCell ref="AK1:AL1"/>
    <mergeCell ref="O1:P1"/>
    <mergeCell ref="Q1:R1"/>
    <mergeCell ref="S1:T1"/>
    <mergeCell ref="U1:V1"/>
    <mergeCell ref="W1:X1"/>
    <mergeCell ref="Y1:Z1"/>
    <mergeCell ref="AA1:AB1"/>
    <mergeCell ref="AC1:AD1"/>
    <mergeCell ref="AE1:AF1"/>
  </mergeCells>
  <pageMargins left="0.3" right="0.3" top="0.81" bottom="0.34" header="0.45" footer="0.16"/>
  <pageSetup paperSize="9" scale="65" orientation="landscape" r:id="rId1"/>
  <headerFooter>
    <oddHeader>&amp;C&amp;"-,Bold"&amp;14Area and Production of Spices Crop 2015-16 (Final)&amp;R&amp;"-,Bold"&amp;12Area in '000 Ha
Production in  '000 MT</oddHeader>
  </headerFooter>
  <colBreaks count="2" manualBreakCount="2">
    <brk id="14" max="1048575" man="1"/>
    <brk id="2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5"/>
  <sheetViews>
    <sheetView tabSelected="1" zoomScaleNormal="100" workbookViewId="0">
      <pane xSplit="11" ySplit="1" topLeftCell="AJ23" activePane="bottomRight" state="frozen"/>
      <selection pane="topRight" activeCell="L1" sqref="L1"/>
      <selection pane="bottomLeft" activeCell="A2" sqref="A2"/>
      <selection pane="bottomRight" activeCell="D43" sqref="D43"/>
    </sheetView>
  </sheetViews>
  <sheetFormatPr defaultRowHeight="15.75" x14ac:dyDescent="0.25"/>
  <cols>
    <col min="1" max="1" width="9.140625" style="78"/>
    <col min="2" max="2" width="25.28515625" style="78" customWidth="1"/>
    <col min="3" max="3" width="12.5703125" style="78" customWidth="1"/>
    <col min="4" max="4" width="12.140625" style="78" customWidth="1"/>
    <col min="5" max="5" width="11.42578125" style="78" customWidth="1"/>
    <col min="6" max="6" width="12.42578125" style="78" customWidth="1"/>
    <col min="7" max="7" width="12.140625" style="78" customWidth="1"/>
    <col min="8" max="8" width="11" style="78" customWidth="1"/>
    <col min="9" max="9" width="11.5703125" style="78" customWidth="1"/>
    <col min="10" max="10" width="11.140625" style="78" customWidth="1"/>
    <col min="11" max="11" width="10.7109375" style="78" customWidth="1"/>
    <col min="12" max="13" width="10.85546875" style="78" customWidth="1"/>
    <col min="14" max="14" width="14.28515625" style="78" customWidth="1"/>
    <col min="15" max="16" width="9" style="78" customWidth="1"/>
    <col min="17" max="17" width="11.140625" style="78" customWidth="1"/>
    <col min="18" max="28" width="9" style="78" customWidth="1"/>
    <col min="29" max="29" width="12.85546875" style="78" customWidth="1"/>
    <col min="30" max="31" width="9" style="78" customWidth="1"/>
    <col min="32" max="32" width="9.5703125" style="78" customWidth="1"/>
    <col min="33" max="35" width="9" style="78" customWidth="1"/>
    <col min="36" max="37" width="10.7109375" style="78" customWidth="1"/>
    <col min="38" max="39" width="12.7109375" style="78" customWidth="1"/>
    <col min="40" max="40" width="12.42578125" style="78" customWidth="1"/>
    <col min="41" max="41" width="13" style="78" customWidth="1"/>
    <col min="42" max="42" width="10.5703125" style="78" bestFit="1" customWidth="1"/>
    <col min="43" max="16384" width="9.140625" style="78"/>
  </cols>
  <sheetData>
    <row r="1" spans="1:41" ht="15.75" customHeight="1" x14ac:dyDescent="0.25">
      <c r="A1" s="206" t="s">
        <v>248</v>
      </c>
      <c r="B1" s="128" t="s">
        <v>144</v>
      </c>
      <c r="C1" s="205" t="s">
        <v>230</v>
      </c>
      <c r="D1" s="205"/>
      <c r="E1" s="205"/>
      <c r="F1" s="204" t="s">
        <v>231</v>
      </c>
      <c r="G1" s="204"/>
      <c r="H1" s="203"/>
      <c r="I1" s="202" t="s">
        <v>232</v>
      </c>
      <c r="J1" s="204"/>
      <c r="K1" s="203"/>
      <c r="L1" s="202" t="s">
        <v>233</v>
      </c>
      <c r="M1" s="204"/>
      <c r="N1" s="203"/>
      <c r="O1" s="202" t="s">
        <v>234</v>
      </c>
      <c r="P1" s="204"/>
      <c r="Q1" s="203"/>
      <c r="R1" s="202" t="s">
        <v>235</v>
      </c>
      <c r="S1" s="204"/>
      <c r="T1" s="203"/>
      <c r="U1" s="202" t="s">
        <v>236</v>
      </c>
      <c r="V1" s="204"/>
      <c r="W1" s="203"/>
      <c r="X1" s="202" t="s">
        <v>237</v>
      </c>
      <c r="Y1" s="204"/>
      <c r="Z1" s="203"/>
      <c r="AA1" s="202" t="s">
        <v>238</v>
      </c>
      <c r="AB1" s="204"/>
      <c r="AC1" s="203"/>
      <c r="AD1" s="202" t="s">
        <v>239</v>
      </c>
      <c r="AE1" s="204"/>
      <c r="AF1" s="203"/>
      <c r="AG1" s="202" t="s">
        <v>240</v>
      </c>
      <c r="AH1" s="204"/>
      <c r="AI1" s="207"/>
      <c r="AJ1" s="208" t="s">
        <v>241</v>
      </c>
      <c r="AK1" s="209"/>
      <c r="AL1" s="210"/>
      <c r="AM1" s="205" t="s">
        <v>109</v>
      </c>
      <c r="AN1" s="205"/>
      <c r="AO1" s="205"/>
    </row>
    <row r="2" spans="1:41" ht="18" customHeight="1" x14ac:dyDescent="0.25">
      <c r="A2" s="206"/>
      <c r="B2" s="129"/>
      <c r="C2" s="130" t="s">
        <v>110</v>
      </c>
      <c r="D2" s="205" t="s">
        <v>111</v>
      </c>
      <c r="E2" s="205"/>
      <c r="F2" s="131" t="s">
        <v>110</v>
      </c>
      <c r="G2" s="202" t="s">
        <v>111</v>
      </c>
      <c r="H2" s="203"/>
      <c r="I2" s="132" t="s">
        <v>110</v>
      </c>
      <c r="J2" s="202" t="s">
        <v>111</v>
      </c>
      <c r="K2" s="203"/>
      <c r="L2" s="132" t="s">
        <v>110</v>
      </c>
      <c r="M2" s="202" t="s">
        <v>111</v>
      </c>
      <c r="N2" s="203"/>
      <c r="O2" s="132" t="s">
        <v>110</v>
      </c>
      <c r="P2" s="202" t="s">
        <v>111</v>
      </c>
      <c r="Q2" s="203"/>
      <c r="R2" s="132" t="s">
        <v>110</v>
      </c>
      <c r="S2" s="202" t="s">
        <v>111</v>
      </c>
      <c r="T2" s="203"/>
      <c r="U2" s="132" t="s">
        <v>110</v>
      </c>
      <c r="V2" s="202" t="s">
        <v>111</v>
      </c>
      <c r="W2" s="203"/>
      <c r="X2" s="132" t="s">
        <v>110</v>
      </c>
      <c r="Y2" s="202" t="s">
        <v>111</v>
      </c>
      <c r="Z2" s="203"/>
      <c r="AA2" s="132" t="s">
        <v>110</v>
      </c>
      <c r="AB2" s="202" t="s">
        <v>111</v>
      </c>
      <c r="AC2" s="203"/>
      <c r="AD2" s="132" t="s">
        <v>110</v>
      </c>
      <c r="AE2" s="202" t="s">
        <v>111</v>
      </c>
      <c r="AF2" s="203"/>
      <c r="AG2" s="132" t="s">
        <v>110</v>
      </c>
      <c r="AH2" s="202" t="s">
        <v>111</v>
      </c>
      <c r="AI2" s="203"/>
      <c r="AJ2" s="132" t="s">
        <v>110</v>
      </c>
      <c r="AK2" s="202" t="s">
        <v>111</v>
      </c>
      <c r="AL2" s="203"/>
      <c r="AM2" s="132" t="s">
        <v>110</v>
      </c>
      <c r="AN2" s="202" t="s">
        <v>111</v>
      </c>
      <c r="AO2" s="203"/>
    </row>
    <row r="3" spans="1:41" x14ac:dyDescent="0.25">
      <c r="A3" s="133"/>
      <c r="B3" s="73"/>
      <c r="C3" s="130"/>
      <c r="D3" s="130" t="s">
        <v>145</v>
      </c>
      <c r="E3" s="130" t="s">
        <v>146</v>
      </c>
      <c r="F3" s="131"/>
      <c r="G3" s="132" t="s">
        <v>145</v>
      </c>
      <c r="H3" s="132" t="s">
        <v>146</v>
      </c>
      <c r="I3" s="132"/>
      <c r="J3" s="132" t="s">
        <v>145</v>
      </c>
      <c r="K3" s="132" t="s">
        <v>146</v>
      </c>
      <c r="L3" s="132"/>
      <c r="M3" s="132" t="s">
        <v>145</v>
      </c>
      <c r="N3" s="132" t="s">
        <v>146</v>
      </c>
      <c r="O3" s="131"/>
      <c r="P3" s="132" t="s">
        <v>145</v>
      </c>
      <c r="Q3" s="132" t="s">
        <v>146</v>
      </c>
      <c r="R3" s="132"/>
      <c r="S3" s="132" t="s">
        <v>145</v>
      </c>
      <c r="T3" s="132" t="s">
        <v>146</v>
      </c>
      <c r="U3" s="132"/>
      <c r="V3" s="132" t="s">
        <v>145</v>
      </c>
      <c r="W3" s="132" t="s">
        <v>146</v>
      </c>
      <c r="X3" s="132"/>
      <c r="Y3" s="132" t="s">
        <v>145</v>
      </c>
      <c r="Z3" s="132" t="s">
        <v>146</v>
      </c>
      <c r="AA3" s="132"/>
      <c r="AB3" s="132" t="s">
        <v>145</v>
      </c>
      <c r="AC3" s="132" t="s">
        <v>146</v>
      </c>
      <c r="AD3" s="132"/>
      <c r="AE3" s="132" t="s">
        <v>145</v>
      </c>
      <c r="AF3" s="132" t="s">
        <v>146</v>
      </c>
      <c r="AG3" s="132"/>
      <c r="AH3" s="132" t="s">
        <v>145</v>
      </c>
      <c r="AI3" s="132" t="s">
        <v>146</v>
      </c>
      <c r="AJ3" s="130"/>
      <c r="AK3" s="132" t="s">
        <v>145</v>
      </c>
      <c r="AL3" s="132" t="s">
        <v>146</v>
      </c>
      <c r="AM3" s="130"/>
      <c r="AN3" s="130" t="s">
        <v>145</v>
      </c>
      <c r="AO3" s="130" t="s">
        <v>146</v>
      </c>
    </row>
    <row r="4" spans="1:41" ht="21" customHeight="1" x14ac:dyDescent="0.25">
      <c r="A4" s="70">
        <v>1</v>
      </c>
      <c r="B4" s="56" t="s">
        <v>112</v>
      </c>
      <c r="C4" s="76"/>
      <c r="D4" s="76"/>
      <c r="E4" s="76"/>
      <c r="F4" s="74"/>
      <c r="G4" s="69"/>
      <c r="H4" s="69"/>
      <c r="I4" s="69">
        <v>2.6019999999999999</v>
      </c>
      <c r="J4" s="69">
        <v>25.542000000000002</v>
      </c>
      <c r="K4" s="69"/>
      <c r="L4" s="69"/>
      <c r="M4" s="72"/>
      <c r="N4" s="73"/>
      <c r="O4" s="74"/>
      <c r="P4" s="75"/>
      <c r="Q4" s="69"/>
      <c r="R4" s="69">
        <v>2.7090000000000001</v>
      </c>
      <c r="S4" s="69">
        <v>15.128</v>
      </c>
      <c r="T4" s="69"/>
      <c r="U4" s="69">
        <v>6.9660000000000002</v>
      </c>
      <c r="V4" s="69">
        <v>66.543999999999997</v>
      </c>
      <c r="W4" s="69"/>
      <c r="X4" s="69"/>
      <c r="Y4" s="69"/>
      <c r="Z4" s="69"/>
      <c r="AA4" s="69">
        <v>0.47699999999999998</v>
      </c>
      <c r="AB4" s="69">
        <v>2.871</v>
      </c>
      <c r="AC4" s="69"/>
      <c r="AD4" s="69">
        <v>1.617</v>
      </c>
      <c r="AE4" s="69">
        <v>18.524999999999999</v>
      </c>
      <c r="AF4" s="69"/>
      <c r="AG4" s="69"/>
      <c r="AH4" s="69"/>
      <c r="AI4" s="69"/>
      <c r="AJ4" s="134">
        <v>3.883</v>
      </c>
      <c r="AK4" s="134">
        <v>18.672000000000001</v>
      </c>
      <c r="AL4" s="135"/>
      <c r="AM4" s="77">
        <f>C4+F4+I4+L4+O4+R4+U4+X4+AA4+AD4+AG4+AJ4</f>
        <v>18.254000000000001</v>
      </c>
      <c r="AN4" s="77">
        <f>D4+G4+J4+M4+P4+S4+V4+Y4+AB4+AE4+AH4+AK4</f>
        <v>147.28199999999998</v>
      </c>
      <c r="AO4" s="77">
        <f>E4+H4+K4+N4+Q4+T4+W4+Z4+AC4+AF4+AI4+AL4</f>
        <v>0</v>
      </c>
    </row>
    <row r="5" spans="1:41" ht="21" customHeight="1" x14ac:dyDescent="0.25">
      <c r="A5" s="70">
        <v>2</v>
      </c>
      <c r="B5" s="136" t="s">
        <v>147</v>
      </c>
      <c r="C5" s="133">
        <v>3.5999999999999999E-3</v>
      </c>
      <c r="D5" s="133"/>
      <c r="E5" s="133">
        <f>3.88/180</f>
        <v>2.1555555555555553E-2</v>
      </c>
      <c r="F5" s="137"/>
      <c r="G5" s="133"/>
      <c r="H5" s="133"/>
      <c r="I5" s="133"/>
      <c r="J5" s="133"/>
      <c r="K5" s="133"/>
      <c r="L5" s="133">
        <v>3.5500000000000002E-3</v>
      </c>
      <c r="M5" s="133"/>
      <c r="N5" s="133">
        <f>3.5/175</f>
        <v>0.02</v>
      </c>
      <c r="O5" s="133"/>
      <c r="P5" s="133"/>
      <c r="Q5" s="133"/>
      <c r="R5" s="133"/>
      <c r="S5" s="133"/>
      <c r="T5" s="133"/>
      <c r="U5" s="133">
        <v>4.4000000000000003E-3</v>
      </c>
      <c r="V5" s="133">
        <v>4.0000000000000001E-3</v>
      </c>
      <c r="W5" s="133"/>
      <c r="X5" s="133"/>
      <c r="Y5" s="133"/>
      <c r="Z5" s="133"/>
      <c r="AA5" s="133">
        <v>4.4999999999999997E-3</v>
      </c>
      <c r="AB5" s="133"/>
      <c r="AC5" s="133">
        <f>5.2/180</f>
        <v>2.8888888888888891E-2</v>
      </c>
      <c r="AD5" s="133"/>
      <c r="AE5" s="133"/>
      <c r="AF5" s="133"/>
      <c r="AG5" s="133"/>
      <c r="AH5" s="133"/>
      <c r="AI5" s="133"/>
      <c r="AJ5" s="133">
        <f>0.00661+0.0003+0.0006</f>
        <v>7.5100000000000002E-3</v>
      </c>
      <c r="AK5" s="133">
        <f>0.00459+0.002+0.0005</f>
        <v>7.0900000000000008E-3</v>
      </c>
      <c r="AL5" s="133"/>
      <c r="AM5" s="77">
        <f t="shared" ref="AM5:AM32" si="0">C5+F5+I5+L5+O5+R5+U5+X5+AA5+AD5+AG5+AJ5</f>
        <v>2.3560000000000001E-2</v>
      </c>
      <c r="AN5" s="77">
        <f t="shared" ref="AN5:AN32" si="1">D5+G5+J5+M5+P5+S5+V5+Y5+AB5+AE5+AH5+AK5</f>
        <v>1.1090000000000001E-2</v>
      </c>
      <c r="AO5" s="77">
        <f t="shared" ref="AO5:AO32" si="2">E5+H5+K5+N5+Q5+T5+W5+Z5+AC5+AF5+AI5+AL5</f>
        <v>7.0444444444444448E-2</v>
      </c>
    </row>
    <row r="6" spans="1:41" ht="21" customHeight="1" x14ac:dyDescent="0.25">
      <c r="A6" s="138">
        <v>3</v>
      </c>
      <c r="B6" s="139" t="s">
        <v>114</v>
      </c>
      <c r="C6" s="134">
        <v>0.125</v>
      </c>
      <c r="D6" s="134">
        <v>0.86499999999999999</v>
      </c>
      <c r="E6" s="134">
        <v>1.1777777777777778</v>
      </c>
      <c r="F6" s="69">
        <v>0.185</v>
      </c>
      <c r="G6" s="69">
        <v>1.2609999999999999</v>
      </c>
      <c r="H6" s="69">
        <v>1.4952380952380953</v>
      </c>
      <c r="I6" s="69">
        <v>0.245</v>
      </c>
      <c r="J6" s="69">
        <v>1.657</v>
      </c>
      <c r="K6" s="69">
        <v>2.3111111111111109</v>
      </c>
      <c r="L6" s="69">
        <v>0.76500000000000001</v>
      </c>
      <c r="M6" s="72">
        <v>4.9930000000000003</v>
      </c>
      <c r="N6" s="73">
        <v>7.4285714285714288</v>
      </c>
      <c r="O6" s="74">
        <v>0.42499999999999999</v>
      </c>
      <c r="P6" s="75">
        <v>2.8450000000000002</v>
      </c>
      <c r="Q6" s="69">
        <v>9.0250000000000004</v>
      </c>
      <c r="R6" s="69">
        <v>0.26500000000000001</v>
      </c>
      <c r="S6" s="69">
        <v>1.7889999999999999</v>
      </c>
      <c r="T6" s="69">
        <v>2.5</v>
      </c>
      <c r="U6" s="69">
        <v>0.60499999999999998</v>
      </c>
      <c r="V6" s="69">
        <v>4.0330000000000004</v>
      </c>
      <c r="W6" s="69">
        <v>5.7111111111111112</v>
      </c>
      <c r="X6" s="69">
        <v>0.72499999999999998</v>
      </c>
      <c r="Y6" s="69">
        <v>4.8250000000000002</v>
      </c>
      <c r="Z6" s="69">
        <v>5.2649572649572644E-2</v>
      </c>
      <c r="AA6" s="69">
        <v>0.40500000000000003</v>
      </c>
      <c r="AB6" s="69">
        <v>2.7130000000000001</v>
      </c>
      <c r="AC6" s="69">
        <v>5.2923076923076922</v>
      </c>
      <c r="AD6" s="69">
        <v>0.34</v>
      </c>
      <c r="AE6" s="69">
        <v>2.2879999999999998</v>
      </c>
      <c r="AF6" s="69">
        <v>3.2111111111111112</v>
      </c>
      <c r="AG6" s="69"/>
      <c r="AH6" s="69"/>
      <c r="AI6" s="69"/>
      <c r="AJ6" s="69">
        <v>0.96499999999999997</v>
      </c>
      <c r="AK6" s="69">
        <v>6.4089999999999998</v>
      </c>
      <c r="AL6" s="76">
        <v>8.3888888888888893</v>
      </c>
      <c r="AM6" s="77">
        <f t="shared" si="0"/>
        <v>5.05</v>
      </c>
      <c r="AN6" s="77">
        <f t="shared" si="1"/>
        <v>33.678000000000004</v>
      </c>
      <c r="AO6" s="77">
        <f t="shared" si="2"/>
        <v>46.593766788766786</v>
      </c>
    </row>
    <row r="7" spans="1:41" ht="21" customHeight="1" x14ac:dyDescent="0.25">
      <c r="A7" s="70">
        <v>4</v>
      </c>
      <c r="B7" s="71" t="s">
        <v>115</v>
      </c>
      <c r="C7" s="133"/>
      <c r="D7" s="133"/>
      <c r="E7" s="133"/>
      <c r="F7" s="133"/>
      <c r="G7" s="133"/>
      <c r="H7" s="133"/>
      <c r="I7" s="133"/>
      <c r="J7" s="133"/>
      <c r="K7" s="133">
        <v>0</v>
      </c>
      <c r="L7" s="133"/>
      <c r="M7" s="133"/>
      <c r="N7" s="133">
        <v>0</v>
      </c>
      <c r="O7" s="133"/>
      <c r="P7" s="133"/>
      <c r="Q7" s="133">
        <v>0</v>
      </c>
      <c r="R7" s="133"/>
      <c r="S7" s="133"/>
      <c r="T7" s="133">
        <v>0</v>
      </c>
      <c r="U7" s="133"/>
      <c r="V7" s="133"/>
      <c r="W7" s="133">
        <v>0</v>
      </c>
      <c r="X7" s="133"/>
      <c r="Y7" s="133"/>
      <c r="Z7" s="133">
        <v>0</v>
      </c>
      <c r="AA7" s="133"/>
      <c r="AB7" s="133"/>
      <c r="AC7" s="133">
        <v>0</v>
      </c>
      <c r="AD7" s="133"/>
      <c r="AE7" s="133"/>
      <c r="AF7" s="133">
        <v>0</v>
      </c>
      <c r="AG7" s="133"/>
      <c r="AH7" s="133"/>
      <c r="AI7" s="133"/>
      <c r="AJ7" s="133">
        <f>0.06677+0.5892</f>
        <v>0.65596999999999994</v>
      </c>
      <c r="AK7" s="133">
        <v>7.8775000000000004</v>
      </c>
      <c r="AL7" s="133">
        <v>1.0045E-3</v>
      </c>
      <c r="AM7" s="77">
        <f t="shared" si="0"/>
        <v>0.65596999999999994</v>
      </c>
      <c r="AN7" s="77">
        <f t="shared" si="1"/>
        <v>7.8775000000000004</v>
      </c>
      <c r="AO7" s="77">
        <f t="shared" si="2"/>
        <v>1.0045E-3</v>
      </c>
    </row>
    <row r="8" spans="1:41" ht="21" customHeight="1" x14ac:dyDescent="0.25">
      <c r="A8" s="70">
        <v>5</v>
      </c>
      <c r="B8" s="71" t="s">
        <v>148</v>
      </c>
      <c r="C8" s="69"/>
      <c r="D8" s="69"/>
      <c r="E8" s="69"/>
      <c r="F8" s="69"/>
      <c r="G8" s="69"/>
      <c r="H8" s="69"/>
      <c r="I8" s="69">
        <v>0.28299999999999997</v>
      </c>
      <c r="J8" s="69">
        <v>0.878</v>
      </c>
      <c r="K8" s="69"/>
      <c r="L8" s="69"/>
      <c r="M8" s="72"/>
      <c r="N8" s="73">
        <v>0</v>
      </c>
      <c r="O8" s="74">
        <v>1.875</v>
      </c>
      <c r="P8" s="75"/>
      <c r="Q8" s="69">
        <f>2006/80</f>
        <v>25.074999999999999</v>
      </c>
      <c r="R8" s="69">
        <v>4.7E-2</v>
      </c>
      <c r="S8" s="69">
        <v>7.8E-2</v>
      </c>
      <c r="T8" s="69">
        <v>0</v>
      </c>
      <c r="U8" s="69">
        <v>4.4189999999999996</v>
      </c>
      <c r="V8" s="69">
        <v>30.501999999999999</v>
      </c>
      <c r="W8" s="69">
        <v>0</v>
      </c>
      <c r="X8" s="69"/>
      <c r="Y8" s="69"/>
      <c r="Z8" s="69">
        <v>0</v>
      </c>
      <c r="AA8" s="69">
        <v>0.92100000000000004</v>
      </c>
      <c r="AB8" s="69"/>
      <c r="AC8" s="69">
        <v>37.9</v>
      </c>
      <c r="AD8" s="69">
        <v>1.5009999999999999</v>
      </c>
      <c r="AE8" s="69">
        <v>5.407</v>
      </c>
      <c r="AF8" s="69">
        <v>0</v>
      </c>
      <c r="AG8" s="69"/>
      <c r="AH8" s="69"/>
      <c r="AI8" s="69"/>
      <c r="AJ8" s="69">
        <v>2.3809999999999998</v>
      </c>
      <c r="AK8" s="69">
        <v>6.3310000000000004</v>
      </c>
      <c r="AL8" s="76">
        <v>0</v>
      </c>
      <c r="AM8" s="77">
        <f t="shared" si="0"/>
        <v>11.427</v>
      </c>
      <c r="AN8" s="77">
        <f t="shared" si="1"/>
        <v>43.195999999999998</v>
      </c>
      <c r="AO8" s="77">
        <f t="shared" si="2"/>
        <v>62.974999999999994</v>
      </c>
    </row>
    <row r="9" spans="1:41" ht="21" customHeight="1" x14ac:dyDescent="0.25">
      <c r="A9" s="70">
        <v>6</v>
      </c>
      <c r="B9" s="71" t="s">
        <v>117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72"/>
      <c r="N9" s="73"/>
      <c r="O9" s="74"/>
      <c r="P9" s="75"/>
      <c r="Q9" s="69"/>
      <c r="R9" s="69"/>
      <c r="S9" s="69"/>
      <c r="T9" s="69"/>
      <c r="U9" s="69">
        <v>8.5</v>
      </c>
      <c r="V9" s="69">
        <v>81.704939999999993</v>
      </c>
      <c r="W9" s="69"/>
      <c r="X9" s="69"/>
      <c r="Y9" s="69"/>
      <c r="Z9" s="69"/>
      <c r="AA9" s="69">
        <v>4.282</v>
      </c>
      <c r="AB9" s="69">
        <v>39.103520000000003</v>
      </c>
      <c r="AC9" s="69"/>
      <c r="AD9" s="69"/>
      <c r="AE9" s="69"/>
      <c r="AF9" s="69"/>
      <c r="AG9" s="69"/>
      <c r="AH9" s="69"/>
      <c r="AI9" s="69"/>
      <c r="AJ9" s="69">
        <f>0.826+3.666+2.224</f>
        <v>6.7160000000000002</v>
      </c>
      <c r="AK9" s="69">
        <f>7.38358+36.4513+19.51688</f>
        <v>63.351760000000006</v>
      </c>
      <c r="AL9" s="76"/>
      <c r="AM9" s="77">
        <f t="shared" si="0"/>
        <v>19.498000000000001</v>
      </c>
      <c r="AN9" s="77">
        <f t="shared" si="1"/>
        <v>184.16022000000001</v>
      </c>
      <c r="AO9" s="77">
        <f t="shared" si="2"/>
        <v>0</v>
      </c>
    </row>
    <row r="10" spans="1:41" ht="21" customHeight="1" x14ac:dyDescent="0.25">
      <c r="A10" s="70">
        <v>7</v>
      </c>
      <c r="B10" s="71" t="s">
        <v>118</v>
      </c>
      <c r="C10" s="69"/>
      <c r="D10" s="69"/>
      <c r="E10" s="69"/>
      <c r="F10" s="69"/>
      <c r="G10" s="69"/>
      <c r="H10" s="69"/>
      <c r="I10" s="69">
        <v>4.1000000000000002E-2</v>
      </c>
      <c r="J10" s="69">
        <v>0.05</v>
      </c>
      <c r="K10" s="69">
        <f>36/180</f>
        <v>0.2</v>
      </c>
      <c r="L10" s="69"/>
      <c r="M10" s="72"/>
      <c r="N10" s="73"/>
      <c r="O10" s="74">
        <v>0.183</v>
      </c>
      <c r="P10" s="75"/>
      <c r="Q10" s="69">
        <f>245/80</f>
        <v>3.0625</v>
      </c>
      <c r="R10" s="69"/>
      <c r="S10" s="69"/>
      <c r="T10" s="69"/>
      <c r="U10" s="69">
        <v>5.5019999999999998</v>
      </c>
      <c r="V10" s="69">
        <v>61.83</v>
      </c>
      <c r="W10" s="69"/>
      <c r="X10" s="69"/>
      <c r="Y10" s="69"/>
      <c r="Z10" s="69"/>
      <c r="AA10" s="69">
        <v>0.191</v>
      </c>
      <c r="AB10" s="69">
        <v>1.0269999999999999</v>
      </c>
      <c r="AC10" s="69">
        <f>186/130</f>
        <v>1.4307692307692308</v>
      </c>
      <c r="AD10" s="69">
        <v>3.5000000000000003E-2</v>
      </c>
      <c r="AE10" s="69"/>
      <c r="AF10" s="69">
        <f>57/180</f>
        <v>0.31666666666666665</v>
      </c>
      <c r="AG10" s="69"/>
      <c r="AH10" s="69"/>
      <c r="AI10" s="69"/>
      <c r="AJ10" s="69">
        <v>6.3E-2</v>
      </c>
      <c r="AK10" s="69">
        <v>0.123</v>
      </c>
      <c r="AL10" s="76">
        <f>69/180</f>
        <v>0.38333333333333336</v>
      </c>
      <c r="AM10" s="77">
        <f t="shared" si="0"/>
        <v>6.0149999999999997</v>
      </c>
      <c r="AN10" s="77">
        <f t="shared" si="1"/>
        <v>63.029999999999994</v>
      </c>
      <c r="AO10" s="77">
        <f t="shared" si="2"/>
        <v>5.3932692307692314</v>
      </c>
    </row>
    <row r="11" spans="1:41" ht="21" customHeight="1" x14ac:dyDescent="0.25">
      <c r="A11" s="70">
        <v>8</v>
      </c>
      <c r="B11" s="71" t="s">
        <v>119</v>
      </c>
      <c r="C11" s="69"/>
      <c r="D11" s="69"/>
      <c r="E11" s="69"/>
      <c r="F11" s="69">
        <v>4.3999999999999997E-2</v>
      </c>
      <c r="G11" s="69"/>
      <c r="H11" s="69">
        <f>428/210</f>
        <v>2.038095238095238</v>
      </c>
      <c r="I11" s="69">
        <v>0.27700000000000002</v>
      </c>
      <c r="J11" s="69">
        <v>7.6260000000000003</v>
      </c>
      <c r="K11" s="69">
        <f>689/180</f>
        <v>3.8277777777777779</v>
      </c>
      <c r="L11" s="69">
        <v>4.0000000000000001E-3</v>
      </c>
      <c r="M11" s="72"/>
      <c r="N11" s="73">
        <f>52/175</f>
        <v>0.29714285714285715</v>
      </c>
      <c r="O11" s="74">
        <v>6.6000000000000003E-2</v>
      </c>
      <c r="P11" s="75"/>
      <c r="Q11" s="69">
        <f>125/80</f>
        <v>1.5625</v>
      </c>
      <c r="R11" s="69"/>
      <c r="S11" s="69"/>
      <c r="T11" s="69">
        <v>0</v>
      </c>
      <c r="U11" s="69">
        <v>0.17899999999999999</v>
      </c>
      <c r="V11" s="69">
        <v>15.773999999999999</v>
      </c>
      <c r="W11" s="69">
        <v>0</v>
      </c>
      <c r="X11" s="69"/>
      <c r="Y11" s="69"/>
      <c r="Z11" s="69">
        <v>0</v>
      </c>
      <c r="AA11" s="69">
        <v>3.5999999999999997E-2</v>
      </c>
      <c r="AB11" s="69"/>
      <c r="AC11" s="69">
        <f>267/130</f>
        <v>2.0538461538461537</v>
      </c>
      <c r="AD11" s="69"/>
      <c r="AE11" s="69"/>
      <c r="AF11" s="69">
        <v>0</v>
      </c>
      <c r="AG11" s="69"/>
      <c r="AH11" s="69"/>
      <c r="AI11" s="69"/>
      <c r="AJ11" s="69">
        <v>0.113</v>
      </c>
      <c r="AK11" s="69">
        <v>5.0000000000000001E-4</v>
      </c>
      <c r="AL11" s="76">
        <f>119/180</f>
        <v>0.66111111111111109</v>
      </c>
      <c r="AM11" s="77">
        <f t="shared" si="0"/>
        <v>0.71900000000000008</v>
      </c>
      <c r="AN11" s="77">
        <f t="shared" si="1"/>
        <v>23.400499999999997</v>
      </c>
      <c r="AO11" s="77">
        <f t="shared" si="2"/>
        <v>10.440473137973138</v>
      </c>
    </row>
    <row r="12" spans="1:41" ht="21" customHeight="1" x14ac:dyDescent="0.25">
      <c r="A12" s="70">
        <v>9</v>
      </c>
      <c r="B12" s="71" t="s">
        <v>120</v>
      </c>
      <c r="C12" s="69">
        <v>0.16</v>
      </c>
      <c r="D12" s="69"/>
      <c r="E12" s="69">
        <v>0</v>
      </c>
      <c r="F12" s="69">
        <v>2.76</v>
      </c>
      <c r="G12" s="69"/>
      <c r="H12" s="69">
        <f>31.86/210</f>
        <v>0.15171428571428572</v>
      </c>
      <c r="I12" s="69">
        <v>3.78</v>
      </c>
      <c r="J12" s="69">
        <v>2.56</v>
      </c>
      <c r="K12" s="69">
        <f>2.53/180</f>
        <v>1.4055555555555554E-2</v>
      </c>
      <c r="L12" s="69">
        <v>3.0000000000000001E-3</v>
      </c>
      <c r="M12" s="72"/>
      <c r="N12" s="73">
        <v>0</v>
      </c>
      <c r="O12" s="74">
        <v>3.4000000000000002E-2</v>
      </c>
      <c r="P12" s="75"/>
      <c r="Q12" s="69">
        <v>0</v>
      </c>
      <c r="R12" s="69">
        <v>0</v>
      </c>
      <c r="S12" s="69"/>
      <c r="T12" s="69">
        <f>0.2/180</f>
        <v>1.1111111111111111E-3</v>
      </c>
      <c r="U12" s="69">
        <v>0.33100000000000002</v>
      </c>
      <c r="V12" s="69">
        <v>0.26300000000000001</v>
      </c>
      <c r="W12" s="69">
        <v>0</v>
      </c>
      <c r="X12" s="69"/>
      <c r="Y12" s="69"/>
      <c r="Z12" s="69"/>
      <c r="AA12" s="69">
        <v>1.9E-2</v>
      </c>
      <c r="AB12" s="69">
        <v>1.4999999999999999E-2</v>
      </c>
      <c r="AC12" s="69"/>
      <c r="AD12" s="69">
        <v>0.79</v>
      </c>
      <c r="AE12" s="69">
        <v>0.01</v>
      </c>
      <c r="AF12" s="69">
        <f>3.5/180</f>
        <v>1.9444444444444445E-2</v>
      </c>
      <c r="AG12" s="69">
        <v>1.7999999999999999E-2</v>
      </c>
      <c r="AH12" s="69"/>
      <c r="AI12" s="69">
        <f>18.67/180</f>
        <v>0.10372222222222223</v>
      </c>
      <c r="AJ12" s="69">
        <f>17.43+0.47+8.53+1.08+0.85+12.83</f>
        <v>41.19</v>
      </c>
      <c r="AK12" s="69">
        <f>11.04+0.06+0.44+15.02</f>
        <v>26.56</v>
      </c>
      <c r="AL12" s="76">
        <f>18.18/180</f>
        <v>0.10099999999999999</v>
      </c>
      <c r="AM12" s="77">
        <f t="shared" si="0"/>
        <v>49.084999999999994</v>
      </c>
      <c r="AN12" s="77">
        <f t="shared" si="1"/>
        <v>29.407999999999998</v>
      </c>
      <c r="AO12" s="77">
        <f t="shared" si="2"/>
        <v>0.39104761904761903</v>
      </c>
    </row>
    <row r="13" spans="1:41" ht="21" customHeight="1" x14ac:dyDescent="0.25">
      <c r="A13" s="70">
        <v>10</v>
      </c>
      <c r="B13" s="71" t="s">
        <v>121</v>
      </c>
      <c r="C13" s="69"/>
      <c r="D13" s="69"/>
      <c r="E13" s="69"/>
      <c r="F13" s="69"/>
      <c r="G13" s="69"/>
      <c r="H13" s="69">
        <v>0</v>
      </c>
      <c r="I13" s="69"/>
      <c r="J13" s="69"/>
      <c r="K13" s="69"/>
      <c r="L13" s="69"/>
      <c r="M13" s="72"/>
      <c r="N13" s="73">
        <v>0</v>
      </c>
      <c r="O13" s="74"/>
      <c r="P13" s="75"/>
      <c r="Q13" s="69">
        <v>0</v>
      </c>
      <c r="R13" s="69"/>
      <c r="S13" s="69"/>
      <c r="T13" s="69">
        <v>0</v>
      </c>
      <c r="U13" s="69"/>
      <c r="V13" s="69"/>
      <c r="W13" s="69">
        <v>0</v>
      </c>
      <c r="X13" s="69"/>
      <c r="Y13" s="69"/>
      <c r="Z13" s="69">
        <v>0</v>
      </c>
      <c r="AA13" s="69"/>
      <c r="AB13" s="69"/>
      <c r="AC13" s="69">
        <v>0</v>
      </c>
      <c r="AD13" s="69"/>
      <c r="AE13" s="69"/>
      <c r="AF13" s="69">
        <v>0</v>
      </c>
      <c r="AG13" s="69"/>
      <c r="AH13" s="69"/>
      <c r="AI13" s="69"/>
      <c r="AJ13" s="69">
        <v>0.315</v>
      </c>
      <c r="AK13" s="69">
        <v>1.528</v>
      </c>
      <c r="AL13" s="76">
        <v>14.876555555555557</v>
      </c>
      <c r="AM13" s="77">
        <f t="shared" si="0"/>
        <v>0.315</v>
      </c>
      <c r="AN13" s="77">
        <f t="shared" si="1"/>
        <v>1.528</v>
      </c>
      <c r="AO13" s="77">
        <f t="shared" si="2"/>
        <v>14.876555555555557</v>
      </c>
    </row>
    <row r="14" spans="1:41" ht="21" customHeight="1" x14ac:dyDescent="0.25">
      <c r="A14" s="70">
        <v>11</v>
      </c>
      <c r="B14" s="71" t="s">
        <v>149</v>
      </c>
      <c r="C14" s="69">
        <v>1.2999999999999999E-2</v>
      </c>
      <c r="D14" s="69"/>
      <c r="E14" s="69">
        <f>10/180</f>
        <v>5.5555555555555552E-2</v>
      </c>
      <c r="F14" s="69">
        <v>1.4E-2</v>
      </c>
      <c r="G14" s="69"/>
      <c r="H14" s="69">
        <f>64/210</f>
        <v>0.30476190476190479</v>
      </c>
      <c r="I14" s="69">
        <v>5.4139999999999997</v>
      </c>
      <c r="J14" s="69">
        <v>58.234999999999999</v>
      </c>
      <c r="K14" s="69"/>
      <c r="L14" s="69">
        <v>9.6000000000000002E-2</v>
      </c>
      <c r="M14" s="72"/>
      <c r="N14" s="73">
        <f>414/175</f>
        <v>2.3657142857142857</v>
      </c>
      <c r="O14" s="74">
        <v>0.22900000000000001</v>
      </c>
      <c r="P14" s="75"/>
      <c r="Q14" s="69">
        <v>7.1</v>
      </c>
      <c r="R14" s="69">
        <v>5.7610000000000001</v>
      </c>
      <c r="S14" s="69">
        <v>36.915999999999997</v>
      </c>
      <c r="T14" s="69"/>
      <c r="U14" s="69">
        <v>10.285</v>
      </c>
      <c r="V14" s="69">
        <v>87.340999999999994</v>
      </c>
      <c r="W14" s="69"/>
      <c r="X14" s="69"/>
      <c r="Y14" s="69"/>
      <c r="Z14" s="69"/>
      <c r="AA14" s="69">
        <v>2.7970000000000002</v>
      </c>
      <c r="AB14" s="69">
        <v>0.59499999999999997</v>
      </c>
      <c r="AC14" s="69">
        <f>6516/130</f>
        <v>50.123076923076923</v>
      </c>
      <c r="AD14" s="69">
        <v>2.1930000000000001</v>
      </c>
      <c r="AE14" s="69">
        <v>17.425999999999998</v>
      </c>
      <c r="AF14" s="69">
        <f>668/180</f>
        <v>3.7111111111111112</v>
      </c>
      <c r="AG14" s="69"/>
      <c r="AH14" s="69"/>
      <c r="AI14" s="69"/>
      <c r="AJ14" s="69">
        <v>4.8730000000000002</v>
      </c>
      <c r="AK14" s="69">
        <v>29.948</v>
      </c>
      <c r="AL14" s="76">
        <f>95/180</f>
        <v>0.52777777777777779</v>
      </c>
      <c r="AM14" s="77">
        <f t="shared" si="0"/>
        <v>31.675000000000004</v>
      </c>
      <c r="AN14" s="77">
        <f t="shared" si="1"/>
        <v>230.46099999999998</v>
      </c>
      <c r="AO14" s="77">
        <f t="shared" si="2"/>
        <v>64.187997557997548</v>
      </c>
    </row>
    <row r="15" spans="1:41" ht="21" customHeight="1" x14ac:dyDescent="0.25">
      <c r="A15" s="70">
        <v>12</v>
      </c>
      <c r="B15" s="71" t="s">
        <v>123</v>
      </c>
      <c r="C15" s="69"/>
      <c r="D15" s="69"/>
      <c r="E15" s="69"/>
      <c r="F15" s="69"/>
      <c r="G15" s="69"/>
      <c r="H15" s="69">
        <v>0</v>
      </c>
      <c r="I15" s="69"/>
      <c r="J15" s="69"/>
      <c r="K15" s="69"/>
      <c r="L15" s="69"/>
      <c r="M15" s="72"/>
      <c r="N15" s="73">
        <v>0</v>
      </c>
      <c r="O15" s="74"/>
      <c r="P15" s="75"/>
      <c r="Q15" s="69">
        <v>0</v>
      </c>
      <c r="R15" s="69"/>
      <c r="S15" s="69"/>
      <c r="T15" s="69">
        <v>0</v>
      </c>
      <c r="U15" s="69"/>
      <c r="V15" s="69"/>
      <c r="W15" s="69">
        <v>0</v>
      </c>
      <c r="X15" s="69"/>
      <c r="Y15" s="69"/>
      <c r="Z15" s="69">
        <v>0</v>
      </c>
      <c r="AA15" s="69"/>
      <c r="AB15" s="69"/>
      <c r="AC15" s="69">
        <v>0</v>
      </c>
      <c r="AD15" s="69"/>
      <c r="AE15" s="69"/>
      <c r="AF15" s="69">
        <v>0</v>
      </c>
      <c r="AG15" s="69"/>
      <c r="AH15" s="69"/>
      <c r="AI15" s="69"/>
      <c r="AJ15" s="69">
        <f>12.7+0.18</f>
        <v>12.879999999999999</v>
      </c>
      <c r="AK15" s="69">
        <v>0.02</v>
      </c>
      <c r="AL15" s="69">
        <f>106.7/180</f>
        <v>0.59277777777777785</v>
      </c>
      <c r="AM15" s="77">
        <f t="shared" si="0"/>
        <v>12.879999999999999</v>
      </c>
      <c r="AN15" s="77">
        <f t="shared" si="1"/>
        <v>0.02</v>
      </c>
      <c r="AO15" s="77">
        <f t="shared" si="2"/>
        <v>0.59277777777777785</v>
      </c>
    </row>
    <row r="16" spans="1:41" ht="21" customHeight="1" x14ac:dyDescent="0.25">
      <c r="A16" s="70">
        <v>13</v>
      </c>
      <c r="B16" s="71" t="s">
        <v>124</v>
      </c>
      <c r="C16" s="69"/>
      <c r="D16" s="69"/>
      <c r="E16" s="69"/>
      <c r="F16" s="69"/>
      <c r="G16" s="69"/>
      <c r="H16" s="69">
        <v>0</v>
      </c>
      <c r="I16" s="69">
        <v>0.88200000000000001</v>
      </c>
      <c r="J16" s="69">
        <v>12</v>
      </c>
      <c r="K16" s="69"/>
      <c r="L16" s="69"/>
      <c r="M16" s="72"/>
      <c r="N16" s="73"/>
      <c r="O16" s="74">
        <v>2.0190000000000001</v>
      </c>
      <c r="P16" s="75">
        <v>39</v>
      </c>
      <c r="Q16" s="69"/>
      <c r="R16" s="69"/>
      <c r="S16" s="69"/>
      <c r="T16" s="69"/>
      <c r="U16" s="69">
        <v>8.5500000000000007</v>
      </c>
      <c r="V16" s="69">
        <v>94</v>
      </c>
      <c r="W16" s="69"/>
      <c r="X16" s="69"/>
      <c r="Y16" s="69"/>
      <c r="Z16" s="69"/>
      <c r="AA16" s="69">
        <v>2.4769999999999999</v>
      </c>
      <c r="AB16" s="69">
        <v>14</v>
      </c>
      <c r="AC16" s="69"/>
      <c r="AD16" s="69">
        <v>0.27700000000000002</v>
      </c>
      <c r="AE16" s="69">
        <v>1</v>
      </c>
      <c r="AF16" s="69"/>
      <c r="AG16" s="69"/>
      <c r="AH16" s="69"/>
      <c r="AI16" s="69"/>
      <c r="AJ16" s="69">
        <v>4.21</v>
      </c>
      <c r="AK16" s="69">
        <v>56</v>
      </c>
      <c r="AL16" s="76"/>
      <c r="AM16" s="77">
        <f t="shared" si="0"/>
        <v>18.414999999999999</v>
      </c>
      <c r="AN16" s="77">
        <f t="shared" si="1"/>
        <v>216</v>
      </c>
      <c r="AO16" s="77">
        <f t="shared" si="2"/>
        <v>0</v>
      </c>
    </row>
    <row r="17" spans="1:42" ht="21" customHeight="1" x14ac:dyDescent="0.25">
      <c r="A17" s="70">
        <v>14</v>
      </c>
      <c r="B17" s="71" t="s">
        <v>125</v>
      </c>
      <c r="C17" s="133"/>
      <c r="D17" s="133"/>
      <c r="E17" s="133"/>
      <c r="F17" s="133"/>
      <c r="G17" s="133"/>
      <c r="H17" s="133"/>
      <c r="I17" s="133">
        <v>0.76700000000000002</v>
      </c>
      <c r="J17" s="133">
        <v>5.048</v>
      </c>
      <c r="K17" s="133"/>
      <c r="L17" s="133">
        <v>1.4E-2</v>
      </c>
      <c r="M17" s="133">
        <v>1E-3</v>
      </c>
      <c r="N17" s="133">
        <v>0.66285714285714281</v>
      </c>
      <c r="O17" s="133">
        <v>0.443</v>
      </c>
      <c r="P17" s="133">
        <v>0.307</v>
      </c>
      <c r="Q17" s="133">
        <v>25.976625000000002</v>
      </c>
      <c r="R17" s="133">
        <v>0.64100000000000001</v>
      </c>
      <c r="S17" s="133">
        <v>2.4569999999999999</v>
      </c>
      <c r="T17" s="133"/>
      <c r="U17" s="133">
        <v>6.3179999999999996</v>
      </c>
      <c r="V17" s="133">
        <v>48.289000000000001</v>
      </c>
      <c r="W17" s="133"/>
      <c r="X17" s="133"/>
      <c r="Y17" s="133"/>
      <c r="Z17" s="133"/>
      <c r="AA17" s="133">
        <v>1.5580000000000001</v>
      </c>
      <c r="AB17" s="133">
        <v>2.8839999999999999</v>
      </c>
      <c r="AC17" s="133">
        <f>3610/130</f>
        <v>27.76923076923077</v>
      </c>
      <c r="AD17" s="133">
        <v>0.217</v>
      </c>
      <c r="AE17" s="133">
        <v>0.39700000000000002</v>
      </c>
      <c r="AF17" s="133">
        <f>982/180</f>
        <v>5.4555555555555557</v>
      </c>
      <c r="AG17" s="133"/>
      <c r="AH17" s="133"/>
      <c r="AI17" s="133"/>
      <c r="AJ17" s="133">
        <f>0.005+2.031+0.001</f>
        <v>2.0369999999999999</v>
      </c>
      <c r="AK17" s="133">
        <f>12.223+0.01+0.003</f>
        <v>12.236000000000001</v>
      </c>
      <c r="AL17" s="133">
        <f>24/180</f>
        <v>0.13333333333333333</v>
      </c>
      <c r="AM17" s="77">
        <f t="shared" si="0"/>
        <v>11.995000000000001</v>
      </c>
      <c r="AN17" s="77">
        <f t="shared" si="1"/>
        <v>71.619</v>
      </c>
      <c r="AO17" s="77">
        <f t="shared" si="2"/>
        <v>59.997601800976803</v>
      </c>
    </row>
    <row r="18" spans="1:42" ht="21" customHeight="1" x14ac:dyDescent="0.25">
      <c r="A18" s="70">
        <v>15</v>
      </c>
      <c r="B18" s="140" t="s">
        <v>126</v>
      </c>
      <c r="C18" s="69"/>
      <c r="D18" s="69"/>
      <c r="E18" s="69"/>
      <c r="F18" s="69"/>
      <c r="G18" s="69"/>
      <c r="H18" s="69"/>
      <c r="I18" s="69"/>
      <c r="J18" s="69"/>
      <c r="K18" s="69"/>
      <c r="L18" s="69">
        <v>8.0000000000000002E-3</v>
      </c>
      <c r="M18" s="72"/>
      <c r="N18" s="73">
        <f>2/175</f>
        <v>1.1428571428571429E-2</v>
      </c>
      <c r="O18" s="74">
        <v>0.01</v>
      </c>
      <c r="P18" s="75"/>
      <c r="Q18" s="69">
        <f>8/80</f>
        <v>0.1</v>
      </c>
      <c r="R18" s="69"/>
      <c r="S18" s="69"/>
      <c r="T18" s="69"/>
      <c r="U18" s="69">
        <v>4.0000000000000001E-3</v>
      </c>
      <c r="V18" s="69">
        <v>2E-3</v>
      </c>
      <c r="W18" s="69"/>
      <c r="X18" s="69"/>
      <c r="Y18" s="69"/>
      <c r="Z18" s="69"/>
      <c r="AA18" s="69">
        <v>6.0000000000000001E-3</v>
      </c>
      <c r="AB18" s="69"/>
      <c r="AC18" s="69">
        <f>2/130</f>
        <v>1.5384615384615385E-2</v>
      </c>
      <c r="AD18" s="69">
        <v>7.0000000000000001E-3</v>
      </c>
      <c r="AE18" s="69">
        <v>8.0000000000000002E-3</v>
      </c>
      <c r="AF18" s="69">
        <f>4/180</f>
        <v>2.2222222222222223E-2</v>
      </c>
      <c r="AG18" s="69"/>
      <c r="AH18" s="69"/>
      <c r="AI18" s="69"/>
      <c r="AJ18" s="69">
        <v>0.13200000000000001</v>
      </c>
      <c r="AK18" s="69">
        <v>5.5E-2</v>
      </c>
      <c r="AL18" s="76"/>
      <c r="AM18" s="77">
        <f t="shared" si="0"/>
        <v>0.16700000000000001</v>
      </c>
      <c r="AN18" s="77">
        <f t="shared" si="1"/>
        <v>6.5000000000000002E-2</v>
      </c>
      <c r="AO18" s="77">
        <f t="shared" si="2"/>
        <v>0.14903540903540904</v>
      </c>
    </row>
    <row r="19" spans="1:42" ht="21" customHeight="1" x14ac:dyDescent="0.25">
      <c r="A19" s="70">
        <v>16</v>
      </c>
      <c r="B19" s="71" t="s">
        <v>127</v>
      </c>
      <c r="C19" s="69">
        <v>2.2499999999999999E-2</v>
      </c>
      <c r="D19" s="69"/>
      <c r="E19" s="69">
        <v>0.73888888888888893</v>
      </c>
      <c r="F19" s="69">
        <v>4.4999999999999997E-3</v>
      </c>
      <c r="G19" s="69"/>
      <c r="H19" s="69">
        <v>0.38333333333333336</v>
      </c>
      <c r="I19" s="69">
        <v>4.4999999999999997E-3</v>
      </c>
      <c r="J19" s="69"/>
      <c r="K19" s="69">
        <v>9.166666666666666E-2</v>
      </c>
      <c r="L19" s="69">
        <v>1.4500000000000001E-2</v>
      </c>
      <c r="M19" s="72"/>
      <c r="N19" s="73">
        <v>0.9177142857142857</v>
      </c>
      <c r="O19" s="74"/>
      <c r="P19" s="75"/>
      <c r="Q19" s="69">
        <v>0</v>
      </c>
      <c r="R19" s="69"/>
      <c r="S19" s="69"/>
      <c r="T19" s="69">
        <v>0</v>
      </c>
      <c r="U19" s="69"/>
      <c r="V19" s="69"/>
      <c r="W19" s="69">
        <v>0</v>
      </c>
      <c r="X19" s="69">
        <v>1.35E-2</v>
      </c>
      <c r="Y19" s="69"/>
      <c r="Z19" s="69">
        <v>2.7991452991452991E-3</v>
      </c>
      <c r="AA19" s="69"/>
      <c r="AB19" s="69"/>
      <c r="AC19" s="69">
        <v>0</v>
      </c>
      <c r="AD19" s="69"/>
      <c r="AE19" s="69"/>
      <c r="AF19" s="69">
        <v>0</v>
      </c>
      <c r="AG19" s="69"/>
      <c r="AH19" s="69"/>
      <c r="AI19" s="69"/>
      <c r="AJ19" s="69"/>
      <c r="AK19" s="69"/>
      <c r="AL19" s="76">
        <v>0</v>
      </c>
      <c r="AM19" s="77">
        <f t="shared" si="0"/>
        <v>5.9499999999999997E-2</v>
      </c>
      <c r="AN19" s="77">
        <f t="shared" si="1"/>
        <v>0</v>
      </c>
      <c r="AO19" s="77">
        <f t="shared" si="2"/>
        <v>2.1344023199023199</v>
      </c>
    </row>
    <row r="20" spans="1:42" ht="21" customHeight="1" x14ac:dyDescent="0.25">
      <c r="A20" s="70">
        <v>17</v>
      </c>
      <c r="B20" s="71" t="s">
        <v>128</v>
      </c>
      <c r="C20" s="69">
        <v>0.01</v>
      </c>
      <c r="D20" s="78">
        <v>0.26208999999999999</v>
      </c>
      <c r="E20" s="69"/>
      <c r="F20" s="69">
        <v>0.02</v>
      </c>
      <c r="G20" s="69">
        <v>2.3E-2</v>
      </c>
      <c r="H20" s="69"/>
      <c r="I20" s="69"/>
      <c r="J20" s="69"/>
      <c r="K20" s="69"/>
      <c r="L20" s="69">
        <v>0.02</v>
      </c>
      <c r="M20" s="72">
        <v>0.03</v>
      </c>
      <c r="N20" s="72"/>
      <c r="O20" s="74">
        <v>0.02</v>
      </c>
      <c r="P20" s="78">
        <v>5.0000000000000001E-4</v>
      </c>
      <c r="Q20" s="75"/>
      <c r="R20" s="69"/>
      <c r="S20" s="69"/>
      <c r="T20" s="69"/>
      <c r="U20" s="69"/>
      <c r="V20" s="69"/>
      <c r="W20" s="69"/>
      <c r="X20" s="69">
        <v>0.04</v>
      </c>
      <c r="Y20" s="78">
        <v>1E-3</v>
      </c>
      <c r="Z20" s="69"/>
      <c r="AA20" s="69">
        <v>0.02</v>
      </c>
      <c r="AB20" s="78">
        <v>0.09</v>
      </c>
      <c r="AC20" s="69"/>
      <c r="AD20" s="69"/>
      <c r="AE20" s="69"/>
      <c r="AF20" s="69"/>
      <c r="AG20" s="69"/>
      <c r="AH20" s="69"/>
      <c r="AI20" s="69"/>
      <c r="AJ20" s="69">
        <v>1E-4</v>
      </c>
      <c r="AK20" s="69">
        <v>0.156</v>
      </c>
      <c r="AL20" s="76"/>
      <c r="AM20" s="77">
        <f t="shared" si="0"/>
        <v>0.13009999999999999</v>
      </c>
      <c r="AN20" s="77">
        <f t="shared" si="1"/>
        <v>0.56259000000000003</v>
      </c>
      <c r="AO20" s="77">
        <f t="shared" si="2"/>
        <v>0</v>
      </c>
    </row>
    <row r="21" spans="1:42" ht="21" customHeight="1" x14ac:dyDescent="0.25">
      <c r="A21" s="70">
        <v>18</v>
      </c>
      <c r="B21" s="141" t="s">
        <v>129</v>
      </c>
      <c r="C21" s="69">
        <v>2.1999999999999999E-2</v>
      </c>
      <c r="D21" s="69"/>
      <c r="E21" s="69">
        <f>10.56/180</f>
        <v>5.8666666666666673E-2</v>
      </c>
      <c r="F21" s="69"/>
      <c r="G21" s="69"/>
      <c r="H21" s="69">
        <v>0</v>
      </c>
      <c r="I21" s="69"/>
      <c r="J21" s="69"/>
      <c r="K21" s="69"/>
      <c r="L21" s="69">
        <v>1.4E-2</v>
      </c>
      <c r="M21" s="72"/>
      <c r="N21" s="73">
        <v>3.5851428571428569E-2</v>
      </c>
      <c r="O21" s="74"/>
      <c r="P21" s="75"/>
      <c r="Q21" s="69">
        <v>0</v>
      </c>
      <c r="R21" s="69"/>
      <c r="S21" s="69"/>
      <c r="T21" s="69">
        <v>0</v>
      </c>
      <c r="U21" s="69"/>
      <c r="V21" s="69"/>
      <c r="W21" s="69">
        <v>0</v>
      </c>
      <c r="X21" s="69">
        <v>5.1999999999999998E-3</v>
      </c>
      <c r="Y21" s="69"/>
      <c r="Z21" s="69">
        <v>1.2773029439696105E-6</v>
      </c>
      <c r="AA21" s="69">
        <v>3.4199999999999999E-3</v>
      </c>
      <c r="AB21" s="69"/>
      <c r="AC21" s="69">
        <v>0.38107692307692309</v>
      </c>
      <c r="AD21" s="69"/>
      <c r="AE21" s="69"/>
      <c r="AF21" s="69">
        <v>0</v>
      </c>
      <c r="AG21" s="69"/>
      <c r="AH21" s="69"/>
      <c r="AI21" s="69"/>
      <c r="AJ21" s="69">
        <f>0.013878+0.006015+0.0052</f>
        <v>2.5093000000000001E-2</v>
      </c>
      <c r="AK21" s="69">
        <f>0.142+0.745028</f>
        <v>0.88702800000000004</v>
      </c>
      <c r="AL21" s="76">
        <v>0.11766666666666667</v>
      </c>
      <c r="AM21" s="77">
        <f t="shared" si="0"/>
        <v>6.9712999999999997E-2</v>
      </c>
      <c r="AN21" s="77">
        <f t="shared" si="1"/>
        <v>0.88702800000000004</v>
      </c>
      <c r="AO21" s="77">
        <f t="shared" si="2"/>
        <v>0.59326296228462894</v>
      </c>
      <c r="AP21" s="78" t="s">
        <v>246</v>
      </c>
    </row>
    <row r="22" spans="1:42" ht="21" customHeight="1" x14ac:dyDescent="0.25">
      <c r="A22" s="70">
        <v>19</v>
      </c>
      <c r="B22" s="71" t="s">
        <v>130</v>
      </c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>
        <v>6.5582000000000003</v>
      </c>
      <c r="AK22" s="133">
        <v>24.781890000000001</v>
      </c>
      <c r="AL22" s="133">
        <f>5294.88/180</f>
        <v>29.416</v>
      </c>
      <c r="AM22" s="77">
        <f t="shared" si="0"/>
        <v>6.5582000000000003</v>
      </c>
      <c r="AN22" s="77">
        <f t="shared" si="1"/>
        <v>24.781890000000001</v>
      </c>
      <c r="AO22" s="77">
        <f t="shared" si="2"/>
        <v>29.416</v>
      </c>
    </row>
    <row r="23" spans="1:42" ht="21" customHeight="1" x14ac:dyDescent="0.25">
      <c r="A23" s="70">
        <v>20</v>
      </c>
      <c r="B23" s="71" t="s">
        <v>131</v>
      </c>
      <c r="C23" s="69"/>
      <c r="D23" s="69"/>
      <c r="E23" s="69"/>
      <c r="F23" s="69"/>
      <c r="G23" s="69"/>
      <c r="H23" s="69">
        <v>0</v>
      </c>
      <c r="I23" s="69"/>
      <c r="J23" s="69"/>
      <c r="K23" s="69"/>
      <c r="L23" s="69"/>
      <c r="M23" s="72"/>
      <c r="N23" s="73">
        <v>0</v>
      </c>
      <c r="O23" s="74"/>
      <c r="P23" s="75"/>
      <c r="Q23" s="69">
        <v>0</v>
      </c>
      <c r="R23" s="69"/>
      <c r="S23" s="69"/>
      <c r="T23" s="69">
        <v>0</v>
      </c>
      <c r="U23" s="69"/>
      <c r="V23" s="69"/>
      <c r="W23" s="69">
        <v>0</v>
      </c>
      <c r="X23" s="69"/>
      <c r="Y23" s="69"/>
      <c r="Z23" s="69">
        <v>0</v>
      </c>
      <c r="AA23" s="69"/>
      <c r="AB23" s="69"/>
      <c r="AC23" s="69">
        <v>0</v>
      </c>
      <c r="AD23" s="69"/>
      <c r="AE23" s="69"/>
      <c r="AF23" s="69">
        <v>0</v>
      </c>
      <c r="AG23" s="69"/>
      <c r="AH23" s="69"/>
      <c r="AI23" s="69"/>
      <c r="AJ23" s="69">
        <v>2</v>
      </c>
      <c r="AK23" s="69">
        <v>12.46</v>
      </c>
      <c r="AL23" s="76">
        <v>0</v>
      </c>
      <c r="AM23" s="77">
        <f t="shared" si="0"/>
        <v>2</v>
      </c>
      <c r="AN23" s="77">
        <f t="shared" si="1"/>
        <v>12.46</v>
      </c>
      <c r="AO23" s="77">
        <f t="shared" si="2"/>
        <v>0</v>
      </c>
    </row>
    <row r="24" spans="1:42" ht="21" customHeight="1" x14ac:dyDescent="0.25">
      <c r="A24" s="70">
        <v>21</v>
      </c>
      <c r="B24" s="71" t="s">
        <v>132</v>
      </c>
      <c r="C24" s="69"/>
      <c r="D24" s="69"/>
      <c r="E24" s="69"/>
      <c r="F24" s="69"/>
      <c r="G24" s="69"/>
      <c r="H24" s="69">
        <v>0</v>
      </c>
      <c r="I24" s="69"/>
      <c r="J24" s="69"/>
      <c r="K24" s="69"/>
      <c r="L24" s="69"/>
      <c r="M24" s="72"/>
      <c r="N24" s="73">
        <v>0</v>
      </c>
      <c r="O24" s="74"/>
      <c r="P24" s="75"/>
      <c r="Q24" s="69">
        <v>0</v>
      </c>
      <c r="R24" s="69"/>
      <c r="S24" s="69"/>
      <c r="T24" s="69">
        <v>0</v>
      </c>
      <c r="U24" s="69">
        <v>0.17100000000000001</v>
      </c>
      <c r="V24" s="69">
        <v>0.20100000000000001</v>
      </c>
      <c r="W24" s="69">
        <v>0</v>
      </c>
      <c r="X24" s="69"/>
      <c r="Y24" s="69"/>
      <c r="Z24" s="69">
        <v>0</v>
      </c>
      <c r="AA24" s="69">
        <v>1.494</v>
      </c>
      <c r="AB24" s="69">
        <v>2.4540000000000002</v>
      </c>
      <c r="AC24" s="69">
        <v>0</v>
      </c>
      <c r="AD24" s="69"/>
      <c r="AE24" s="69"/>
      <c r="AF24" s="69">
        <v>0</v>
      </c>
      <c r="AG24" s="69"/>
      <c r="AH24" s="69"/>
      <c r="AI24" s="69"/>
      <c r="AJ24" s="69">
        <v>1.6659999999999999</v>
      </c>
      <c r="AK24" s="69">
        <v>3.1970000000000001</v>
      </c>
      <c r="AL24" s="76">
        <v>0</v>
      </c>
      <c r="AM24" s="77">
        <f t="shared" si="0"/>
        <v>3.331</v>
      </c>
      <c r="AN24" s="77">
        <f t="shared" si="1"/>
        <v>5.8520000000000003</v>
      </c>
      <c r="AO24" s="77">
        <f t="shared" si="2"/>
        <v>0</v>
      </c>
    </row>
    <row r="25" spans="1:42" ht="21" customHeight="1" x14ac:dyDescent="0.25">
      <c r="A25" s="70">
        <v>22</v>
      </c>
      <c r="B25" s="71" t="s">
        <v>133</v>
      </c>
      <c r="C25" s="69">
        <v>1.0999999999999999E-2</v>
      </c>
      <c r="D25" s="69"/>
      <c r="E25" s="69">
        <v>2.7777777777777776E-2</v>
      </c>
      <c r="F25" s="69">
        <v>7.0000000000000001E-3</v>
      </c>
      <c r="G25" s="69"/>
      <c r="H25" s="69">
        <v>4.2857142857142858E-2</v>
      </c>
      <c r="I25" s="69"/>
      <c r="J25" s="69"/>
      <c r="K25" s="69"/>
      <c r="L25" s="69">
        <v>3.1E-2</v>
      </c>
      <c r="M25" s="72"/>
      <c r="N25" s="73">
        <v>6.2040816326530614E-4</v>
      </c>
      <c r="O25" s="74">
        <v>3.4000000000000002E-2</v>
      </c>
      <c r="P25" s="75"/>
      <c r="Q25" s="69">
        <v>1.0937499999999999E-2</v>
      </c>
      <c r="R25" s="69"/>
      <c r="S25" s="69"/>
      <c r="T25" s="69">
        <v>0</v>
      </c>
      <c r="U25" s="69">
        <v>1.7000000000000001E-2</v>
      </c>
      <c r="V25" s="69">
        <v>16.5</v>
      </c>
      <c r="W25" s="69">
        <v>0</v>
      </c>
      <c r="X25" s="69">
        <v>3.7999999999999999E-2</v>
      </c>
      <c r="Y25" s="69"/>
      <c r="Z25" s="69">
        <v>1.051939513477975E-5</v>
      </c>
      <c r="AA25" s="69">
        <v>2.5000000000000001E-2</v>
      </c>
      <c r="AB25" s="69"/>
      <c r="AC25" s="69">
        <v>1.4201183431952664E-3</v>
      </c>
      <c r="AD25" s="69"/>
      <c r="AE25" s="69"/>
      <c r="AF25" s="69">
        <v>0</v>
      </c>
      <c r="AG25" s="69"/>
      <c r="AH25" s="69"/>
      <c r="AI25" s="69"/>
      <c r="AJ25" s="69">
        <v>7.9000000000000001E-2</v>
      </c>
      <c r="AK25" s="69"/>
      <c r="AL25" s="76">
        <v>2.4382716049382715E-3</v>
      </c>
      <c r="AM25" s="77">
        <f t="shared" si="0"/>
        <v>0.24199999999999999</v>
      </c>
      <c r="AN25" s="77">
        <f t="shared" si="1"/>
        <v>16.5</v>
      </c>
      <c r="AO25" s="77">
        <f t="shared" si="2"/>
        <v>8.6061738141454264E-2</v>
      </c>
    </row>
    <row r="26" spans="1:42" ht="21" customHeight="1" x14ac:dyDescent="0.25">
      <c r="A26" s="70">
        <v>23</v>
      </c>
      <c r="B26" s="71" t="s">
        <v>134</v>
      </c>
      <c r="C26" s="133">
        <v>6.0000000000000001E-3</v>
      </c>
      <c r="D26" s="133"/>
      <c r="E26" s="133">
        <f>2/180</f>
        <v>1.1111111111111112E-2</v>
      </c>
      <c r="F26" s="133">
        <v>2.8000000000000001E-2</v>
      </c>
      <c r="G26" s="133"/>
      <c r="H26" s="133">
        <f>378/210</f>
        <v>1.8</v>
      </c>
      <c r="I26" s="133">
        <v>4.6740000000000004</v>
      </c>
      <c r="J26" s="133">
        <v>70.751000000000005</v>
      </c>
      <c r="K26" s="133">
        <f>97/180</f>
        <v>0.53888888888888886</v>
      </c>
      <c r="L26" s="133">
        <v>4.0000000000000001E-3</v>
      </c>
      <c r="M26" s="133"/>
      <c r="N26" s="133">
        <f>91/175</f>
        <v>0.52</v>
      </c>
      <c r="O26" s="133"/>
      <c r="P26" s="133"/>
      <c r="Q26" s="133"/>
      <c r="R26" s="133">
        <v>12.59</v>
      </c>
      <c r="S26" s="133">
        <v>130.07</v>
      </c>
      <c r="T26" s="133">
        <v>8.2100000000000009</v>
      </c>
      <c r="U26" s="133">
        <v>0.91600000000000004</v>
      </c>
      <c r="V26" s="133">
        <v>18.082000000000001</v>
      </c>
      <c r="W26" s="133"/>
      <c r="X26" s="133"/>
      <c r="Y26" s="133"/>
      <c r="Z26" s="133"/>
      <c r="AA26" s="133">
        <v>2.0209999999999999</v>
      </c>
      <c r="AB26" s="133">
        <v>19.34</v>
      </c>
      <c r="AC26" s="133">
        <f>58/130</f>
        <v>0.44615384615384618</v>
      </c>
      <c r="AD26" s="133">
        <v>3.5619999999999998</v>
      </c>
      <c r="AE26" s="133">
        <v>62.773000000000003</v>
      </c>
      <c r="AF26" s="133">
        <f>595/180</f>
        <v>3.3055555555555554</v>
      </c>
      <c r="AG26" s="133"/>
      <c r="AH26" s="133"/>
      <c r="AI26" s="133"/>
      <c r="AJ26" s="133">
        <f>0.006+0.011+6.77</f>
        <v>6.7869999999999999</v>
      </c>
      <c r="AK26" s="133">
        <f>0.059+121.364</f>
        <v>121.423</v>
      </c>
      <c r="AL26" s="133">
        <f>85/180</f>
        <v>0.47222222222222221</v>
      </c>
      <c r="AM26" s="77">
        <f t="shared" si="0"/>
        <v>30.588000000000001</v>
      </c>
      <c r="AN26" s="77">
        <f t="shared" si="1"/>
        <v>422.43900000000002</v>
      </c>
      <c r="AO26" s="77">
        <f t="shared" si="2"/>
        <v>15.303931623931625</v>
      </c>
    </row>
    <row r="27" spans="1:42" ht="21" customHeight="1" x14ac:dyDescent="0.25">
      <c r="A27" s="70">
        <v>24</v>
      </c>
      <c r="B27" s="142" t="s">
        <v>135</v>
      </c>
      <c r="C27" s="69"/>
      <c r="D27" s="69"/>
      <c r="E27" s="69"/>
      <c r="F27" s="69">
        <v>1E-3</v>
      </c>
      <c r="G27" s="69"/>
      <c r="H27" s="69">
        <f>10/210</f>
        <v>4.7619047619047616E-2</v>
      </c>
      <c r="I27" s="69">
        <v>0.6</v>
      </c>
      <c r="J27" s="69">
        <v>0.89</v>
      </c>
      <c r="K27" s="69">
        <f>12/180</f>
        <v>6.6666666666666666E-2</v>
      </c>
      <c r="L27" s="69">
        <v>0.08</v>
      </c>
      <c r="M27" s="72"/>
      <c r="N27" s="73">
        <f>548/175</f>
        <v>3.1314285714285712</v>
      </c>
      <c r="O27" s="74">
        <v>2E-3</v>
      </c>
      <c r="P27" s="75"/>
      <c r="Q27" s="69">
        <f>10/80</f>
        <v>0.125</v>
      </c>
      <c r="R27" s="69">
        <v>0.34</v>
      </c>
      <c r="S27" s="69">
        <v>1.1200000000000001</v>
      </c>
      <c r="T27" s="69"/>
      <c r="U27" s="69">
        <v>2.13</v>
      </c>
      <c r="V27" s="69">
        <v>10.65</v>
      </c>
      <c r="W27" s="69"/>
      <c r="X27" s="69"/>
      <c r="Y27" s="69"/>
      <c r="Z27" s="69"/>
      <c r="AA27" s="69">
        <v>0.43</v>
      </c>
      <c r="AB27" s="69">
        <v>0.83</v>
      </c>
      <c r="AC27" s="69"/>
      <c r="AD27" s="69">
        <v>0.01</v>
      </c>
      <c r="AE27" s="69">
        <v>0.03</v>
      </c>
      <c r="AF27" s="69"/>
      <c r="AG27" s="69"/>
      <c r="AH27" s="69"/>
      <c r="AI27" s="69"/>
      <c r="AJ27" s="69">
        <v>0.12</v>
      </c>
      <c r="AK27" s="69">
        <v>0.46</v>
      </c>
      <c r="AL27" s="76"/>
      <c r="AM27" s="77">
        <f t="shared" si="0"/>
        <v>3.7129999999999996</v>
      </c>
      <c r="AN27" s="77">
        <f t="shared" si="1"/>
        <v>13.98</v>
      </c>
      <c r="AO27" s="77">
        <f t="shared" si="2"/>
        <v>3.3707142857142856</v>
      </c>
    </row>
    <row r="28" spans="1:42" ht="21" customHeight="1" x14ac:dyDescent="0.25">
      <c r="A28" s="70">
        <v>25</v>
      </c>
      <c r="B28" s="71" t="s">
        <v>136</v>
      </c>
      <c r="C28" s="69"/>
      <c r="D28" s="69"/>
      <c r="E28" s="69"/>
      <c r="F28" s="69"/>
      <c r="G28" s="69"/>
      <c r="H28" s="69">
        <v>0</v>
      </c>
      <c r="I28" s="69"/>
      <c r="J28" s="69"/>
      <c r="K28" s="69"/>
      <c r="L28" s="69"/>
      <c r="M28" s="72"/>
      <c r="N28" s="73">
        <v>0</v>
      </c>
      <c r="O28" s="74"/>
      <c r="P28" s="69"/>
      <c r="Q28" s="69">
        <v>0</v>
      </c>
      <c r="R28" s="69"/>
      <c r="S28" s="69"/>
      <c r="T28" s="69">
        <v>0</v>
      </c>
      <c r="U28" s="69"/>
      <c r="V28" s="69"/>
      <c r="W28" s="69">
        <v>0</v>
      </c>
      <c r="X28" s="69"/>
      <c r="Y28" s="69"/>
      <c r="Z28" s="69">
        <v>0</v>
      </c>
      <c r="AA28" s="69"/>
      <c r="AB28" s="69"/>
      <c r="AC28" s="69">
        <v>0</v>
      </c>
      <c r="AD28" s="69"/>
      <c r="AE28" s="69"/>
      <c r="AF28" s="69">
        <v>0</v>
      </c>
      <c r="AG28" s="69"/>
      <c r="AH28" s="69"/>
      <c r="AI28" s="69"/>
      <c r="AJ28" s="69"/>
      <c r="AK28" s="69"/>
      <c r="AL28" s="76">
        <v>0</v>
      </c>
      <c r="AM28" s="77">
        <f t="shared" si="0"/>
        <v>0</v>
      </c>
      <c r="AN28" s="77">
        <f t="shared" si="1"/>
        <v>0</v>
      </c>
      <c r="AO28" s="77">
        <f t="shared" si="2"/>
        <v>0</v>
      </c>
    </row>
    <row r="29" spans="1:42" ht="21" customHeight="1" x14ac:dyDescent="0.25">
      <c r="A29" s="70">
        <v>26</v>
      </c>
      <c r="B29" s="71" t="s">
        <v>137</v>
      </c>
      <c r="C29" s="69"/>
      <c r="D29" s="69"/>
      <c r="E29" s="69"/>
      <c r="F29" s="69"/>
      <c r="G29" s="69"/>
      <c r="H29" s="69">
        <v>0</v>
      </c>
      <c r="I29" s="69"/>
      <c r="J29" s="69"/>
      <c r="K29" s="69"/>
      <c r="L29" s="69"/>
      <c r="M29" s="72"/>
      <c r="N29" s="73">
        <v>0</v>
      </c>
      <c r="O29" s="74">
        <v>3.21</v>
      </c>
      <c r="P29" s="75"/>
      <c r="Q29" s="69">
        <v>4.6874999999999998E-4</v>
      </c>
      <c r="R29" s="69"/>
      <c r="S29" s="69"/>
      <c r="T29" s="69">
        <v>0</v>
      </c>
      <c r="U29" s="69">
        <v>3.6019999999999999</v>
      </c>
      <c r="V29" s="69">
        <v>7.2039999999999997</v>
      </c>
      <c r="W29" s="69">
        <v>0</v>
      </c>
      <c r="X29" s="69"/>
      <c r="Y29" s="69"/>
      <c r="Z29" s="69">
        <v>0</v>
      </c>
      <c r="AA29" s="69">
        <v>10.39</v>
      </c>
      <c r="AB29" s="69">
        <v>27.11</v>
      </c>
      <c r="AC29" s="69">
        <v>0</v>
      </c>
      <c r="AD29" s="69"/>
      <c r="AE29" s="69"/>
      <c r="AF29" s="69">
        <v>0</v>
      </c>
      <c r="AG29" s="69"/>
      <c r="AH29" s="69"/>
      <c r="AI29" s="69"/>
      <c r="AJ29" s="69"/>
      <c r="AK29" s="69"/>
      <c r="AL29" s="76">
        <v>0</v>
      </c>
      <c r="AM29" s="77">
        <f t="shared" si="0"/>
        <v>17.201999999999998</v>
      </c>
      <c r="AN29" s="77">
        <f t="shared" si="1"/>
        <v>34.314</v>
      </c>
      <c r="AO29" s="77">
        <f t="shared" si="2"/>
        <v>4.6874999999999998E-4</v>
      </c>
    </row>
    <row r="30" spans="1:42" ht="21" customHeight="1" x14ac:dyDescent="0.25">
      <c r="A30" s="70">
        <v>27</v>
      </c>
      <c r="B30" s="71" t="s">
        <v>138</v>
      </c>
      <c r="C30" s="69"/>
      <c r="D30" s="69"/>
      <c r="E30" s="69"/>
      <c r="F30" s="69">
        <v>0.02</v>
      </c>
      <c r="G30" s="69"/>
      <c r="H30" s="69">
        <f>86.83/210</f>
        <v>0.41347619047619044</v>
      </c>
      <c r="I30" s="69"/>
      <c r="J30" s="69"/>
      <c r="K30" s="69"/>
      <c r="L30" s="69">
        <v>9.2999999999999999E-2</v>
      </c>
      <c r="M30" s="72"/>
      <c r="N30" s="73">
        <f>899.4/175</f>
        <v>5.1394285714285717</v>
      </c>
      <c r="O30" s="74">
        <v>0.48399999999999999</v>
      </c>
      <c r="P30" s="75"/>
      <c r="Q30" s="69">
        <v>7.875</v>
      </c>
      <c r="R30" s="69"/>
      <c r="S30" s="69"/>
      <c r="T30" s="69"/>
      <c r="U30" s="69">
        <v>0.73099999999999998</v>
      </c>
      <c r="V30" s="69">
        <v>1.4990000000000001</v>
      </c>
      <c r="W30" s="69"/>
      <c r="X30" s="69"/>
      <c r="Y30" s="69"/>
      <c r="Z30" s="69"/>
      <c r="AA30" s="69">
        <v>0.105</v>
      </c>
      <c r="AB30" s="69">
        <v>0.13</v>
      </c>
      <c r="AC30" s="69"/>
      <c r="AD30" s="69">
        <v>1.7000000000000001E-2</v>
      </c>
      <c r="AE30" s="69">
        <v>3.3000000000000002E-2</v>
      </c>
      <c r="AF30" s="69"/>
      <c r="AG30" s="69"/>
      <c r="AH30" s="69"/>
      <c r="AI30" s="69"/>
      <c r="AJ30" s="69">
        <f>0.009+0.079</f>
        <v>8.7999999999999995E-2</v>
      </c>
      <c r="AK30" s="69">
        <v>8.6999999999999994E-2</v>
      </c>
      <c r="AL30" s="76">
        <f>16.82/180</f>
        <v>9.3444444444444441E-2</v>
      </c>
      <c r="AM30" s="77">
        <f t="shared" si="0"/>
        <v>1.5379999999999998</v>
      </c>
      <c r="AN30" s="77">
        <f t="shared" si="1"/>
        <v>1.7489999999999999</v>
      </c>
      <c r="AO30" s="77">
        <f t="shared" si="2"/>
        <v>13.521349206349207</v>
      </c>
    </row>
    <row r="31" spans="1:42" ht="21" customHeight="1" x14ac:dyDescent="0.25">
      <c r="A31" s="70">
        <v>28</v>
      </c>
      <c r="B31" s="71" t="s">
        <v>139</v>
      </c>
      <c r="C31" s="69"/>
      <c r="D31" s="69"/>
      <c r="E31" s="69"/>
      <c r="F31" s="69"/>
      <c r="G31" s="69"/>
      <c r="H31" s="69"/>
      <c r="I31" s="69">
        <v>0.52400000000000002</v>
      </c>
      <c r="J31" s="69"/>
      <c r="K31" s="69">
        <f>1418/180</f>
        <v>7.8777777777777782</v>
      </c>
      <c r="L31" s="69"/>
      <c r="M31" s="72"/>
      <c r="N31" s="73"/>
      <c r="O31" s="74">
        <v>2.8130000000000002</v>
      </c>
      <c r="P31" s="75"/>
      <c r="Q31" s="69">
        <f>4213/80</f>
        <v>52.662500000000001</v>
      </c>
      <c r="R31" s="69">
        <v>0.45900000000000002</v>
      </c>
      <c r="S31" s="69">
        <v>0.63</v>
      </c>
      <c r="T31" s="69"/>
      <c r="U31" s="69">
        <v>6.7519999999999998</v>
      </c>
      <c r="V31" s="69">
        <v>58.103000000000002</v>
      </c>
      <c r="W31" s="69"/>
      <c r="X31" s="69"/>
      <c r="Y31" s="69"/>
      <c r="Z31" s="69"/>
      <c r="AA31" s="69">
        <v>1.7390000000000001</v>
      </c>
      <c r="AB31" s="69"/>
      <c r="AC31" s="69">
        <f>8231/130</f>
        <v>63.315384615384616</v>
      </c>
      <c r="AD31" s="69">
        <v>5.6210000000000004</v>
      </c>
      <c r="AE31" s="69"/>
      <c r="AF31" s="69">
        <f>13185/180</f>
        <v>73.25</v>
      </c>
      <c r="AG31" s="69"/>
      <c r="AH31" s="69"/>
      <c r="AI31" s="69"/>
      <c r="AJ31" s="69">
        <v>7.7210000000000001</v>
      </c>
      <c r="AK31" s="69">
        <v>10.89</v>
      </c>
      <c r="AL31" s="76">
        <v>0</v>
      </c>
      <c r="AM31" s="77">
        <f t="shared" si="0"/>
        <v>25.629000000000001</v>
      </c>
      <c r="AN31" s="77">
        <f t="shared" si="1"/>
        <v>69.623000000000005</v>
      </c>
      <c r="AO31" s="77">
        <f t="shared" si="2"/>
        <v>197.10566239316239</v>
      </c>
    </row>
    <row r="32" spans="1:42" ht="21" customHeight="1" x14ac:dyDescent="0.25">
      <c r="A32" s="70">
        <v>29</v>
      </c>
      <c r="B32" s="143" t="s">
        <v>207</v>
      </c>
      <c r="C32" s="69">
        <v>0</v>
      </c>
      <c r="D32" s="69">
        <v>0</v>
      </c>
      <c r="E32" s="69">
        <v>0</v>
      </c>
      <c r="F32" s="69">
        <v>0</v>
      </c>
      <c r="G32" s="144">
        <v>0</v>
      </c>
      <c r="H32" s="144">
        <v>0</v>
      </c>
      <c r="I32" s="144">
        <v>0</v>
      </c>
      <c r="J32" s="144">
        <v>0</v>
      </c>
      <c r="K32" s="69">
        <v>0</v>
      </c>
      <c r="L32" s="69">
        <v>0</v>
      </c>
      <c r="M32" s="69">
        <v>0</v>
      </c>
      <c r="N32" s="69">
        <v>0</v>
      </c>
      <c r="O32" s="69">
        <v>0</v>
      </c>
      <c r="P32" s="69">
        <v>0</v>
      </c>
      <c r="Q32" s="69">
        <v>0</v>
      </c>
      <c r="R32" s="69">
        <v>4.3999999999999997E-2</v>
      </c>
      <c r="S32" s="69">
        <v>0.36399999999999999</v>
      </c>
      <c r="T32" s="69">
        <v>0</v>
      </c>
      <c r="U32" s="69">
        <v>0.11299999999999999</v>
      </c>
      <c r="V32" s="69">
        <v>0.65300000000000002</v>
      </c>
      <c r="W32" s="69">
        <v>0</v>
      </c>
      <c r="X32" s="69">
        <v>0</v>
      </c>
      <c r="Y32" s="69">
        <v>0</v>
      </c>
      <c r="Z32" s="69">
        <v>0</v>
      </c>
      <c r="AA32" s="69">
        <v>1.4E-2</v>
      </c>
      <c r="AB32" s="69">
        <v>2.6000000000000002E-2</v>
      </c>
      <c r="AC32" s="69">
        <v>0</v>
      </c>
      <c r="AD32" s="69">
        <v>3.0000000000000001E-3</v>
      </c>
      <c r="AE32" s="69">
        <v>8.9999999999999993E-3</v>
      </c>
      <c r="AF32" s="69">
        <v>0</v>
      </c>
      <c r="AG32" s="69">
        <v>0</v>
      </c>
      <c r="AH32" s="69">
        <v>0</v>
      </c>
      <c r="AI32" s="69">
        <v>0</v>
      </c>
      <c r="AJ32" s="69">
        <v>0.16190000000000002</v>
      </c>
      <c r="AK32" s="69">
        <v>0.30299999999999999</v>
      </c>
      <c r="AL32" s="69">
        <v>0.47166666666666668</v>
      </c>
      <c r="AM32" s="77">
        <f t="shared" si="0"/>
        <v>0.33589999999999998</v>
      </c>
      <c r="AN32" s="77">
        <f t="shared" si="1"/>
        <v>1.3549999999999998</v>
      </c>
      <c r="AO32" s="77">
        <f t="shared" si="2"/>
        <v>0.47166666666666668</v>
      </c>
    </row>
    <row r="33" spans="1:41" ht="21" customHeight="1" x14ac:dyDescent="0.25">
      <c r="A33" s="70"/>
      <c r="B33" s="145" t="s">
        <v>97</v>
      </c>
      <c r="C33" s="146">
        <f>SUM(C4:C32)</f>
        <v>0.37310000000000004</v>
      </c>
      <c r="D33" s="146">
        <f t="shared" ref="D33:AO33" si="3">SUM(D4:D32)</f>
        <v>1.1270899999999999</v>
      </c>
      <c r="E33" s="146">
        <f t="shared" si="3"/>
        <v>2.0913333333333335</v>
      </c>
      <c r="F33" s="146">
        <f t="shared" si="3"/>
        <v>3.0834999999999999</v>
      </c>
      <c r="G33" s="146">
        <f t="shared" si="3"/>
        <v>1.2839999999999998</v>
      </c>
      <c r="H33" s="146">
        <f t="shared" si="3"/>
        <v>6.6770952380952382</v>
      </c>
      <c r="I33" s="146">
        <f t="shared" si="3"/>
        <v>20.093500000000002</v>
      </c>
      <c r="J33" s="146">
        <f t="shared" si="3"/>
        <v>185.23699999999999</v>
      </c>
      <c r="K33" s="146">
        <f t="shared" si="3"/>
        <v>14.927944444444444</v>
      </c>
      <c r="L33" s="146">
        <f t="shared" si="3"/>
        <v>1.15005</v>
      </c>
      <c r="M33" s="146">
        <f t="shared" si="3"/>
        <v>5.0240000000000009</v>
      </c>
      <c r="N33" s="146">
        <f t="shared" si="3"/>
        <v>20.530757551020407</v>
      </c>
      <c r="O33" s="146">
        <f t="shared" si="3"/>
        <v>11.846999999999998</v>
      </c>
      <c r="P33" s="146">
        <f t="shared" si="3"/>
        <v>42.152500000000003</v>
      </c>
      <c r="Q33" s="146">
        <f t="shared" si="3"/>
        <v>132.57553124999998</v>
      </c>
      <c r="R33" s="146">
        <f t="shared" si="3"/>
        <v>22.855999999999998</v>
      </c>
      <c r="S33" s="146">
        <f t="shared" si="3"/>
        <v>188.55199999999999</v>
      </c>
      <c r="T33" s="146">
        <f t="shared" si="3"/>
        <v>10.711111111111112</v>
      </c>
      <c r="U33" s="146">
        <f t="shared" si="3"/>
        <v>66.095399999999984</v>
      </c>
      <c r="V33" s="146">
        <f t="shared" si="3"/>
        <v>603.1789399999999</v>
      </c>
      <c r="W33" s="146">
        <f t="shared" si="3"/>
        <v>5.7111111111111112</v>
      </c>
      <c r="X33" s="146">
        <f t="shared" si="3"/>
        <v>0.82169999999999999</v>
      </c>
      <c r="Y33" s="146">
        <f t="shared" si="3"/>
        <v>4.8260000000000005</v>
      </c>
      <c r="Z33" s="146">
        <f t="shared" si="3"/>
        <v>5.5460514646796695E-2</v>
      </c>
      <c r="AA33" s="146">
        <f t="shared" si="3"/>
        <v>29.414920000000002</v>
      </c>
      <c r="AB33" s="146">
        <f t="shared" si="3"/>
        <v>113.18852</v>
      </c>
      <c r="AC33" s="146">
        <f t="shared" si="3"/>
        <v>188.75753977646286</v>
      </c>
      <c r="AD33" s="146">
        <f t="shared" si="3"/>
        <v>16.189999999999998</v>
      </c>
      <c r="AE33" s="146">
        <f t="shared" si="3"/>
        <v>107.90600000000001</v>
      </c>
      <c r="AF33" s="146">
        <f t="shared" si="3"/>
        <v>89.291666666666657</v>
      </c>
      <c r="AG33" s="146">
        <f t="shared" si="3"/>
        <v>1.7999999999999999E-2</v>
      </c>
      <c r="AH33" s="146">
        <f t="shared" si="3"/>
        <v>0</v>
      </c>
      <c r="AI33" s="146">
        <f t="shared" si="3"/>
        <v>0.10372222222222223</v>
      </c>
      <c r="AJ33" s="146">
        <f t="shared" si="3"/>
        <v>105.627773</v>
      </c>
      <c r="AK33" s="146">
        <f t="shared" si="3"/>
        <v>403.76376799999997</v>
      </c>
      <c r="AL33" s="146">
        <f t="shared" si="3"/>
        <v>56.239220549382715</v>
      </c>
      <c r="AM33" s="146">
        <f t="shared" si="3"/>
        <v>277.570943</v>
      </c>
      <c r="AN33" s="146">
        <f t="shared" si="3"/>
        <v>1656.2398180000005</v>
      </c>
      <c r="AO33" s="146">
        <f t="shared" si="3"/>
        <v>527.67249376849702</v>
      </c>
    </row>
    <row r="34" spans="1:41" x14ac:dyDescent="0.25">
      <c r="A34" s="156" t="s">
        <v>1</v>
      </c>
      <c r="H34" s="147"/>
      <c r="I34" s="148"/>
      <c r="J34" s="147"/>
    </row>
    <row r="35" spans="1:41" x14ac:dyDescent="0.25">
      <c r="A35" s="156" t="s">
        <v>2</v>
      </c>
    </row>
  </sheetData>
  <mergeCells count="27">
    <mergeCell ref="A1:A2"/>
    <mergeCell ref="AM1:AO1"/>
    <mergeCell ref="AD1:AF1"/>
    <mergeCell ref="AG1:AI1"/>
    <mergeCell ref="AJ1:AL1"/>
    <mergeCell ref="M2:N2"/>
    <mergeCell ref="P2:Q2"/>
    <mergeCell ref="AE2:AF2"/>
    <mergeCell ref="AH2:AI2"/>
    <mergeCell ref="AK2:AL2"/>
    <mergeCell ref="AN2:AO2"/>
    <mergeCell ref="V2:W2"/>
    <mergeCell ref="Y2:Z2"/>
    <mergeCell ref="AB2:AC2"/>
    <mergeCell ref="U1:W1"/>
    <mergeCell ref="X1:Z1"/>
    <mergeCell ref="AA1:AC1"/>
    <mergeCell ref="S2:T2"/>
    <mergeCell ref="R1:T1"/>
    <mergeCell ref="D2:E2"/>
    <mergeCell ref="G2:H2"/>
    <mergeCell ref="J2:K2"/>
    <mergeCell ref="C1:E1"/>
    <mergeCell ref="F1:H1"/>
    <mergeCell ref="I1:K1"/>
    <mergeCell ref="L1:N1"/>
    <mergeCell ref="O1:Q1"/>
  </mergeCells>
  <pageMargins left="0.4" right="0.63" top="0.92" bottom="0.3" header="0.55000000000000004" footer="0.16"/>
  <pageSetup scale="72" orientation="landscape" r:id="rId1"/>
  <headerFooter>
    <oddHeader>&amp;C&amp;"-,Bold"&amp;14Area and Production of Flower Crops-2015-16(Final)&amp;R&amp;"-,Bold"&amp;12Area in '000 Ha
 Prod in '000 Tonnes</oddHeader>
  </headerFooter>
  <colBreaks count="2" manualBreakCount="2">
    <brk id="14" max="34" man="1"/>
    <brk id="29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Summary</vt:lpstr>
      <vt:lpstr>Horticulture</vt:lpstr>
      <vt:lpstr>Fruits 2016(Final Est.)</vt:lpstr>
      <vt:lpstr> Citrus 2016(Final Est.)</vt:lpstr>
      <vt:lpstr>Vegetables 2016 (Final Est)</vt:lpstr>
      <vt:lpstr>Plantation2016 (Final Est.)</vt:lpstr>
      <vt:lpstr>Spices 2016 (Final Est.)</vt:lpstr>
      <vt:lpstr>Flowers 2016(Final Est.)</vt:lpstr>
      <vt:lpstr>' Citrus 2016(Final Est.)'!Print_Area</vt:lpstr>
      <vt:lpstr>'Flowers 2016(Final Est.)'!Print_Area</vt:lpstr>
      <vt:lpstr>'Fruits 2016(Final Est.)'!Print_Area</vt:lpstr>
      <vt:lpstr>Horticulture!Print_Area</vt:lpstr>
      <vt:lpstr>'Plantation2016 (Final Est.)'!Print_Area</vt:lpstr>
      <vt:lpstr>Summary!Print_Area</vt:lpstr>
      <vt:lpstr>'Vegetables 2016 (Final Est)'!Print_Area</vt:lpstr>
      <vt:lpstr>'Flowers 2016(Final Est.)'!Print_Titles</vt:lpstr>
      <vt:lpstr>'Fruits 2016(Final Est.)'!Print_Titles</vt:lpstr>
      <vt:lpstr>Horticulture!Print_Titles</vt:lpstr>
      <vt:lpstr>'Spices 2016 (Final Est.)'!Print_Titles</vt:lpstr>
      <vt:lpstr>Summary!Print_Titles</vt:lpstr>
      <vt:lpstr>'Vegetables 2016 (Final Est)'!Print_Titles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2017-04-19T10:44:54Z</dcterms:modified>
</cp:coreProperties>
</file>