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rgets4inhibitors" sheetId="1" r:id="rId1"/>
    <sheet name="targets4agonists" sheetId="2" r:id="rId2"/>
    <sheet name="unknown_state_targets" sheetId="3" r:id="rId3"/>
    <sheet name="PS bibliography" sheetId="4" r:id="rId4"/>
    <sheet name="etm bibliography" sheetId="5" r:id="rId5"/>
    <sheet name="Drugs" sheetId="6" r:id="rId6"/>
  </sheets>
  <calcPr calcId="124519" fullCalcOnLoad="1"/>
</workbook>
</file>

<file path=xl/sharedStrings.xml><?xml version="1.0" encoding="utf-8"?>
<sst xmlns="http://schemas.openxmlformats.org/spreadsheetml/2006/main" count="3044" uniqueCount="1240">
  <si>
    <t>WEIGHTS:</t>
  </si>
  <si>
    <t>IGF1</t>
  </si>
  <si>
    <t>PKA</t>
  </si>
  <si>
    <t>PRKACB</t>
  </si>
  <si>
    <t>CTNNB1</t>
  </si>
  <si>
    <t>MC1R</t>
  </si>
  <si>
    <t>CYP19A1</t>
  </si>
  <si>
    <t>PRKACA</t>
  </si>
  <si>
    <t>PKA-I</t>
  </si>
  <si>
    <t>PRL</t>
  </si>
  <si>
    <t>WNT4</t>
  </si>
  <si>
    <t>1.0000</t>
  </si>
  <si>
    <t>0.8333</t>
  </si>
  <si>
    <t>0.6667</t>
  </si>
  <si>
    <t>0.5000</t>
  </si>
  <si>
    <t>0.3333</t>
  </si>
  <si>
    <t>0.1667</t>
  </si>
  <si>
    <t>IGF1R;INSR;LRP2;MET;steroid;progesterone;Ca2+;androgen;NO;estradiol</t>
  </si>
  <si>
    <t>Ca2+;NO;glutamate;neurotransmitter</t>
  </si>
  <si>
    <t>POMC;alpha-MSH;ACTH;eumelanin</t>
  </si>
  <si>
    <t>estrogen</t>
  </si>
  <si>
    <t>PRLR;progesterone</t>
  </si>
  <si>
    <t>1.005</t>
  </si>
  <si>
    <t>2.721</t>
  </si>
  <si>
    <t>0.406</t>
  </si>
  <si>
    <t>0.391</t>
  </si>
  <si>
    <t>0.325</t>
  </si>
  <si>
    <t>0.299</t>
  </si>
  <si>
    <t>0.298</t>
  </si>
  <si>
    <t>0.233</t>
  </si>
  <si>
    <t>0.153</t>
  </si>
  <si>
    <t>0.047</t>
  </si>
  <si>
    <t>0.680</t>
  </si>
  <si>
    <t>indomethacin;tannic acid;cyclothiazide;sulfanilamide;fluticasone propionate;erlotinib;salicylic acid;tolbutamide;ellagic acid;doxazosin</t>
  </si>
  <si>
    <t>estradiol;androgen;tamoxifen;methyltestosterone;progesterone;fulvestrant;nicotine;melatonin;exemestane;lapatinib;progestin;letrozole;anastrozole;danazol;celecoxib;leuprolide;clotrimazole;mifepristone;testolactone;sulindac;imazalil;aminoglutethimide;megestrol acetate;etomidate;imatinib;miconazole;valproic acid;trastuzumab;fluconazole;ketoconazole;norethisterone;toremifene;goserelin;raloxifene;pirfenidone;denosumab;econazole;testosterone enanthate</t>
  </si>
  <si>
    <t>ellagic acid</t>
  </si>
  <si>
    <t>tamoxifen;fulvestrant;nicotine;indomethacin;lapatinib;celecoxib;leuprolide;mifepristone;raloxifene;erlotinib;cabergoline;quinagolide;cortisol;bromocriptine;dexamethasone;oxaliplatin;lanreotide;metformin;octreotide;thalidomide;corticosteroid;levonorgestrel;pasireotide;H2O2;PGF2a;ethinyl estradiol;simvastatin;rapamycin;vorinostat;sorafenib;pegvisomant;flutamide;N-acetylcysteine;betamethasone;cetrorelix;verapamil;propranolol;sertraline;suramin;streptozotocin;histamine;meloxicam;bupivacaine;auranofin;clomiphene;cerivastatin;anecortave acetate;atropine;enalapril;nordihydroguaiaretic acid;diethylstilbestrol;salmon calcitonin;antiandrogen;bezafibrate;octyl methoxycinnamate;fenofibrate;lidocaine;saxagliptin;malathion;stanozolol;naproxen;nifedipine;isoflurane;AL1576;ritonavir;bicalutamide;isotretinoin;RC-160;vincristine;antithyroid drug;ospemifene;triamcinolone;ganciclovir;hydralazine;mithramycin;5-fluorouracil;estradiol valerate;azithromycin;podophyllotoxin;spironolactone;enzalutamide;atenolol;amikacin;bevacizumab;temsirolimus;vildagliptin;beclomethasone dipropionate;bergapten;NPH insulin;irbesartan;buserelin;acarbose;verteporfin;telenzepine;salbutamol;acetylcholine;olmesartan;prazosin;ramipril;mebendazole;estrogen;cisplatin;retinoic acid;zidovudine;insulin glargine</t>
  </si>
  <si>
    <t>fulvestrant;melatonin;mifepristone;valproic acid;ketoconazole;buprenorphine;lanreotide;metformin;octreotide;troglitazone;heparin;corticosteroid;amrinone;carbamazepine;flufenamic acid;niclosamide;pegvisomant;propranolol;metoprolol;suramin;meloxicam;bupivacaine;amitriptyline;pentoxifylline;methylphenidate;actinomycin D;enalapril;diazepam;amiodarone;nadolol;olanzapine;dexmedetomidine;lidocaine;nimesulide;ACE inhibitors;acamprosate;niacin;moxonidine;trifluoperazine;naproxen;digoxin;chloramphenicol;nimodipine;dantrolene;hydralazine;D-cycloserine;emetine;propofol;moxifloxacin;atenolol;ketamine;foscarnet;doxorubicin;zafirlukast;bleomycin;carvedilol;loperamide;phenformin;acyclovir;amoxapine;penciclovir;pentosan polysulfate;icatibant;halofantrine;benoxaprofen;artemisinic acid;pyrilamine;levamisole;ranitidine;resorcinol;vismodegib;sotalol;atosiban;sevoflurane;dipyridamole;epinephrine;glibenclamide</t>
  </si>
  <si>
    <t>tamoxifen;fulvestrant;nicotine;indomethacin;melatonin;lapatinib;celecoxib;clotrimazole;mifepristone;sulindac;tannic acid;imatinib;trastuzumab;toremifene;raloxifene;pirfenidone;erlotinib;ellagic acid;doxazosin;triiodothyronine;nefopam;dexamethasone;calcitriol;oxaliplatin;metformin;troglitazone;rosiglitazone;H2O2;carbamazepine;simvastatin;rapamycin;niclosamide;sorafenib;lovastatin;vitamin D3;flutamide;pimozide;dasatinib;diclofenac;N-acetylcysteine;prednisolone;rofecoxib;cetrorelix;itraconazole;miltefosine;verapamil;gefitinib;propranolol;aspirin;pyrvinium;suramin;5-aminosalicylic acid;ciglitazone;vitamins;temozolomide;pentoxifylline;novobiocin;methylphenidate;actinomycin D;nabumetone;etodolac;ruboxistaurin;hexachlorophene;atropine;nordihydroguaiaretic acid;capsaicin;lidocaine;nimesulide;pantoprazole;tropisetron;biotin;levetiracetam;laxatives;clofibrate;rifabutin;nystatin;trifluoperazine;decitabine;homoharringtonine;pomalidomide;cetuximab;aclarubicin;naproxen;nifedipine;tolfenamic acid;testosterone;piroxicam;artesunate;captopril;ibuprofen;ritonavir;carprofen;bicalutamide;Triton;5-azacytidine;quinacrine;atorvastatin;camptothecin;sildenafil;5-fluorouracil;nilotinib;Tris;canagliflozin;azithromycin;emetine;flubendazole;ciclopirox;thioridazine;nitazoxanide;propofol;daunorubicin;sulfasalazine;spironolactone;axitinib;enzalutamide;mianserin;irinotecan;regorafenib;fidarestat;artemisinin;lansoprazole;hydroquinone;dihydroartemisinin;fentanyl;quetiapine;tigecycline;methamphetamine;streptomycin;allopurinol;paricalcitol;bosentan;imipramine;bexarotene;FeSO4;tadalafil;omeprazole;doxorubicin;bergapten;crizotinib;recombinant human BMP-2;etanercept;carvedilol;lumefantrine;metyrapone;carboplatin;chlorquinaldol;sitagliptin;ribavirin;diazoxide;calcipotriol;mefloquine;cytarabine;ulipristal;carnitine;dutasteride;vinblastine;pentazocine;leflunomide;dimethyl fumarate;polyethylene glycol;atovaquone;natalizumab;pizotifen;rimonabant;6-thioguanine;cimetidine;ruxolitinib;albendazole;sevoflurane;minocycline;methotrexate;orlistat;gemcitabine;exenatide;deferoxamine;benztropine;methazolamide;phenylephrine;retinoic acid;teriparatide;guanabenz;beta-carotene;entacapone;pyridostigmine;dobutamine;yohimbine</t>
  </si>
  <si>
    <t>triiodothyronine;dexamethasone;H2O2;finasteride;fenofibrate</t>
  </si>
  <si>
    <t>progesterone;fulvestrant;nicotine;indomethacin;melatonin;progestin;letrozole;danazol;celecoxib;leuprolide;tannic acid;valproic acid;ellagic acid;buprenorphine;cortisol;glucose;dexamethasone;calcitriol;metformin;troglitazone;corticosteroid;levonorgestrel;rosiglitazone;medroxyprogesterone acetate;PGF2a;rapamycin;pegvisomant;gestodene;finasteride;fluvoxamine;betamethasone;cetrorelix;fluoxetine;itraconazole;citalopram;aspirin;sertraline;ciglitazone;clomiphene;phenytoin;norepinephrine;oxcarbazepine;diethylstilbestrol;niflumic acid;pioglitazone;fenofibrate;nimesulide;disulfiram;indinavir;levetiracetam;clofibrate;hyaluronic acid;green tea extract;chenodeoxycholic acid;tranylcypromine;phenobarbital;mithramycin;duloxetine;lamotrigine;ethosuximide;tocilizumab;[ 3 H ]tiagabine;tadalafil;isoconazole;busulfan;venlafaxine;mefloquine;nilutamide;dydrogesterone;oxybenzone;docetaxel;acetaminophen;vardenafil;ethyl chloride;estrogen;mitotane</t>
  </si>
  <si>
    <t>testosterone;DMSO</t>
  </si>
  <si>
    <t>progesterone;propranolol;acetylcholine;benzoyl peroxide</t>
  </si>
  <si>
    <t>fulvestrant;nicotine;indomethacin;melatonin;lapatinib;danazol;celecoxib;etomidate;toremifene;goserelin;cabergoline;triiodothyronine;dopamine;quinagolide;cortisol;bromocriptine;nefopam;dexamethasone;calcitriol;apomorphine;naloxone;cysteamine;lanreotide;levodopa;ascorbic acid;metformin;pyridoxine;octreotide;thalidomide;selegiline;ritanserin;heparin;methysergide;cocaine;ticagrelor;lisuride;rosiglitazone;pasireotide;terguride;memantine;rapamycin;flufenamic acid;pramipexole;naltrexone;pindolol;nalmefene;bromocriptine mesilate;pegvisomant;pergolide;lovastatin;flutamide;betamethasone;gefitinib;everolimus;temozolomide;dextromethorphan;amiloride;methylphenidate;actinomycin D;methoxyflurane;phenytoin;atropine;ketanserin;diazepam;nordihydroguaiaretic acid;salmon calcitonin;amiodarone;mirtazapine;fenofibrate;lidocaine;para-aminosalicylic acid;disulfiram;ganirelix;rotigotine;artesunate;hypoglycemic agents;clonazepam;captopril;bumetanide;RC-160;5-azacytidine;ospemifene;paclitaxel;methimazole;quinacrine;ganciclovir;n-docosanol;nelfinavir;mianserin;methamphetamine;omeprazole;hydroxyurea;chloroquine;lysine vasopressin;colchicine;ergotamine tartrate;nitrendipine;piribedil;brimonidine;cyproheptadine;antide;clobazam;baclofen;methylene blue;diisopropylfluorophosphate;cytarabine;pyrazinamide;isradipine;iprindole;apraclonidine;vinblastine;phenoxybenzamine;ibopamine;mesulergine;progabide;tacrolimus;guanethidine;rifampicin;neomycin;quinidine;chlormethiazole;glycerol;mazindol;doxepin;flunarizine;oxymetazoline;cyclofenil;diphenhydramine;modafinil;MK 486</t>
  </si>
  <si>
    <t>fulvestrant;celecoxib;bromocriptine;glucose;dexamethasone;simvastatin;itraconazole;hydroquinone;losartan;paricalcitol;pentaerythritol tetranitrate;sitagliptin</t>
  </si>
  <si>
    <t>Name</t>
  </si>
  <si>
    <t>RefCount to Regulated by Carney Complex</t>
  </si>
  <si>
    <t>RefCount to Genetically linked to Carney Complex</t>
  </si>
  <si>
    <t>RefCount to Quantitatively changed in Carney Complex</t>
  </si>
  <si>
    <t>RefCount to target partners</t>
  </si>
  <si>
    <t>RefCount to symptoms for Carney Complex</t>
  </si>
  <si>
    <t>RefCount to inducers of Carney Complex</t>
  </si>
  <si>
    <t>RefCount to Genetic Variants</t>
  </si>
  <si>
    <t>Genetic Variants linked to Carney Complex</t>
  </si>
  <si>
    <t>RefCount to Target is Biomarker in Carney Complex</t>
  </si>
  <si>
    <t>Target partners</t>
  </si>
  <si>
    <t>Disease model regulator score</t>
  </si>
  <si>
    <t>RefCount to drugs for Carney Complex</t>
  </si>
  <si>
    <t># of children</t>
  </si>
  <si>
    <t>Combined score</t>
  </si>
  <si>
    <t>Rank</t>
  </si>
  <si>
    <t>Click on # references to view 5 most relevant articles in Pubmed</t>
  </si>
  <si>
    <t>DOIs</t>
  </si>
  <si>
    <t>DirectlyInhibitedBy</t>
  </si>
  <si>
    <t>IndirectlyInhibitedBy</t>
  </si>
  <si>
    <t>PRKAR1A</t>
  </si>
  <si>
    <t>PDE11A</t>
  </si>
  <si>
    <t>MYH8</t>
  </si>
  <si>
    <t>PDE8B</t>
  </si>
  <si>
    <t>rs281864780;rs281864800;rs200223045;rs751501857;rs143672551;rs886041228;rs281864801;rs1555813217;rs1568698504;rs1568702458;rs141913727;rs281864781;rs281864794;rs281864790;rs281864779;rs377513504;rs281864782;rs281864798;rs1568698487;rs281864789;rs1456043929;rs1555815121;rs1568701362;rs281864796;rs281864793;rs281864799;rs281864783;rs372451862;rs281864795;rs727503379;rs281864786;rs1555811753;rs199801675;rs1555813158;rs746113372;rs281864792;rs797044568;rs281864797;rs1555814031;rs281864787;rs200069356;rs1555813578;rs1555814477;rs281864785;rs201774040;rs281864784;rs281864788</t>
  </si>
  <si>
    <t>3.500</t>
  </si>
  <si>
    <t>0.110</t>
  </si>
  <si>
    <t>0.055</t>
  </si>
  <si>
    <t>0.023</t>
  </si>
  <si>
    <t>exenatide;retinoic acid;glucose;estradiol</t>
  </si>
  <si>
    <t>dexamethasone;triiodothyronine</t>
  </si>
  <si>
    <t>olanzapine</t>
  </si>
  <si>
    <t>DirectlyActivatedBy</t>
  </si>
  <si>
    <t>IndirectlyActivatedBy</t>
  </si>
  <si>
    <t>CNC2</t>
  </si>
  <si>
    <t>1.500</t>
  </si>
  <si>
    <t>RefCount to compounds modulating Carney Complex</t>
  </si>
  <si>
    <t>ClinVar: public archive of interpretations of clinically relevant variants. (2016). Nucleic Acids Res.Landrum,M.J.;Lee,J.M.;Benson,M.;Brown,G.;Chao,C.;Chitipiralla,S.;Gu,B.;Hart,J.;Hoffman,D.;Hoover,J.;Jang,W.;Katz,K.;Ovetsky,M.;Riley,G.;Sethi,A.;Tully,R.;Villamarin-Salomon,R.;Rubinstein,W.;Maglott,D.R.</t>
  </si>
  <si>
    <t>Standards and guidelines for the interpretation of sequence variants: a joint consensus recommendation of the American College of Medical Genetics and Genomics and the Association for Molecular Pathology. (2015). Genet Med.Richards,S.;Aziz,N.;Bale,S.;Bick,D.;Das,S.;Gastier-Foster,J.;Grody,W.W.;Hegde,M.;Lyon,E.;Spector,E.;Voelkerding,K.;Rehm,H.L.;ACMG Laboratory Quality Assurance Committee.</t>
  </si>
  <si>
    <t>Carney Complex. (2018). No journal name.Stratakis,C.A.;Raygada,M.</t>
  </si>
  <si>
    <t>Sherloc: a comprehensive refinement of the ACMG-AMP variant classification criteria. (2017). Genet Med.Nykamp,K.;Anderson,M.;Powers,M.;Garcia,J.;Herrera,B.;Ho,Y.Y.;Kobayashi,Y.;Patil,N.;Thusberg,J.;Westbrook,M.;Invitae Clinical Genomics Group;Topper,S.</t>
  </si>
  <si>
    <t>PRKAR1A and the evolution of pituitary tumors. (2010). Molecular and Cellular Endocrinology.Kirschner,L.S.</t>
  </si>
  <si>
    <t>Clinical and molecular genetics of Carney complex. (2010). Best Practice &amp; Research Clinical Endocrinology &amp; Metabolism.Rothenbuhler,A.;Stratakis,C.A,Rothenbuhler,A.;Stratakis,C.A.</t>
  </si>
  <si>
    <t>Carney complex: An update. (2015). European Journal of Endocrinology.Correa,R.;Salpea,P.;Stratakis,C.A.</t>
  </si>
  <si>
    <t>Genetic heterogeneity and spectrum of mutations of the PRKAR1A gene in patients with the carney complex. (2000). Hum Mol Genet.Kirschner,L.S.;Sandrini,F.;Monbo,J.;Lin,J.P.;Carney,J.A.;Stratakis,C.A.</t>
  </si>
  <si>
    <t>Carney Complex. (2019). Experimental and Clinical Endocrinology and Diabetes.Kamilaris,C.D.C.;Faucz,F.R.;Stratakis,C.A.;Voutetakis,A.</t>
  </si>
  <si>
    <t>Novel genetic mutation in the background of Carney complex. (2012). Pathology and Oncology Research.Halászlaki,C.;Takács,I.;Lakatos,P.;Butz,H.;Halászlaki,C.;Patócs,A.</t>
  </si>
  <si>
    <t>Clinical syndromes associated with tumors of the female genital tract. (1991). Semin Diagn Pathol.Clement,P.B.;Young,R.H.;Scully,R.E.</t>
  </si>
  <si>
    <t>The transcriptome that mediates increased cyclic adenosine monophosphate signaling in PRKAR1A defects and other settings. (2011). Endocrine Practice.Azevedo,M.F.;Stratakis,C.A.;Stratakis,C.A.</t>
  </si>
  <si>
    <t>Cardiac manifestations of cutaneous disorders. (2012). Journal of the American Academy of Dermatology.O'Neill,J.L.;Narahari,S.;Sane,D.C.;Yosipovitch,G.</t>
  </si>
  <si>
    <t>Clinical and molecular genetics of Carney complex. (2003). Molecular Genetics and Metabolism.Sandrini,F.;Stratakis,C,Sandrini,F.;Stratakis,C.</t>
  </si>
  <si>
    <t>Laugier and hunziker pigmentation: a lentiginous proliferation of melanocytes. (2004). Journal of the American Academy of Dermatology.Moore,R.T.;Chae,K.A.M.;Rhodes,A.R.</t>
  </si>
  <si>
    <t>Protein kinase A and its role in human neoplasia: the Carney complex paradigm. (2004). Endocr Relat Cancer.Bossis,I.;Voutetakis,A.;Bei,T.;Sandrini,F.;Griffin,K.J.;Stratakis,C.A.</t>
  </si>
  <si>
    <t>Mutations and polymorphisms in the gene encoding regulatory subunit type 1-alpha of protein kinase A (PRKAR1A): an update. (2010). Hum Mutat.Horvath,A.;Bertherat,J.;Groussin,L.;Guillaud-Bataille,M.;Tsang,K.;Cazabat,L.;Libé,R.;Remmers,E.;René-Corail,F.;Faucz,F.R.;Clauser,E.;Calender,A.;Bertagna,X.;Carney,J.A.;Stratakis,C.A.</t>
  </si>
  <si>
    <t>Endocrine tumour syndromes in children and adolescents. (2018). Endocrine-Related Cancer.Goudie,C.;Hannah-Shmouni,F.;Stratakis,C.A.;Kavak,M.;Foulkes,W.D.</t>
  </si>
  <si>
    <t>Clinicopathologic features of familial pituitary adenomas. (2016). Diagnostic Histopathology.Syro,L.V.;Rotondo,F.;Kovacs,K.;Korbonits,M.</t>
  </si>
  <si>
    <t>Carney complex and other conditions associated with micronodular adrenal hyperplasias. (2010). Best Practice &amp; Research Clinical Endocrinology &amp; Metabolism.Almeida,M.Q.;Stratakis,C.A,Almeida,M.Q.;Stratakis,C.A.</t>
  </si>
  <si>
    <t>Atrial Form and Function:Lessons from Human Molecular Genetics. (2000). Trends in Cardiovascular Medicine.Hatcher,C.J.;Kim,M.S.;Basson,C.T.</t>
  </si>
  <si>
    <t>Mutations in the protein kinase A R1alpha regulatory subunit cause familial cardiac myxomas and Carney complex. (2000). J Clin Invest.Casey,M.;Vaughan,C.J.;He,J.;Hatcher,C.J.;Winter,J.M.;Weremowicz,S.;Montgomery,K.;Kucherlapati,R.;Morton,C.C.;Basson,C.T.</t>
  </si>
  <si>
    <t>A novel mutation in the type Iα regulatory subunit of protein kinase a (PRKAR1A) in a Cushing’s syndrome patient with primary pigmented nodular adrenocortical disease. (2016). Internal Medicine.Mineo,R.;Tamba,S.;Yamada,Y.;Okita,T.;Kawachi,Y.;Mori,R.;Kyo,M.;Saisho,K.;Kuroda,Y.;Yamamoto,K.;Matsuzawa,Y.;Furuya,A.;Mukai,T.;Maekawa,T.;Nakamura,Y.;Sasano,H.</t>
  </si>
  <si>
    <t>Genetics of adrenocortical disease: An update. (2012). Current Opinion in Endocrinology, Diabetes and Obesity.Bar-Lev,A.;Annes,J.P.</t>
  </si>
  <si>
    <t>Novel association of odontogenic myxoma with constitutional chromosomal 1q21 microduplication: Case report and review of the literature. (2016). Pediatric and Developmental Pathology.Best-Rocha,A.;Patel,K.;Hicks,J.;Wu,H.;Edmonds,J.L.;Paldino,M.J.</t>
  </si>
  <si>
    <t>A Gene-Based Classification of Primary Adrenocortical Hyperplasias. (2020). Hormone and Metabolic Research.Hannah-Shmouni,F.;Stratakis,C.A,Hannah-Shmouni,F.;Stratakis,C.A.</t>
  </si>
  <si>
    <t>Acromegaly in Carney complex. (2019). Pituitary.Cuny,T.;Mac,T.T.;Castinetti,F.;Brue,T.;Romanet,P.;Lagarde,A.;Barlier,A.;Dufour,H.;Graillon,T.;Morange,I.;Albarel,F.;North,M.O.</t>
  </si>
  <si>
    <t>Mutations in regulatory subunit type 1A of cyclic adenosine 5'-monophosphate-dependent protein kinase (PRKAR1A): phenotype analysis in 353 patients and 80 different genotypes. (2009). J Clin Endocrinol Metab.Bertherat,J.;Horvath,A.;Groussin,L.;Grabar,S.;Boikos,S.;Cazabat,L.;Libe,R.;René-Corail,F.;Stergiopoulos,S.;Bourdeau,I.;Bei,T.;Clauser,E.;Calender,A.;Kirschner,L.S.;Bertagna,X.;Carney,J.A.;Stratakis,C.A.</t>
  </si>
  <si>
    <t>Recurrent Left Atrial Myxomas in Carney Complex: A Genetic Cause of Multiple Strokes that can be Prevented. (2012). Journal of Stroke and Cerebrovascular Diseases.Briassoulis,G.;Kuburovic,V.;Xekouki,P.;Patronas,N.;Keil,M.F.;Lyssikatos,C.;Stajevic,M.;Kovacevic,G.;Stratakis,C.A.</t>
  </si>
  <si>
    <t>Endosonographic diagnosis of recurrent gastrointestinal stromal tumors associated with Carney's syndrome. (2005). Gastroenterology.Lipcan,M.T.;Loren,D.E.;Palazzo,J.P.;Bibbo,M.;Dimarino,A.J.;Cohen,S.,Lipcan,M.T.;Loren,D.E.;Palazzo,J.P.;Bibbo,M.;Dimarino,A.J.;Cohen,S.</t>
  </si>
  <si>
    <t>Does phosphodiesterase 11A (PDE11A) hold promise as a future therapeutic target?. (2015). Current Pharmaceutical Design.Kelly,M.P.</t>
  </si>
  <si>
    <t>Protein kinase A defects and cortisol-producing adrenal tumors. (2015). Current Opinion in Endocrinology, Diabetes and Obesity.Zilbermint,M.;Stratakis,C.A.</t>
  </si>
  <si>
    <t>Predicting the risk of cardiac myxoma in Carney complex. (2021). Genet Med.Pitsava,G.;Zhu,C.;Sundaram,R.;Mills,J.L.;Stratakis,C.A,Pitsava,G.;Zhu,C.;Sundaram,R.;Mills,J.L.;Stratakis,C.A.</t>
  </si>
  <si>
    <t>Clinical and molecular features of the Carney complex: diagnostic criteria and recommendations for patient evaluation. (2001). J Clin Endocrinol Metab.Stratakis,C.A.;Kirschner,L.S.;Carney,J.A.</t>
  </si>
  <si>
    <t>Carney complex and McCune Albright syndrome: An overview of clinical manifestations and human molecular genetics. (2013). Molecular and Cellular Endocrinology.Salpea,P.;Stratakis,C.A,Salpea,P.;Stratakis,C.A.</t>
  </si>
  <si>
    <t>Cyclic 3',5'-adenosine monophosphate (cAMP) signaling in the anterior pituitary gland in health and disease. (2017). Molecular and Cellular Endocrinology.Hernández-Ramírez,L.C.;Trivellin,G.;Stratakis,C.A.</t>
  </si>
  <si>
    <t>Clinical phenotypes and molecular genetic mechanisms of Carney complex. (2005). Lancet Oncology.Wilkes,D.;McDermott,D.A.;Basson,C.T,Wilkes,D.;McDermott,D.A.;Basson,C.T.</t>
  </si>
  <si>
    <t>Hereditary cancer syndromes of the skin. (2005). Clinics in Dermatology.Somoano,B.;Niendorf,K.B.;Tsao,H.</t>
  </si>
  <si>
    <t>An unusual presentation of Carney complex with diffuse primary pigmented nodular adrenocortical disease on one adrenal gland and a nonpigmented adrenocortical adenoma and focal primary pigmented nodular adrenocortical disease on the other. (2012). Endocr J.Tung,S.C.;Hwang,D.Y.;Yang,J.W.;Chen,W.J.;Lee,C.T.</t>
  </si>
  <si>
    <t>Mutations of the gene encoding the protein kinase A type I-alpha regulatory subunit in patients with the Carney complex. (2000). Nat Genet.Kirschner,L.S.;Carney,J.A.;Pack,S.D.;Taymans,S.E.;Giatzakis,C.;Cho,Y.S.;Cho-Chung,Y.S.;Stratakis,C.A.</t>
  </si>
  <si>
    <t>A PRKAR1A mutation associated with primary pigmented nodular adrenocortical disease in 12 kindreds. (2006). J Clin Endocrinol Metab.Groussin,L.;Horvath,A.;Jullian,E.;Boikos,S.;Rene-Corail,F.;Lefebvre,H.;Cephise-Velayoudom,F.L.;Vantyghem,M.C.;Chanson,P.;Conte-Devolx,B.;Lucas,M.;Gentil,A.;Malchoff,C.D.;Tissier,F.;Carney,J.A.;Bertagna,X.;Stratakis,C.A.;Bertherat,J.</t>
  </si>
  <si>
    <t>Genitourinary Cancer Predisposition Syndromes. (2010). Hematology/Oncology Clinics of North America.Gallagher,D.J.;Feifer,A.;Coleman,J.A.</t>
  </si>
  <si>
    <t>Comments. (2017). Neurosurgery.Aghi,M.,Lonser,R.R.;Mehta,G.U.;Kindzelski,B.A.;Ray-Chaudhury,A.;DIckerman,R.;Oldfield,E.H.;Lonser,R.R.;Vortmeyer,A.O.;Oldfield,E.H.</t>
  </si>
  <si>
    <t>Heterogeneity of skin manifestations in patients with Carney complex. (2008). Journal of the American Academy of Dermatology.Mateus,C.;Palangié,A.;Franck,N.;Groussin,L.;Bertagna,X.;Avril,M.F.;Bertherat,J.;Dupin,N.</t>
  </si>
  <si>
    <t>Genetic Aspects of Pituitary Adenomas. (2017). Endocrinology and Metabolism Clinics of North America.Marques,P.;Korbonits,M,Marques,P.;Korbonits,M.</t>
  </si>
  <si>
    <t>Germline and mosaic mutations causing pituitary tumours: genetic and molecular aspects. (2019). Journal of Endocrinology.Pepe,S.;Korbonits,M.;Iacovazzo,D.;Pepe,S.</t>
  </si>
  <si>
    <t>TESTICULAR TUMORS IN CARNEY'S COMPLEX. (2002). The Journal of Urology.WASHECKA,R.O.B.E.R.T.;DRESNER,M.A.R.T.I.N.I.;HONDA,S.T.A.C.E.Y.A.A.</t>
  </si>
  <si>
    <t>Plexiform Pigmented Schwannoma of the Uvea. (2006). Survey of Ophthalmology.Saavedra,E.;Singh,A.D.;Sears,J.E.;Ratliff,N.B.</t>
  </si>
  <si>
    <t>Molecular testing for the clinical diagnosis of fibrolamellar carcinoma. (2018). Modern Pathology.Graham,R.P.;Roberts,L.R.;Greipp,P.T.;Jin,L.;Wang,X.;Rustin,J.G.;Kerr,S.E.;Sukov,W.R.;Torbenson,M.S.;Yeh,M.M.;Lam-Himlin,D.;Terracciano,L.;Cruise,M.W.;Zreik,R.T.;Jain,D.;Zaid,N.;Salaria,S.N.;Solomon,D.A.;Kakar,S.;Waterhouse,E.;Gill,R.M.;Ferrell,L.;Alves,V.</t>
  </si>
  <si>
    <t>Large-cell calcifying Sertoli cell tumors of the testes in pediatrics. (2012). Current Opinion in Pediatrics.Gourgari,E.;Saloustros,E.;Stratakis,C.A.</t>
  </si>
  <si>
    <t>Syndromes associated with abnormalities in the adrenal cortex. (2017). Diagnostic Histopathology.Chen,C.;Hunt,J.L.</t>
  </si>
  <si>
    <t>8-Cl-Adenosine Inhibits Proliferation and Causes Apoptosis in B-Lymphocytes via Protein Kinase A-Dependent and Independent Effects: Implications for Treatment of Carney Complex-Associated Tumors. (2009). J Clin Endocrinol Metab.Robinson-White,A.J.;Bossis,I.;Hsiao,H.P.;Nesterova,M.;Leitner,W.W.;Stratakis,C.A.</t>
  </si>
  <si>
    <t>Carney Complex Complicated with Primary Pigmented Nodular Adrenocortical Disease without Cushing's Syndrome Recurrence for Five Years after Unilateral Adrenalectomy. (2022). Internal Medicine.Tsurutani,Y.;Kiriyama,K.;Kondo,M.;Sugisawa,C.;Saito,J.;Nishikawa,T.;Hasebe,M.;Sata,A.;Mizuno,Y.</t>
  </si>
  <si>
    <t>A novel PRKAR1A mutation in Korean Carney complex family. (2012). Experimental and Clinical Endocrinology and Diabetes.Rhee,S.Y.;Woo,J.-T.;Chon,S.;Oh,S.;Kim,S.W.;Kim,J.-W.;Kim,Y.S.;Rhee,S.Y.;Kwon,H.S.;Woo,J.-T.;Chon,S.;Oh,S.;Kim,S.W.;Kim,J.-W.;Kim,Y.S.;Lee,J.H.;Lee,S.;Kim,M.K.;Lim,Y.J.;Rhee,B.A.;Koh,S.H.;Lee,M.-H.;Kim,D.Y.;Choi,Y.K.</t>
  </si>
  <si>
    <t>Germline deletion and a somatic mutation of the PRKAR1A gene in a Carney complex-related pituitary adenoma. (2015). European Journal of Endocrinology.Iwata,T.;Ono,S.;Yoshimoto,K.;Tamanaha,T.;Koezuka,R.;Tochiya,M.;Makino,H.;Kishimoto,I.;Mizusawa,N.;Inoshita,N.;Yamada,S.;Shimatsu,A.</t>
  </si>
  <si>
    <t>Cancer-associated genodermatoses: Skin neoplasms as clues to hereditary tumor syndromes. (2012). Critical Reviews in Oncology / Hematology.Ponti,G.;Pellacani,G.;Seidenari,S.;Pollio,A.;Muscatello,U.;Tomasi,A.</t>
  </si>
  <si>
    <t>Protein kinase A drives paracrine crisis and WNT4-dependent testis tumor in Carney complex. (2021). Journal of Clinical Investigation.Djari,C.;Sahut-Barnola,I.;Septier,A.;Montanier,N.;Dufour,D.;Levasseur,A.;James,J.W.;Pointud,J.-C.;Tauveron,I.;Val,P.;Martinez,A.;Lefrançois-Martinez,A.-M.;Plotton,I.;Montanier,N.;Tauveron,I.;Faucz,F.R.;Kamilaris,C.;Stratakis,C.A.;Lopez,A.-G.;Lefebvre,H,Djari,C.;Sahut-Barnola,I.;Septier,A.;Montanier,N.;Dufour,D.;Levasseur,A.;James,J.W.;Pointud,J.-C.;Tauveron,I.;Val,P.;Martinez,A.;Lefrançois-Martinez,A.-M.;Plotton,I.;Montanier,N.;Tauveron,I.;Faucz,F.R.;Kamilaris,C.;Stratakis,C.A.;Lopez,A.-G.;Lefebvre,H.</t>
  </si>
  <si>
    <t>Molecular Biology of Pituitary Adenomas. (2019). Neurosurgery Clinics of North America.Faltermeier,C.M.;Magill,S.T.;Blevins,L.;Aghi,M.K.</t>
  </si>
  <si>
    <t>Cutaneous and Cardiac Myxomas in a Patient with Carney Complex. (2012). The American Journal of Medicine.Desai,N.;Kalra,A.;Dalal,A.;Sarswat,N.;Ortman,M.</t>
  </si>
  <si>
    <t>Celecoxib treatment of fibrous dysplasia (FD) in a human FD cell line and FD-like lesions in mice with protein kinase A (PKA) defects. (2016). Molecular and Cellular Endocrinology.Saloustros,E.;Liu,S.;Mertz,E.L.;Bhattacharyya,N.;Starost,M.F.;Salpea,P.;Nesterova,M.;Collins,M.;Leikin,S.;Stratakis,C.A.</t>
  </si>
  <si>
    <t>A clinicopathologic analysis of 54 cases of cutaneous myxoma. (2021). Human Pathology.Sharma,A.;Khaitan,N.;Ko,J.S.;Bergfeld,W.F.;Piliang,M.;Rubin,B.P.;Goldblum,J.R.;Billings,S.D.</t>
  </si>
  <si>
    <t>Intrathoracic psammomatous melanotic schwannoma associated with the Carney complex. (2008). Ann Thorac Surg.Mees,S.T.;Spieker,T.;Eltze,E.;Brockmann,J.;Senninger,N.;Bruewer,M.</t>
  </si>
  <si>
    <t>Superficial Angiomyxomas Frequently Demonstrate Loss of Protein Kinase A Regulatory Subunit 1 Alpha Expression Immunohistochemical Analysis of 29 Cases and Cutaneous Myxoid Neoplasms With Histopathologic Overlap. (2022). Am J Surg Pathol.Neumann,N.M.;LeBoit,P.E.;Cohen,J.N.,Neumann,N.M.;LeBoit,P.E.;Cohen,J.N.;LeBoit,P.E.;Cohen,J.N.;LeBoit,P.E.</t>
  </si>
  <si>
    <t>MR evaluation of cardiac and pericardial malignancy. (2003). Magnetic Resonance Imaging Clinics of North America.Gilkeson,R.C.;Chiles,C.</t>
  </si>
  <si>
    <t>A novel PRKAR1A mutation associated with primary pigmented nodular adrenocortical disease and the carney complex. (2010). Endocrine Practice.Peck,M.C.;Katznelson,L.;Visser,B.C.;Norton,J.A.;Pasche,L.;Katznelson,L.</t>
  </si>
  <si>
    <t>Comparative PRKAR1A genotype-phenotype analyses in humans with Carney complex and prkar1a haploinsufficient mice. (2004). Proc Natl Acad Sci U S A.Veugelers,M.;Wilkes,D.;Burton,K.;McDermott,D.A.;Song,Y.;Goldstein,M.M.;La Perle,K.;Vaughan,C.J.;O'Hagan,A.;Bennett,K.R.;Meyer,B.J.;Legius,E.;Karttunen,M.;Norio,R.;Kaariainen,H.;Lavyne,M.;Neau,J.P.;Richter,G.;Kirali,K.;Farnsworth,A.;Stapleton,K.;Morelli,P.</t>
  </si>
  <si>
    <t>Conjunctival myxoma: A synopsis of a rare ocular tumor a synopsis of a rare ocular tumor. (2015). Archives of Pathology and Laboratory Medicine.Xiong,M.-J.;Dim,D.C.;Xiong,M.-J.;Dim,D.C.</t>
  </si>
  <si>
    <t>AIP inactivation leads to pituitary tumorigenesis through defective Gα&lt;inf&gt;i&lt;/inf&gt;-cAMP signaling. (2015). Oncogene.Tuominen,I.;Heliövaara,E.;Raitila,A.;Rautiainen,M.-R.;Mehine,M.;Katainen,R.;Donner,I.;Lehtonen,H.J.;Ahlsten,M.;Karhu,A.;Aittomäki,V.;Hautaniemi,S.;Kivipelto,L.;Schalin-Jäntti,C.;Arola,J.;Tuominen,I.;Rautiainen,M.-R.</t>
  </si>
  <si>
    <t>Regulation of protein kinase A activity by p90 ribosomal S6 kinase 1. (2009). J Biol Chem.Gao,X.;Patel,T.B.</t>
  </si>
  <si>
    <t>Gαs-Protein Kinase A (PKA) Pathway Signalopathies: The Emerging Genetic Landscape and Therapeutic Potential of Human Diseases Driven by Aberrant Gαs-PKA Signaling. (2021). Pharmacol Rev.Ramms,D.J.;Raimondi,F.;Arang,N.;Herberg,F.W.;Taylor,S.S.;Gutkind,J.S.</t>
  </si>
  <si>
    <t>Primary intraosseous melanotic schwannoma of the fibula associated with the Carney complex. (2006). Pathol Int.Kim,M.J.;Choi,J.;Khang,S.K.;Kim,J.S.;Lee,J.S.;Cho,K.J.,Kim,M.J.;Choi,J.;Khang,S.K.;Kim,J.S.;Lee,J.S.;Cho,K.J.</t>
  </si>
  <si>
    <t>Identification of a clinically homogenous subgroup of benign cortisol-secreting adrenocortical tumors characterized by alterations of the protein kinase A (PKA) subunits and high PKA activity. (2008). Eur J Endocrinol.Vincent-Dejean,C.;Cazabat,L.;Groussin,L.;Perlemoine,K.;Fumey,G.;Tissier,F.;Bertagna,X.;Bertherat,J.</t>
  </si>
  <si>
    <t>A concise genetic and clinical guide to multiple endocrine neoplasias and related syndromes. (2000). J Pediatr Endocrinol Metab.Stratakis,C.A.;Ball,D.W.</t>
  </si>
  <si>
    <t>Familial Carney complex with biatrial cardiac myxoma. (2017). J Cardiol Cases.Takigami,M.;Kawata,M.;Kintsu,M.;Kodaira,M.;Sogabe,K.;Kato,Y.;Matsuura,T.;Kamemura,K.;Hirayama,Y.;Adachi,K.;Matsuura,A.;Sakamoto,S.;Tobe,S.;Hamamoto,K.;Kadoya,M.;Koyama,H.</t>
  </si>
  <si>
    <t>Skin lesions in hereditary endocrine tumor syndromes. (2011). Endocrine Practice.Saggini,A.;Brandi,M.L.</t>
  </si>
  <si>
    <t>Human tumors associated with Carney complex and germline PRKAR1A mutations: a protein kinase A disease!. (2003). FEBS Lett.Stergiopoulos,S.G.;Stratakis,C.A.</t>
  </si>
  <si>
    <t>Familial Endocrine Syndromes. (2014). Surgical Pathology Clinics.Sadow,P.M.;Hartford,N.M.;Nosé,V.</t>
  </si>
  <si>
    <t>Hereditary myosin myopathies. (2007). Neuromuscular Disorders.Oldfors,A.</t>
  </si>
  <si>
    <t>Familial non-medullary thyroid cancer: an update on the genetic and pathologic features. (2016). Diagnostic Histopathology.Griffith,C.C.;Seethala,R.R.</t>
  </si>
  <si>
    <t>Deletions of the PRKAR1A locus at 17q24.2-q24.3 in carney complex: Genotype-phenotype correlations and implications for genetic testing. (2014). Journal of Clinical Endocrinology and Metabolism.Salpea,P.;London,E.;Faucz,F.R.;Levy,I.;Gourgari,E.;Keil,M.F.;Lyssikatos,C.;Stratakis,C.A.;Horvath,A.;Vetro,A.;Forlino,A.;Zuffardi,O.;Dauber,A.;Holm,I.A.;Morrison,P.J.;Mowrey,P.;Smith,E.D.;Sanidad,M.A.;Kelly,J.C.;Dai,Z.</t>
  </si>
  <si>
    <t>Does phosphodiesterase 11A (PDE11A) hold promise as a future therapeutic target?. (2015). Current Pharmaceutical Design.Kelly,M.P.,Kelly,M.P.</t>
  </si>
  <si>
    <t>Primary pigmented nodular adrenocortical disease: paradoxical responses of cortisol secretion to dexamethasone occur in vitro and are associated with increased expression of the glucocorticoid receptor. (2003). J Clin Endocrinol Metab.Bourdeau,I.;Lacroix,A.;Schürch,W.;Caron,P.;Antakly,T.;Stratakis,C.A.</t>
  </si>
  <si>
    <t>Thyroid Nodules and Cancers in Children. (2005). Endocrinology and Metabolism Clinics of North America.Halac,I.;Zimmerman,D.</t>
  </si>
  <si>
    <t>Inactivation of the Carney complex gene 1 (PRKAR1A) alters spatiotemporal regulation of cAMP and cAMP-dependent protein kinase: a study using genetically encoded FRET-based reporters. (2014). Hum Mol Genet.Cazabat,L.;Ragazzon,B.;Varin,A.;Potier-Cartereau,M.;Vandier,C.;Vezzosi,D.;Risk-Rabin,M.;Guellich,A.;Schittl,J.;Lechêne,P.;Richter,W.;Nikolaev,V.O.;Zhang,J.;Bertherat,J.;Vandecasteele,G.</t>
  </si>
  <si>
    <t>The clinical, pathological, and genetic features of familial isolated pituitary adenomas. (2007). Eur J Endocrinol.Beckers,A.;Daly,A.F.</t>
  </si>
  <si>
    <t>The epidemiology and genetics of pituitary adenomas. (2009). Best Practice &amp; Research Clinical Endocrinology &amp; Metabolism.Daly,A.F.;Tichomirowa,M.A.;Beckers,A.</t>
  </si>
  <si>
    <t>Successful pregnancy and delivery in a patient with Carney complex: implications for anesthesiologists. (2015). A A Case Rep.Staudt,G.;Camann,W.</t>
  </si>
  <si>
    <t>Adrenocortical hyperplasia: A multifaceted disease. (2020). Best Practice &amp; Research Clinical Endocrinology &amp; Metabolism.Bourdeau,I.;Parisien-La Salle,S.;Lacroix,A,Bourdeau,I.;Parisien-La Salle,S.;Lacroix,A.</t>
  </si>
  <si>
    <t>Functional characterization of PRKAR1A mutations reveals a unique molecular mechanism causing acrodysostosis but multiple mechanisms causing carney complex. (2015). Journal of Biological Chemistry.Rhayem,Y.;Khalek,W.A.;Auzan,C.;Clauser,E.;Rhayem,Y.;Silve,C.;Clauser,E.;Bertherat,J.;Le Stunff,C.;Silve,C.;Bertherat,J.;Linglart,A.;Couvineau,A.</t>
  </si>
  <si>
    <t>Familial pituitary tumors. (2014). Handb Clin Neurol.Alband,N.;Korbonits,M.</t>
  </si>
  <si>
    <t>Screening for genetic causes of growth hormone hypersecretion. (2016). Growth Hormone &amp; IGF Research.Rostomyan,L.;Beckers,A,Rostomyan,L.;Beckers,A.</t>
  </si>
  <si>
    <t>Maxillary sinus melanoma as the presenting feature of Carney complex. (2008). International Journal of Pediatric Otorhinolaryngology.Ryan,M.W.;Cunningham,S.;Xiao,S.Y.</t>
  </si>
  <si>
    <t>Gastrointestinal: Melanotic schwannoma of the pancreas associated with Carney complex: A cause of acute neoplastic symptom. (2022). J Gastroenterol Hepatol.Yokoyama,N.;Sato,D.;Katada,T.;Otani,T.;Furukawa,K.;Hashidate,H.</t>
  </si>
  <si>
    <t>Primary pigmented nodular adrenocortical disease (PPNAD): Single centre experience. (2019). Journal of Pediatric Endocrinology and Metabolism.Memon,S.S.;Thakkar,K.;Patil,V.;Jadhav,S.;Lila,A.R.;Bandgar,T.R.;Shah,N.S.;Fernandes,G.</t>
  </si>
  <si>
    <t>Fibrolamellar carcinoma in the Carney complex: PRKAR1A loss instead of the classic DNAJB1-PRKACA fusion. (2018). Hepatology.Graham,R.P.;Lackner,C.;Terracciano,L.;González-Cantú,Y.;Maleszewski,J.J.;Greipp,P.T.;Simon,S.M.;Torbenson,M.S.</t>
  </si>
  <si>
    <t>A Novel Inherited Mutation in PRKAR1A Abrogates PreRNA Splicing in a Carney Complex Family. (2015). Can J Cardiol.Sun,Y.;Chen,X.;Sun,J.;Wen,X.;Liu,X.;Zhang,Y.;Hoffman,A.R.;Hu,J.F.;Gao,Y.</t>
  </si>
  <si>
    <t>Clinical and molecular genetics of primary pigmented nodular adrenocortical disease. (2004). Arq Bras Endocrinol Metabol.Sandrini,F.;Stratakis,C.</t>
  </si>
  <si>
    <t>Recurrent activating mutation in PRKACA in cortisol-producing adrenal tumors. (2014). Nature Genetics.Goh,G.;Scholl,U.I.;Choi,M.;Nelson-Williams,C.;Lifton,R.P.;Goh,G.;Scholl,U.I.;Choi,M.;Nelson-Williams,C.;Lifton,R.P.;Scholl,U.I.;Healy,J.M.;Kuntsman,J.W.;Korah,R.;Carling,T.;Choi,M.;Lifton,R.P.;Prasad,M.L.;Suttorp,A.-C.;Dietrich,D.;Haase,M.;Willenberg,H.S.</t>
  </si>
  <si>
    <t>Rare and Unusual Endocrine Cancer Syndromes With Mutated Genes. (2010). Seminars in Oncology.Lodish,M.B.;Stratakis,C.A.,Lodish,M.B.;Stratakis,C.A.</t>
  </si>
  <si>
    <t>Hypodense nodularity on computed tomography: novel imaging and pathology of micronodular adrenocortical hyperplasia associated with myelolipomatous changes. (2004). J Clin Endocrinol Metab.Courcoutsakis,N.A.;Patronas,N.J.;Cassarino,D.;Griffin,K.;Keil,M.;Ross,J.L.;Carney,J.A.;Stratakis,C.A.</t>
  </si>
  <si>
    <t>Carney complex and lentiginosis. (2009). Pigment Cell Melanoma Res.Horvath,A.;Stratakis,C.A.</t>
  </si>
  <si>
    <t>Neurogenic tumors of soft tissue. (2012). Pediatric and Developmental Pathology.Cates,J.M.M.;Coffin,C.M.</t>
  </si>
  <si>
    <t>Reproductive disturbances in multiple neuroendocrine tumor syndromes. (2009). Endocr Relat Cancer.Lytras,A.;Tolis,G.</t>
  </si>
  <si>
    <t>Malignant Tumours of the Heart: A Review of Tumour Type, Diagnosis and Therapy. (2007). Clinical Oncology.Neragi-Miandoab,S.;Kim,J.;Vlahakes,G.J.</t>
  </si>
  <si>
    <t>Novel mutation in a patient with Carney complex. (2011). Orv Hetil.Halászlaki,C.;Takács,I.;Lakatos,P.;Patócs,A.;Halászlaki,C.;Halászlaki,C.,Halászlaki,C.;Takács,I.;Patócs,A.;Lakatos,P.</t>
  </si>
  <si>
    <t>Genodermatoses associated with melanocytic nevi. (2022). Clinics in Dermatology.Ramseier,J.Y.;Perkins,S.H.</t>
  </si>
  <si>
    <t>A novel splice site mutation of the PRKAR1A gene, C.440+5 G&gt;C, in a Chinese family with Carney complex. (2018). J Endocrinol Invest.Fu,J.;Lai,F.;Chen,Y.;Wan,X.;Wei,G.;Li,Y.;Xiao,H.;Cao,X.</t>
  </si>
  <si>
    <t>Carney complex presenting with a unilateral adrenocortical nodule: a case report. (2014). J Med Case Rep.Talaei,A.;Aminorroaya,A.;Taheri,D.;Mahdavi,K.N.</t>
  </si>
  <si>
    <t>Exome Sequencing Identifies PDE4D Mutations in Acrodysostosis. (2012). The American Journal of Human Genetics.Lee,H.;Graham,J.M.;Rimoin,D.L.;Lachman,R.S.;Krejci,P.;Tompson,S.W.;Nelson,S.F.;Krakow,D.;Cohn,D.H.</t>
  </si>
  <si>
    <t>Activation of cyclic AMP signaling leads to different pathway alterations in lesions of the adrenal cortex caused by germline PRKAR1A defects versus those due to somatic GNAS mutations. (2012). Journal of Clinical Endocrinology and Metabolism.Almeida,M.Q.;Azevedo,M.F.;Xekouki,P.;Bimpaki,E.I.;Horvath,A.;Bourdeau,I.;Nesterova,M.;Stratakis,C.A.;Stratakis,C.A.;Collins,M.T.;Bhattacharyya,N.;Karaviti,L.P.;Jeha,G.S.;Cheadle,C.;Watkins,T.;Bourdeau,I.,Almeida,M.Q.;Azevedo,M.F.;Xekouki,P.;Bimpaki,E.I.;Horvath,A.;Bourdeau,I.;Nesterova,M.;Stratakis,C.A.;Stratakis,C.A.;Collins,M.T.;Bhattacharyya,N.;Karaviti,L.P.;Jeha,G.S.;Cheadle,C.;Watkins,T.;Bourdeau,I.</t>
  </si>
  <si>
    <t>An immortalized human cell line bearing a PRKAR1A-inactivating mutation: effects of overexpression of the wild-type Allele and other protein kinase A subunits. (2008). J Clin Endocrinol Metab.Nesterova,M.;Bossis,I.;Wen,F.;Horvath,A.;Matyakhina,L.;Stratakis,C.A.</t>
  </si>
  <si>
    <t>Large deletions of the PRKAR1A gene in Carney complex. (2008). Clin Cancer Res.Horvath,A.;Bossis,I.;Giatzakis,C.;Levine,E.;Weinberg,F.;Meoli,E.;Robinson-White,A.;Siegel,J.;Soni,P.;Groussin,L.;Matyakhina,L.;Verma,S.;Remmers,E.;Nesterova,M.;Carney,J.A.;Bertherat,J.;Stratakis,C.A.,Horvath,A.;Bossis,I.;Giatzakis,C.;Levine,E.;Weinberg,F.;Meoli,E.;Robinson-White,A.;Siegel,J.;Soni,P.;Groussin,L.;Matyakhina,L.;Verma,S.;Remmers,E.;Nesterova,M.;Carney,J.A.;Bertherat,J.;Stratakis,C.A.</t>
  </si>
  <si>
    <t>PAP7, a PBR/PKA-RIα-associated protein: a new element in the relay of the hormonal induction of steroidogenesis. (2003). Journal of Steroid Biochemistry and Molecular Biology.Liu,J.;Li,H.;Papadopoulos,V.</t>
  </si>
  <si>
    <t>PRKAR1A and PDE4D mutations cause acrodysostosis but two distinct syndromes with or without GPCR-signaling hormone resistance. (2012). J Clin Endocrinol Metab.Linglart,A.;Fryssira,H.;Hiort,O.;Holterhus,P.M.;Perez de Nanclares,G.;Argente,J.;Heinrichs,C.;Kuechler,A.;Mantovani,G.;Leheup,B.;Wicart,P.;Chassot,V.;Schmidt,D.;Rubio-Cabezas,Ó.;Richter-Unruh,A.;Berrade,S.;Pereda,A.;Boros,E.;Muñoz-Calvo,M.T.;Castori,M.</t>
  </si>
  <si>
    <t>Case studies of two related Chinese patients with Carney complex presenting with extensive cardiac myxomas and PRKAR1A gene mutation of c.491_492delTG. (2015). World J Surg Oncol.Guo,H.;Xu,J.;Xiong,H.;Hu,S.</t>
  </si>
  <si>
    <t>Efficacy of dexamethasone suppression test during the diagnosis of primary pigmented nodular adrenocortical disease in Chinese adrenocorticotropic hormone-independent Cushing syndrome. (2018). Endocrine.Chen,S.;Lu,L.;Duan,L.;Tong,A.;Pan,H.;Zhu,H.;Lu,Z.;Li,R.;Zhang,X.</t>
  </si>
  <si>
    <t>PRKAR1A gene mutation in patients with cardiac myxoma. (2005). International Journal of Cardiology.Mabuchi,T.;Shimizu,M.;Ino,H.;Yamguchi,M.;Terai,H.;Fujino,N.;Nagata,M.;Sakata,K.;Inoue,M.;Yoneda,T.;Mabuchi,H.,Mabuchi,T.;Shimizu,M.;Ino,H.;Yamguchi,M.;Terai,H.;Fujino,N.;Nagata,M.;Sakata,K.;Inoue,M.;Yoneda,T.;Mabuchi,H.</t>
  </si>
  <si>
    <t>Regulation of steroidogenesis in a primary pigmented nodular adrenocortical disease-associated adenoma leading to virilization and subclinical Cushing's syndrome. (2013). European Journal of Endocrinology.Hofland,J.;De Herder,W.W.;Derks,L.;Hofland,L.J.;Van Koetsveld,P.M.;Van Nederveen,F.H.;De Jong,F.H.;Feelders,R.A.;De Krijger,R.R.;Horvath,A.;Stratakis,C.A.</t>
  </si>
  <si>
    <t>Two rare cases of familial (mother and daughter) adrenocorticotropic hormone-independent Cushing's syndrome due to adrenal adenoma, as well as the asynchronous development of another contralateral adrenal adenoma in the mother. (2014). Internal Medicine.Ogo,A.;Sakaki,Y.;Hasuzawa,N.;Saitou,R.;Matoba,Y.;Usui,T.;Naruse,M.</t>
  </si>
  <si>
    <t>The genetics of pituitary adenomas. (2010). Best Practice &amp; Research Clinical Endocrinology &amp; Metabolism.Vandeva,S.;Jaffrain-Rea,M.L.;Daly,A.F.;Tichomirowa,M.;Zacharieva,S.;Beckers,A.</t>
  </si>
  <si>
    <t>Management of ovarian and testicular sex cord-stromal tumors in children and adolescents. (2012). Journal of Pediatric Hematology/Oncology.Schultz,K.A.P.;Schneider,D.T.;Pashankar,F.;Ross,J.;Frazier,L.</t>
  </si>
  <si>
    <t>Carney complex: A familial lentiginosis predisposing to a variety of tumors. (2016). Rev Endocr Metab Disord.Stratakis,C.A.</t>
  </si>
  <si>
    <t>PRKAR1A mutation causing pituitary-dependent Cushing disease in a patient with Carney complex. (2017). European Journal of Endocrinology.Kiefer,F.W.;Winhofer,Y.;Krebs,M.;Luger,A.;Gessl,A.;Iacovazzo,D.;Korbonits,M.;Wolfsberger,S.;Knosp,E.;Trautinger,F.;Höftberger,R.</t>
  </si>
  <si>
    <t>Protein kinase A alterations in endocrine tumors. (2012). Hormone and Metabolic Research.Yu,B.;Ragazzon,B.;Rizk-Rabin,M.;Bertherat,J.;Yu,B.;Ragazzon,B.;Rizk-Rabin,M.;Bertherat,J.;Yu,B.;Ragazzon,B.;Rizk-Rabin,M.;Bertherat,J.;Bertherat,J.</t>
  </si>
  <si>
    <t>Non-Cancerous Ophthalmic Clues to Non-Ocular Cancer. (2002). Survey of Ophthalmology.Robertson,D.M.</t>
  </si>
  <si>
    <t>Association of the M1V PRKAR1A Mutation with Primary Pigmented Nodular Adrenocortical Disease in Two Large Families. (2009). J Clin Endocrinol Metab.Pereira,A.M.;Hes,F.J.;Horvath,A.;Woortman,S.;Greene,E.;Bimpaki,E.;Alatsatianos,A.;Boikos,S.;Smit,J.W.;Romijn,J.A.;Nesterova,M.;Stratakis,C.A.</t>
  </si>
  <si>
    <t>Acromegaly in a multiple endocrine neoplasia type 1 (MEN1) family with low penetrance of the disease. (2005). Eur J Endocrinol.Dreijerink,K.M.;van Beek,A.P.;Lentjes,E.G.;Post,J.G.;van der Luijt,R.B.;Canninga-van Dijk,M.R.;Lips,C.J.</t>
  </si>
  <si>
    <t>Bilateral Adrenal Cushing's Syndrome: Macronodular Adrenal Hyperplasia and Primary Pigmented Nodular Adrenocortical Disease. (2005). Endocrinology and Metabolism Clinics of North America.Lacroix,A.;Bourdeau,I.</t>
  </si>
  <si>
    <t>Adrenocortical tumorigenesis: Lessons from genetics. (2020). Best Practice &amp; Research Clinical Endocrinology &amp; Metabolism.Kamilaris,C.D.C.;Hannah-Shmouni,F.;Stratakis,C.A,Kamilaris,C.D.C.;Hannah-Shmouni,F.;Stratakis,C.A.</t>
  </si>
  <si>
    <t>PRKAR1A Mutations and protein kinase A interactions with other signaling pathways in the adrenal cortex. (2006). J Clin Endocrinol Metab.Robinson-White,A.;Meoli,E.;Stergiopoulos,S.;Horvath,A.;Boikos,S.;Bossis,I.;Stratakis,C.A.</t>
  </si>
  <si>
    <t>Pitfalls and uncertain prognosis in pathological diagnosis of psammomatous melanotic schwannoma. (2016). Journal of Clinical Neuroscience.Ng,J.;Munoz,D.G.</t>
  </si>
  <si>
    <t>Fatal embolic events in childhood. (2012). Journal of Forensic and Legal Medicine.Byard,R.W.</t>
  </si>
  <si>
    <t>Structure of a PKA RIα Recurrent Acrodysostosis Mutant Explains Defective cAMP-Dependent Activation. (2016). Journal of Molecular Biology.Bruystens,J.G.H.;Wu,J.;Fortezzo,A.;Del Rio,J.;Nielsen,C.;Blumenthal,D.K.;Rock,R.;Stefan,E.;Taylor,S.S.</t>
  </si>
  <si>
    <t>New and evolving concepts of melanocytic nevi and melanocytomas. (2020). Modern Pathology.Yeh,I.</t>
  </si>
  <si>
    <t>Children with Cushing's syndrome: Primary Pigmented Nodular Adrenocortical Disease should always be suspected. (2011). Pituitary.da Silva,R.M.;Pinto,E.;Goldman,S.M.;Andreoni,C.;Vieira,T.C.;Abucham,J.</t>
  </si>
  <si>
    <t>Pathogenesis of benign adrenocortical tumors. (2010). Best Practice &amp; Research Clinical Endocrinology &amp; Metabolism.Vezzosi,D.;Bertherat,J.;Groussin,L.</t>
  </si>
  <si>
    <t>Benign cardiac tumors of the pluripotent mesenchyme. (2008). Seminars in Diagnostic Pathology.Vaideeswar,P.;Butany,J.W.</t>
  </si>
  <si>
    <t>Syndromes that Link the Endocrine System and Genitourinary Tract. (2015). Turk Patoloji Derg.Özlük,Y.;Kılıçaslan,I.</t>
  </si>
  <si>
    <t>The regulatory 1α subunit of protein kinase a modulates renal cystogenesis. (2017). American Journal of Physiology - Renal Physiology.Ye,H.;Wang,X.;Constans,M.M.;Sussman,C.R.;Chebib,F.T.;Irazabal,M.V.;Young,W.F.;Harris,P.C.;Torres,V.E.;Kirschner,L.S.</t>
  </si>
  <si>
    <t>Genetics of tumors of the adrenal cortex. (2018). Endocrine-Related Cancer.Bonnet-Serrano,F.;Bertherat,J.;Bonnet-Serrano,F.;Bertherat,J.</t>
  </si>
  <si>
    <t>Allosteric pluripotency: challenges and opportunities. (2022). Biochemical Journal.Akimoto,M.;Pomier,K.M.;VanSchouwen,B.;Byun,J.A.;Khamina,M.;Melacini,G.;Melacini,G.</t>
  </si>
  <si>
    <t>An in vivo screening system to identify tumorigenic genes. (2017). Oncogene.Ihara,T.;Hosokawa,Y.;Kumazawa,K.;Yamamoto,M.;Semba,K.;Ishikawa,K.;Fujimoto,J.;Muramkami,T.;Goshima,N.;Goshima,N.;Ito,E.;Watanabe,S.;Semba,K.</t>
  </si>
  <si>
    <t>Phosphorylation of Par-4 by protein kinase A is critical for apoptosis. (2005). Mol Cell Biol.Gurumurthy,S.;Goswami,A.;Vasudevan,K.M.;Rangnekar,V.M.</t>
  </si>
  <si>
    <t>Melanotic Schwannomas Are Rarely Seen Pigmented Tumors with Unpredictable Prognosis and Challenging Diagnosis. (2017). Case Rep Pathol.Keskin,E.;Ekmekci,S.;Oztekin,O.;Diniz,G.</t>
  </si>
  <si>
    <t>Identification of a novel genetic locus for familial cardiac myxomas and Carney complex. (1998). Circulation.Casey,M.;Mah,C.;Merliss,A.D.;Kirschner,L.S.;Taymans,S.E.;Denio,A.E.;Korf,B.;Irvine,A.D.;Hughes,A.;Carney,J.A.;Stratakis,C.A.;Basson,C.T.</t>
  </si>
  <si>
    <t>Pituitary pathology in Carney complex patients. (2004). Pituitary.Stergiopoulos,S.G.;Abu-Asab,M.S.;Tsokos,M.;Stratakis,C.A.</t>
  </si>
  <si>
    <t>Molecular Genetics of Thyroid Cancer in Children and Adolescents. (2017). Endocrinology and Metabolism Clinics of North America.Bauer,A.J.</t>
  </si>
  <si>
    <t>A novel mutation in PRKAR1A gene in a patient with Carney complex presenting with pituitary macroadenoma, acromegaly, Cushing's syndrome and recurrent atrial myxoma. (2021). Arch Endocrinol Metab.Ghazi,A.A.;Mandegar,M.H.;Abazari,M.;Behzadnia,N.;Sadeghian,T.;Torbaghan,S.S.;Amirbaigloo,A.</t>
  </si>
  <si>
    <t>Expression of the two alternatively spliced PRKAR1A RNAs in human endocrine glands. (2005). Molecular and Cellular Endocrinology.Peverelli,E.;Mantovani,G.;Bondioni,S.;Pellegrini,C.;Bosari,S.;Lania,A.G.;Beck-Peccoz,P.;Spada,A.,Peverelli,E.;Mantovani,G.;Bondioni,S.;Pellegrini,C.;Bosari,S.;Lania,A.G.;Beck-Peccoz,P.;Spada,A.</t>
  </si>
  <si>
    <t>Perspective: lessons learned from molecular genetic studies of thyroid cancer--insights into pathogenesis and tumor-specific therapeutic targets. (2002). Endocrinology.Fagin,J.A.</t>
  </si>
  <si>
    <t>First Somatic PRKAR1A Defect Associated With Mosaicism for Another PRKAR1A Mutation in a Patient With Cushing Syndrome. (2021). J Endocr Soc.Kamilaris,C.D.C.;Faucz,F.R.;Andriessen,V.C.;Nilubol,N.;Lee,C.R.;Ahlman,M.A.;Hannah-Shmouni,F.;Stratakis,C.A.</t>
  </si>
  <si>
    <t>Surgical Management of Nonmultiple Endocrine Neoplasia Endocrinopathies: State-of-the-Art Review. (2009). Surgical Clinics of North America.Landry,C.S.;Waguespack,S.G.;Perrier,N.D.</t>
  </si>
  <si>
    <t>Hereditary Tumor Syndromes with Skin Involvement. (2019). Dermatologic Clinics.Hamid,R.N.;Akkurt,Z.M.</t>
  </si>
  <si>
    <t>Dilated cardiomyopathy as a presenting feature of Cushing's syndrome. (2013). Internal Medicine.Shibusawa,N.;Yamada,M.;Hashida,T.;Hashimoto,K.;Satoh,T.;Mori,M.;Horiguchi,J.;Takeyoshi,I.;Oyama,T.</t>
  </si>
  <si>
    <t>Tumours of familial origin in the head and neck. (2006). Oral Oncology.Suárez,C.;Rodrigo,J.P.;Ferlito,A.;Cabanillas,R.;Shaha,A.R.;Rinaldo,A,Suárez,C.;Rodrigo,J.P.;Ferlito,A.;Cabanillas,R.;Shaha,A.R.;Rinaldo,A.</t>
  </si>
  <si>
    <t>Obstruction of the tricuspid valve orifice by a huge right atrial myxoma associated with the Carney complex: a case report. (2010). J Card Surg.Affronti,A.;Di Bella,I.;Prontera,P.;Da Col,U.;Ramoni,E.;Donti,E.;Paris,M.;Ragni,T.</t>
  </si>
  <si>
    <t>Psammomatous malignant melanoma arising in an intradermal naevus. (2001). Histopathology.Monteagudo,C.;Ferrández,A.;González-Devesa,M.;Llombart-Bosch,A.</t>
  </si>
  <si>
    <t>Clinical characterization of familial isolated pituitary adenomas. (2006). J Clin Endocrinol Metab.Daly,A.F.;Jaffrain-Rea,M.L.;Ciccarelli,A.;Valdes-Socin,H.;Rohmer,V.;Tamburrano,G.;Borson-Chazot,C.;Estour,B.;Ciccarelli,E.;Brue,T.;Ferolla,P.;Emy,P.;Colao,A.;De Menis,E.;Lecomte,P.;Penfornis,F.;Delemer,B.;Bertherat,J.;Wémeau,J.L.;De Herder,W.;Archambeau.</t>
  </si>
  <si>
    <t>PKA RIα Homodimer Structure Reveals an Intermolecular Interface with Implications for Cooperative cAMP Binding and Carney Complex Disease. (2014). Structure.Bruystens,J.G.H.;Wu,J.;Fortezzo,A.;Kornev,A.P.;Blumenthal,D.K.;Taylor,S.S.</t>
  </si>
  <si>
    <t>How does cAMP/protein kinase A signaling lead to tumors in the adrenal cortex and other tissues?. (2011). Molecular and Cellular Endocrinology.Almeida,M.Q.;Stratakis,C.A.</t>
  </si>
  <si>
    <t>Cholesterol transport in steroid biosynthesis: Role of protein-protein interactions and implications in disease states. (2009). BBA - Molecular and Cell Biology of Lipids.Rone,M.B.;Fan,J.;Papadopoulos,V.</t>
  </si>
  <si>
    <t>Clinicopathologic features of an infant with generalized congenital epithelioid blue nevi. (2013). Pediatric and Developmental Pathology.Shi,G.;Zhou,Y.;Li,S.-J.;Fan,Y.-M.</t>
  </si>
  <si>
    <t>Carney complex: a rare cause of Cushing syndrome in pregnancy. (2014). Obstet Gynecol.Spaniol,A.;Mulla,B.M.;Daily,J.G.;Ennen,C.S.</t>
  </si>
  <si>
    <t>Fatal carney complex in siblings due to de novo large gene deletion. (2017). Journal of Clinical Endocrinology and Metabolism.Stelmachowska-Banás,M.;Zgliczyński,W.;Tutka,P.;Aidan Carney,J.;Korbonits,M.</t>
  </si>
  <si>
    <t>Isolated familial somatotropinomas: establishment of linkage to chromosome 11q13.1-11q13.3 and evidence for a potential second locus at chromosome 2p16-12. (2000). J Clin Endocrinol Metab.Gadelha,M.R.;Une,K.N.;Rohde,K.;Vaisman,M.;Kineman,R.D.;Frohman,L.A.</t>
  </si>
  <si>
    <t>Hemorrhagic spinal melanotic schwannoma presenting as acute chest pain: A case report and literature review. (2021). Surg Neurol Int.Soyland,D.J.;Goehner,D.R.;Hoerschgen,K.M.;Gust,T.D.;Vuong,S.M.</t>
  </si>
  <si>
    <t>Conjunctival myxoma: a synopsis of a rare ocular tumor. (2015). Arch Pathol Lab Med.Xiong,M.J.;Dim,D.C.</t>
  </si>
  <si>
    <t>Case report of familial Carney complex due to novel frameshift mutation c.597del C (p.Phe200LeufsX6) in PRKAR1A. (2008). Molecular Genetics and Metabolism.Sasaki,A.;Horikawa,Y.;Suwa,T.;Enya,M.;Kawachi,S.;Takeda,J,Sasaki,A.;Horikawa,Y.;Suwa,T.;Enya,M.;Kawachi,S.;Takeda,J.</t>
  </si>
  <si>
    <t>The Spectrum of Thyroid Gland Pathology in Carney Complex. (2018). American Journal of Surgical Pathology.Carney,J.A.;Lyssikatos,C.;Stratakis,C.A.;Seethala,R.R.;Perez-Atayde,A.;Lakatos,P.;Lahner,H.</t>
  </si>
  <si>
    <t>Steroidogenic Factor-1 Lineage Origin of Skin Lesions in Carney Complex Syndrome. (2022). Journal of Investigative Dermatology.Sahut-Barnola,I.;Lefrançois-Martinez,A.-M.;Dufour,D.;Botto,J.-M.;Kamilaris,C.;Faucz,F.R.;Stratakis,C.A.;Val,P.;Martinez,A.</t>
  </si>
  <si>
    <t>The complex of myxomas, spotty skin pigmentation and endocrine overactivity (Carney complex): imaging findings with clinical and pathological correlation. (2013). Insights Imaging.Courcoutsakis,N.A.;Tatsi,C.;Patronas,N.J.;Lee,C.C.;Prassopoulos,P.K.;Stratakis,C.A.</t>
  </si>
  <si>
    <t>[Absence of PRKAR1A loss of heterozygosity in laser-captured microdissected pigmented nodular adrenocortical tissue from a patient with Carney complex caused by the novel nonsense mutation p.Y21X]. (2008). Arq Bras Endocrinol Metabol.Almeida,M.Q.;Brito,L.P.;Domenice,S.;Costa,M.H.;Pinto,E.M.;Osório,C.A.;Latronico,A.C.;Mendonca,B.B.;Fragoso,M.C.</t>
  </si>
  <si>
    <t>Sex cord-stromal tumors of the testis. (2019). Diagnostic Histopathology.Cornejo,K.M.;Young,R.H.</t>
  </si>
  <si>
    <t>Ischemic Stroke due to a Cardiac Myxoma. (2016). Pediatric Neurology.Domanski,O.;Dubois,R.;Jegou,B.</t>
  </si>
  <si>
    <t>Carney complex: A clinicopathologic and molecular biological study of a sporadic case, including extracutaneous and cutaneous lesions and a novel mutation of the PRKAR1A gene. (2009). Journal of the American Academy of Dermatology.Kacerovska,D.;Sima,R.;Michal,M.;Hes,O.;Roucka,P.;Zarybnicka,M.;Hora,M.;Chudacek,Z.;Kazakov,D.V,Kacerovska,D.;Sima,R.;Michal,M.;Hes,O.;Roucka,P.;Zarybnicka,M.;Hora,M.;Chudacek,Z.;Kazakov,D.V.</t>
  </si>
  <si>
    <t>Thyroid gland abnormalities in patients with the syndrome of spotty skin pigmentation, myxomas, endocrine overactivity, and schwannomas (Carney complex). (1997). J Clin Endocrinol Metab.Stratakis,C.A.;Courcoutsakis,N.A.;Abati,A.;Filie,A.;Doppman,J.L.;Carney,J.A.;Shawker,T.</t>
  </si>
  <si>
    <t>Non-Canonical Allostery in Cyclic Nucleotide Dependent Kinases. (2022). Journal of Molecular Biology.Khamina,M.;Martinez Pomier,K.;Akimoto,M.;VanSchouwen,B.;Melacini,G.</t>
  </si>
  <si>
    <t>Clinical genetics of multiple endocrine neoplasias, Carney complex and related syndromes. (2001). J Endocrinol Invest.Stratakis,C.A.</t>
  </si>
  <si>
    <t>Update on Mesenchymal Lesions of the Lower Female Genital Tract. (2022). Surgical Pathology Clinics.Croce,S.;Perret,R.;Le Loarer,F.</t>
  </si>
  <si>
    <t>Peripheral Nerve Sheath Tumors. (2011). Surgical Pathology Clinics.Cimino-Mathews,A.M.</t>
  </si>
  <si>
    <t>Neuroendocrine tumors and tumor syndromes in childhood. (2010). Pediatric and Developmental Pathology.Gaal,J.;De Krijger,R.R.</t>
  </si>
  <si>
    <t>Pathogenesis of cushing disease: An update on the genetics of corticotropinomas. (2018). Endocrine Practice.Albani,A.;Perez-Rivas,L.G.;Reincke,M.;Theodoropoulou,M.;Albani,A.</t>
  </si>
  <si>
    <t>Use of aromatase inhibitors in large cell calcifying sertoli cell tumors: Effects on gynecomastia, growth velocity, and bone age. (2014). Journal of Clinical Endocrinology and Metabolism.Crocker,M.K.;Gourgari,E.;Lodish,M.;Stratakis,C.A.;Lodish,M.;Gourgari,E.</t>
  </si>
  <si>
    <t>A novel mutation of PRKAR1A caused carney complex in a Chinese patient. (2017). Chinese Medical Journal.Cai,X.-L.;Wu,J.;Luo,Y.-Y.;Chen,L.;Han,X.-Y.;Ji,L.-N.</t>
  </si>
  <si>
    <t>Growth hormone and risk for cardiac tumors in Carney complex. (2016). Endocrine-Related Cancer.Bandettini,W.P.;Rosing,D.R.;Sachdev,V.;Arai,A.E.;Karageorgiadis,A.S.;Schernthaner-Reiter,M.H.;Gourgari,E.;Keil,M.F.;Lyssikatos,C.;Lodish,M.;Stratakis,C.A.;Karageorgiadis,A.S.;Gourgari,E.;Sinaii,N.;Papadakis,G.Z.;Carney,J.A.</t>
  </si>
  <si>
    <t>Genetics of Adrenocortical Development and Tumors. (2017). Endocrinology and Metabolism Clinics of North America.Lodish,M,Lodish,M.</t>
  </si>
  <si>
    <t>Genetic Basis of ACTH-Secreting Adenomas. (2022). International Journal of Molecular Sciences.Locantore,P.;Paragliola,R.M.;Cera,G.;Novizio,R.;Maggio,E.;Ramunno,V.;Corsello,A.;Corsello,S.M.;Corsello,S.M.</t>
  </si>
  <si>
    <t>Molecular review of odontogenic myxoma. (2011). Oral Oncology.Gomes,C.C.;Diniz,M.G.;Duarte,A.P.;Bernardes,V.F.;Gomez,R.S,Gomes,C.C.;Diniz,M.G.;Duarte,A.P.;Bernardes,V.F.;Gomez,R.S.</t>
  </si>
  <si>
    <t>Minireview: branded from the start-distinct oncogenic initiating events may determine tumor fate in the thyroid. (2002). Mol Endocrinol.Fagin,J.A.</t>
  </si>
  <si>
    <t>Familial thyroid carcinoma: the road less travelled in thyroid pathology. (2009). Diagnostic Histopathology.LiVolsi,V.A.;Baloch,Z.W.</t>
  </si>
  <si>
    <t>[Ocular findings in Carney complex]. (2006). Arch Soc Esp Oftalmol.Chinchurreta-Capote,A.;Trueba,A.;Hernández,F.J.;Piñas,P.;López,S.;Tena,M.E.;Aznarez,N.;Portillo,E.;Castillón,L.</t>
  </si>
  <si>
    <t>Genetic and histologic studies of somatomammotropic pituitary tumors in patients with the "complex of spotty skin pigmentation, myxomas, endocrine overactivity and schwannomas" (Carney complex). (2000). J Clin Endocrinol Metab.Pack,S.D.;Kirschner,L.S.;Pak,E.;Zhuang,Z.;Carney,J.A.;Stratakis,C.A.</t>
  </si>
  <si>
    <t>Update of genetic and molecular causes of adrenocortical hyperplasias causing cushing syndrome. (2020). Hormone and Metabolic Research.Berthon,A.;Bertherat,J.</t>
  </si>
  <si>
    <t>Mouse models of adrenocortical tumors. (2015). Molecular and Cellular Endocrinology.Basham,K.J.;Hung,H.A.;Lerario,A.M.;Hammer,G.D.</t>
  </si>
  <si>
    <t>Synaptophysin immunoreactivity in primary pigmented nodular adrenocortical disease: neuroendocrine properties of tumors associated with Carney complex. (1999). J Clin Endocrinol Metab.Stratakis,C.A.;Carney,J.A.;Kirschner,L.S.;Willenberg,H.S.;Brauer,S.;Ehrhart-Bornstein,M.;Bornstein,S.R.</t>
  </si>
  <si>
    <t>How the new tools to analyze the human genome are opening new perspectives: The use of gene expression in investigations of the adrenal cortex. (2008). Annales d'Endocrinologie.Stratakis,C.A.;Horvath,A.</t>
  </si>
  <si>
    <t>Identification of a novel mutation of the PRKAR1A gene in a patient with Carney complex with significant osteoporosis and recurrent fractures. (2016). Hormones (Athens).Papanastasiou,L.;Fountoulakis,S.;Voulgaris,N.;Kounadi,T.;Choreftaki,T.;Kostopoulou,A.;Zografos,G.;Lyssikatos,C.;Stratakis,C.A.;Piaditis,G.,Papanastasiou,L.;Fountoulakis,S.;Voulgaris,N.;Kounadi,T.;Choreftaki,T.;Kostopoulou,A.;Zografos,G.;Lyssikatos,C.;Stratakis,C.A.;Piaditis,G.</t>
  </si>
  <si>
    <t>Pathology of melanotic schwannoma. (2018). Archives of Pathology and Laboratory Medicine.Alexiev,B.A.;Chou,P.M.;Jennings,L.J.</t>
  </si>
  <si>
    <t>Obstructive Right Atrial Myxoma in Association with Carney Complex. (2012). Heart, Lung and Circulation.Wang,L.W.;Granger,E.K.</t>
  </si>
  <si>
    <t>Clinicopathologic and Molecular Analysis of a Choroidal Pigmented Schwannoma in the Context of a PTEN Hamartoma Tumor Syndrome. (2012). Ophthalmology.Venturini,G.;Moulin,A.P.;Deprez,M.;Uffer,S.;Bottani,A.;Zografos,L.;Rivolta,C.</t>
  </si>
  <si>
    <t>Acinar neoplasms of the pancreas-A summary of 25 years of research. (2016). Seminars in Diagnostic Pathology.Klimstra,D.S.;Adsay,V.</t>
  </si>
  <si>
    <t>A novel PRKAR1A mutation associated with hepatocellular carcinoma in a young patient and a variable Carney complex phenotype in affected subjects in older generations. (2008). Clin Endocrinol (Oxf).Gennari,M.;Stratakis,C.A.;Hovarth,A.;Pirazzoli,P.;Cicognani,A.,Gennari,M.;Stratakis,C.A.;Hovarth,A.;Pirazzoli,P.;Cicognani,A.</t>
  </si>
  <si>
    <t>[Carney's triad: a new case]. (2005). Ann Chir.Albaroudi,S.;Ahallat,M.;Hosni,K.;Sabbah,F.;Hrora,A.;Rais,M.;Tounsi,A.</t>
  </si>
  <si>
    <t>Surgical Management of Carney Complex-Associated Pituitary Pathology. (2017). Neurosurgery.Lonser,R.R.;Mehta,G.U.;Kindzelski,B.A.;Ray-Chaudhury,A.;Vortmeyer,A.O.;Dickerman,R.;Oldfield,E.H.</t>
  </si>
  <si>
    <t>Assessment of Pericardial Diseases and Cardiac Masses with Cardiovascular Magnetic Resonance. (2011). Progress in Cardiovascular Diseases.Dawson,D.;Mohiaddin,R.</t>
  </si>
  <si>
    <t>Cushing syndrome: Old and new genes. (2020). Best Practice &amp; Research Clinical Endocrinology &amp; Metabolism.Tatsi,C.;Flippo,C.;Stratakis,C.A.</t>
  </si>
  <si>
    <t>Mouse model for bilateral adrenal hyperplasia. (2009). Annales d'Endocrinologie.Sahut-Barnola,I.;De Joussineau,C.;Val,P.;Lambert-Langlais,S.;Lefrançois-Martinez,A.M.;Pointud,J.C.;Marceau,G.;Sapin,V.;Ragazzon,B.;Bertherat,J.;Kirschner,L.S.;Stratakis,C.A.;Martinez,A.</t>
  </si>
  <si>
    <t>Familial predisposition to adrenocortical tumors: Clinical and biological features and management strategies. (2010). Best Practice &amp; Research Clinical Endocrinology &amp; Metabolism.Ribeiro,R.C.;Pinto,E.M.;Zambetti,G.P.,Ribeiro,R.C.;Pinto,E.M.;Zambetti,G.P.</t>
  </si>
  <si>
    <t>A comprehensive custom panel design for routine hereditary cancer testing: preserving control, improving diagnostics and revealing a complex variation landscape. (2017). Sci Rep.Castellanos,E.;Gel,B.;Rosas,I.;Tornero,E.;Santín,S.;Pluvinet,R.;Velasco,J.;Sumoy,L.;Del Valle,J.;Perucho,M.;Blanco,I.;Navarro,M.;Brunet,J.;Pineda,M.;Feliubadaló,L.;Capellá,G.;Lázaro,C.;Serra,E.</t>
  </si>
  <si>
    <t>Primary pigmented nodular adrenocortical disease (PPNAD) and pituitary adenoma in a boy with sporadic Carney complex due to a novel, de novo paternal PRKAR1A mutation (R96X). (2007). J Pediatr Endocrinol Metab.Urban,C.;Weinhäusel,A.;Fritsch,P.;Sovinz,P.;Weinhandl,G.;Lackner,H.;Moritz,A.;Haas,O.A.</t>
  </si>
  <si>
    <t>Novel mutations of the PRKAR1A gene in patients with acrodysostosis. (2013). Clin Genet.Muhn,F.;Klopocki,E.;Graul-Neumann,L.;Uhrig,S.;Colley,A.;Castori,M.;Lankes,E.;Henn,W.;Gruber-Sedlmayr,U.;Seifert,W.;Horn,D.</t>
  </si>
  <si>
    <t>Mutations of the PRKAR1A gene in Cushing's syndrome due to sporadic primary pigmented nodular adrenocortical disease. (2002). J Clin Endocrinol Metab.Groussin,L.;Jullian,E.;Perlemoine,K.;Louvel,A.;Leheup,B.;Luton,J.P.;Bertagna,X.;Bertherat,J.</t>
  </si>
  <si>
    <t>A systematic approach to assessing the clinical significance of genetic variants. (2013). Clin Genet.Duzkale,H.;Shen,J.;McLaughlin,H.;Alfares,A.;Kelly,M.A.;Pugh,T.J.;Funke,B.H.;Rehm,H.L.;Lebo,M.S.</t>
  </si>
  <si>
    <t>Harvey Cushing Treated the First Known Patient With Carney Complex. (2017). J Endocr Soc.Tsay,C.J.;Stratakis,C.A.;Faucz,F.R.;London,E.;Stathopoulou,C.;Allgauer,M.;Quezado,M.;Dagradi,T.;Spencer,D.D.;Lodish,M.</t>
  </si>
  <si>
    <t>Carney complex with biatrial cardiac myxoma. (2014). Ann Thorac Cardiovasc Surg.Havrankova,E.;Stenova,E.;Olejarova,I.;Sollarova,K.;Kinova,S.</t>
  </si>
  <si>
    <t>Molecular analysis of the cyclic AMP-dependent protein kinase A (PKA) regulatory subunit 1A (PRKAR1A) gene in patients with Carney complex and primary pigmented nodular adrenocortical disease (PPNAD) reveals novel mutations and clues for pathophysiology: augmented PKA signaling is associated with adrenal tumorigenesis in PPNAD. (2002). Am J Hum Genet.Groussin,L.;Kirschner,L.S.;Vincent-Dejean,C.;Perlemoine,K.;Jullian,E.;Delemer,B.;Zacharieva,S.;Pignatelli,D.;Carney,J.A.;Luton,J.P.;Bertagna,X.;Stratakis,C.A.;Bertherat,J.</t>
  </si>
  <si>
    <t>Adrenocortical tumors in children. (2020). Seminars in Pediatric Surgery.Kastenberg,Z.J.;Scaife,E.R.</t>
  </si>
  <si>
    <t>Pathogenesis of adrenocortical cancer. (2009). Best Practice &amp; Research Clinical Endocrinology &amp; Metabolism.Bertherat,J.;Bertagna,X.</t>
  </si>
  <si>
    <t>Superficial angiomyxoma of the external ear not associated with Carney's complex: a case report. (2007). Kathmandu Univ Med J (KUMJ).Khadilkar,U.N.;Khadilkar,N.P.;Rao,P.S.;Chakravorty,S.;Goel,G.</t>
  </si>
  <si>
    <t>Evaluation and treatment of Cushing's syndrome. (2005). The American Journal of Medicine.Nieman,L.K.;Ilias,I.</t>
  </si>
  <si>
    <t>Clinical Manifestations and Molecular Biology of One Case of Carney Complex: A Case Report. (2018). Iran J Public Health.Yang,M.;Long,B.;Xu,J.;Yu,J.;Li,X.;Ye,F.;Yang,B.;Liao,Y.;Li,S.;Li,Y.;Zhou,X.</t>
  </si>
  <si>
    <t>"Patients can have as many gene variants as they damn well please": Why contemporary genetics presents us daily with a version of Hickam's dictum. (2012). Journal of Clinical Endocrinology and Metabolism.Stratakis,C.A.</t>
  </si>
  <si>
    <t>Interaction of the regulatory subunit of the cAMP-dependent protein kinase with PATZ1 (ZNF278). (2010). Biochemical and Biophysical Research Communications.Yang,W.L.;Ravatn,R.;Kudoh,K.;Alabanza,L.;Chin,K.V.</t>
  </si>
  <si>
    <t>A Contemporary Review of Common Adult Non-germ Cell Tumors of the Testis and Paratestis. (2018). Surgical Pathology Clinics.Mooney,K.L.;Kao,C.-S.</t>
  </si>
  <si>
    <t>A case of Carney complex presenting as acute testicular pain. (2016). Urol Ann.Alleemudder,A.;Pillai,R.</t>
  </si>
  <si>
    <t>Left Atrial Myxoma Presenting as Cerebral Infarct. (2020). Journal of Cardiothoracic and Vascular Anesthesia.Waikar,H.D.;Jayakrishnan,A.G.;Bandusena,B.S.N.;Priyadarshan,P.;Kamalaneson,P.P.;Ileperuma,A.;Neema,P.K.;Dhawan,R.;Chaney,M.A.</t>
  </si>
  <si>
    <t>Clinical and genetic features of familial pituitary adenomas. (2005). Horm Metab Res.Daly,A.F.;Jaffrain-Rea,M.L.;Beckers,A.</t>
  </si>
  <si>
    <t>Superficial angiomyxoma of the breast in a 16-year-old girl without carney's complex: A case report. (2021). Breast J.Dubin,I.;Mortazavi,S.;Yu,T.;Riahi,I.R.;Baker,J.L.</t>
  </si>
  <si>
    <t>Adrenal tumors: When to search for a germline abnormality?. (2019). Current Opinion in Oncology.Gimenez-Roqueplo,A.-P.;Gimenez-Roqueplo,A.-P.;Gimenez-Roqueplo,A.-P.;Gimenez-Roqueplo,A.-P.</t>
  </si>
  <si>
    <t>Pancreatic ductal and acinar cell neoplasms in carney complex: A possible new association. (2011). Journal of Clinical Endocrinology and Metabolism.Gaujoux,S.;Tissier,F.;Ragazzon,B.;Perlemoine,K.;Bertagna,X.;Terris,B.;Bertherat,J.;Gaujoux,S.;Dousset,B.;Tissier,F.;Terris,B.;Bertagna,X.;Bertherat,J.;Tissier,F.;Bertagna,X.;Terris,B.;Bertherat,J.;Gaujoux,S.;Tissier,F.;Dousset,B.;Bertagna,X.;Terris,B.;Be.</t>
  </si>
  <si>
    <t>Cushing syndrome in carney complex: Clinical, pathologic, and molecular genetic findings in the 17 affected mayo clinic patients. (2017). American Journal of Surgical Pathology.Lowe,K.M.;Young,W.F.;Lyssikatos,C.;Stratakis,C.A.;Carney,J.A.</t>
  </si>
  <si>
    <t>Operative management of Cushing Syndrome secondary to micronodular adrenal hyperplasia. (2008). Surgery.Powell,A.C.;Stratakis,C.A.;Patronas,N.J.;Steinberg,S.M.;Batista,D.;Alexander,H.R.;Pingpank,J.F.;Keil,M.;Bartlett,D.L.;Libutti,S.K.</t>
  </si>
  <si>
    <t>Cell signaling pathways in the adrenal cortex: Links to stem/progenitor biology and neoplasia. (2016). Molecular and Cellular Endocrinology.Penny,M.K.;Finco,I.;Hammer,G.D.</t>
  </si>
  <si>
    <t>Cutaneous expression of familial cancer syndromes. (2021). Acta Dermato-Venereologica.Andersen,A.-J.;Bygum,A.;Schierbeck,J.;Bygum,A.;Puente-Pablo,N.</t>
  </si>
  <si>
    <t>Primary pigmented nodular adrenocortical disease associated with Carney complex: case report and literature review. (2006). Sao Paulo Med J.Gonçalves,F.T.;Feibelmann,T.C.;Mendes,C.M.;Fernandes,M.L.;Miranda,G.H.;Gouvêa,A.P.;Jorge,P.T.</t>
  </si>
  <si>
    <t>[Primary pigmented nodular adrenocortical disease as cause of Cushing's syndrome associated with Carney complex]. (2006). Lijec Vjesn.Dumić,M.;Janjanin,N.;Uroić,A.S.;Ille,J.;Skegro,M.;Kusec,V.;Marjanac,I.;Matić,T.;Jelasić,D.</t>
  </si>
  <si>
    <t>Multiplicity of hormone-secreting tumors: Common themes about cause, expression, and management. (2013). Journal of Clinical Endocrinology and Metabolism.Marx,S.J.</t>
  </si>
  <si>
    <t>PRKACA: the catalytic subunit of protein kinase A and adrenocortical tumors. (2015). Front Cell Dev Biol.Berthon,A.S.;Szarek,E.;Stratakis,C.A.</t>
  </si>
  <si>
    <t>An N-ethyl-n-nitrosourea induced corticotropin-releasing hormone promoter mutation provides a mouse model for endogenous glucocorticoid excess. (2014). Endocrinology.Bentley,L.;Esapa,C.T.;Head,R.A.;Brown,S.D.M.;Cox,R.D.;Scudamore,C.L.;Hough,T.A.;Esapa,C.T.;Nesbit,M.A.;Head,R.A.;Hannan,F.M.;Thakker,R.V.;Evans,H.;Lath,D.;Podrini,C.;Fraser,W.D.;Croucher,P.I.;Brown,M.A.</t>
  </si>
  <si>
    <t>[Case of Carney complex complicated with pituitary adenoma and Rathke cleft cyst]. (2008). No Shinkei Geka.Kamoshima,Y.;Sawamura,Y.;Iwasaki,Y.K.;Fujieda,K.;Takahashi,H.</t>
  </si>
  <si>
    <t>Multiple Endocrine Neoplasia Syndromes. (2008). Surgical Clinics of North America.Callender,G.G.;Rich,T.A.;Perrier,N.D.</t>
  </si>
  <si>
    <t>Inherited disposition to cardiac myxoma development. (2006). Nat Rev Cancer.Wilkes,D.;Charitakis,K.;Basson,C.T.</t>
  </si>
  <si>
    <t>The activating mutation R201C in GNAS promotes intestinal tumourigenesis in Apc Min/+ mice through activation of Wnt and ERK1/2 MAPK pathways. (2010). Oncogene.Wilson,C.H.;McIntyre,R.E.;Adams,D.J.;Arends,M.J.</t>
  </si>
  <si>
    <t>Fibrolamellar Carcinoma. (2018). Surgical Pathology Clinics.Graham,R.P.</t>
  </si>
  <si>
    <t>Cholesterol biosynthesis and trafficking in cortisol-producing lesions of the adrenal cortex. (2015). Journal of Clinical Endocrinology and Metabolism.London,E.;Horvath,A.;Tatsi,C.;Angelousi,A.;Karageorgiadis,A.S.;Stratakis,C.A.;Wassif,C.A.;Porter,F.D.</t>
  </si>
  <si>
    <t>What’s new in nerve sheath tumors. (2020). Virchows Archiv.Meyer,A.;Billings,S.D.</t>
  </si>
  <si>
    <t>Two cases of myxoma of the external auditory canal. (2012). Auris Nasus Larynx.Hoshino,T.;Hamada,N.;Seki,A.;Ogawa,H,Hoshino,T.;Hamada,N.;Seki,A.;Ogawa,H.</t>
  </si>
  <si>
    <t>Thyroid-specific ablation of the Carney complex gene, PRKAR1A, results in hyperthyroidism and follicular thyroid cancer. (2012). Endocrine-Related Cancer.Pringle,D.R.;Yin,Z.;Lee,A.A.;Manchanda,P.K.;Kirschner,L.S.;Yu,L.;Jarjoura,D.;Parlow,A.F.;La Perle,K.M.D.;Kirschner,L.S.;Yin,Z.</t>
  </si>
  <si>
    <t>Structure of D-AKAP2:PKA RI Complex: Insights into AKAP Specificity and Selectivity. (2010). Structure.Sarma,G.N.;Kinderman,F.S.;Kim,C.;von Daake,S.;Chen,L.;Wang,B.C.;Taylor,S.S.</t>
  </si>
  <si>
    <t>[Clinical features and pathogenesis of Carney complex, a rare form of multiple endocrine neoplasia syndromes]. (2006). Orv Hetil.Igaz,P.;Rácz,K.;Szabolcs,Z.;Tulassay,Z.</t>
  </si>
  <si>
    <t>New developments in the pathology and molecular biology of retroperitoneal sarcomas. (2022). European Journal of Surgical Oncology.Watson,S.;Gruel,N.;Le Loarer,F.</t>
  </si>
  <si>
    <t>Extensive personal experience: adrenocortical tumors. (1997). J Clin Endocrinol Metab.Latronico,A.C.;Chrousos,G.P.</t>
  </si>
  <si>
    <t>C subunits binding to the protein kinase A RI alpha dimer induce a large conformational change. (2004). J Biol Chem.Heller,W.T.;Vigil,D.;Brown,S.;Blumenthal,D.K.;Taylor,S.S.;Trewhella,J.</t>
  </si>
  <si>
    <t>Liver findings in patients with Carney complex, germline PRKAR1A pathogenic variants, and link to cardiac myxomas. (2020). Endocr Relat Cancer.Tirosh,A.;Hamimi,A.;Faucz,F.;Aharon-Hananel,G.;Zavras,P.D.;Bonella,B.;Auerbach,A.;Gillis,D.;Lyssikatos,C.;Belyavskaya,E.;Stratakis,C.A.;Gharib,A.M.</t>
  </si>
  <si>
    <t>Biological carrier Molecules of Radiopharmaceuticals for Molecular cancer Imaging and Targeted Cancer Therapy. (2014). Current Pharmaceutical Design.Aerts,A.;Impens,N.;Gijs,M.;D’Huyvetter,M.;Baatout,S.;Gijs,M.;Luxen,A.;D’Huyvetter,M.;Lahoutte,T.;Vanmarcke,H.;Vanmarcke,H.;Ponsard,B.;Ponsard,B.;Lahoutte,T.;Baatout,S.</t>
  </si>
  <si>
    <t>17q24.2 microdeletions: A new syndromal entity with intellectual disability, truncal obesity, mood swings and hallucinations. (2012). Eur J Hum Genet.Vergult,S.;Chiaie,B.D.;Van Oudenhove,E.;Rihani,A.;Loeys,B.;Menten,B.;Dauber,A.;Hirschhorn,J.;Simon,M.;Loeys,B.;Pfotenhauer,J.;Phillips III,J.A.;Mohammed,S.;Ogilvie,C.;Crolla,J.;Mortier,G.,Vergult,S.;Dauber,A.;Delle Chiaie,B.;Van Oudenhove,E.;Simon,M.;Rihani,A.;Loeys,B.;Hirschhorn,J.;Pfotenhauer,J.;Phillips,J.A.;Mohammed,S.;Ogilvie,C.;Crolla,J.;Mortier,G.;Menten,B.</t>
  </si>
  <si>
    <t>Acromegaly. (2008). Endocrinology and Metabolism Clinics of North America.Ben-Shlomo,A.;Melmed,S.</t>
  </si>
  <si>
    <t>Eyelid myxoma in Carney complex without PRKAR1A allelic loss. (2004). No journal name.Tsilou,E.T.;Chan,C.C.;Sandrini,F.;Rubin,B.I.;Shen,D.F.;Carney,J.A.;Kaiser-Kupfer,M.;Stratakis,C.A.</t>
  </si>
  <si>
    <t>Familial risks for hospitalization with endocrine diseases. (2008). J Clin Endocrinol Metab.Hemminki,K.;Shu,X.;Li,X.;Ji,J.;Sundquist,J.;Sundquist,K.</t>
  </si>
  <si>
    <t>Pathologic classification of peripheral nerve tumors. (2004). Neurosurgery Clinics of North America.Skovronsky,D.M.;Oberholtzer,J.C.</t>
  </si>
  <si>
    <t>Solid tumors associated with multiple endocrine neoplasias. (2010). Cancer Genet Cytogenet.Almeida,M.Q.;Stratakis,C.A.</t>
  </si>
  <si>
    <t>Carney complex with right ventricular myxoma following second excision of left atrial myxoma. (2014). Ann Thorac Cardiovasc Surg.Tamura,Y.;Seki,T.</t>
  </si>
  <si>
    <t>Psammomatous melanotic schwannoma - a rare neck lump. (2021). Ann R Coll Surg Engl.Morgan,R.V.;Simpson,A.;Vaghela,K.R.;Quick,T.</t>
  </si>
  <si>
    <t>Carney complex, a familial Cushing's syndrome due to primary pigmented nodular adrenocortical disease: a case report. (2002). Kaohsiung J Med Sci.Hsin,S.C.;Hsieh,M.C.;Hwang,S.J.;Hsia,P.J.;Tsay,K.B.;Shin,S.L.</t>
  </si>
  <si>
    <t>Peripheral nerve injuries in the pediatric population: a review of the literature. Part III: peripheral nerve tumors in children. (2019). Childs Nerv Syst.Costales,J.R.;Socolovsky,M.;Sánchez Lázaro,J.A.;Álvarez García,R.;Costales,D.R.</t>
  </si>
  <si>
    <t>A novel PRKAR1A gene mutation in Carney complex. (2022). Clin Exp Dermatol.Chen,W.;Wang,X.</t>
  </si>
  <si>
    <t>Detection of somatic beta-catenin mutations in primary pigmented nodular adrenocortical disease (PPNAD). (2008). Clin Endocrinol (Oxf).Tadjine,M.;Lampron,A.;Ouadi,L.;Horvath,A.;Stratakis,C.A.;Bourdeau,I.</t>
  </si>
  <si>
    <t>Complex Considerations and Anesthetic Management in Patient With Multiple Intracardiac Myxomas. (2016). Journal of Cardiothoracic and Vascular Anesthesia.Melnyk,V.;Hackett,P.J.;Subramaniam,K.;Badhwar,V.;Esper,S.A.</t>
  </si>
  <si>
    <t>PRKAR1A mutation causing pituitary-dependent Cushing disease in a patient with Carney complex. (2017). Eur J Endocrinol.Kiefer,F.W.;Winhofer,Y.;Iacovazzo,D.;Korbonits,M.;Wolfsberger,S.;Knosp,E.;Trautinger,F.;Höftberger,R.;Krebs,M.;Luger,A.;Gessl,A.</t>
  </si>
  <si>
    <t>The conformationally dynamic C helix of the RIalpha subunit of protein kinase A mediates isoform-specific domain reorganization upon C subunit binding. (2005). J Biol Chem.Vigil,D.;Blumenthal,D.K.;Taylor,S.S.;Trewhella,J.</t>
  </si>
  <si>
    <t>Carney-Complex: multiple resections of recurrent cardiac myxoma. (2011). J Cardiothorac Surg.Bireta,C.;Popov,A.F.;Schotola,H.;Trethowan,B.;Friedrich,M.;El-Mehsen,M.;Schoendube,F.A.;Tirilomis,T.</t>
  </si>
  <si>
    <t>The 2021 WHO Classification of Tumors of the Heart. (2022). Journal of Thoracic Oncology.Maleszewski,J.J.;Basso,C.;Bois,M.C.;Glass,C.;Klarich,K.W.;Leduc,C.;Padera,R.F.;Tavora,F.,Maleszewski,J.J.;Bois,M.C.;Maleszewski,J.J.;Klarich,K.W.;Basso,C.;Glass,C.;Leduc,C.;Padera,R.F.;Tavora,F.,Maleszewski,J.J.;Basso,C.;Bois,M.C.;Glass,C.;Klarich,K.W.;Leduc,C.;Padera,R.F.;Tavora,F.</t>
  </si>
  <si>
    <t>Evidence that PKA activity is constitutively activated in human GH-secreting adenoma cells in a patient with Carney complex harbouring a PRKAR1A mutation. (2009). Clin Endocrinol (Oxf).Takano,K.;Yasufuku-Takano,J.;Morita,K.;Mori,S.;Takei,M.;Osamura,R.Y.;Teramoto,A.;Fujita,T.</t>
  </si>
  <si>
    <t>Clinical and genetic analysis of primary bilateral adrenal diseases (micro- and macronodular disease) leading to Cushing syndrome. (1998). Horm Metab Res.Stratakis,C.A.;Kirschner,L.S.</t>
  </si>
  <si>
    <t>Pituitary adenoma with mucin cells in a man with an unusual presentation of Carney complex. (2013). Endocr Pathol.Yeaney,G.A.;Brathwaite,J.M.;Dashnaw,M.L.;Vates,G.E.;Calvi,L.M.</t>
  </si>
  <si>
    <t>Testicular and paratesticular tumors and tumor-like lesions in the first 2 decades. (2014). Seminars in Diagnostic Pathology.Ulbright,T.M.;Young,R.H,Ulbright,T.M.;Young,R.H.</t>
  </si>
  <si>
    <t>Follicular thyroid cancers demonstrate dual activation of PKA and mTOR as modeled by thyroid-specific deletion of prkar1a and pten in mice. (2014). Journal of Clinical Endocrinology and Metabolism.Pringle,D.R.;Yu,L.;Manchanda,P.K.;Lee,A.A.;Zhang,X.;Kirschner,J.M.;Jarjoura,D.;La Perle,K.M.D.;Kirschner,L.S.;Saji,M.;Ringel,M.D.;Kirschner,L.S.;Vasko,V.V.;Parlow,A.F.;Pringle,D.R.</t>
  </si>
  <si>
    <t>Linsitinib in Treating Patients With Gastrointestinal Stromal Tumors. (year unknown). No journal name.unknown authors.</t>
  </si>
  <si>
    <t>Animal Models of Adrenocortical Tumorigenesis. (2015). Endocrinology and Metabolism Clinics of North America.Galac,S.;Wilson,D.B.</t>
  </si>
  <si>
    <t>A six month mitotane course induced sustained correction of hypercortisolism in a young woman with PPNAD and Carney complex. (2005). J Endocrinol Invest.Cignarelli,M.;Picca,G.;Campo,M.;Margaglione,M.;Marino,A.;Logoluso,F.;Giorgino,F.</t>
  </si>
  <si>
    <t>The genetic background of acromegaly. (2017). Pituitary.Gadelha,M.R.;Kasuki,L.;Gadelha,M.R.;Kasuki,L.;Kasuki,L.;Korbonits,M.</t>
  </si>
  <si>
    <t>Organ-sparing surgery for large cell calcifying Sertoli cell tumour in a patient with Carney complex. (2017). BMJ Case Rep.Freire,M.J.;Nunes,P.;Sousa,L.S.;Figueiredo,A.</t>
  </si>
  <si>
    <t>Mutation of Prkar1a causes osteoblast neoplasia driven by dysregulation of protein kinase A. (2008). Mol Endocrinol.Pavel,E.;Nadella,K.;Towns,W.H. 2nd;Kirschner,L.S.</t>
  </si>
  <si>
    <t>Clinical and Molecular Update on Genetic Causes of Pituitary Adenomas. (2020). Horm Metab Res.Vasilev,V.;Daly,A.F.;Beckers,A.;Vasilev,V.;Zacharieva,S.,Vasilev,V.;Daly,A.F.;Zacharieva,S.;Beckers,A.</t>
  </si>
  <si>
    <t>Case Report: An Atypical Case of Carney Complex. (2021). Am J Case Rep.Khan,Z.;Alkhatib,H.;Ramani,G.V.,Khan,Z.;Alkhatib,H.;Ramani,G.V.</t>
  </si>
  <si>
    <t>Relevant cAMP-specific phosphodiesterase isoforms in human pituitary: effect of Gs(alpha) mutations. (2001). J Clin Endocrinol Metab.Persani,L.;Borgato,S.;Lania,A.;Filopanti,M.;Mantovani,G.;Conti,M.;Spada,A.</t>
  </si>
  <si>
    <t>PRKAR1A mutation affecting cAMP-mediated G protein-coupled receptor signaling in a patient with acrodysostosis and hormone resistance. (2012). Journal of Clinical Endocrinology and Metabolism.Nagasaki,K.;Ogata,T.;Fukami,M.;Nagasaki,K.;Sato,H.;Ogawa,Y.;Kikuchi,T.;Saitoh,A.;Iida,T.;Ogata,T.</t>
  </si>
  <si>
    <t>Intraocular Schwannoma. (2012). Survey of Ophthalmology.You,J.Y.;Finger,P.T.;Iacob,C.;McCormick,S.A.;Milman,T.</t>
  </si>
  <si>
    <t>Rac1 is required for Prkar1a-mediated Nf2 suppression in Schwann cell tumors. (2013). Oncogene.Manchanda,P.K.;Jones,G.N.;Lee,A.A.;Pringle,D.R.;Zhang,M.;Kirschner,L.S.;Yu,L.;La Perle,K.M.D.;Kirschner,L.S.;Jones,G.N.</t>
  </si>
  <si>
    <t>Prolactin secretion abnormalities in patients with the "syndrome of spotty skin pigmentation, myxomas, endocrine overactivity and schwannomas" (Carney complex). (2000). J Pediatr Endocrinol Metab.Raff,S.B.;Carney,J.A.;Krugman,D.;Doppman,J.L.;Stratakis,C.A.</t>
  </si>
  <si>
    <t>Familial risks for common diseases: Etiologic clues and guidance to gene identification. (2008). Mutation Research-Reviews in Mutation Research.Hemminki,K.;Li,X.;Sundquist,K.;Sundquist,J.</t>
  </si>
  <si>
    <t>Fibrolamellar carcinoma: A histologically unique tumor with unique molecular findings. (2016). Seminars in Diagnostic Pathology.Graham,R.P.;Torbenson,M.S.</t>
  </si>
  <si>
    <t>Thyroid Cancer Genetics: Multiple Endocrine Neoplasia Type 2, Non-Medullary Familial Thyroid Cancer, and Familial Syndromes Associated with Thyroid Cancer. (2009). Surgical Oncology Clinics of North America.Richards,M.L.</t>
  </si>
  <si>
    <t>Cushing syndrome: uncovering Carney complex due to novel PRKAR1A mutation. (2019). Endocrinol Diabetes Metab Case Rep.Zhang,C.D.;Pichurin,P.N.;Bobr,A.;Lyden,M.L.;Young,W.F.;Bancos,I.</t>
  </si>
  <si>
    <t>Hypersomatotropism, Acromegaly, and Hyperadrenocorticism and Feline Diabetes Mellitus. (2013). Veterinary Clinics of North America: Small Animal Practice.Niessen,S.J.M.;Church,D.B.;Forcada,Y.</t>
  </si>
  <si>
    <t>Carney Syndrome Presented as a Pathological Spine Fracture in a 35-Year-Old Male. (2018). Am J Case Rep.Kiriakopoulos,A.;Linos,D.</t>
  </si>
  <si>
    <t>Benign bony tumors of the paranasal sinuses, orbit, and skull base. (2022). American Journal of Otolaryngology--Head and Neck Medicine and Surgery.Waldman,S.;Shimonov,M.;Yang,N.;Spielman,D.;Godfrey,K.J.;Dean,K.E.;Phillips,C.D.;Helman,S.N.</t>
  </si>
  <si>
    <t>Glandular differentiation in cardiac myxomata. (1993). Ir J Med Sci.Thornton,C.M.;Walsh,M.Y.</t>
  </si>
  <si>
    <t>Functional genomics approaches for the study of sporadic adrenal tumor pathogenesis: Clinical implications. (2006). Journal of Steroid Biochemistry and Molecular Biology.Igaz,P.;Wiener,Z.;Szabó,P.;Falus,A.;Gaillard,R.C.;Horányi,J.;Rácz,K.;Tulassay,Z.</t>
  </si>
  <si>
    <t>Pigmented Lesions of the Vulva. (2010). Dermatologic Clinics.Venkatesan,A.</t>
  </si>
  <si>
    <t>DIAGNOSIS AND MANAGEMENT OF ADRENAL INCIDENTALOMAS. (2000). The Journal of Urology.BARZON,L.U.I.S.A.;BOSCARO,M.A.R.C.O.</t>
  </si>
  <si>
    <t>Carney complex: report of a Japanese case associated with cutaneous superficial angiomyxomas, labial lentigines, and a pituitary adenoma. (2002). J Dermatol.Takahashi,H.;Hida,T.</t>
  </si>
  <si>
    <t>Current challenges in the diagnosis and treatment of cardiac myxoma. (2020). Kardiol Pol.Samanidis,G.;Khoury,M.;Balanika,M.;Perrea,D.N.</t>
  </si>
  <si>
    <t>Paradoxical response to dexamethasone in the diagnosis of primary pigmented nodular adrenocortical disease. (1999). Ann Intern Med.Stratakis,C.A.;Sarlis,N.;Kirschner,L.S.;Carney,J.A.;Doppman,J.L.;Nieman,L.K.;Chrousos,G.P.;Papanicolaou,D.A.</t>
  </si>
  <si>
    <t>Genetic aspects of adrenocortical tumours and hyperplasias. (2012). Clin Endocrinol (Oxf).Mazzuco,T.L.;Durand,J.;Chapman,A.;Crespigio,J.;Bourdeau,I.</t>
  </si>
  <si>
    <t>Genodermatoses with malignant potential. (2020). Clinics in Dermatology.Ladd,R.;Davis,M.;Dyer,J.A.</t>
  </si>
  <si>
    <t>Conjunctival myxoid stromal tumour: A distinctive clinicopathological and immunohistochemical study. (2019). British Journal of Ophthalmology.Qin,X.-Y.;Jin,Z.-H.;Wang,Y.-P.;Zhang,Z.-D.</t>
  </si>
  <si>
    <t>Functional Characterization of PRKAR1A Mutations Reveals a Unique Molecular Mechanism Causing Acrodysostosis but Multiple Mechanisms Causing Carney Complex. (2015). J Biol Chem.Rhayem,Y.;Le Stunff,C.;Abdel Khalek,W.;Auzan,C.;Bertherat,J.;Linglart,A.;Couvineau,A.;Silve,C.;Clauser,E.</t>
  </si>
  <si>
    <t>Magnetic Resonance Imaging of Pericardial Disease and Cardiac Masses. (2007). Magnetic Resonance Imaging Clinics of North America.Grizzard,J.D.;Ang,G.B.</t>
  </si>
  <si>
    <t>Left ventricular myxoma with Carney complex. (2018). ESC Heart Fail.Kuyama,N.;Hamatani,Y.;Fukushima,S.;Ikeda,Y.;Nakai,E.;Okada,A.;Takahama,H.;Amaki,M.;Hasegawa,T.;Sugano,Y.;Kanzaki,H.;Fujita,T.;Ishibashi-Ueda,H.;Yasuda,S.;Anzai,T.;Kobayashi,J.</t>
  </si>
  <si>
    <t>Genetics of Carney complex and related familial lentiginoses, and other multiple tumor syndromes. (2000). Front Biosci.Stratakis,C.A.</t>
  </si>
  <si>
    <t>A case of large cell calcifying Sertoli cell tumor in a child with a history of nasal myxoid tumor in infancy. (1999). Pathol Int.Tanaka,Y.;Sano,K.;Ijiri,R.;Tachibana,K.;Kato,K.;Terashima,K.</t>
  </si>
  <si>
    <t>[Skin tumors as marker lesions for tumor syndromes]. (2010). Pathologe.Mentzel,T.;Kutzner,H.;Requena,L.;Hartmann,A.</t>
  </si>
  <si>
    <t>Agminated blue naevi in a patient with EMO syndrome. (2013). Acta Dermato-Venereologica.Milkova,L.;Treudler,R.;Simon,J.C.;Kunz,M.</t>
  </si>
  <si>
    <t>ESP, EORTC, and EURACAN Expert Opinion: practical recommendations for the pathological diagnosis and clinical management of intermediate melanocytic tumors and rare related melanoma variants. (2021). Virchows Archiv.de la Fouchardiere,A.;Blokx,W.;van Kempen,L.C.;Luzar,B.;Piperno-Neumann,S.;Piperno-Neumann,S.;Puig,S.;Puig,S.;Alos,L.;Puig,S.;Alos,L.;Calonje,E.;Massi,D.</t>
  </si>
  <si>
    <t>Translocation and deletion around SOX9 in a patient with acampomelic campomelic dysplasia and sex reversal. (2010). Sex Dev.Jakubiczka,S.;Schröder,C.;Ullmann,R.;Volleth,M.;Ledig,S.;Gilberg,E.;Kroisel,P.;Wieacker,P.</t>
  </si>
  <si>
    <t>Carney complex. (2013). Front Horm Res.Espiard,S.;Bertherat,J.</t>
  </si>
  <si>
    <t>Clinical, genetic and molecular characterization of patients with familial isolated pituitary adenomas (FIPA). (2010). Trends in Endocrinology &amp; Metabolism.Chahal,H.S.;Chapple,J.P.;Frohman,L.A.;Grossman,A.B.;Korbonits,M.</t>
  </si>
  <si>
    <t>Recurrent right ventricular cardiac myxoma in a patient with Carney complex: a case report. (2014). J Med Case Rep.Sardar,M.R.;Lahoti,A.;Khaji,A.;Saeed,W.;Maqsood,K.;Zegel,H.G.;Romanelli,J.E.;McGeehin,F.C,Sardar,M.R.;Lahoti,A.;Khaji,A.;Saeed,W.;Maqsood,K.;Zegel,H.G.;Romanelli,J.E.;McGeehin,F.C.</t>
  </si>
  <si>
    <t>[Asymptomatic Cardiac Myxoma Complicated with Carney Complex;Report of a Case]. (2018). Kyobu Geka.Akiyama,D.;Okada,H.;Ando,T.;Takeda,M.</t>
  </si>
  <si>
    <t>Cardiac myxoma the great imitators: Comprehensive histopathological and molecular approach. (2011). International Journal of Cardiology.Gošev,I.;Paić,F.;Đurić;Gošev,M.;Ivčević,S.;Jakuš,F.B.;Biočina,B.,Gošev,I.;Paić,F.;Đurić;Gošev,M.;Ivčević,S.;Jakuš,F.B.;Biočina,B.</t>
  </si>
  <si>
    <t>MicroRNA signature of primary pigmented nodular adrenocortical disease: clinical correlations and regulation of Wnt signaling. (2009). Cancer Res.Iliopoulos,D.;Bimpaki,E.I.;Nesterova,M.;Stratakis,C.A.</t>
  </si>
  <si>
    <t>Uncommon Histopathological Variants of Malignant Melanoma. Part 2. (2019). American Journal of Dermatopathology.Saggini,A.;Cota,C.;Lora,V.;Kutzner,H.;Rütten,A.;Sangüeza,O.;Requena,L.;Cerroni,L.</t>
  </si>
  <si>
    <t>ARMC5 variants in PRKAR1A-mutated patients modify cortisol levels and Cushing’s syndrome. (2020). Endocrine-Related Cancer.Maria,A.G.;Tatsi,C.;Berthon,A.;Drougat,L.;Settas,N.;Hannah-Shmouni,F.;Faucz,F.R.;Stratakis,C.A.;Tatsi,C.;Stratakis,C.A.;Bertherat,J.</t>
  </si>
  <si>
    <t>Carney complex with multiple breast tumours including breast cancer: a case report. (2022). Oxf Med Case Reports.Fujimoto,A.;Sakakibara,A.;Numajiri,Y.;Matsuura,K.;Kawasaki,T.;Osaki,A.;Saeki,T.</t>
  </si>
  <si>
    <t>Protein kinase A and human disease. (2002). Trends in Endocrinology &amp; Metabolism.Stratakis,C.A.;Cho-Chung,Y.S.</t>
  </si>
  <si>
    <t>AIP mutation identified in a patient with acromegaly caused by pituitary somatotroph adenoma with neuronal choristoma. (2013). Experimental and Clinical Endocrinology and Diabetes.Nishizawa,H.;Fukuoka,H.;Iguchi,G.;Takahashi,Y.;Inoshita,N.;Yamada,S.</t>
  </si>
  <si>
    <t>A Diagnostic Approach to Adrenocortical Tumors. (2019). Surgical Pathology Clinics.Hodgson,A.;Pakbaz,S.;Mete,O.</t>
  </si>
  <si>
    <t>Mutation of perinatal myosin heavy chain associated with a Carney complex variant. (2004). N Engl J Med.Veugelers,M.;Bressan,M.;McDermott,D.A.;Weremowicz,S.;Morton,C.C.;Mabry,C.C.;Lefaivre,J.F.;Zunamon,A.;Destree,A.;Chaudron,J.M.;Basson,C.T.</t>
  </si>
  <si>
    <t>LAPAROSCOPIC GASTRIC RESECTION. (2000). Surgical Clinics of North America.Cuschieri,A.</t>
  </si>
  <si>
    <t>Primary mucosal melanoma. (2007). Journal of the American Academy of Dermatology.Patrick,R.J.;Fenske,N.A.;Messina,J.L.</t>
  </si>
  <si>
    <t>Inactivation of the Carney complex gene 1 (protein kinase A regulatory subunit 1A) inhibits SMAD3 expression and TGF beta-stimulated apoptosis in adrenocortical cells. (2009). Cancer Res.Ragazzon,B.;Cazabat,L.;Rizk-Rabin,M.;Assie,G.;Groussin,L.;Fierrard,H.;Perlemoine,K.;Martinez,A.;Bertherat,J.</t>
  </si>
  <si>
    <t>Cyclic AMP (cAMP) signaling in melanocytes and melanoma. (2014). Archives of Biochemistry and Biophysics.Rodríguez,C.I.;Setaluri,V.</t>
  </si>
  <si>
    <t>8Cl-cAMP modifies the balance between PKAR1 and PKAR2 and modulates the cell cycle, growth and apoptosis in human adrenocortical H295R cells. (2010). J Mol Endocrinol.Bouizar,Z.;Ragazzon,B.;Viou,L.;Hortane,M.;Bertherat,J.;Rizk-Rabin,M.</t>
  </si>
  <si>
    <t>Regulatory subunit type I-alpha of protein kinase A (PRKAR1A): a tumor-suppressor gene for sporadic thyroid cancer. (2002). Genes Chromosomes Cancer.Sandrini,F.;Matyakhina,L.;Sarlis,N.J.;Kirschner,L.S.;Farmakidis,C.;Gimm,O.;Stratakis,C.A.</t>
  </si>
  <si>
    <t>Genetics of adrenocortical tumors: gatekeepers, landscapers and conductors in symphony. (2003). Trends in Endocrinology &amp; Metabolism.Stratakis,C.A.</t>
  </si>
  <si>
    <t>Genetic background of adrenocortical tumor development. (2001). World J Surg.Kjellman,M.;Larsson,C.;Bäckdahl,M.</t>
  </si>
  <si>
    <t>Adrenal pathophysiology: lessons from the Carney complex. (2005). Horm Res.Groussin,L.;Cazabat,L.;René-Corail,F.;Jullian,E.;Bertherat,J.</t>
  </si>
  <si>
    <t>Recurrence of a familial giant multilocular cardiac myxoma in a patient with carney' complex. (2011). Circulation.Guenther,F.;Bode,C.;Geibel,A.;Siepe,M.;Schlensak,C.;Aumann,K.;Anton,A.;Niesen,W.-D.;Markfeld-Erol,F.</t>
  </si>
  <si>
    <t>Phenotypic Variability in a Family with Carney Complex Accompanied by a Novel Mutation Involving PRKAR1A. (2022). Tohoku J Exp Med.Kubo,H.;Tsurutani,Y.;Sugisawa,C.;Sunouchi,T.;Hirose,R.;Saito,J.</t>
  </si>
  <si>
    <t>Carney complex, Peutz-Jeghers syndrome, Cowden disease, and Bannayan-Zonana syndrome share cutaneous and endocrine manifestations, but not genetic loci. (1998). J Clin Endocrinol Metab.Stratakis,C.A.;Kirschner,L.S.;Taymans,S.E.;Tomlinson,I.P.;Marsh,D.J.;Torpy,D.J.;Giatzakis,C.;Eccles,D.M.;Theaker,J.;Houlston,R.S.;Blouin,J.L.;Antonarakis,S.E.;Basson,C.T.;Eng,C.;Carney,J.A.</t>
  </si>
  <si>
    <t>Skin manifestations in acromegaly. (2006). Clinics in Dermatology.Ben-Shlomo,A.;Melmed,S.</t>
  </si>
  <si>
    <t>Evaluation and management of Carney's complex: an illustrative case. (1991). Cleve Clin J Med.Wallace,T.M.;Levin,H.S.;Ratliff,N.B.;Hobbs,R.E.</t>
  </si>
  <si>
    <t>Cardiac CT of non-shunt pathology of the interatrial septum. (2011). Journal of Cardiovascular Computed Tomography.Rojas,C.A.;Jaimes,C.E.;El-Sherief,A.H.;Medina,H.M.;Chung,J.H.;Ghoshhajra,B.;Abbara,S.</t>
  </si>
  <si>
    <t>The clinical spectrum of adrenocortical hyperplasia. (2012). Current Opinion in Endocrinology, Diabetes and Obesity.Schteingart,D.E.</t>
  </si>
  <si>
    <t>Primary myxoid temporal bone tumor: A rare neurosurgical manifestation of Carney complex?. (2020). Surg Neurol Int.Mbadugha,T.N.;Kanaya,K.;Horiuchi,T.;Iwaya,M.;Ohaegbulam,S.C.;Hongo,K.</t>
  </si>
  <si>
    <t>Sporadic Form of Recurrent Atrial Myxoma: The Blob Strikes Back. (2020). Cureus.Buttar,R.;Hoefen,R.;Funderburk,M.;Fallone,E.;Baibhav,B.</t>
  </si>
  <si>
    <t>Percutaneous Ablation and Retrieval of a Right Atrial Myxoma. (2014). Heart, Lung and Circulation.Konecny,T.;Reeder,G.;Noseworthy,P.A.;Konecny,D.;Carney,J.A.;Asirvatham,S.J.</t>
  </si>
  <si>
    <t>Utility of immunostaining for S-100 protein subunits in gonadal sex cord-stromal tumors, with emphasis on the large-cell calcifying Sertoli cell tumor of the testis. (2002). Human Pathology.Tanaka,Y.;Carney,J.A.;Ijiri,R.;Kato,K.;Miyake,T.;Nakatani,Y.;Misugi,K.</t>
  </si>
  <si>
    <t>Papillary Thyroid Cancer: Monitoring and Therapy. (2007). Endocrinology and Metabolism Clinics of North America.Tuttle,R.M.;Leboeuf,R.;Martorella,A.J.</t>
  </si>
  <si>
    <t>An adolescent with large cell calcifying sertoli cell tumor of the testis and undiagnosed Carney Complex: A case report. (2017). Diagn Cytopathol.Rosenblum,F.;Koenig,R.G.;Mikhail,F.M.;Porterfield,J.R.;Nix,J.W.;Eltoum,I.A.</t>
  </si>
  <si>
    <t>Liver findings in patients with Carney complex, germline PRKAR1A pathogenic variants, and link to cardiac myxomas. (2020). Endocrine-Related Cancer.Tirosh,A.;Faucz,F.;Lyssikatos,C.;Belyavskaya,E.;Stratakis,C.A.;Tirosh,A.;Aharon-Hananel,G.;Hamimi,A.;Gharib,A.M.;Zavras,P.D.;Bonella,B.;Auerbach,A.;Gillis,D.</t>
  </si>
  <si>
    <t>Childhood adrenocortical tumours. (2004). European Journal of Cancer.Ribeiro,R.C.;Figueiredo,B.</t>
  </si>
  <si>
    <t>Dermal melanocytoses and variants. (2008). Diagnostic Histopathology.Asher,R.G.;Calonje,E.</t>
  </si>
  <si>
    <t>Management of prolactinomas in children and adolescents; which factors define the response to treatment?. (2022). Pituitary.Alikasifoglu,A.;Celik,N.B.;Ozon,Z.A.;Gonc,E.N.;Kandemir,N.</t>
  </si>
  <si>
    <t>Designing isoform-specific peptide disruptors of protein kinase A localization. (2003). Proc Natl Acad Sci U S A.Burns-Hamuro,L.L.;Ma,Y.;Kammerer,S.;Reineke,U.;Self,C.;Cook,C.;Olson,G.L.;Cantor,C.R.;Braun,A.;Taylor,S.S.</t>
  </si>
  <si>
    <t>Using Optical Tweezers to Dissect Allosteric Communication Networks in Protein Kinases. (2022). Methods in Molecular Biology.Hao,Y.;Maillard,R.</t>
  </si>
  <si>
    <t>Bilateral Superficial Angiomyxoma of the Vulva in an Adolescent: A Case Report. (2014). Journal of Pediatric and Adolescent Gynecology.Hubner,N.;Kirkham,Y.;Caccia,N.</t>
  </si>
  <si>
    <t>The vulva &amp; vagina manual. (2006). Journal of the American Academy of Dermatology.Silvestri,D.</t>
  </si>
  <si>
    <t>Incidence and familial risks in pituitary adenoma and associated tumors. (2007). Endocr Relat Cancer.Hemminki,K.;Försti,A.;Ji,J.</t>
  </si>
  <si>
    <t>The Genetics of Pituitary Adenomas. (2019). J Clin Med.Tatsi,C.;Stratakis,C.A.</t>
  </si>
  <si>
    <t>Sequence analysis of the catalytic subunit of PKA in somatotroph adenomas. (2014). Eur J Endocrinol.Larkin,S.J.;Ferraù,F.;Karavitaki,N.;Hernández-Ramírez,L.C.;Ansorge,O.;Grossman,A.B.;Korbonits,M.</t>
  </si>
  <si>
    <t>Mouse models of altered protein kinase A signaling. (2009). Endocr Relat Cancer.Kirschner,L.S.;Yin,Z.;Jones,G.N.;Mahoney,E.</t>
  </si>
  <si>
    <t>17q22-24 chromosomal losses and alterations of protein kinase a subunit expression and activity in adrenocorticotropin-independent macronodular adrenal hyperplasia. (2006). J Clin Endocrinol Metab.Bourdeau,I.;Matyakhina,L.;Stergiopoulos,S.G.;Sandrini,F.;Boikos,S.;Stratakis,C.A.</t>
  </si>
  <si>
    <t>Genetics of Cushing's syndrome. (2010). Neuroendocrinology.Yaneva,M.;Vandeva,S.;Zacharieva,S.;Yaneva,M.;Vandeva,S.;Daly,A.F.;Beckers,A.;Beckers,A.</t>
  </si>
  <si>
    <t>Neonatal Cushing Syndrome. (2017). Clinics in Perinatology.Tatsi,C.;Stratakis,C.A.</t>
  </si>
  <si>
    <t>Ductal adenoma of the breast with tubular features. A probable component of the complex of myxomas, spotty pigmentation, endocrine overactivity, and schwannomas. (1991). Am J Surg Pathol.Carney,J.A.;Toorkey,B.C.</t>
  </si>
  <si>
    <t>ACROMEGALY. (2001). Endocrinology and Metabolism Clinics of North America.Ben-Shlomo,A.;Melmed,S.</t>
  </si>
  <si>
    <t>Dyslipidemia, weight gain, and decreased growth velocity in a 14-year-old male. (2017). Journal of Clinical Lipidology.Wilson,D.P.;Hamilton,L.;Prakash,S.;Castro-Silva,F.J.;Friedman,J.</t>
  </si>
  <si>
    <t>Cushing's disease. (2009). Best Pract Res Clin Endocrinol Metab.Bertagna,X.;Guignat,L.;Groussin,L.;Bertherat,J.</t>
  </si>
  <si>
    <t>Intracellular Targeting of the Type-Iα Regulatory Subunit of cAMP-Dependent Protein Kinase. (2002). Trends in Cardiovascular Medicine.Barradeau,S.;Imaizumi-Scherrer,T.;Weiss,M.C.;Faust,D.M.</t>
  </si>
  <si>
    <t>Cyclic AMP inhibits the proliferation of thyroid carcinoma cell lines through regulation of CDK4 phosphorylation. (2008). Mol Biol Cell.Rocha,A.S.;Paternot,S.;Coulonval,K.;Dumont,J.E.;Soares,P.;Roger,P.P.</t>
  </si>
  <si>
    <t>Loss of Prkar1a leads to Bcl-2 family protein induction and cachexia in mice. (2014). Cell Death Differ.Gangoda,L.;Doerflinger,M.;Srivastava,R.;Narayan,N.;Edgington,L.E.;Orian,J.;Hawkins,C.;O'Reilly,L.A.;Gu,H.;Bogyo,M.;Ekert,P.;Strasser,A.;Puthalakath,H.</t>
  </si>
  <si>
    <t>Management of metastatic endocrine tumours. (2005). Best Practice &amp; Research Clinical Gastroenterology.Plöckinger,U.;Wiedenmann,B.</t>
  </si>
  <si>
    <t>Mechanisms for restraining cAMP-dependent protein kinase revealed by subunit quantitation and cross-linking approaches. (2017). Proceedings of the National Academy of Sciences of the United States of America.Walker-Gray,R.;Gold,M.G.;Stengel,F.</t>
  </si>
  <si>
    <t>Expression of protein kinase A regulatory subunits in benign and malignant human thyroid tissues: A systematic review. (2016). Exp Cell Res.Del Gobbo,A.;Peverelli,E.;Treppiedi,D.;Lania,A.;Mantovani,G.;Ferrero,S.,Del Gobbo,A.;Peverelli,E.;Treppiedi,D.;Lania,A.;Mantovani,G.;Ferrero,S.</t>
  </si>
  <si>
    <t>The pathophysiology of pituitary adenomas. (2009). Best Practice &amp; Research Clinical Endocrinology &amp; Metabolism.Dworakowska,D.;Grossman,A.B.</t>
  </si>
  <si>
    <t>Somatic and germline mutations in the pathogenesis of pituitary adenomas. (2019). European Journal of Endocrinology.Vandeva,S.;Zacharieva,S.;Daly,A.F.;Petrossians,P.;Beckers,A.</t>
  </si>
  <si>
    <t>Acrodysostosis. (2012). Hormone and Metabolic Research.Silve,C.;Linglart,A.;Silve,C.;Silve,C.;Linglart,A.;Silve,C.;Linglart,A.;Clauser,E.;Clauser,E.</t>
  </si>
  <si>
    <t>Bilateral testicular large-cell calcifying sertoli cell tumor and recurrent cardiac myxoma in a patient with Carney's complex. (1995). Pediatr Radiol.Noszian,I.M.;Balon,R.;Eitelberger,F.G.;Schmid,N.</t>
  </si>
  <si>
    <t>Neurosurgical implications of Carney complex. (2000). J Neurosurg.Watson,J.C.;Stratakis,C.A.;Bryant-Greenwood,P.K.;Koch,C.A.;Kirschner,L.S.;Nguyen,T.;Carney,J.A.;Oldfield,E.H.</t>
  </si>
  <si>
    <t>The adrenal gland: an evolution of the roles of genetic counsellors and medical geneticists in endocrine cancers. (2016). Diagnostic Histopathology.Gallinger,B.;Druker,H.;Gill,A.J.;Wasserman,J.D.;Kim,R.H.</t>
  </si>
  <si>
    <t>Multiple fusiform myxomatous cerebral aneurysms in a patient with Carney complex. (2008). J Neurosurg.Ryou,K.S.;Lee,S.H.;Park,S.H.;Park,J.;Hwang,S.K.;Hamm,I.S.</t>
  </si>
  <si>
    <t>PRKAR1A in the development of cardiac myxoma: a study of 110 cases including isolated and syndromic tumors. (2014). Am J Surg Pathol.Maleszewski,J.J.;Larsen,B.T.;Kip,N.S.;Castonguay,M.C.;Edwards,W.D.;Carney,J.A.;Kipp,B.R.</t>
  </si>
  <si>
    <t>Dubowitz syndrome is a complex comprised of multiple, genetically distinct and phenotypically overlapping disorders. (2014). PLoS One.Stewart,D.R.;Pemov,A.;Johnston,J.J.;Sapp,J.C.;Yeager,M.;He,J.;Boland,J.F.;Burdett,L.;Brown,C.;Gatti,R.A.;Alter,B.P.;Biesecker,L.G.;Savage,S.A.</t>
  </si>
  <si>
    <t>Positive genetic test led to an early diagnosis of myxoma in a 4-year-old boy. (2006). Interact Cardiovasc Thorac Surg.Puntila,J.;Hakala,T.;Salminen,J.;Pihkala,J.</t>
  </si>
  <si>
    <t>Primary pigmented nodular adrenocortical disease and Cushing's syndrome. (2007). Arq Bras Endocrinol Metabol.Horvath,A.;Stratakis,C.</t>
  </si>
  <si>
    <t>Molecular and Trophic Mechanisms of Tumorigenesis. (2008). Endocrinology and Metabolism Clinics of North America.Levy,A.</t>
  </si>
  <si>
    <t>The epithelioid blue nevus. A multicentric familial tumor with important associations, including cardiac myxoma and psammomatous melanotic schwannoma. (1996). Am J Surg Pathol.Carney,J.A.;Ferreiro,J.A.</t>
  </si>
  <si>
    <t>Minireview: PRKAR1A: normal and abnormal functions. (2004). Endocrinology.Bossis,I.;Stratakis,C.A.</t>
  </si>
  <si>
    <t>Regulation of Autophagy by the p300 Acetyltransferase. (2009). J Biol Chem.Lee,I.H.;Finkel,T.</t>
  </si>
  <si>
    <t>Mouse models of endocrine tumours. (2010). Best Practice &amp; Research Clinical Endocrinology &amp; Metabolism.Jones,G.N.;Manchanda,P.K.;Pringle,D.R.;Zhang,M.;Kirschner,L.S.</t>
  </si>
  <si>
    <t>Wnt/β-catenin signalling in adrenal physiology and tumour development. (2011). Molecular and Cellular Endocrinology.Berthon,A.;Martinez,A.;Bertherat,J.;Val,P.</t>
  </si>
  <si>
    <t>Rare inactivating PDE11A variants associated with testicular germ cell tumors. (2015). Endocrine-Related Cancer.Faucz,F.R.;Xekouki,P.;Stratakis,C.A.;Bass,S.;Vogt,A.;Zhang,X.;Boland,J.;Yeager,M.;Nathanson,K.L.;Mirabello,L.;McGlynn,K.A.;Pathak,A.;Stewart,D.R.;Loud,J.T.;Greene,M.H.</t>
  </si>
  <si>
    <t>Large Cell Calcifying Sertoli Cell Tumor: A Clinicopathologic Study of 18 Cases With Comprehensive Review of the Literature and Reappraisal of Prognostic Features. (2022). American Journal of Surgical Pathology.Al-Obaidy,K.I.;Idrees,M.T.;Ulbright,T.M.;Abdulfatah,E.;Kunju,L.P.;Wu,A.</t>
  </si>
  <si>
    <t>Use of mouse models to understand the molecular basis of tissue-specific tumorigenesis in the Carney complex. (2009). J Intern Med.Kirschner,L.S.</t>
  </si>
  <si>
    <t>The molecular pathogenesis of hereditary and sporadic adrenocortical and adrenomedullary tumors. (2002). J Clin Endocrinol Metab.Koch,C.A.;Pacak,K.;Chrousos,G.P.</t>
  </si>
  <si>
    <t>Different expression of protein kinase A (PKA) regulatory subunits in cortisol-secreting adrenocortical tumors: Relationship with cell proliferation. (2008). Experimental Cell Research.Mantovani,G.;Lania,A.G.;Bondioni,S.;Peverelli,E.;Pedroni,C.;Ferrero,S.;Pellegrini,C.;Vicentini,L.;Arnaldi,G.;Bosari,S.;Beck-Peccoz,P.;Spada,A.</t>
  </si>
  <si>
    <t>Comment on Carney complex and related syndromes and their genetic loci. (1999). J Clin Endocrinol Metab.Cetta,F.</t>
  </si>
  <si>
    <t>Rare association of acromegaly with left atrial myxoma in Carney's complex due to novel PRKAR1A mutation. (2014). Endocrinol Diabetes Metab Case Rep.Birla,S.;Aggarwal,S.;Sharma,A.;Tandon,N.,Birla,S.;Aggarwal,S.;Sharma,A.;Tandon,N.</t>
  </si>
  <si>
    <t>GATA factors in endocrine neoplasia. (2015). Molecular and Cellular Endocrinology.Pihlajoki,M.;Färkkilä,A.;Soini,T.;Heikinheimo,M.;Wilson,D.B.</t>
  </si>
  <si>
    <t>Right-sided myxomas with extramedullary hematopoiesis and ossification in Carney complex. (2008). International Journal of Cardiology.Lee,B.;Sir,J.J.;Park,S.W.;Kim,S.B.;Nah,J.C.;Kang,Y.K.;Lee,H.K.;Kim,Y.I.;Cho,W.H.;Choi,S.K.</t>
  </si>
  <si>
    <t>Familial eruptive lentiginosis. (2006). Journal of the American Academy of Dermatology.Na,J.I.;Park,K.C.;Youn,S.W.</t>
  </si>
  <si>
    <t>A 2.3Mb deletion of 17q24.2-q24.3 associated with 'Carney Complex plus'. (2008). Eur J Med Genet.Blyth,M.;Huang,S.;Maloney,V.;Crolla,J.A.;Karen Temple,I.</t>
  </si>
  <si>
    <t>Clinical and genetic heterogeneity, overlap with other tumor syndromes, and atypical glucocorticoid hormone secretion in adrenocorticotropin-independent macronodular adrenal hyperplasia compared with other adrenocortical tumors. (2009). J Clin Endocrinol Metab.Hsiao,H.P.;Kirschner,L.S.;Bourdeau,I.;Keil,M.F.;Boikos,S.A.;Verma,S.;Robinson-White,A.J.;Nesterova,M.;Lacroix,A.;Stratakis,C.A.</t>
  </si>
  <si>
    <t>The pathology of pituitary, parathyroids, thyroid and adrenal glands. (2017). Surgery (Oxford).Yeung,M.;Tahir,F.</t>
  </si>
  <si>
    <t>Pituitary adenomas in childhood, adolescence and young adulthood: Presentation, management, endocrine and metabolic outcomes. (2010). European Journal of Endocrinology.Steele,C.A.;MacFarlane,I.A.;Cuthbertson,D.J.;Daousi,C.;Blair,J.;Didi,M.;Mallucci,C.;Javadpour,M.</t>
  </si>
  <si>
    <t>Gynecomastia and mucosal lentigines in an 8-year-old boy. (2005). Journal of the American Academy of Dermatology.Winterfield,L.;Schultz,J.;Stratakis,C.A.;Cowen,E.W.</t>
  </si>
  <si>
    <t>An Unusual Presentation of Carney Complex. (2020). J Clin Res Pediatr Endocrinol.Dağdeviren Çakır,A.;Turan,H.;Celkan,T.;Çomunoğlu,N.;Ercan,O.;Evliyaoğlu,O.</t>
  </si>
  <si>
    <t>Large cell calcifying Sertoli cell tumor: a clinicopathologic study of 1 malignant and 3 benign tumors using histomorphology, immunohistochemistry, ultrastructure, comparative genomic hybridization, and polymerase chain reaction analysis of the PRKAR1A gene. (2010). Human Pathology.Petersson,F.;Bulimbasic,S.;Sima,R.;Michal,M.;Hora,M.;Malagon,H.D.;Matoska,J.;Hes,O.</t>
  </si>
  <si>
    <t>Carney complex: Two case reports and review of literature. (2018). World J Clin Cases.Li,S.;Duan,L.;Wang,F.D.;Lu,L.;Jin,Z.Y.</t>
  </si>
  <si>
    <t>Food-dependent Cushing's syndrome: characterization and functional role of gastric inhibitory polypeptide receptor in the adrenals of three patients. (1998). J Clin Endocrinol Metab.Lebrethon,M.C.;Avallet,O.;Reznik,Y.;Archambeaud,F.;Combes,J.;Usdin,T.B.;Narboni,G.;Mahoudeau,J.;Saez,J.M.</t>
  </si>
  <si>
    <t>In Vitro studies of novel PRKAR1A mutants that extend the predicted RIα protein sequence into the 3′-untranslated open reading frame: Proteasomal degradation leads to RIα haploinsufficiency and carney complex. (2012). Journal of Clinical Endocrinology and Metabolism.Patronas,Y.;Horvath,A.;Greene,E.;Tsang,K.;Bimpaki,E.;Haran,M.;Nesterova,M.;Stratakis,C.A.;Stratakis,C.A.,Patronas,Y.;Horvath,A.;Greene,E.;Tsang,K.;Bimpaki,E.;Haran,M.;Nesterova,M.;Stratakis,C.A.;Stratakis,C.A.</t>
  </si>
  <si>
    <t>Novel Strategies for Recurrent Cardiac Myxoma. (2008). The Annals of Thoracic Surgery.Rathore,K.S.;Hussenbocus,S.;Stuklis,R.;Edwards,J.</t>
  </si>
  <si>
    <t>An orphan G protein-coupled receptor causes human gigantism and/or acromegaly: Molecular biology and clinical correlations. (2018). Best Practice &amp; Research Clinical Endocrinology &amp; Metabolism.Trivellin,G.;Hernández-Ramírez,L.C.;Swan,J.;Stratakis,C.A.</t>
  </si>
  <si>
    <t>Carney complex due to a novel pathogenic variant in the PRKAR1A gene- A case report. (2019). Journal of Pediatric Endocrinology and Metabolism.Ferreira,S.H.;Santos Silva,R.;Costa,C.;Castro-Correia,C.;Fontoura,M.;Costa,M.M.;Rios,E.</t>
  </si>
  <si>
    <t>The ectopic expression of the gastric inhibitory polypeptide receptor is frequent in adrenocorticotropin-independent bilateral macronodular adrenal hyperplasia, but rare in unilateral tumors. (2002). J Clin Endocrinol Metab.Groussin,L.;Perlemoine,K.;Contesse,V.;Lefebvre,H.;Tabarin,A.;Thieblot,P.;Schlienger,J.L.;Luton,J.P.;Bertagna,X.;Bertherat,J.</t>
  </si>
  <si>
    <t>Molecular markers in pituitary tumors. (2016). Current Opinion in Endocrinology, Diabetes and Obesity.Robertson,A.M.;Heaney,A.P.</t>
  </si>
  <si>
    <t>E pluribus unum? The main protein kinase a catalytic subunit (PRKACA), a likely oncogene, and cortisol-producing tumors. (2014). Journal of Clinical Endocrinology and Metabolism.Stratakis,C.A.;Stratakis,C.A.;Stratakis,C.A.</t>
  </si>
  <si>
    <t>Monogenic mineralocorticoid hypertension. (2006). Best Practice &amp; Research Clinical Endocrinology &amp; Metabolism.Stowasser,M.</t>
  </si>
  <si>
    <t>PRKAR1A gene analysis and protein kinase A activity in endometrial tumors. (2012). Endocrine-Related Cancer.Tsigginou,A.;Papageorgiou,C.;Dimitrakakis,C.;Rodolakis,A.;Antsaklis,A.;Bimpaki,E.;Nesterova,M.;Horvath,A.;Boikos,S.;Lyssikatos,C.;Stratakis,C.A.;Dimitrakakis,C.</t>
  </si>
  <si>
    <t>Frequency and Incidence of Carney Complex Manifestations: A Prospective Multicenter Study With a Three-Year Follow-Up. (2020). Journal of Clinical Endocrinology and Metabolism.Espiard,S.;Assié,G.;Groussin,L.;Bertherat,J.;Espiard,S.;Assié,G.;Groussin,L.;Guignat,L.;Bertherat,J.;Espiard,S.;Vantyghem,M.-C.;Cardot-Bauters,C.;Raverot,G.;Brucker-Davis,F.;Archambeaud-Mouveroux,F.;Lefebvre,H.;Nunes,M.-L.;Tabarin,A.;Lienhardt,A.;Chabr.</t>
  </si>
  <si>
    <t>The protein kinase a regulatory subunit R1A (Prkar1a) plays critical roles in peripheral nerve development. (2013). Journal of Neuroscience.Guo,L.;Rizvi,T.A.;Ratner,N.;Lee,A.A.;Kirschner,L.S.;Kirschner,L.S.</t>
  </si>
  <si>
    <t>A case of vulvar superficial angiomyxoma with necrotizing angiitis-like lesions and expression of granulocyte-colony stimulating factor. (2005). Pathology - Research and Practice.Okada,Y.;Mori,H.;Tsuji,M.;Yagi,Y.</t>
  </si>
  <si>
    <t>Pigmented lesions of the conjunctiva in Carney's complex. (2000). Journal of the American Academy of Dermatology.Cohen,C.;Turner,M.L.;Stratakis,C.A.</t>
  </si>
  <si>
    <t>Inhibition of RET activated pathways: Novel strategies for therapeutic intervention in human cancers. (2013). Current Pharmaceutical Design.Santarpia,L.;Bottai,G.</t>
  </si>
  <si>
    <t>Common traps/pitfalls and emergency diagnosis in dermatopathology. (2020). Modern Pathology.Prieto,V.G.</t>
  </si>
  <si>
    <t>Association of Carney Complex with an Intronic Splice Site Mutation in the PRKAR1A Gene. (2016). Hormone and Metabolic Research.Guo,H.;Xiong,H.;Xu,J.;Zhang,H.;Chen,X.;Hu,S.;Li,Z,Guo,H.;Xiong,H.;Xu,J.;Zhang,H.;Chen,X.;Hu,S.;Li,Z.</t>
  </si>
  <si>
    <t>Adrenal cortex and micro-RNAs: An update. (2010). Cell Cycle.Faucz,F.R.;Stratakis,C.A.;Stratakis,C.A.</t>
  </si>
  <si>
    <t>Large-Cell Calcifying Sertoli Cell Tumor of the Testis: Case Report and Review of the Literature. (1999). The Journal of Urology.Chang,B.;Borer,J.G.;Tan,P.E.;Diamond,D.A.</t>
  </si>
  <si>
    <t>Pituitary-specific knockout of the Carney complex gene Prkar1a leads to pituitary tumorigenesis. (2008). Mol Endocrinol.Yin,Z.;Williams-Simons,L.;Parlow,A.F.;Asa,S.;Kirschner,L.S.</t>
  </si>
  <si>
    <t>Melanotic nonpsammomatous trigeminal schwannoma as the first manifestation of Carney complex: case report. (2006). Neurosurgery.Carrasco,C.A.;Rojas-Salazar,D.;Chiorino,R.;Venega,J.C.;Wohllk,N.</t>
  </si>
  <si>
    <t>Quantitative proteomics revealed the molecular characteristics of distinct types of granulated somatotroph adenomas. (2021). Endocrine.Tang,Y.;Xie,T.;Wu,S.;Liu,T.;Li,C.;Liu,S.;Shao,Z.;Zhang,X.;Yang,Q.;Shao,Z.;Zhang,X.;Zhang,X.</t>
  </si>
  <si>
    <t>Hormonal, radiological, NP-59 scintigraphy, and pathological correlations in patients with Cushing's syndrome due to Primary Pigmented Nodular Adrenocortical Disease (PPNAD). (2015). Journal of Clinical Endocrinology and Metabolism.Vezzosi,D.;Cazabat,L.;Tissier,F.;Carrasco,C.A.;Bertagna,X.;Bertherat,J.;Vezzosi,D.;Cazabat,L.;Tissier,F.;Carrasco,C.A.;Bertagna,X.;Bertherat,J.;Vezzosi,D.;Cazabat,L.;Tissier,F.;Carrasco,C.A.;Bertagna,X.;Bertherat,J.;Vezzosi,D.;Tenenbaum,F.;Tenenbaum,F.;C.</t>
  </si>
  <si>
    <t>Syndromes associated with abnormalities in the adrenal cortex. (2009). Diagnostic Histopathology.Hunt,J.L.</t>
  </si>
  <si>
    <t>PROBLEMS IN ENDOCRINOLOGIC IMAGING. (1997). Endocrinology and Metabolism Clinics of North America.Doppman,J.L.</t>
  </si>
  <si>
    <t>Novel Mutation in PRKAR1A in Carney Complex. (2012). Korean J Pathol.Park,K.U.;Kim,H.S.;Lee,S.K.;Jung,W.W.;Park,Y.K.</t>
  </si>
  <si>
    <t>Beware the inflammatory cell-rich colonic polyp: a rare case of EBV-positive inflammatory pseudotumour-like follicular dendritic cell sarcoma with increased IgG4-positive plasma cells. (2020). Pathology.Goh,L.;Wang,L.M.;Teo,N.Z.</t>
  </si>
  <si>
    <t>Recurrent somatic mutations of PRKAR1A in isolated cardiac myxoma. (2017). Oncotarget.He,J.;Sun,M.;Li,E.;Hou,Y.;Shepard,M.J.;Chen,D.;Pacak,K.;Wang,C.;Guo,L.;Zhuang,Z.;Liu,Y.</t>
  </si>
  <si>
    <t>Gynecomastia. (2007). Endocrinology and Metabolism Clinics of North America.Narula,H.S.;Carlson,H.E.</t>
  </si>
  <si>
    <t>Sporadic superficial angiomyxomas demonstrate loss of PRKAR1A expression. (2021). Histopathology.Hafeez,F.;Krakowski,A.C.;Lian,C.G.;Nazarian,R.M.;Maleszewski,J.J.</t>
  </si>
  <si>
    <t>Cyclic AMP-dependent protein kinase catalytic subunit A (PRKACA): the expected, the unexpected, and what might be next. (2018). J Pathol.Stratakis,C.A.</t>
  </si>
  <si>
    <t>Serial analysis of gene expression in adrenocortical hyperplasia caused by a germline PRKAR1A mutation. (2006). J Clin Endocrinol Metab.Horvath,A.;Mathyakina,L.;Vong,Q.;Baxendale,V.;Pang,A.L.;Chan,W.Y.;Stratakis,C.A.</t>
  </si>
  <si>
    <t>Myxoma of the ear lobe in a 23-month-old girl with Carney complex. (2012). J Cutan Pathol.Briassoulis,G.;Quezado,M.;Lee,C.C.;Xekouki,P.;Keil,M.;Stratakis,C.A.</t>
  </si>
  <si>
    <t>The role of microRNAs in the pathophysiology of adrenal tumors. (2016). Molecular and Cellular Endocrinology.Hassan,N.;Zhao,J.T.;Sidhu,S.B.</t>
  </si>
  <si>
    <t>Heart-specific ablation of Prkar1a causes failure of heart development and myxomagenesis. (2008). Circulation.Yin,Z.;Jones,G.N.;Towns,W.H. 2nd;Zhang,X.;Abel,E.D.;Binkley,P.F.;Jarjoura,D.;Kirschner,L.S.</t>
  </si>
  <si>
    <t>Germline deletion and a somatic mutation of the PRKAR1A gene in a Carney complex-related pituitary adenoma. (2015). Eur J Endocrinol.Iwata,T.;Tamanaha,T.;Koezuka,R.;Tochiya,M.;Makino,H.;Kishimoto,I.;Mizusawa,N.;Ono,S.;Inoshita,N.;Yamada,S.;Shimatsu,A.;Yoshimoto,K.,Iwata,T.;Tamanaha,T.;Koezuka,R.;Tochiya,M.;Makino,H.;Kishimoto,I.;Mizusawa,N.;Ono,S.;Inoshita,N.;Yamada,S.;Shimatsu,A.;Yoshimoto,K.</t>
  </si>
  <si>
    <t>Blue nevus of the colorectal mucosa. (2011). Annals of Diagnostic Pathology.Schreiber,Z.J.;Pal,T.R.;Hwang,S.J.</t>
  </si>
  <si>
    <t>The role of genetic and epigenetic changes in pituitary tumorigenesis. (2014). Neurologia Medico-Chirurgica.Fukuoka,H.;Takahashi,Y.</t>
  </si>
  <si>
    <t>A pleiomorphic GH pituitary adenoma from a Carney complex patient displays universal allelic loss at the protein kinase A regulatory subunit 1A (PRKARIA) locus. (2004). J Med Genet.Bossis,I.;Voutetakis,A.;Matyakhina,L.;Pack,S.;Abu-Asab,M.;Bourdeau,I.;Griffin,K.J.;Courcoutsakis,N.;Stergiopoulos,S.;Batista,D.;Tsokos,M.;Stratakis,C.A.</t>
  </si>
  <si>
    <t>Identification of HRAS mutations and absence of GNAQ or GNA11 mutations in deep penetrating nevi. (2013). Modern Pathology.Bender,R.P.;Esmay,P.;McGinniss,M.J.;Velazquez,E.F.;Reimann,J.D.;Velazquez,E.F.;Reimann,J.D.</t>
  </si>
  <si>
    <t>PKA functions in metabolism and resistance to obesity: Lessons from mouse and human studies. (2020). Journal of Endocrinology.London,E.;Bloyd,M.;Stratakis,C.A.</t>
  </si>
  <si>
    <t>Assembly of allosteric macromolecular switches: Lessons from PKA. (2012). Nature Reviews Molecular Cell Biology.Taylor,S.S.;Kornev,A.P.;Taylor,S.S.;Taylor,S.S.;Ilouz,R.;Zhang,P.;Kornev,A.P.</t>
  </si>
  <si>
    <t>Cyclical Cushing syndrome presenting in infancy: an early form of primary pigmented nodular adrenocortical disease, or a new entity?. (2004). J Clin Endocrinol Metab.Gunther,D.F.;Bourdeau,I.;Matyakhina,L.;Cassarino,D.;Kleiner,D.E.;Griffin,K.;Courkoutsakis,N.;Abu-Asab,M.;Tsokos,M.;Keil,M.;Carney,J.A.;Stratakis,C.A.</t>
  </si>
  <si>
    <t>Carney complex, a familial multiple neoplasia and lentiginosis syndrome. Analysis of 11 kindreds and linkage to the short arm of chromosome 2. (1996). J Clin Invest.Stratakis,C.A.;Carney,J.A.;Lin,J.P.;Papanicolaou,D.A.;Karl,M.;Kastner,D.L.;Pras,E.;Chrousos,G.P.</t>
  </si>
  <si>
    <t>Mechanisms for pituitary tumorigenesis: the plastic pituitary. (2003). J Clin Invest.Melmed,S.</t>
  </si>
  <si>
    <t>Carney complex: A rare cause of cushing syndrome in pregnancy. (2014). Obstetrics and Gynecology.Spaniol,A.;Mulla,B.M.;Daily,J.G.;Ennen,C.S.</t>
  </si>
  <si>
    <t>Advanced Atherosclerosis with Leriche Syndrome, in a Patient with Carney Complex. (2018). Maedica (Bucur).Visoiu,I.S.;Constantinescu,C.;Patrascu,N.;Stoicescu,C.I.;Dorobat,B.;Brezeanu,R.;Anton,C.;Vinereanu,D.;Cinteza,M.</t>
  </si>
  <si>
    <t>Variable pathological and clinical features of a large Brazilian family harboring a mutation in the aryl hydrocarbon receptor-interacting protein gene. (2007). Eur J Endocrinol.Naves,L.A.;Daly,A.F.;Vanbellinghen,J.F.;Casulari,L.A.;Spilioti,C.;Magalhães,A.V.;Azevedo,M.F.;Giacomini,L.A.;Nascimento,P.P.;Nunes,R.O.;Rosa,J.W.;Jaffrain-Rea,M.L.;Bours,V.;Beckers,A.</t>
  </si>
  <si>
    <t>Mapping the Free Energy Landscape of PKA Inhibition and Activation: A Double-Conformational Selection Model for the Tandem cAMP-Binding Domains of PKA RIα. (2015). PLoS Biology.Akimoto,M.;Ramkissoon,A.;Moleschi,K.;Melacini,G.;McNicholl,E.T.;Melacini,G.;Taylor,S.S,Akimoto,M.;Ramkissoon,A.;Moleschi,K.;Melacini,G.;McNicholl,E.T.;Melacini,G.;Taylor,S.S.</t>
  </si>
  <si>
    <t>MEN1, MEN4, and Carney Complex: Pathology and Molecular Genetics. (2016). Neuroendocrinology.Schernthaner-Reiter,M.H.;Trivellin,G.;Stratakis,C.A.</t>
  </si>
  <si>
    <t>Hereditary pituitary hyperplasia with infantile gigantism. (2011). Journal of Clinical Endocrinology and Metabolism.Gläsker,S.;Vortmeyer,A.O.;Li,J.;Zhuang,Z.;Oldfield,E.H.;Lafferty,A.R.A.;Hofman,P.L.;Weil,R.J.</t>
  </si>
  <si>
    <t>Carney complex with PRKAR1A gene mutation: A case report and literature review. (2017). Medicine (Baltimore).Liu,Q.;Tong,D.;Liu,G.;Yi,Y.;Zhang,D.;Zhang,J.;Zhang,Y.;Huang,Z.;Li,Y.;Chen,R.;Guan,Y.;Yi,X.;Jiang,J.</t>
  </si>
  <si>
    <t>Anesthetic experiences of myxoma removal surgery in two patients with Carney complex -A report of two cases-. (2011). Korean J Anesthesiol.Kang,Y.M.;Kim,Y.H.</t>
  </si>
  <si>
    <t>Clinical characteristics and therapeutic responses in patients with germ-line AIP mutations and pituitary adenomas: An international collaborative study. (2010). Journal of Clinical Endocrinology and Metabolism.Daly,A.F.;Tichomirowa,M.A.;Petrossians,P.;Beckers,A.;Hagelstein,M.-T.;Vanbellinghen,J.-F.;Bours,V.;Heliövaara,E.;Karhu,A.;Georgitsi,M.;Guitelman,M.;Aaltonen,L.A.;Jaffrain-Rea,M.-L.;Barlier,A.;Naves,L.A.;Ebeling,T.;Eloranta,E.;Salmela,P.I.;Raappana,A.;V.</t>
  </si>
  <si>
    <t>Familial isolated primary pigmented nodular adrenocortical disease associated with a novel low penetrance PRKAR1A gene splice site mutation. (2010). Horm Res Paediatr.Storr,H.L.;Metherell,L.A.;Dias,R.;Savage,M.O.;Rasmussen,A.K.;Clark,A.J.;Main,K.M.</t>
  </si>
  <si>
    <t>Recurrence of Carney complex atrial myxoma causing embolic stroke. (2014). Intern Med J.Gordon,R.J.;Latona,R.Q.;Sonigra,D.T.;Embling,L.A.;Niranjan,S.</t>
  </si>
  <si>
    <t>Proteomic Analysis of the Human Anterior Pituitary Gland. (2018). OMICS A Journal of Integrative Biology.Yelamanchi,S.D.;Chavan,S.;Advani,J.;Madugundu,A.K.;Dey,G.;Datta,K.K.;Sahasrabuddhe,N.A.;Chatterjee,A.;Gowda,H.;Pandey,A.;Prasad,T.S.K.;Tyagi,A.;Mohanty,V.;Prasad,T.S.K.;Dutta,P.;Bhansali,A.;Korbonits,M.;Advani,J.;Madugundu,A.K.;Dey,G.;Pandey,A.;Madugundu.</t>
  </si>
  <si>
    <t>Inhibitory effect of atorvastatin on the cell growth of cardiac myxomas via the PTEN and PHLPP2 phosphatase signaling pathway. (2013). Oncology Reports.Wu,X.-L.;Peng,L.;Yang,D.-Y.;Tan,D.-J.;Yao,H.-C.;Chai,W.</t>
  </si>
  <si>
    <t>Molecular pathology of thyroid cancer. (2011). Diagnostic Histopathology.Cassol,C.A.;Asa,S.L.</t>
  </si>
  <si>
    <t>Molecular defects in the pathogenesis of pituitary tumours. (2003). Frontiers in Neuroendocrinology.Levy,A.;Lightman,S.</t>
  </si>
  <si>
    <t>Mesenchymal Lesions of the Lower Genital Tract. (2009). Surgical Pathology Clinics.Nucci,M.R.</t>
  </si>
  <si>
    <t>Three Novel MEN1 Variants in AIP -Negative Familial Isolated Pituitary Adenoma Patients. (2019). Pathobiology.Yarman,S.;Tuncer,F.N.;Serbest,E.</t>
  </si>
  <si>
    <t>The aberrant expression of the gastric inhibitory polypeptide (GIP) receptor in adrenal hyperplasia: does chronic adrenocorticotropin exposure stimulate up-regulation of GIP receptors in Cushing's disease?. (2005). J Clin Endocrinol Metab.Swords,F.M.;Aylwin,S.;Perry,L.;Arola,J.;Grossman,A.B.;Monson,J.P.;Clark,A.J.</t>
  </si>
  <si>
    <t>Intratubular large cell hyalinising Sertoli-cell neoplasia: a rare entity associated with Peutz-Jeghers syndrome. (2020). Pathology.Asmandar,S.;Reyes Múgica,M.;Boudjemaa,S.,Asmandar,S.;Boudjemaa,S.;Asmandar,S.;Boudjemaa,S.;Reyes Múgica,M.</t>
  </si>
  <si>
    <t>The natural history and treatment of non-functioning pituitary adenomas (non-functioning PitNETs). (2020). Endocrine-Related Cancer.Yavropoulou,M.P.;Tsoli,M.;Kaltsas,G.;Barkas,K.;Grossman,A.;Grossman,A.</t>
  </si>
  <si>
    <t>Differential role of PKA catalytic subunits in mediating phenotypes caused by knockout of the Carney complex gene Prkar1a. (2011). Molecular Endocrinology.Yin,Z.;Pringle,D.R.;Jones,G.N.;Kelly,K.M.;Kirschner,L.S.;Kirschner,L.S.</t>
  </si>
  <si>
    <t>Myosins and Disease. (2020). Advances in Experimental Medicine and Biology.Coluccio,L.M.</t>
  </si>
  <si>
    <t>A deletion in the PRKAR1A gene is associated with Carney complex. (2008). J Pediatr Endocrinol Metab.Vargas-Alarcón,G.;Vargas-Barrón,J.;Cruz-Robles,D.;Pérez-Vielma,N.;García-Trejo,J.J.;Aguilar-Gaytán,R.;Cortés-Hernández,P.;Vazquez-Ortíz,Z.Y.;Romero-Cardenas,A.</t>
  </si>
  <si>
    <t>Cyclic AMP-dependent signaling aberrations in macronodular adrenal disease. (2002). Ann N Y Acad Sci.Bourdeau,I.;Stratakis,C.A.</t>
  </si>
  <si>
    <t>Ovarian lesions in Carney complex: clinical genetics and possible predisposition to malignancy. (2000). J Clin Endocrinol Metab.Stratakis,C.A.;Papageorgiou,T.;Premkumar,A.;Pack,S.;Kirschner,L.S.;Taymans,S.E.;Zhuang,Z.;Oelkers,W.H.;Carney,J.A.</t>
  </si>
  <si>
    <t>Magnetic Resonance Imaging of Pericardial Disease and Cardiac Masses. (2007). Cardiology Clinics.Grizzard,J.D.;Ang,G.B.</t>
  </si>
  <si>
    <t>Consider the context: Ras/ERK and PI3K/AKT/mTOR signaling outcomes are pituitary cell type-specific. (2017). Molecular and Cellular Endocrinology.Roof,A.K.;Gutierrez-Hartmann,A.</t>
  </si>
  <si>
    <t>Solitary superficial angiomyxoma in the eyelid. (2005). Am J Ophthalmol.Yuen,H.K.;Cheuk,W.;Luk,F.O.;Wat,C.S.;Auyeung,K.C.;Lam,D.S.</t>
  </si>
  <si>
    <t>Familial acromegaly due to aryl hydrocarbon receptor-interacting protein (AIP) gene mutation in a Turkish cohort. (2014). Pituitary.Niyazoglu,M.;Hatipoglu,E.;Kadioglu,P.;Sayitoglu,M.;Firtina,S.;Gazioglu,N.;Kadioglu,P.</t>
  </si>
  <si>
    <t>The "aPCs" of PTCs: Adenomatous Polyposis Syndrome and the Thyroid. (2020). Thyroid.Yehia,L.;Eng,C.;Eng,C.;Eng,C.;Eng,C.</t>
  </si>
  <si>
    <t>A new mechanism of BRAF activation in human thyroid papillary carcinomas. (2005). J Clin Invest.Fusco,A.;Viglietto,G.;Santoro,M.</t>
  </si>
  <si>
    <t>Haploinsufficiency for either one of the type-II regulatory subunits of protein kinase A improves the bone phenotype of Prkar1a+/- mice. (2015). Hum Mol Genet.Liu,S.;Saloustros,E.;Mertz,E.L.;Tsang,K.;Starost,M.F.;Salpea,P.;Faucz,F.R.;Szarek,E.;Nesterova,M.;Leikin,S.;Stratakis,C.A.</t>
  </si>
  <si>
    <t>PMID</t>
  </si>
  <si>
    <t>DOI</t>
  </si>
  <si>
    <t>PUI</t>
  </si>
  <si>
    <t>NCT ID</t>
  </si>
  <si>
    <t>603472914</t>
  </si>
  <si>
    <t>614231655</t>
  </si>
  <si>
    <t>603579995</t>
  </si>
  <si>
    <t>368798485</t>
  </si>
  <si>
    <t>Citation index</t>
  </si>
  <si>
    <t>Citation</t>
  </si>
  <si>
    <t>Identifier type</t>
  </si>
  <si>
    <t>Identifier</t>
  </si>
  <si>
    <t>A Rare Case of Intraspinal Psammomatous Melanotic Schwannoma: A Case Report. (2020). Spine surgery and related research.Takatori Naoki et al.</t>
  </si>
  <si>
    <t>Carney complex: Two case reports and review of literature. (2018). World journal of clinical cases.Li Shuang et al.</t>
  </si>
  <si>
    <t>Imaging of Adrenal-Related Endocrine Disorders. (2020). Radiologic clinics of North America.Yalniz Ceren et al.</t>
  </si>
  <si>
    <t>Fibrolamellar hepatocellular carcinoma: Exploring molecular mechanisms and differentiation pathways to better understand disease outcomes and prognosis. (2017). Liver Research.Kersten C.A et al.</t>
  </si>
  <si>
    <t>Fibrolamellar hepatocellular carcinoma: Exploring molecular mechanisms and differentiation pathways to better understand disease outcomes and prognosis. (2018). Liver Research.Kersten C.A et al.</t>
  </si>
  <si>
    <t>Protein kinase A alterations in endocrine tumors. (2012). Hormone and metabolic research = Hormon- und Stoffwechselforschung = Hormones et métabolisme.Yu B et al.</t>
  </si>
  <si>
    <t>A case of Carney complex misdiagnosed as neurofibromatosis type 1 - Diagnostic difficulty in a rare disease. (2017). Human Pathology: Case Reports.Tsukamoto Y et al.</t>
  </si>
  <si>
    <t>Genetic Aspects of Pituitary Adenomas. (2017). Endocrinology and Metabolism Clinics of North America.Marques P,Korbonits M.</t>
  </si>
  <si>
    <t>The transcriptome that mediates increased cyclic adenosine monophosphate signaling in PRKAR1A defects and other settings. (2013). Endocrine practice : official journal of the American College of Endocrinology and the American Association of Clinical Endocrinologists.Azevedo Monalisa F,Stratakis Constantine A.</t>
  </si>
  <si>
    <t>Genetics of micronodular adrenal hyperplasia and Carney complex. (2018). Presse medicale (Paris, France : 1983).Tirosh Amit,Valdés Nuria,Stratakis Constantine A.</t>
  </si>
  <si>
    <t>Clinical and molecular genetics of Carney complex. (2003). Molecular genetics and metabolism.Sandrini Fabiano,Stratakis Constantine.</t>
  </si>
  <si>
    <t>Systematic screening for PRKAR1A gene rearrangement in Carney complex: identification and functional characterization of a new in-frame deletion. (2016). European journal of endocrinology / European Federation of Endocrine Societies.Guillaud Bataille M et al.</t>
  </si>
  <si>
    <t>Association of Carney Complex with an Intronic Splice Site Mutation in the PRKAR1A Gene. (2016). Hormone and metabolic research = Hormon- und Stoffwechselforschung = Hormones et metabolisme.Guo H et al.</t>
  </si>
  <si>
    <t>Clinicopathologic features of familial pituitary adenomas. (2016). Diagnostic Histopathology.Syro L.V et al.</t>
  </si>
  <si>
    <t>Differential role of PKA catalytic subunits in mediating phenotypes caused by knockout of the Carney complex gene Prkar1a. (2011). Molecular endocrinology (Baltimore, Md.).Yin Zhirong et al.</t>
  </si>
  <si>
    <t>A Gene-Based Classification of Primary Adrenocortical Hyperplasias. (2020). Hormone and metabolic research = Hormon- und Stoffwechselforschung = Hormones et metabolisme.Hannah-Shmouni Fady,Stratakis Constantine A.</t>
  </si>
  <si>
    <t>Carney complex and McCune Albright syndrome: an overview of clinical manifestations and human molecular genetics. (2014). Molecular and cellular endocrinology.Salpea Paraskevi,Stratakis Constantine A.</t>
  </si>
  <si>
    <t>An update on adrenal endocrinology: significant discoveries in the last 10 years and where the field is heading in the next decade. (2018). Hormones (Athens, Greece).Kamilaris Crystal D C,Stratakis Constantine A.</t>
  </si>
  <si>
    <t>Phosphodiesterases in endocrine physiology and disease. (2011). European journal of endocrinology / European Federation of Endocrine Societies.Vezzosi Delphine,Bertherat Jérôme.</t>
  </si>
  <si>
    <t>Recurrent right ventricular cardiac myxoma in a patient with Carney complex: a case report. (2014). Journal of medical case reports.Sardar Muhammad Rizwan et al.</t>
  </si>
  <si>
    <t>A novel PRKAR1A mutation associated with primary pigmented nodular adrenocortical disease and the Carney complex. (2010). Endocrine practice : official journal of the American College of Endocrinology and the American Association of Clinical Endocrinologists.Peck Marcia C et al.</t>
  </si>
  <si>
    <t>Pathway‐based personalized analysis of breast cancer expression data. (2015). Molecular oncology.Livshits Anna et al.</t>
  </si>
  <si>
    <t>Novel role for perinatal myosin in skeletal muscle development. (2013). FASEB Journal.Charitakis K et al.</t>
  </si>
  <si>
    <t>cAMP/protein kinase A signalling pathway and adrenocortical adenomas. (2019). Current Opinion in Endocrine and Metabolic Research.Ronchi C.L.</t>
  </si>
  <si>
    <t>Abnormal Activation of BMP Signaling Causes Myopathy in Fbn2 Null Mice. (2015). PLoS genetics.Sengle Gerhard et al.</t>
  </si>
  <si>
    <t>Molecular markers in pituitary tumors. (2016). Current opinion in endocrinology, diabetes, and obesity.Robertson Asha M,Heaney Anthony P.</t>
  </si>
  <si>
    <t>The Role of Genetic and Epigenetic Changes in Pituitary Tumorigenesis. (2014). Neurologia Medico-Chirurgica.Fukuoka Hidenori,Takahashi Yutaka.</t>
  </si>
  <si>
    <t>A novel PRKAR1A mutation in Korean Carney complex family. (2012). Experimental and clinical endocrinology &amp; diabetes : official journal, German Society of Endocrinology [and] German Diabetes Association.Rhee S Y et al.</t>
  </si>
  <si>
    <t>Hyperplasia-adenoma sequence in pituitary tumorigenesis related to aryl hydrocarbon receptor interacting protein gene mutation. (2011). Endocrine-related cancer.Villa Chiara et al.</t>
  </si>
  <si>
    <t>Carney complex and other conditions associated with micronodular adrenal hyperplasias. (2010). Best practice &amp; research. Clinical endocrinology &amp; metabolism.Almeida Madson Q,Stratakis Constantine A.</t>
  </si>
  <si>
    <t>EJE AWARD 2020: Signalling by G protein coupled receptors: why space and time matter. (2020). European Journal of Endocrinology.Calebiro Davide.</t>
  </si>
  <si>
    <t>Genetics of gigantism and acromegaly. (2016). Growth hormone &amp; IGF research : official journal of the Growth Hormone Research Society and the International IGF Research Society.Hannah-Shmouni Fady,Trivellin Giampaolo,Stratakis Constantine A.</t>
  </si>
  <si>
    <t>Surgical Management of Carney Complex-Associated Pituitary Pathology. (2017). Neurosurgery.Lonser Russell R et al.</t>
  </si>
  <si>
    <t>Harvey Cushing Treated the First Known Patient With Carney Complex. (2017). Journal of the Endocrine Society.Tsay Cynthia J et al.</t>
  </si>
  <si>
    <t>Gynecomastia. (2007). Endocrinology and metabolism clinics of North America.Narula Harmeet Singh,Carlson Harold E.</t>
  </si>
  <si>
    <t>Carney complex review: Genetic features. (2018). Endocrinología, Diabetes y Nutrición (English ed.).Bosco Schamun M.B et al.</t>
  </si>
  <si>
    <t>[Carney complex]. (2011). Ceskoslovenská patologie.Kacerovská D et al.</t>
  </si>
  <si>
    <t>A NOVEL ROLE OF PERINATAL MYOSIN IN CARDIAC AND SCELETAL MUSCLE DEVELOPMENT. (2012). Journal of the American College of Cardiology.Charitakis K et al.</t>
  </si>
  <si>
    <t>The Genetics of Pituitary Adenomas. (2019). Journal of clinical medicine.Tatsi Christina,Stratakis Constantine A.</t>
  </si>
  <si>
    <t>Carney complex review: Genetic features. (2018). Endocrinologia, diabetes y nutricion.Bosco Schamun María Belén et al.</t>
  </si>
  <si>
    <t>Clinical and molecular genetics of Carney complex. (2010). Best practice &amp; research. Clinical endocrinology &amp; metabolism.Rothenbuhler Anya,Stratakis Constantine A.</t>
  </si>
  <si>
    <t>The natural history and treatment of non-functioning pituitary adenomas (non-functioning PitNETs). (2020). Endocrine-Related Cancer.Yavropoulou Maria et al.</t>
  </si>
  <si>
    <t>BAP1 mutations define a homogeneous subgroup of hepatocellular carcinoma with fibrolamellar-like features and activated PKA. (2019). Journal of Hepatology.Hirsch Théo Z et al.</t>
  </si>
  <si>
    <t>Large cell calcifying Sertoli cell tumor: a clinicopathologic study of 1 malignant and 3 benign tumors using histomorphology, immunohistochemistry, ultrastructure, comparative genomic hybridization, and polymerase chain reaction analysis of the PRKAR1A gene. (2010). Human pathology.Petersson Fredrik et al.</t>
  </si>
  <si>
    <t>WNT pathway deregulation in adrenal cortex tumorigenesis. (2019). Current Opinion in Endocrine and Metabolic Research.Wilmouth J et al.</t>
  </si>
  <si>
    <t>"patients can have as many gene variants as they damn well please": why contemporary genetics presents us daily with a version of Hickam's dictum. (2012). The Journal of clinical endocrinology and metabolism.Stratakis Constantine A.</t>
  </si>
  <si>
    <t>PRKAR1A and the evolution of pituitary tumors. (2010). Molecular and cellular endocrinology.Kirschner Lawrence S.</t>
  </si>
  <si>
    <t>FGFR4 polymorphic alleles modulate mitochondrial respiration: A novel target for somatostatin analog action in pituitary tumors. (2016). Oncotarget.Ezzat Shereen et al.</t>
  </si>
  <si>
    <t>How does cAMP/protein kinase A signaling lead to tumors in the adrenal cortex and other tissues?. (2011). Molecular and cellular endocrinology.Almeida Madson Q,Stratakis Constantine A.</t>
  </si>
  <si>
    <t>Case Report: An Atypical Case of Carney Complex. (2021). The American journal of case reports.Khan Zulqarnain,Alkhatib Hani,Ramani Gautam V.</t>
  </si>
  <si>
    <t>Inhibitory effect of atorvastatin on the cell growth of cardiac myxomas via the PTEN and PHLPP2 phosphatase signaling pathway. (2013). Oncology reports.Wu Xing-Li et al.</t>
  </si>
  <si>
    <t>Carney Complex: A Rare Case of Multicentric Cardiac Myxoma Associated with Endocrinopathy. (2018). Case reports in cardiology.Saleh Yehia et al.</t>
  </si>
  <si>
    <t>Pancreatic ductal and acinar cell neoplasms in Carney complex: a possible new association. (2011). The Journal of clinical endocrinology and metabolism.Gaujoux Sébastien et al.</t>
  </si>
  <si>
    <t>Visualization and bibliometric analysis of cAMP signaling system research trends and hotspots in cancer. (2021). Journal of Cancer.Tang Caoli et al.</t>
  </si>
  <si>
    <t>71157436</t>
  </si>
  <si>
    <t>Relevance</t>
  </si>
  <si>
    <t>indomethacin</t>
  </si>
  <si>
    <t>erlotinib</t>
  </si>
  <si>
    <t>celecoxib</t>
  </si>
  <si>
    <t>pegvisomant</t>
  </si>
  <si>
    <t>suramin</t>
  </si>
  <si>
    <t>naproxen</t>
  </si>
  <si>
    <t>raloxifene</t>
  </si>
  <si>
    <t>rapamycin</t>
  </si>
  <si>
    <t>leuprolide</t>
  </si>
  <si>
    <t>lanreotide</t>
  </si>
  <si>
    <t>lidocaine</t>
  </si>
  <si>
    <t>doxazosin</t>
  </si>
  <si>
    <t>hydralazine</t>
  </si>
  <si>
    <t>cetrorelix</t>
  </si>
  <si>
    <t>meloxicam</t>
  </si>
  <si>
    <t>octreotide</t>
  </si>
  <si>
    <t>flutamide</t>
  </si>
  <si>
    <t>nordihydroguaiaretic acid</t>
  </si>
  <si>
    <t>atropine</t>
  </si>
  <si>
    <t>lapatinib</t>
  </si>
  <si>
    <t>betamethasone</t>
  </si>
  <si>
    <t>nifedipine</t>
  </si>
  <si>
    <t>N-acetylcysteine</t>
  </si>
  <si>
    <t>enzalutamide</t>
  </si>
  <si>
    <t>mifepristone</t>
  </si>
  <si>
    <t>bergapten</t>
  </si>
  <si>
    <t>nimesulide</t>
  </si>
  <si>
    <t>fluticasone propionate</t>
  </si>
  <si>
    <t>sulfanilamide</t>
  </si>
  <si>
    <t>cyclothiazide</t>
  </si>
  <si>
    <t>enalapril</t>
  </si>
  <si>
    <t>mithramycin</t>
  </si>
  <si>
    <t>verapamil</t>
  </si>
  <si>
    <t>ketoconazole</t>
  </si>
  <si>
    <t>clomiphene</t>
  </si>
  <si>
    <t>fulvestrant</t>
  </si>
  <si>
    <t>bicalutamide</t>
  </si>
  <si>
    <t>ritonavir</t>
  </si>
  <si>
    <t>methylphenidate</t>
  </si>
  <si>
    <t>actinomycin D</t>
  </si>
  <si>
    <t>tolbutamide</t>
  </si>
  <si>
    <t>pasireotide</t>
  </si>
  <si>
    <t>cabergoline</t>
  </si>
  <si>
    <t>propranolol</t>
  </si>
  <si>
    <t>RC-160</t>
  </si>
  <si>
    <t>quinagolide</t>
  </si>
  <si>
    <t>ospemifene</t>
  </si>
  <si>
    <t>toremifene</t>
  </si>
  <si>
    <t>levonorgestrel</t>
  </si>
  <si>
    <t>doxorubicin</t>
  </si>
  <si>
    <t>propofol</t>
  </si>
  <si>
    <t>trifluoperazine</t>
  </si>
  <si>
    <t>carbamazepine</t>
  </si>
  <si>
    <t>emetine</t>
  </si>
  <si>
    <t>ramipril</t>
  </si>
  <si>
    <t>danazol</t>
  </si>
  <si>
    <t>vorinostat</t>
  </si>
  <si>
    <t>valproic acid</t>
  </si>
  <si>
    <t>atenolol</t>
  </si>
  <si>
    <t>temsirolimus</t>
  </si>
  <si>
    <t>prazosin</t>
  </si>
  <si>
    <t>irbesartan</t>
  </si>
  <si>
    <t>olmesartan</t>
  </si>
  <si>
    <t>streptozotocin</t>
  </si>
  <si>
    <t>metformin</t>
  </si>
  <si>
    <t>isotretinoin</t>
  </si>
  <si>
    <t>mebendazole</t>
  </si>
  <si>
    <t>sulindac</t>
  </si>
  <si>
    <t>acarbose</t>
  </si>
  <si>
    <t>auranofin</t>
  </si>
  <si>
    <t>zidovudine</t>
  </si>
  <si>
    <t>triamcinolone</t>
  </si>
  <si>
    <t>bezafibrate</t>
  </si>
  <si>
    <t>azithromycin</t>
  </si>
  <si>
    <t>insulin glargine</t>
  </si>
  <si>
    <t>vildagliptin</t>
  </si>
  <si>
    <t>cerivastatin</t>
  </si>
  <si>
    <t>saxagliptin</t>
  </si>
  <si>
    <t>octyl methoxycinnamate</t>
  </si>
  <si>
    <t>anecortave acetate</t>
  </si>
  <si>
    <t>amikacin</t>
  </si>
  <si>
    <t>NPH insulin</t>
  </si>
  <si>
    <t>telenzepine</t>
  </si>
  <si>
    <t>beclomethasone dipropionate</t>
  </si>
  <si>
    <t>AL1576</t>
  </si>
  <si>
    <t>clotrimazole</t>
  </si>
  <si>
    <t>pirfenidone</t>
  </si>
  <si>
    <t>acetylcholine</t>
  </si>
  <si>
    <t>ethinyl estradiol</t>
  </si>
  <si>
    <t>retinoic acid</t>
  </si>
  <si>
    <t>5-fluorouracil</t>
  </si>
  <si>
    <t>bupivacaine</t>
  </si>
  <si>
    <t>diazepam</t>
  </si>
  <si>
    <t>flufenamic acid</t>
  </si>
  <si>
    <t>exenatide</t>
  </si>
  <si>
    <t>simvastatin</t>
  </si>
  <si>
    <t>niclosamide</t>
  </si>
  <si>
    <t>itraconazole</t>
  </si>
  <si>
    <t>niacin</t>
  </si>
  <si>
    <t>metoprolol</t>
  </si>
  <si>
    <t>stanozolol</t>
  </si>
  <si>
    <t>clofibrate</t>
  </si>
  <si>
    <t>phenformin</t>
  </si>
  <si>
    <t>digoxin</t>
  </si>
  <si>
    <t>levetiracetam</t>
  </si>
  <si>
    <t>ciglitazone</t>
  </si>
  <si>
    <t>acyclovir</t>
  </si>
  <si>
    <t>moxonidine</t>
  </si>
  <si>
    <t>mefloquine</t>
  </si>
  <si>
    <t>glibenclamide</t>
  </si>
  <si>
    <t>levamisole</t>
  </si>
  <si>
    <t>tannic acid</t>
  </si>
  <si>
    <t>nimodipine</t>
  </si>
  <si>
    <t>salicylic acid</t>
  </si>
  <si>
    <t>moxifloxacin</t>
  </si>
  <si>
    <t>icatibant</t>
  </si>
  <si>
    <t>ranitidine</t>
  </si>
  <si>
    <t>chloramphenicol</t>
  </si>
  <si>
    <t>D-cycloserine</t>
  </si>
  <si>
    <t>foscarnet</t>
  </si>
  <si>
    <t>zafirlukast</t>
  </si>
  <si>
    <t>pentosan polysulfate</t>
  </si>
  <si>
    <t>resorcinol</t>
  </si>
  <si>
    <t>amrinone</t>
  </si>
  <si>
    <t>pyrilamine</t>
  </si>
  <si>
    <t>penciclovir</t>
  </si>
  <si>
    <t>artemisinic acid</t>
  </si>
  <si>
    <t>acamprosate</t>
  </si>
  <si>
    <t>halofantrine</t>
  </si>
  <si>
    <t>benoxaprofen</t>
  </si>
  <si>
    <t>melatonin</t>
  </si>
  <si>
    <t>temozolomide</t>
  </si>
  <si>
    <t>estradiol</t>
  </si>
  <si>
    <t>bromocriptine</t>
  </si>
  <si>
    <t>verteporfin</t>
  </si>
  <si>
    <t>denosumab</t>
  </si>
  <si>
    <t>fenofibrate</t>
  </si>
  <si>
    <t>captopril</t>
  </si>
  <si>
    <t>miconazole</t>
  </si>
  <si>
    <t>testolactone</t>
  </si>
  <si>
    <t>econazole</t>
  </si>
  <si>
    <t>ganciclovir</t>
  </si>
  <si>
    <t>imazalil</t>
  </si>
  <si>
    <t>omeprazole</t>
  </si>
  <si>
    <t>spironolactone</t>
  </si>
  <si>
    <t>mianserin</t>
  </si>
  <si>
    <t>nefopam</t>
  </si>
  <si>
    <t>amitriptyline</t>
  </si>
  <si>
    <t>dantrolene</t>
  </si>
  <si>
    <t>loperamide</t>
  </si>
  <si>
    <t>amoxapine</t>
  </si>
  <si>
    <t>malathion</t>
  </si>
  <si>
    <t>disulfiram</t>
  </si>
  <si>
    <t>sertraline</t>
  </si>
  <si>
    <t>hydroquinone</t>
  </si>
  <si>
    <t>anastrozole</t>
  </si>
  <si>
    <t>estradiol valerate</t>
  </si>
  <si>
    <t>minocycline</t>
  </si>
  <si>
    <t>regorafenib</t>
  </si>
  <si>
    <t>paricalcitol</t>
  </si>
  <si>
    <t>irinotecan</t>
  </si>
  <si>
    <t>axitinib</t>
  </si>
  <si>
    <t>prednisolone</t>
  </si>
  <si>
    <t>dihydroartemisinin</t>
  </si>
  <si>
    <t>artemisinin</t>
  </si>
  <si>
    <t>etanercept</t>
  </si>
  <si>
    <t>metyrapone</t>
  </si>
  <si>
    <t>nilotinib</t>
  </si>
  <si>
    <t>bexarotene</t>
  </si>
  <si>
    <t>rofecoxib</t>
  </si>
  <si>
    <t>orlistat</t>
  </si>
  <si>
    <t>thalidomide</t>
  </si>
  <si>
    <t>nicotine</t>
  </si>
  <si>
    <t>biotin</t>
  </si>
  <si>
    <t>ribavirin</t>
  </si>
  <si>
    <t>bosentan</t>
  </si>
  <si>
    <t>6-thioguanine</t>
  </si>
  <si>
    <t>miltefosine</t>
  </si>
  <si>
    <t>leflunomide</t>
  </si>
  <si>
    <t>diclofenac</t>
  </si>
  <si>
    <t>Tris</t>
  </si>
  <si>
    <t>troglitazone</t>
  </si>
  <si>
    <t>diazoxide</t>
  </si>
  <si>
    <t>methyltestosterone</t>
  </si>
  <si>
    <t>guanabenz</t>
  </si>
  <si>
    <t>homoharringtonine</t>
  </si>
  <si>
    <t>piroxicam</t>
  </si>
  <si>
    <t>etodolac</t>
  </si>
  <si>
    <t>albendazole</t>
  </si>
  <si>
    <t>5-aminosalicylic acid</t>
  </si>
  <si>
    <t>thioridazine</t>
  </si>
  <si>
    <t>aclarubicin</t>
  </si>
  <si>
    <t>tigecycline</t>
  </si>
  <si>
    <t>tolfenamic acid</t>
  </si>
  <si>
    <t>pantoprazole</t>
  </si>
  <si>
    <t>pomalidomide</t>
  </si>
  <si>
    <t>recombinant human BMP-2</t>
  </si>
  <si>
    <t>flubendazole</t>
  </si>
  <si>
    <t>ulipristal</t>
  </si>
  <si>
    <t>pyrvinium</t>
  </si>
  <si>
    <t>novobiocin</t>
  </si>
  <si>
    <t>dutasteride</t>
  </si>
  <si>
    <t>natalizumab</t>
  </si>
  <si>
    <t>nitazoxanide</t>
  </si>
  <si>
    <t>tropisetron</t>
  </si>
  <si>
    <t>streptomycin</t>
  </si>
  <si>
    <t>ciclopirox</t>
  </si>
  <si>
    <t>FeSO4</t>
  </si>
  <si>
    <t>ruboxistaurin</t>
  </si>
  <si>
    <t>nystatin</t>
  </si>
  <si>
    <t>rifabutin</t>
  </si>
  <si>
    <t>nabumetone</t>
  </si>
  <si>
    <t>entacapone</t>
  </si>
  <si>
    <t>methazolamide</t>
  </si>
  <si>
    <t>hexachlorophene</t>
  </si>
  <si>
    <t>fidarestat</t>
  </si>
  <si>
    <t>benztropine</t>
  </si>
  <si>
    <t>lumefantrine</t>
  </si>
  <si>
    <t>chlorquinaldol</t>
  </si>
  <si>
    <t>carprofen</t>
  </si>
  <si>
    <t>trastuzumab</t>
  </si>
  <si>
    <t>bevacizumab</t>
  </si>
  <si>
    <t>goserelin</t>
  </si>
  <si>
    <t>vincristine</t>
  </si>
  <si>
    <t>docetaxel</t>
  </si>
  <si>
    <t>vismodegib</t>
  </si>
  <si>
    <t>nadolol</t>
  </si>
  <si>
    <t>sotalol</t>
  </si>
  <si>
    <t>isoflurane</t>
  </si>
  <si>
    <t>sorafenib</t>
  </si>
  <si>
    <t>phenytoin</t>
  </si>
  <si>
    <t>busulfan</t>
  </si>
  <si>
    <t>tocilizumab</t>
  </si>
  <si>
    <t>exemestane</t>
  </si>
  <si>
    <t>lamotrigine</t>
  </si>
  <si>
    <t>oxcarbazepine</t>
  </si>
  <si>
    <t>tranylcypromine</t>
  </si>
  <si>
    <t>oxybenzone</t>
  </si>
  <si>
    <t>nilutamide</t>
  </si>
  <si>
    <t>niflumic acid</t>
  </si>
  <si>
    <t>dydrogesterone</t>
  </si>
  <si>
    <t>ethyl chloride</t>
  </si>
  <si>
    <t>[ 3 H ]tiagabine</t>
  </si>
  <si>
    <t>isoconazole</t>
  </si>
  <si>
    <t>cytarabine</t>
  </si>
  <si>
    <t>methamphetamine</t>
  </si>
  <si>
    <t>buserelin</t>
  </si>
  <si>
    <t>polyethylene glycol</t>
  </si>
  <si>
    <t>cimetidine</t>
  </si>
  <si>
    <t>imipramine</t>
  </si>
  <si>
    <t>pimozide</t>
  </si>
  <si>
    <t>pyridostigmine</t>
  </si>
  <si>
    <t>quetiapine</t>
  </si>
  <si>
    <t>carvedilol</t>
  </si>
  <si>
    <t>benzoyl peroxide</t>
  </si>
  <si>
    <t>carboplatin</t>
  </si>
  <si>
    <t>cetuximab</t>
  </si>
  <si>
    <t>chloroquine</t>
  </si>
  <si>
    <t>lovastatin</t>
  </si>
  <si>
    <t>buprenorphine</t>
  </si>
  <si>
    <t>pyridoxine</t>
  </si>
  <si>
    <t>atovaquone</t>
  </si>
  <si>
    <t>pentazocine</t>
  </si>
  <si>
    <t>pizotifen</t>
  </si>
  <si>
    <t>ticagrelor</t>
  </si>
  <si>
    <t>diethylstilbestrol</t>
  </si>
  <si>
    <t>salmon calcitonin</t>
  </si>
  <si>
    <t>isradipine</t>
  </si>
  <si>
    <t>tadalafil</t>
  </si>
  <si>
    <t>atosiban</t>
  </si>
  <si>
    <t>salbutamol</t>
  </si>
  <si>
    <t>nitrendipine</t>
  </si>
  <si>
    <t>ketanserin</t>
  </si>
  <si>
    <t>methylene blue</t>
  </si>
  <si>
    <t>green tea extract</t>
  </si>
  <si>
    <t>naloxone</t>
  </si>
  <si>
    <t>glycerol</t>
  </si>
  <si>
    <t>nelfinavir</t>
  </si>
  <si>
    <t>dexmedetomidine</t>
  </si>
  <si>
    <t>rifampicin</t>
  </si>
  <si>
    <t>phenoxybenzamine</t>
  </si>
  <si>
    <t>guanethidine</t>
  </si>
  <si>
    <t>selegiline</t>
  </si>
  <si>
    <t>MK 486</t>
  </si>
  <si>
    <t>cyproheptadine</t>
  </si>
  <si>
    <t>bumetanide</t>
  </si>
  <si>
    <t>chlormethiazole</t>
  </si>
  <si>
    <t>mirtazapine</t>
  </si>
  <si>
    <t>flunarizine</t>
  </si>
  <si>
    <t>diphenhydramine</t>
  </si>
  <si>
    <t>oxymetazoline</t>
  </si>
  <si>
    <t>lysine vasopressin</t>
  </si>
  <si>
    <t>dextromethorphan</t>
  </si>
  <si>
    <t>clonazepam</t>
  </si>
  <si>
    <t>lisuride</t>
  </si>
  <si>
    <t>terguride</t>
  </si>
  <si>
    <t>ritanserin</t>
  </si>
  <si>
    <t>pyrazinamide</t>
  </si>
  <si>
    <t>methoxyflurane</t>
  </si>
  <si>
    <t>rotigotine</t>
  </si>
  <si>
    <t>iprindole</t>
  </si>
  <si>
    <t>ibopamine</t>
  </si>
  <si>
    <t>diisopropylfluorophosphate</t>
  </si>
  <si>
    <t>clobazam</t>
  </si>
  <si>
    <t>apraclonidine</t>
  </si>
  <si>
    <t>progabide</t>
  </si>
  <si>
    <t>pramipexole</t>
  </si>
  <si>
    <t>piribedil</t>
  </si>
  <si>
    <t>para-aminosalicylic acid</t>
  </si>
  <si>
    <t>n-docosanol</t>
  </si>
  <si>
    <t>doxepin</t>
  </si>
  <si>
    <t>cyclofenil</t>
  </si>
  <si>
    <t>bromocriptine mesilate</t>
  </si>
  <si>
    <t>ketamine</t>
  </si>
  <si>
    <t>duloxetine</t>
  </si>
  <si>
    <t>gestodene</t>
  </si>
  <si>
    <t>fluvoxamine</t>
  </si>
  <si>
    <t>oxaliplatin</t>
  </si>
  <si>
    <t>tamoxifen</t>
  </si>
  <si>
    <t>lansoprazole</t>
  </si>
  <si>
    <t>podophyllotoxin</t>
  </si>
  <si>
    <t>gemcitabine</t>
  </si>
  <si>
    <t>indinavir</t>
  </si>
  <si>
    <t>calcipotriol</t>
  </si>
  <si>
    <t>PGF2a</t>
  </si>
  <si>
    <t>vardenafil</t>
  </si>
  <si>
    <t>finasteride</t>
  </si>
  <si>
    <t>etomidate</t>
  </si>
  <si>
    <t>pergolide</t>
  </si>
  <si>
    <t>methysergide</t>
  </si>
  <si>
    <t>mazindol</t>
  </si>
  <si>
    <t>antide</t>
  </si>
  <si>
    <t>ergotamine tartrate</t>
  </si>
  <si>
    <t>antiandrogen</t>
  </si>
  <si>
    <t>quinidine</t>
  </si>
  <si>
    <t>mesulergine</t>
  </si>
  <si>
    <t>pentaerythritol tetranitrate</t>
  </si>
  <si>
    <t>antithyroid drug</t>
  </si>
  <si>
    <t>deferoxamine</t>
  </si>
  <si>
    <t>ruxolitinib</t>
  </si>
  <si>
    <t>daunorubicin</t>
  </si>
  <si>
    <t>ACE inhibitors</t>
  </si>
  <si>
    <t>pindolol</t>
  </si>
  <si>
    <t>corticosteroid</t>
  </si>
  <si>
    <t>vitamins</t>
  </si>
  <si>
    <t>laxatives</t>
  </si>
  <si>
    <t>hypoglycemic agents</t>
  </si>
  <si>
    <t>Triton</t>
  </si>
  <si>
    <t>naltrexone</t>
  </si>
  <si>
    <t>antagonist</t>
  </si>
  <si>
    <t>agonist</t>
  </si>
  <si>
    <t>PKA,PRKACA</t>
  </si>
  <si>
    <t>CYP19A1,CTNNB1,IGF1,PRL</t>
  </si>
  <si>
    <t>CYP19A1,CTNNB1</t>
  </si>
  <si>
    <t>CTNNB1,IGF1</t>
  </si>
  <si>
    <t>CYP19A1,CTNNB1,IGF1,PRL,WNT4</t>
  </si>
  <si>
    <t>CYP19A1,PKA,IGF1,PRL</t>
  </si>
  <si>
    <t>PKA,CTNNB1,IGF1</t>
  </si>
  <si>
    <t>CYP19A1,IGF1</t>
  </si>
  <si>
    <t>PKA,IGF1,PRL</t>
  </si>
  <si>
    <t>PKA,CTNNB1,IGF1,PRL</t>
  </si>
  <si>
    <t>PKA,IGF1</t>
  </si>
  <si>
    <t>CYP19A1,CTNNB1,IGF1</t>
  </si>
  <si>
    <t>CTNNB1,IGF1,PRL</t>
  </si>
  <si>
    <t>CYP19A1,IGF1,PRL</t>
  </si>
  <si>
    <t>CYP19A1,PKA,CTNNB1</t>
  </si>
  <si>
    <t>CYP19A1,PKA,CTNNB1,IGF1,PRL,WNT4</t>
  </si>
  <si>
    <t>PKA,CTNNB1,PRL</t>
  </si>
  <si>
    <t>IGF1,PRL</t>
  </si>
  <si>
    <t>PKA,CTNNB1,IGF1,PKA-I</t>
  </si>
  <si>
    <t>CTNNB1,PRL</t>
  </si>
  <si>
    <t>PKA,CTNNB1</t>
  </si>
  <si>
    <t>CYP19A1,PRL</t>
  </si>
  <si>
    <t>CYP19A1,PKA</t>
  </si>
  <si>
    <t>CYP19A1,PKA,CTNNB1,IGF1,PRL</t>
  </si>
  <si>
    <t>IGF1,PKA-I</t>
  </si>
  <si>
    <t>PKA,PRL</t>
  </si>
  <si>
    <t>CTNNB1,IGF1,WNT4</t>
  </si>
  <si>
    <t>CYP19A1,CTNNB1,WNT4</t>
  </si>
  <si>
    <t>CYP19A1,PKA,CTNNB1,PRL</t>
  </si>
  <si>
    <t>IGF1,PRL,WNT4</t>
  </si>
  <si>
    <t>CYP19A1,IGF1,PRL,MC1R</t>
  </si>
  <si>
    <t>CTNNB1,WNT4</t>
  </si>
  <si>
    <t>CYP19A1,MC1R</t>
  </si>
  <si>
    <t>CYP19A1,PKA,IGF1</t>
  </si>
  <si>
    <t>1.006</t>
  </si>
  <si>
    <t>0.824</t>
  </si>
  <si>
    <t>0.820</t>
  </si>
  <si>
    <t>0.745</t>
  </si>
  <si>
    <t>0.667</t>
  </si>
  <si>
    <t>0.649</t>
  </si>
  <si>
    <t>0.643</t>
  </si>
  <si>
    <t>0.623</t>
  </si>
  <si>
    <t>0.618</t>
  </si>
  <si>
    <t>0.589</t>
  </si>
  <si>
    <t>0.582</t>
  </si>
  <si>
    <t>0.573</t>
  </si>
  <si>
    <t>0.549</t>
  </si>
  <si>
    <t>0.537</t>
  </si>
  <si>
    <t>0.524</t>
  </si>
  <si>
    <t>0.522</t>
  </si>
  <si>
    <t>0.507</t>
  </si>
  <si>
    <t>0.485</t>
  </si>
  <si>
    <t>0.481</t>
  </si>
  <si>
    <t>0.480</t>
  </si>
  <si>
    <t>0.463</t>
  </si>
  <si>
    <t>0.453</t>
  </si>
  <si>
    <t>0.451</t>
  </si>
  <si>
    <t>0.449</t>
  </si>
  <si>
    <t>0.438</t>
  </si>
  <si>
    <t>0.437</t>
  </si>
  <si>
    <t>0.431</t>
  </si>
  <si>
    <t>0.427</t>
  </si>
  <si>
    <t>0.420</t>
  </si>
  <si>
    <t>0.419</t>
  </si>
  <si>
    <t>0.411</t>
  </si>
  <si>
    <t>0.408</t>
  </si>
  <si>
    <t>0.405</t>
  </si>
  <si>
    <t>0.403</t>
  </si>
  <si>
    <t>0.775</t>
  </si>
  <si>
    <t>0.387</t>
  </si>
  <si>
    <t>0.386</t>
  </si>
  <si>
    <t>0.379</t>
  </si>
  <si>
    <t>0.374</t>
  </si>
  <si>
    <t>0.372</t>
  </si>
  <si>
    <t>0.369</t>
  </si>
  <si>
    <t>0.368</t>
  </si>
  <si>
    <t>0.733</t>
  </si>
  <si>
    <t>0.359</t>
  </si>
  <si>
    <t>0.358</t>
  </si>
  <si>
    <t>0.357</t>
  </si>
  <si>
    <t>0.356</t>
  </si>
  <si>
    <t>0.352</t>
  </si>
  <si>
    <t>0.343</t>
  </si>
  <si>
    <t>0.334</t>
  </si>
  <si>
    <t>0.333</t>
  </si>
  <si>
    <t>0.331</t>
  </si>
  <si>
    <t>0.330</t>
  </si>
  <si>
    <t>0.323</t>
  </si>
  <si>
    <t>0.321</t>
  </si>
  <si>
    <t>0.320</t>
  </si>
  <si>
    <t>0.319</t>
  </si>
  <si>
    <t>0.317</t>
  </si>
  <si>
    <t>0.316</t>
  </si>
  <si>
    <t>0.315</t>
  </si>
  <si>
    <t>0.314</t>
  </si>
  <si>
    <t>0.312</t>
  </si>
  <si>
    <t>0.311</t>
  </si>
  <si>
    <t>0.310</t>
  </si>
  <si>
    <t>0.307</t>
  </si>
  <si>
    <t>0.306</t>
  </si>
  <si>
    <t>0.270</t>
  </si>
  <si>
    <t>0.267</t>
  </si>
  <si>
    <t>1.052</t>
  </si>
  <si>
    <t>0.261</t>
  </si>
  <si>
    <t>0.520</t>
  </si>
  <si>
    <t>0.259</t>
  </si>
  <si>
    <t>0.257</t>
  </si>
  <si>
    <t>0.252</t>
  </si>
  <si>
    <t>0.248</t>
  </si>
  <si>
    <t>0.244</t>
  </si>
  <si>
    <t>0.232</t>
  </si>
  <si>
    <t>0.225</t>
  </si>
  <si>
    <t>0.223</t>
  </si>
  <si>
    <t>0.218</t>
  </si>
  <si>
    <t>0.217</t>
  </si>
  <si>
    <t>0.216</t>
  </si>
  <si>
    <t>0.215</t>
  </si>
  <si>
    <t>0.214</t>
  </si>
  <si>
    <t>0.213</t>
  </si>
  <si>
    <t>0.639</t>
  </si>
  <si>
    <t>0.212</t>
  </si>
  <si>
    <t>0.422</t>
  </si>
  <si>
    <t>0.211</t>
  </si>
  <si>
    <t>0.210</t>
  </si>
  <si>
    <t>0.209</t>
  </si>
  <si>
    <t>0.208</t>
  </si>
  <si>
    <t>0.607</t>
  </si>
  <si>
    <t>0.392</t>
  </si>
  <si>
    <t>0.195</t>
  </si>
  <si>
    <t>0.191</t>
  </si>
  <si>
    <t>0.565</t>
  </si>
  <si>
    <t>0.186</t>
  </si>
  <si>
    <t>0.185</t>
  </si>
  <si>
    <t>0.184</t>
  </si>
  <si>
    <t>0.172</t>
  </si>
  <si>
    <t>0.340</t>
  </si>
  <si>
    <t>0.168</t>
  </si>
  <si>
    <t>0.165</t>
  </si>
  <si>
    <t>0.163</t>
  </si>
  <si>
    <t>0.162</t>
  </si>
  <si>
    <t>0.150</t>
  </si>
  <si>
    <t>0.147</t>
  </si>
  <si>
    <t>0.146</t>
  </si>
  <si>
    <t>0.143</t>
  </si>
  <si>
    <t>0.142</t>
  </si>
  <si>
    <t>0.140</t>
  </si>
  <si>
    <t>0.139</t>
  </si>
  <si>
    <t>0.137</t>
  </si>
  <si>
    <t>0.135</t>
  </si>
  <si>
    <t>0.133</t>
  </si>
  <si>
    <t>0.132</t>
  </si>
  <si>
    <t>0.131</t>
  </si>
  <si>
    <t>0.130</t>
  </si>
  <si>
    <t>0.129</t>
  </si>
  <si>
    <t>0.128</t>
  </si>
  <si>
    <t>0.127</t>
  </si>
  <si>
    <t>0.126</t>
  </si>
  <si>
    <t>0.251</t>
  </si>
  <si>
    <t>0.125</t>
  </si>
  <si>
    <t>0.124</t>
  </si>
  <si>
    <t>0.123</t>
  </si>
  <si>
    <t>0.122</t>
  </si>
  <si>
    <t>0.121</t>
  </si>
  <si>
    <t>0.120</t>
  </si>
  <si>
    <t>0.239</t>
  </si>
  <si>
    <t>0.235</t>
  </si>
  <si>
    <t>0.116</t>
  </si>
  <si>
    <t>0.115</t>
  </si>
  <si>
    <t>0.220</t>
  </si>
  <si>
    <t>0.105</t>
  </si>
  <si>
    <t>0.199</t>
  </si>
  <si>
    <t>0.098</t>
  </si>
  <si>
    <t>0.097</t>
  </si>
  <si>
    <t>0.187</t>
  </si>
  <si>
    <t>0.093</t>
  </si>
  <si>
    <t>0.092</t>
  </si>
  <si>
    <t>0.178</t>
  </si>
  <si>
    <t>0.173</t>
  </si>
  <si>
    <t>0.084</t>
  </si>
  <si>
    <t>0.079</t>
  </si>
  <si>
    <t>0.077</t>
  </si>
  <si>
    <t>0.076</t>
  </si>
  <si>
    <t>0.075</t>
  </si>
  <si>
    <t>0.222</t>
  </si>
  <si>
    <t>0.074</t>
  </si>
  <si>
    <t>0.144</t>
  </si>
  <si>
    <t>0.067</t>
  </si>
  <si>
    <t>0.064</t>
  </si>
  <si>
    <t>0.255</t>
  </si>
  <si>
    <t>0.062</t>
  </si>
  <si>
    <t>0.059</t>
  </si>
  <si>
    <t>0.054</t>
  </si>
  <si>
    <t>0.053</t>
  </si>
  <si>
    <t>0.051</t>
  </si>
  <si>
    <t>0.050</t>
  </si>
  <si>
    <t>0.049</t>
  </si>
  <si>
    <t>0.048</t>
  </si>
  <si>
    <t>0.045</t>
  </si>
  <si>
    <t>0.035</t>
  </si>
  <si>
    <t>0.031</t>
  </si>
  <si>
    <t>0.027</t>
  </si>
  <si>
    <t>0.026</t>
  </si>
  <si>
    <t>0.024</t>
  </si>
  <si>
    <t>0.284</t>
  </si>
  <si>
    <t>0.015</t>
  </si>
  <si>
    <t>0.010</t>
  </si>
  <si>
    <t>0.008</t>
  </si>
  <si>
    <t>0.011</t>
  </si>
  <si>
    <t>0.361</t>
  </si>
  <si>
    <t>0.003</t>
  </si>
  <si>
    <t>0.885</t>
  </si>
  <si>
    <t>0.620</t>
  </si>
  <si>
    <t>0.164</t>
  </si>
  <si>
    <t>0.260</t>
  </si>
  <si>
    <t>0.001</t>
  </si>
  <si>
    <t>0.388</t>
  </si>
  <si>
    <t>0.366</t>
  </si>
  <si>
    <t>0.263</t>
  </si>
  <si>
    <t>0.202</t>
  </si>
  <si>
    <t>0.196</t>
  </si>
  <si>
    <t>0.188</t>
  </si>
  <si>
    <t>0.170</t>
  </si>
  <si>
    <t>0.155</t>
  </si>
  <si>
    <t>0.117</t>
  </si>
  <si>
    <t>0.106</t>
  </si>
  <si>
    <t>0.099</t>
  </si>
  <si>
    <t>0.094</t>
  </si>
  <si>
    <t>0.089</t>
  </si>
  <si>
    <t>0.087</t>
  </si>
  <si>
    <t>0.086</t>
  </si>
  <si>
    <t>0.072</t>
  </si>
  <si>
    <t>0.068</t>
  </si>
  <si>
    <t>0.061</t>
  </si>
  <si>
    <t>0.060</t>
  </si>
  <si>
    <t>0.052</t>
  </si>
  <si>
    <t>0.046</t>
  </si>
  <si>
    <t>0.041</t>
  </si>
  <si>
    <t>0.019</t>
  </si>
  <si>
    <t>0.016</t>
  </si>
  <si>
    <t>0.013</t>
  </si>
  <si>
    <t>0.004</t>
  </si>
  <si>
    <t>0.002</t>
  </si>
  <si>
    <t>0.000</t>
  </si>
  <si>
    <t>Targets regulator score</t>
  </si>
  <si>
    <t>Effect on targets</t>
  </si>
  <si>
    <t>Direct targets</t>
  </si>
  <si>
    <t>Indirect targets</t>
  </si>
  <si>
    <t>RefCount to Carney Complex clinical trials</t>
  </si>
  <si>
    <t>RefCount to regulation of Carney Complex</t>
  </si>
  <si>
    <t>RefCount to Clinical parameters for Carney Complex</t>
  </si>
  <si>
    <t>RefCount to Cell processess affected by Carney Complex</t>
  </si>
</sst>
</file>

<file path=xl/styles.xml><?xml version="1.0" encoding="utf-8"?>
<styleSheet xmlns="http://schemas.openxmlformats.org/spreadsheetml/2006/main">
  <fonts count="3">
    <font>
      <sz val="11"/>
      <color theme="1"/>
      <name val="Calibri"/>
      <family val="2"/>
      <scheme val="minor"/>
    </font>
    <font>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12"/>
  <sheetViews>
    <sheetView tabSelected="1" workbookViewId="0"/>
  </sheetViews>
  <sheetFormatPr defaultRowHeight="15"/>
  <cols>
    <col min="17" max="17" width="20.7109375" style="1" customWidth="1"/>
    <col min="18" max="18" width="20.7109375" style="1" customWidth="1"/>
  </cols>
  <sheetData>
    <row r="1" spans="1:20" s="2" customFormat="1" ht="120" customHeight="1">
      <c r="A1" s="2" t="s">
        <v>45</v>
      </c>
      <c r="B1" s="2" t="s">
        <v>46</v>
      </c>
      <c r="C1" s="2" t="s">
        <v>47</v>
      </c>
      <c r="D1" s="2" t="s">
        <v>48</v>
      </c>
      <c r="E1" s="2" t="s">
        <v>49</v>
      </c>
      <c r="F1" s="2" t="s">
        <v>50</v>
      </c>
      <c r="G1" s="2" t="s">
        <v>51</v>
      </c>
      <c r="H1" s="2" t="s">
        <v>52</v>
      </c>
      <c r="I1" s="2" t="s">
        <v>53</v>
      </c>
      <c r="J1" s="2" t="s">
        <v>54</v>
      </c>
      <c r="K1" s="2" t="s">
        <v>55</v>
      </c>
      <c r="L1" s="2" t="s">
        <v>56</v>
      </c>
      <c r="M1" s="2" t="s">
        <v>57</v>
      </c>
      <c r="N1" s="2" t="s">
        <v>58</v>
      </c>
      <c r="O1" s="2" t="s">
        <v>59</v>
      </c>
      <c r="P1" s="2" t="s">
        <v>60</v>
      </c>
      <c r="Q1" s="2" t="s">
        <v>61</v>
      </c>
      <c r="R1" s="2" t="s">
        <v>62</v>
      </c>
      <c r="S1" s="2" t="s">
        <v>63</v>
      </c>
      <c r="T1" s="2" t="s">
        <v>64</v>
      </c>
    </row>
    <row r="2" spans="1:20">
      <c r="A2" t="s">
        <v>0</v>
      </c>
      <c r="B2" t="s">
        <v>11</v>
      </c>
      <c r="C2" t="s">
        <v>12</v>
      </c>
      <c r="D2" t="s">
        <v>13</v>
      </c>
      <c r="E2" t="s">
        <v>14</v>
      </c>
      <c r="F2" t="s">
        <v>15</v>
      </c>
      <c r="G2" t="s">
        <v>16</v>
      </c>
      <c r="Q2" s="1">
        <f>HYPERLINK("https://pubmed.ncbi.nlm.nih.gov/?term=32039305%2C30510946%2C33040851","18")</f>
        <v>0</v>
      </c>
      <c r="R2" s="1">
        <f>HYPERLINK("http://dx.doi.org/10.1016/j.livres.2017.12.011","10.1016/j.livres.2017.12.011;10.1016/j.livres.2017.12.003")</f>
        <v>0</v>
      </c>
    </row>
    <row r="3" spans="1:20">
      <c r="A3" t="s">
        <v>1</v>
      </c>
      <c r="B3">
        <v>0</v>
      </c>
      <c r="C3">
        <v>0</v>
      </c>
      <c r="D3">
        <v>1</v>
      </c>
      <c r="E3">
        <v>2</v>
      </c>
      <c r="F3">
        <v>925</v>
      </c>
      <c r="G3">
        <v>0</v>
      </c>
      <c r="H3">
        <v>0</v>
      </c>
      <c r="J3">
        <v>0</v>
      </c>
      <c r="K3" t="s">
        <v>17</v>
      </c>
      <c r="L3">
        <v>0</v>
      </c>
      <c r="M3">
        <v>0</v>
      </c>
      <c r="N3">
        <v>1</v>
      </c>
      <c r="O3" t="s">
        <v>22</v>
      </c>
      <c r="P3" t="s">
        <v>22</v>
      </c>
      <c r="Q3" s="1">
        <f>HYPERLINK("https://pubmed.ncbi.nlm.nih.gov/?term=24886234%2C27509071%2C23715723%2C20833331","6")</f>
        <v>0</v>
      </c>
      <c r="R3" s="1">
        <f>HYPERLINK("http://dx.doi.org/10.1016/j.ecl.2017.01.004","10.1016/j.ecl.2017.01.004")</f>
        <v>0</v>
      </c>
      <c r="T3" t="s">
        <v>36</v>
      </c>
    </row>
    <row r="4" spans="1:20">
      <c r="A4" t="s">
        <v>2</v>
      </c>
      <c r="B4">
        <v>24</v>
      </c>
      <c r="C4">
        <v>53</v>
      </c>
      <c r="D4">
        <v>3</v>
      </c>
      <c r="E4">
        <v>0</v>
      </c>
      <c r="F4">
        <v>178</v>
      </c>
      <c r="G4">
        <v>1924</v>
      </c>
      <c r="H4">
        <v>0</v>
      </c>
      <c r="J4">
        <v>0</v>
      </c>
      <c r="K4" t="s">
        <v>18</v>
      </c>
      <c r="L4">
        <v>0</v>
      </c>
      <c r="M4">
        <v>0</v>
      </c>
      <c r="N4">
        <v>4</v>
      </c>
      <c r="O4" t="s">
        <v>23</v>
      </c>
      <c r="P4" t="s">
        <v>32</v>
      </c>
      <c r="Q4" s="1">
        <f>HYPERLINK("https://pubmed.ncbi.nlm.nih.gov/?term=21454229%2C19833579%2C21852354","145")</f>
        <v>0</v>
      </c>
      <c r="R4" s="1">
        <f>HYPERLINK("http://dx.doi.org/10.1016/j.ehpc.2017.06.003","10.1016/j.ehpc.2017.06.003;10.1016/j.ecl.2017.01.004")</f>
        <v>0</v>
      </c>
      <c r="S4" t="s">
        <v>33</v>
      </c>
      <c r="T4" t="s">
        <v>37</v>
      </c>
    </row>
    <row r="5" spans="1:20">
      <c r="A5" t="s">
        <v>3</v>
      </c>
      <c r="B5">
        <v>7</v>
      </c>
      <c r="C5">
        <v>7</v>
      </c>
      <c r="D5">
        <v>0</v>
      </c>
      <c r="E5">
        <v>0</v>
      </c>
      <c r="F5">
        <v>13</v>
      </c>
      <c r="G5">
        <v>0</v>
      </c>
      <c r="H5">
        <v>0</v>
      </c>
      <c r="J5">
        <v>0</v>
      </c>
      <c r="L5">
        <v>0</v>
      </c>
      <c r="M5">
        <v>0</v>
      </c>
      <c r="N5">
        <v>1</v>
      </c>
      <c r="O5" t="s">
        <v>24</v>
      </c>
      <c r="P5" t="s">
        <v>24</v>
      </c>
      <c r="Q5" s="1">
        <f>HYPERLINK("https://pubmed.ncbi.nlm.nih.gov/?term=32215884%2C25963740%2C27657986","23")</f>
        <v>0</v>
      </c>
      <c r="R5" s="1">
        <f>HYPERLINK("http://dx.doi.org/10.1016/j.ehpc.2017.06.003","10.1016/j.ehpc.2017.06.003;10.1016/j.mpdhp.2016.02.004")</f>
        <v>0</v>
      </c>
    </row>
    <row r="6" spans="1:20">
      <c r="A6" t="s">
        <v>4</v>
      </c>
      <c r="B6">
        <v>1</v>
      </c>
      <c r="C6">
        <v>1</v>
      </c>
      <c r="D6">
        <v>0</v>
      </c>
      <c r="E6">
        <v>0</v>
      </c>
      <c r="F6">
        <v>1092</v>
      </c>
      <c r="G6">
        <v>0</v>
      </c>
      <c r="H6">
        <v>0</v>
      </c>
      <c r="J6">
        <v>0</v>
      </c>
      <c r="L6">
        <v>0</v>
      </c>
      <c r="M6">
        <v>0</v>
      </c>
      <c r="N6">
        <v>1</v>
      </c>
      <c r="O6" t="s">
        <v>25</v>
      </c>
      <c r="P6" t="s">
        <v>25</v>
      </c>
      <c r="Q6" s="1">
        <f>HYPERLINK("https://pubmed.ncbi.nlm.nih.gov/?term=24012779%2C21111774%2C21900385%2C21115159%2C22752956","5")</f>
        <v>0</v>
      </c>
      <c r="T6" t="s">
        <v>38</v>
      </c>
    </row>
    <row r="7" spans="1:20">
      <c r="A7" t="s">
        <v>5</v>
      </c>
      <c r="B7">
        <v>1</v>
      </c>
      <c r="C7">
        <v>0</v>
      </c>
      <c r="D7">
        <v>0</v>
      </c>
      <c r="E7">
        <v>1</v>
      </c>
      <c r="F7">
        <v>94</v>
      </c>
      <c r="G7">
        <v>50</v>
      </c>
      <c r="H7">
        <v>0</v>
      </c>
      <c r="J7">
        <v>0</v>
      </c>
      <c r="K7" t="s">
        <v>19</v>
      </c>
      <c r="L7">
        <v>0</v>
      </c>
      <c r="M7">
        <v>0</v>
      </c>
      <c r="N7">
        <v>1</v>
      </c>
      <c r="O7" t="s">
        <v>26</v>
      </c>
      <c r="P7" t="s">
        <v>26</v>
      </c>
      <c r="Q7" s="1">
        <f>HYPERLINK("https://pubmed.ncbi.nlm.nih.gov/?term=22563116","1")</f>
        <v>0</v>
      </c>
      <c r="T7" t="s">
        <v>39</v>
      </c>
    </row>
    <row r="8" spans="1:20">
      <c r="A8" t="s">
        <v>6</v>
      </c>
      <c r="B8">
        <v>0</v>
      </c>
      <c r="C8">
        <v>0</v>
      </c>
      <c r="D8">
        <v>1</v>
      </c>
      <c r="E8">
        <v>0</v>
      </c>
      <c r="F8">
        <v>214</v>
      </c>
      <c r="G8">
        <v>132</v>
      </c>
      <c r="H8">
        <v>0</v>
      </c>
      <c r="J8">
        <v>0</v>
      </c>
      <c r="K8" t="s">
        <v>20</v>
      </c>
      <c r="L8">
        <v>0</v>
      </c>
      <c r="M8">
        <v>0</v>
      </c>
      <c r="N8">
        <v>1</v>
      </c>
      <c r="O8" t="s">
        <v>27</v>
      </c>
      <c r="P8" t="s">
        <v>27</v>
      </c>
      <c r="Q8" s="1">
        <f>HYPERLINK("https://pubmed.ncbi.nlm.nih.gov/?term=17543732","1")</f>
        <v>0</v>
      </c>
      <c r="S8" t="s">
        <v>34</v>
      </c>
      <c r="T8" t="s">
        <v>40</v>
      </c>
    </row>
    <row r="9" spans="1:20">
      <c r="A9" t="s">
        <v>7</v>
      </c>
      <c r="B9">
        <v>5</v>
      </c>
      <c r="C9">
        <v>5</v>
      </c>
      <c r="D9">
        <v>0</v>
      </c>
      <c r="E9">
        <v>0</v>
      </c>
      <c r="F9">
        <v>35</v>
      </c>
      <c r="G9">
        <v>0</v>
      </c>
      <c r="H9">
        <v>0</v>
      </c>
      <c r="J9">
        <v>0</v>
      </c>
      <c r="L9">
        <v>0</v>
      </c>
      <c r="M9">
        <v>0</v>
      </c>
      <c r="N9">
        <v>1</v>
      </c>
      <c r="O9" t="s">
        <v>28</v>
      </c>
      <c r="P9" t="s">
        <v>28</v>
      </c>
      <c r="Q9" s="1">
        <f>HYPERLINK("https://pubmed.ncbi.nlm.nih.gov/?term=29162369%2C31862487","6")</f>
        <v>0</v>
      </c>
      <c r="R9" s="1">
        <f>HYPERLINK("http://dx.doi.org/10.1016/j.ehpc.2017.06.003","10.1016/j.ehpc.2017.06.003;10.1016/j.endien.2017.09.004;10.1016/j.mpdhp.2016.02.004")</f>
        <v>0</v>
      </c>
      <c r="S9" t="s">
        <v>35</v>
      </c>
      <c r="T9" t="s">
        <v>41</v>
      </c>
    </row>
    <row r="10" spans="1:20">
      <c r="A10" t="s">
        <v>8</v>
      </c>
      <c r="B10">
        <v>4</v>
      </c>
      <c r="C10">
        <v>4</v>
      </c>
      <c r="D10">
        <v>0</v>
      </c>
      <c r="E10">
        <v>0</v>
      </c>
      <c r="F10">
        <v>7</v>
      </c>
      <c r="G10">
        <v>16</v>
      </c>
      <c r="H10">
        <v>0</v>
      </c>
      <c r="J10">
        <v>0</v>
      </c>
      <c r="L10">
        <v>0</v>
      </c>
      <c r="M10">
        <v>0</v>
      </c>
      <c r="N10">
        <v>1</v>
      </c>
      <c r="O10" t="s">
        <v>29</v>
      </c>
      <c r="P10" t="s">
        <v>29</v>
      </c>
      <c r="Q10" s="1">
        <f>HYPERLINK("https://pubmed.ncbi.nlm.nih.gov/?term=27254269%2C27966451%2C29264456%2C33112278%2C30065853","11")</f>
        <v>0</v>
      </c>
      <c r="T10" t="s">
        <v>42</v>
      </c>
    </row>
    <row r="11" spans="1:20">
      <c r="A11" t="s">
        <v>9</v>
      </c>
      <c r="B11">
        <v>1</v>
      </c>
      <c r="C11">
        <v>0</v>
      </c>
      <c r="D11">
        <v>0</v>
      </c>
      <c r="E11">
        <v>0</v>
      </c>
      <c r="F11">
        <v>366</v>
      </c>
      <c r="G11">
        <v>0</v>
      </c>
      <c r="H11">
        <v>0</v>
      </c>
      <c r="J11">
        <v>0</v>
      </c>
      <c r="K11" t="s">
        <v>21</v>
      </c>
      <c r="L11">
        <v>0</v>
      </c>
      <c r="M11">
        <v>0</v>
      </c>
      <c r="N11">
        <v>1</v>
      </c>
      <c r="O11" t="s">
        <v>30</v>
      </c>
      <c r="P11" t="s">
        <v>30</v>
      </c>
      <c r="Q11" s="1">
        <f>HYPERLINK("https://pubmed.ncbi.nlm.nih.gov/?term=25446387%2C20451576%2C32674070%2C21450940%2C31877737","5")</f>
        <v>0</v>
      </c>
      <c r="T11" t="s">
        <v>43</v>
      </c>
    </row>
    <row r="12" spans="1:20">
      <c r="A12" t="s">
        <v>10</v>
      </c>
      <c r="B12">
        <v>1</v>
      </c>
      <c r="C12">
        <v>0</v>
      </c>
      <c r="D12">
        <v>0</v>
      </c>
      <c r="E12">
        <v>0</v>
      </c>
      <c r="F12">
        <v>19</v>
      </c>
      <c r="G12">
        <v>0</v>
      </c>
      <c r="H12">
        <v>0</v>
      </c>
      <c r="J12">
        <v>0</v>
      </c>
      <c r="L12">
        <v>0</v>
      </c>
      <c r="M12">
        <v>0</v>
      </c>
      <c r="N12">
        <v>1</v>
      </c>
      <c r="O12" t="s">
        <v>31</v>
      </c>
      <c r="P12" t="s">
        <v>31</v>
      </c>
      <c r="R12" s="1">
        <f>HYPERLINK("http://dx.doi.org/10.1016/j.coemr.2019.08.016","10.1016/j.coemr.2019.08.016")</f>
        <v>0</v>
      </c>
      <c r="T1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6"/>
  <sheetViews>
    <sheetView workbookViewId="0"/>
  </sheetViews>
  <sheetFormatPr defaultRowHeight="15"/>
  <cols>
    <col min="17" max="17" width="20.7109375" style="1" customWidth="1"/>
    <col min="18" max="18" width="20.7109375" style="1" customWidth="1"/>
  </cols>
  <sheetData>
    <row r="1" spans="1:20" s="2" customFormat="1" ht="120" customHeight="1">
      <c r="A1" s="2" t="s">
        <v>45</v>
      </c>
      <c r="B1" s="2" t="s">
        <v>52</v>
      </c>
      <c r="C1" s="2" t="s">
        <v>46</v>
      </c>
      <c r="D1" s="2" t="s">
        <v>47</v>
      </c>
      <c r="E1" s="2" t="s">
        <v>54</v>
      </c>
      <c r="F1" s="2" t="s">
        <v>48</v>
      </c>
      <c r="G1" s="2" t="s">
        <v>50</v>
      </c>
      <c r="H1" s="2" t="s">
        <v>53</v>
      </c>
      <c r="I1" s="2" t="s">
        <v>55</v>
      </c>
      <c r="J1" s="2" t="s">
        <v>49</v>
      </c>
      <c r="K1" s="2" t="s">
        <v>56</v>
      </c>
      <c r="L1" s="2" t="s">
        <v>57</v>
      </c>
      <c r="M1" s="2" t="s">
        <v>51</v>
      </c>
      <c r="N1" s="2" t="s">
        <v>58</v>
      </c>
      <c r="O1" s="2" t="s">
        <v>59</v>
      </c>
      <c r="P1" s="2" t="s">
        <v>60</v>
      </c>
      <c r="Q1" s="2" t="s">
        <v>61</v>
      </c>
      <c r="R1" s="2" t="s">
        <v>62</v>
      </c>
      <c r="S1" s="2" t="s">
        <v>77</v>
      </c>
      <c r="T1" s="2" t="s">
        <v>78</v>
      </c>
    </row>
    <row r="2" spans="1:20">
      <c r="A2" t="s">
        <v>0</v>
      </c>
      <c r="B2" t="s">
        <v>11</v>
      </c>
      <c r="C2" t="s">
        <v>12</v>
      </c>
      <c r="D2" t="s">
        <v>13</v>
      </c>
      <c r="E2" t="s">
        <v>14</v>
      </c>
      <c r="F2" t="s">
        <v>15</v>
      </c>
      <c r="G2" t="s">
        <v>16</v>
      </c>
      <c r="Q2" s="1">
        <f>HYPERLINK("https://pubmed.ncbi.nlm.nih.gov/?term=32039305%2C30510946%2C33040851","18")</f>
        <v>0</v>
      </c>
      <c r="R2" s="1">
        <f>HYPERLINK("http://dx.doi.org/10.1016/j.livres.2017.12.011","10.1016/j.livres.2017.12.011;10.1016/j.livres.2017.12.003")</f>
        <v>0</v>
      </c>
    </row>
    <row r="3" spans="1:20">
      <c r="A3" t="s">
        <v>65</v>
      </c>
      <c r="B3">
        <v>27</v>
      </c>
      <c r="C3">
        <v>81</v>
      </c>
      <c r="D3">
        <v>91</v>
      </c>
      <c r="E3">
        <v>1</v>
      </c>
      <c r="F3">
        <v>5</v>
      </c>
      <c r="G3">
        <v>214</v>
      </c>
      <c r="H3" t="s">
        <v>69</v>
      </c>
      <c r="J3">
        <v>0</v>
      </c>
      <c r="K3">
        <v>0</v>
      </c>
      <c r="L3">
        <v>0</v>
      </c>
      <c r="M3">
        <v>0</v>
      </c>
      <c r="N3">
        <v>1</v>
      </c>
      <c r="O3" t="s">
        <v>70</v>
      </c>
      <c r="P3" t="s">
        <v>70</v>
      </c>
      <c r="Q3" s="1">
        <f>HYPERLINK("https://pubmed.ncbi.nlm.nih.gov/?term=24144965%2C26788925%2C30093212%2C12666684%2C22752956","396")</f>
        <v>0</v>
      </c>
      <c r="T3" t="s">
        <v>74</v>
      </c>
    </row>
    <row r="4" spans="1:20">
      <c r="A4" t="s">
        <v>66</v>
      </c>
      <c r="B4">
        <v>0</v>
      </c>
      <c r="C4">
        <v>7</v>
      </c>
      <c r="D4">
        <v>4</v>
      </c>
      <c r="E4">
        <v>0</v>
      </c>
      <c r="F4">
        <v>0</v>
      </c>
      <c r="G4">
        <v>11</v>
      </c>
      <c r="J4">
        <v>0</v>
      </c>
      <c r="K4">
        <v>0</v>
      </c>
      <c r="L4">
        <v>0</v>
      </c>
      <c r="M4">
        <v>0</v>
      </c>
      <c r="N4">
        <v>1</v>
      </c>
      <c r="O4" t="s">
        <v>71</v>
      </c>
      <c r="P4" t="s">
        <v>71</v>
      </c>
      <c r="Q4" s="1">
        <f>HYPERLINK("https://pubmed.ncbi.nlm.nih.gov/?term=21454229%2C21602319%2C30456751%2C30093212","18")</f>
        <v>0</v>
      </c>
      <c r="R4" s="1">
        <f>HYPERLINK("http://dx.doi.org/10.1016/j.coemr.2019.06.003","10.1016/j.coemr.2019.06.003")</f>
        <v>0</v>
      </c>
    </row>
    <row r="5" spans="1:20">
      <c r="A5" t="s">
        <v>67</v>
      </c>
      <c r="B5">
        <v>0</v>
      </c>
      <c r="C5">
        <v>3</v>
      </c>
      <c r="D5">
        <v>3</v>
      </c>
      <c r="E5">
        <v>0</v>
      </c>
      <c r="F5">
        <v>0</v>
      </c>
      <c r="G5">
        <v>3</v>
      </c>
      <c r="J5">
        <v>0</v>
      </c>
      <c r="K5">
        <v>0</v>
      </c>
      <c r="L5">
        <v>0</v>
      </c>
      <c r="M5">
        <v>0</v>
      </c>
      <c r="N5">
        <v>1</v>
      </c>
      <c r="O5" t="s">
        <v>72</v>
      </c>
      <c r="P5" t="s">
        <v>72</v>
      </c>
      <c r="Q5" s="1">
        <f>HYPERLINK("https://pubmed.ncbi.nlm.nih.gov/?term=26114882%2C22020668%2C34689149","9")</f>
        <v>0</v>
      </c>
      <c r="R5" s="1">
        <f>HYPERLINK("http://dx.doi.org/10.1016/S0735-1097(12)60911-5","10.1016/S0735-1097(12)60911-5")</f>
        <v>0</v>
      </c>
      <c r="T5" t="s">
        <v>75</v>
      </c>
    </row>
    <row r="6" spans="1:20">
      <c r="A6" t="s">
        <v>68</v>
      </c>
      <c r="B6">
        <v>0</v>
      </c>
      <c r="C6">
        <v>1</v>
      </c>
      <c r="D6">
        <v>1</v>
      </c>
      <c r="E6">
        <v>0</v>
      </c>
      <c r="F6">
        <v>0</v>
      </c>
      <c r="G6">
        <v>7</v>
      </c>
      <c r="J6">
        <v>0</v>
      </c>
      <c r="K6">
        <v>0</v>
      </c>
      <c r="L6">
        <v>0</v>
      </c>
      <c r="M6">
        <v>0</v>
      </c>
      <c r="N6">
        <v>1</v>
      </c>
      <c r="O6" t="s">
        <v>73</v>
      </c>
      <c r="P6" t="s">
        <v>73</v>
      </c>
      <c r="R6" s="1">
        <f>HYPERLINK("http://dx.doi.org/10.1016/j.coemr.2019.06.003","10.1016/j.coemr.2019.06.003;10.7150/jca.47158")</f>
        <v>0</v>
      </c>
      <c r="T6"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
  <sheetViews>
    <sheetView workbookViewId="0"/>
  </sheetViews>
  <sheetFormatPr defaultRowHeight="15"/>
  <cols>
    <col min="16" max="16" width="20.7109375" style="1" customWidth="1"/>
    <col min="17" max="17" width="20.7109375" style="1" customWidth="1"/>
  </cols>
  <sheetData>
    <row r="1" spans="1:17" s="2" customFormat="1" ht="120" customHeight="1">
      <c r="A1" s="2" t="s">
        <v>45</v>
      </c>
      <c r="B1" s="2" t="s">
        <v>46</v>
      </c>
      <c r="C1" s="2" t="s">
        <v>50</v>
      </c>
      <c r="D1" s="2" t="s">
        <v>52</v>
      </c>
      <c r="E1" s="2" t="s">
        <v>53</v>
      </c>
      <c r="F1" s="2" t="s">
        <v>47</v>
      </c>
      <c r="G1" s="2" t="s">
        <v>54</v>
      </c>
      <c r="H1" s="2" t="s">
        <v>48</v>
      </c>
      <c r="I1" s="2" t="s">
        <v>55</v>
      </c>
      <c r="J1" s="2" t="s">
        <v>49</v>
      </c>
      <c r="K1" s="2" t="s">
        <v>56</v>
      </c>
      <c r="L1" s="2" t="s">
        <v>81</v>
      </c>
      <c r="M1" s="2" t="s">
        <v>58</v>
      </c>
      <c r="N1" s="2" t="s">
        <v>59</v>
      </c>
      <c r="O1" s="2" t="s">
        <v>60</v>
      </c>
      <c r="P1" s="2" t="s">
        <v>61</v>
      </c>
      <c r="Q1" s="2" t="s">
        <v>62</v>
      </c>
    </row>
    <row r="2" spans="1:17">
      <c r="A2" t="s">
        <v>0</v>
      </c>
      <c r="B2" t="s">
        <v>11</v>
      </c>
      <c r="C2" t="s">
        <v>14</v>
      </c>
      <c r="P2" s="1">
        <f>HYPERLINK("https://pubmed.ncbi.nlm.nih.gov/?term=32039305%2C30510946%2C33040851","21")</f>
        <v>0</v>
      </c>
      <c r="Q2" s="1">
        <f>HYPERLINK("http://dx.doi.org/10.1016/j.livres.2017.12.011","10.1016/j.livres.2017.12.011;10.1016/j.livres.2017.12.003")</f>
        <v>0</v>
      </c>
    </row>
    <row r="3" spans="1:17">
      <c r="A3" t="s">
        <v>79</v>
      </c>
      <c r="B3">
        <v>1</v>
      </c>
      <c r="C3">
        <v>2</v>
      </c>
      <c r="D3">
        <v>0</v>
      </c>
      <c r="F3">
        <v>0</v>
      </c>
      <c r="G3">
        <v>0</v>
      </c>
      <c r="H3">
        <v>0</v>
      </c>
      <c r="J3">
        <v>0</v>
      </c>
      <c r="K3">
        <v>0</v>
      </c>
      <c r="L3">
        <v>0</v>
      </c>
      <c r="M3">
        <v>1</v>
      </c>
      <c r="N3" t="s">
        <v>80</v>
      </c>
      <c r="O3" t="s">
        <v>80</v>
      </c>
      <c r="P3" s="1">
        <f>HYPERLINK("https://pubmed.ncbi.nlm.nih.gov/?term=20004940%2C22145222","2")</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489"/>
  <sheetViews>
    <sheetView workbookViewId="0"/>
  </sheetViews>
  <sheetFormatPr defaultRowHeight="15"/>
  <cols>
    <col min="4" max="4" width="20.7109375" style="1" customWidth="1"/>
  </cols>
  <sheetData>
    <row r="1" spans="1:4" s="3" customFormat="1">
      <c r="A1" s="3" t="s">
        <v>578</v>
      </c>
      <c r="B1" s="3" t="s">
        <v>579</v>
      </c>
      <c r="C1" s="3" t="s">
        <v>580</v>
      </c>
      <c r="D1" s="3" t="s">
        <v>581</v>
      </c>
    </row>
    <row r="2" spans="1:4">
      <c r="A2">
        <v>141</v>
      </c>
      <c r="B2" t="s">
        <v>82</v>
      </c>
      <c r="C2" t="s">
        <v>570</v>
      </c>
      <c r="D2" s="1">
        <f>HYPERLINK("https://pubmed.ncbi.nlm.nih.gov/?term=26582918","26582918")</f>
        <v>0</v>
      </c>
    </row>
    <row r="3" spans="1:4">
      <c r="A3">
        <v>141</v>
      </c>
      <c r="B3" t="s">
        <v>83</v>
      </c>
      <c r="C3" t="s">
        <v>570</v>
      </c>
      <c r="D3" s="1">
        <f>HYPERLINK("https://pubmed.ncbi.nlm.nih.gov/?term=25741868","25741868")</f>
        <v>0</v>
      </c>
    </row>
    <row r="4" spans="1:4">
      <c r="A4">
        <v>72</v>
      </c>
      <c r="B4" t="s">
        <v>84</v>
      </c>
      <c r="C4" t="s">
        <v>570</v>
      </c>
      <c r="D4" s="1">
        <f>HYPERLINK("https://pubmed.ncbi.nlm.nih.gov/?term=20301463","20301463")</f>
        <v>0</v>
      </c>
    </row>
    <row r="5" spans="1:4">
      <c r="A5">
        <v>72</v>
      </c>
      <c r="B5" t="s">
        <v>85</v>
      </c>
      <c r="C5" t="s">
        <v>570</v>
      </c>
      <c r="D5" s="1">
        <f>HYPERLINK("https://pubmed.ncbi.nlm.nih.gov/?term=28492532","28492532")</f>
        <v>0</v>
      </c>
    </row>
    <row r="6" spans="1:4">
      <c r="A6">
        <v>24</v>
      </c>
      <c r="B6" t="s">
        <v>86</v>
      </c>
      <c r="C6" t="s">
        <v>570</v>
      </c>
      <c r="D6" s="1">
        <f>HYPERLINK("https://pubmed.ncbi.nlm.nih.gov/?term=20451576","20451576")</f>
        <v>0</v>
      </c>
    </row>
    <row r="7" spans="1:4">
      <c r="A7">
        <v>20</v>
      </c>
      <c r="B7" t="s">
        <v>87</v>
      </c>
      <c r="C7" t="s">
        <v>570</v>
      </c>
      <c r="D7" s="1">
        <f>HYPERLINK("https://pubmed.ncbi.nlm.nih.gov/?term=20833331","20833331")</f>
        <v>0</v>
      </c>
    </row>
    <row r="8" spans="1:4">
      <c r="A8">
        <v>20</v>
      </c>
      <c r="B8" t="s">
        <v>88</v>
      </c>
      <c r="C8" t="s">
        <v>571</v>
      </c>
      <c r="D8" s="1">
        <f>HYPERLINK("http://dx.doi.org/10.1530/EJE-15-0209","10.1530/EJE-15-0209")</f>
        <v>0</v>
      </c>
    </row>
    <row r="9" spans="1:4">
      <c r="A9">
        <v>18</v>
      </c>
      <c r="B9" t="s">
        <v>89</v>
      </c>
      <c r="C9" t="s">
        <v>570</v>
      </c>
      <c r="D9" s="1">
        <f>HYPERLINK("https://pubmed.ncbi.nlm.nih.gov/?term=11115848","11115848")</f>
        <v>0</v>
      </c>
    </row>
    <row r="10" spans="1:4">
      <c r="A10">
        <v>18</v>
      </c>
      <c r="B10" t="s">
        <v>90</v>
      </c>
      <c r="C10" t="s">
        <v>570</v>
      </c>
      <c r="D10" s="1">
        <f>HYPERLINK("https://pubmed.ncbi.nlm.nih.gov/?term=30428497","30428497")</f>
        <v>0</v>
      </c>
    </row>
    <row r="11" spans="1:4">
      <c r="A11">
        <v>16</v>
      </c>
      <c r="B11" t="s">
        <v>91</v>
      </c>
      <c r="C11" t="s">
        <v>570</v>
      </c>
      <c r="D11" s="1">
        <f>HYPERLINK("https://pubmed.ncbi.nlm.nih.gov/?term=22297707","22297707")</f>
        <v>0</v>
      </c>
    </row>
    <row r="12" spans="1:4">
      <c r="A12">
        <v>16</v>
      </c>
      <c r="B12" t="s">
        <v>92</v>
      </c>
      <c r="C12" t="s">
        <v>570</v>
      </c>
      <c r="D12" s="1">
        <f>HYPERLINK("https://pubmed.ncbi.nlm.nih.gov/?term=1759057","1759057")</f>
        <v>0</v>
      </c>
    </row>
    <row r="13" spans="1:4">
      <c r="A13">
        <v>14</v>
      </c>
      <c r="B13" t="s">
        <v>93</v>
      </c>
      <c r="C13" t="s">
        <v>570</v>
      </c>
      <c r="D13" s="1">
        <f>HYPERLINK("https://pubmed.ncbi.nlm.nih.gov/?term=21454229","21454229")</f>
        <v>0</v>
      </c>
    </row>
    <row r="14" spans="1:4">
      <c r="A14">
        <v>14</v>
      </c>
      <c r="B14" t="s">
        <v>94</v>
      </c>
      <c r="C14" t="s">
        <v>570</v>
      </c>
      <c r="D14" s="1">
        <f>HYPERLINK("https://pubmed.ncbi.nlm.nih.gov/?term=22902045","22902045")</f>
        <v>0</v>
      </c>
    </row>
    <row r="15" spans="1:4">
      <c r="A15">
        <v>14</v>
      </c>
      <c r="B15" t="s">
        <v>95</v>
      </c>
      <c r="C15" t="s">
        <v>571</v>
      </c>
      <c r="D15" s="1">
        <f>HYPERLINK("http://dx.doi.org/10.1016/S1096-7192(03)00006-4","10.1016/S1096-7192(03)00006-4")</f>
        <v>0</v>
      </c>
    </row>
    <row r="16" spans="1:4">
      <c r="A16">
        <v>14</v>
      </c>
      <c r="B16" t="s">
        <v>96</v>
      </c>
      <c r="C16" t="s">
        <v>570</v>
      </c>
      <c r="D16" s="1">
        <f>HYPERLINK("https://pubmed.ncbi.nlm.nih.gov/?term=15097932","15097932")</f>
        <v>0</v>
      </c>
    </row>
    <row r="17" spans="1:4">
      <c r="A17">
        <v>14</v>
      </c>
      <c r="B17" t="s">
        <v>97</v>
      </c>
      <c r="C17" t="s">
        <v>570</v>
      </c>
      <c r="D17" s="1">
        <f>HYPERLINK("https://pubmed.ncbi.nlm.nih.gov/?term=15163302","15163302")</f>
        <v>0</v>
      </c>
    </row>
    <row r="18" spans="1:4">
      <c r="A18">
        <v>14</v>
      </c>
      <c r="B18" t="s">
        <v>98</v>
      </c>
      <c r="C18" t="s">
        <v>570</v>
      </c>
      <c r="D18" s="1">
        <f>HYPERLINK("https://pubmed.ncbi.nlm.nih.gov/?term=20358582","20358582")</f>
        <v>0</v>
      </c>
    </row>
    <row r="19" spans="1:4">
      <c r="A19">
        <v>14</v>
      </c>
      <c r="B19" t="s">
        <v>99</v>
      </c>
      <c r="C19" t="s">
        <v>571</v>
      </c>
      <c r="D19" s="1">
        <f>HYPERLINK("http://dx.doi.org/10.1530/ERC-18-0160","10.1530/ERC-18-0160")</f>
        <v>0</v>
      </c>
    </row>
    <row r="20" spans="1:4">
      <c r="A20">
        <v>14</v>
      </c>
      <c r="B20" t="s">
        <v>100</v>
      </c>
      <c r="C20" t="s">
        <v>571</v>
      </c>
      <c r="D20" s="1">
        <f>HYPERLINK("http://dx.doi.org/10.1016/j.mpdhp.2016.02.004","10.1016/j.mpdhp.2016.02.004")</f>
        <v>0</v>
      </c>
    </row>
    <row r="21" spans="1:4">
      <c r="A21">
        <v>14</v>
      </c>
      <c r="B21" t="s">
        <v>101</v>
      </c>
      <c r="C21" t="s">
        <v>570</v>
      </c>
      <c r="D21" s="1">
        <f>HYPERLINK("https://pubmed.ncbi.nlm.nih.gov/?term=21115159","21115159")</f>
        <v>0</v>
      </c>
    </row>
    <row r="22" spans="1:4">
      <c r="A22">
        <v>14</v>
      </c>
      <c r="B22" t="s">
        <v>102</v>
      </c>
      <c r="C22" t="s">
        <v>570</v>
      </c>
      <c r="D22" s="1">
        <f>HYPERLINK("https://pubmed.ncbi.nlm.nih.gov/?term=11428001","11428001")</f>
        <v>0</v>
      </c>
    </row>
    <row r="23" spans="1:4">
      <c r="A23">
        <v>13</v>
      </c>
      <c r="B23" t="s">
        <v>103</v>
      </c>
      <c r="C23" t="s">
        <v>570</v>
      </c>
      <c r="D23" s="1">
        <f>HYPERLINK("https://pubmed.ncbi.nlm.nih.gov/?term=10974026","10974026")</f>
        <v>0</v>
      </c>
    </row>
    <row r="24" spans="1:4">
      <c r="A24">
        <v>12</v>
      </c>
      <c r="B24" t="s">
        <v>104</v>
      </c>
      <c r="C24" t="s">
        <v>570</v>
      </c>
      <c r="D24" s="1">
        <f>HYPERLINK("https://pubmed.ncbi.nlm.nih.gov/?term=27580546","27580546")</f>
        <v>0</v>
      </c>
    </row>
    <row r="25" spans="1:4">
      <c r="A25">
        <v>12</v>
      </c>
      <c r="B25" t="s">
        <v>105</v>
      </c>
      <c r="C25" t="s">
        <v>570</v>
      </c>
      <c r="D25" s="1">
        <f>HYPERLINK("https://pubmed.ncbi.nlm.nih.gov/?term=22476103","22476103")</f>
        <v>0</v>
      </c>
    </row>
    <row r="26" spans="1:4">
      <c r="A26">
        <v>12</v>
      </c>
      <c r="B26" t="s">
        <v>106</v>
      </c>
      <c r="C26" t="s">
        <v>571</v>
      </c>
      <c r="D26" s="1">
        <f>HYPERLINK("http://dx.doi.org/10.2350/15-05-1637-CR.1","10.2350/15-05-1637-CR.1")</f>
        <v>0</v>
      </c>
    </row>
    <row r="27" spans="1:4">
      <c r="A27">
        <v>12</v>
      </c>
      <c r="B27" t="s">
        <v>107</v>
      </c>
      <c r="C27" t="s">
        <v>570</v>
      </c>
      <c r="D27" s="1">
        <f>HYPERLINK("https://pubmed.ncbi.nlm.nih.gov/?term=32215884","32215884")</f>
        <v>0</v>
      </c>
    </row>
    <row r="28" spans="1:4">
      <c r="A28">
        <v>12</v>
      </c>
      <c r="B28" t="s">
        <v>108</v>
      </c>
      <c r="C28" t="s">
        <v>571</v>
      </c>
      <c r="D28" s="1">
        <f>HYPERLINK("http://dx.doi.org/10.1007/s11102-019-00974-8","10.1007/s11102-019-00974-8")</f>
        <v>0</v>
      </c>
    </row>
    <row r="29" spans="1:4">
      <c r="A29">
        <v>12</v>
      </c>
      <c r="B29" t="s">
        <v>109</v>
      </c>
      <c r="C29" t="s">
        <v>570</v>
      </c>
      <c r="D29" s="1">
        <f>HYPERLINK("https://pubmed.ncbi.nlm.nih.gov/?term=19293268","19293268")</f>
        <v>0</v>
      </c>
    </row>
    <row r="30" spans="1:4">
      <c r="A30">
        <v>11</v>
      </c>
      <c r="B30" t="s">
        <v>110</v>
      </c>
      <c r="C30" t="s">
        <v>570</v>
      </c>
      <c r="D30" s="1">
        <f>HYPERLINK("https://pubmed.ncbi.nlm.nih.gov/?term=22341669","22341669")</f>
        <v>0</v>
      </c>
    </row>
    <row r="31" spans="1:4">
      <c r="A31">
        <v>10</v>
      </c>
      <c r="B31" t="s">
        <v>111</v>
      </c>
      <c r="C31" t="s">
        <v>570</v>
      </c>
      <c r="D31" s="1">
        <f>HYPERLINK("https://pubmed.ncbi.nlm.nih.gov/?term=15633134","15633134")</f>
        <v>0</v>
      </c>
    </row>
    <row r="32" spans="1:4">
      <c r="A32">
        <v>10</v>
      </c>
      <c r="B32" t="s">
        <v>112</v>
      </c>
      <c r="C32" t="s">
        <v>572</v>
      </c>
      <c r="D32" s="1" t="s">
        <v>574</v>
      </c>
    </row>
    <row r="33" spans="1:4">
      <c r="A33">
        <v>10</v>
      </c>
      <c r="B33" t="s">
        <v>113</v>
      </c>
      <c r="C33" t="s">
        <v>571</v>
      </c>
      <c r="D33" s="1">
        <f>HYPERLINK("http://dx.doi.org/10.1097/MED.0000000000000149","10.1097/MED.0000000000000149")</f>
        <v>0</v>
      </c>
    </row>
    <row r="34" spans="1:4">
      <c r="A34">
        <v>10</v>
      </c>
      <c r="B34" t="s">
        <v>114</v>
      </c>
      <c r="C34" t="s">
        <v>570</v>
      </c>
      <c r="D34" s="1">
        <f>HYPERLINK("https://pubmed.ncbi.nlm.nih.gov/?term=32893266","32893266")</f>
        <v>0</v>
      </c>
    </row>
    <row r="35" spans="1:4">
      <c r="A35">
        <v>10</v>
      </c>
      <c r="B35" t="s">
        <v>115</v>
      </c>
      <c r="C35" t="s">
        <v>570</v>
      </c>
      <c r="D35" s="1">
        <f>HYPERLINK("https://pubmed.ncbi.nlm.nih.gov/?term=11549623","11549623")</f>
        <v>0</v>
      </c>
    </row>
    <row r="36" spans="1:4">
      <c r="A36">
        <v>10</v>
      </c>
      <c r="B36" t="s">
        <v>116</v>
      </c>
      <c r="C36" t="s">
        <v>570</v>
      </c>
      <c r="D36" s="1">
        <f>HYPERLINK("https://pubmed.ncbi.nlm.nih.gov/?term=24012779","24012779")</f>
        <v>0</v>
      </c>
    </row>
    <row r="37" spans="1:4">
      <c r="A37">
        <v>10</v>
      </c>
      <c r="B37" t="s">
        <v>117</v>
      </c>
      <c r="C37" t="s">
        <v>570</v>
      </c>
      <c r="D37" s="1">
        <f>HYPERLINK("https://pubmed.ncbi.nlm.nih.gov/?term=28822849","28822849")</f>
        <v>0</v>
      </c>
    </row>
    <row r="38" spans="1:4">
      <c r="A38">
        <v>10</v>
      </c>
      <c r="B38" t="s">
        <v>118</v>
      </c>
      <c r="C38" t="s">
        <v>570</v>
      </c>
      <c r="D38" s="1">
        <f>HYPERLINK("https://pubmed.ncbi.nlm.nih.gov/?term=15992699","15992699")</f>
        <v>0</v>
      </c>
    </row>
    <row r="39" spans="1:4">
      <c r="A39">
        <v>10</v>
      </c>
      <c r="B39" t="s">
        <v>119</v>
      </c>
      <c r="C39" t="s">
        <v>570</v>
      </c>
      <c r="D39" s="1">
        <f>HYPERLINK("https://pubmed.ncbi.nlm.nih.gov/?term=15708293","15708293")</f>
        <v>0</v>
      </c>
    </row>
    <row r="40" spans="1:4">
      <c r="A40">
        <v>9</v>
      </c>
      <c r="B40" t="s">
        <v>120</v>
      </c>
      <c r="C40" t="s">
        <v>570</v>
      </c>
      <c r="D40" s="1">
        <f>HYPERLINK("https://pubmed.ncbi.nlm.nih.gov/?term=22785148","22785148")</f>
        <v>0</v>
      </c>
    </row>
    <row r="41" spans="1:4">
      <c r="A41">
        <v>9</v>
      </c>
      <c r="B41" t="s">
        <v>121</v>
      </c>
      <c r="C41" t="s">
        <v>570</v>
      </c>
      <c r="D41" s="1">
        <f>HYPERLINK("https://pubmed.ncbi.nlm.nih.gov/?term=10973256","10973256")</f>
        <v>0</v>
      </c>
    </row>
    <row r="42" spans="1:4">
      <c r="A42">
        <v>9</v>
      </c>
      <c r="B42" t="s">
        <v>122</v>
      </c>
      <c r="C42" t="s">
        <v>570</v>
      </c>
      <c r="D42" s="1">
        <f>HYPERLINK("https://pubmed.ncbi.nlm.nih.gov/?term=16464939","16464939")</f>
        <v>0</v>
      </c>
    </row>
    <row r="43" spans="1:4">
      <c r="A43">
        <v>8</v>
      </c>
      <c r="B43" t="s">
        <v>123</v>
      </c>
      <c r="C43" t="s">
        <v>570</v>
      </c>
      <c r="D43" s="1">
        <f>HYPERLINK("https://pubmed.ncbi.nlm.nih.gov/?term=20816578","20816578")</f>
        <v>0</v>
      </c>
    </row>
    <row r="44" spans="1:4">
      <c r="A44">
        <v>8</v>
      </c>
      <c r="B44" t="s">
        <v>124</v>
      </c>
      <c r="C44" t="s">
        <v>571</v>
      </c>
      <c r="D44" s="1">
        <f>HYPERLINK("http://dx.doi.org/10.1227/NEU.0000000000001384","10.1227/NEU.0000000000001384")</f>
        <v>0</v>
      </c>
    </row>
    <row r="45" spans="1:4">
      <c r="A45">
        <v>8</v>
      </c>
      <c r="B45" t="s">
        <v>125</v>
      </c>
      <c r="C45" t="s">
        <v>570</v>
      </c>
      <c r="D45" s="1">
        <f>HYPERLINK("https://pubmed.ncbi.nlm.nih.gov/?term=18804312","18804312")</f>
        <v>0</v>
      </c>
    </row>
    <row r="46" spans="1:4">
      <c r="A46">
        <v>8</v>
      </c>
      <c r="B46" t="s">
        <v>126</v>
      </c>
      <c r="C46" t="s">
        <v>570</v>
      </c>
      <c r="D46" s="1">
        <f>HYPERLINK("https://pubmed.ncbi.nlm.nih.gov/?term=693","693")</f>
        <v>0</v>
      </c>
    </row>
    <row r="47" spans="1:4">
      <c r="A47">
        <v>8</v>
      </c>
      <c r="B47" t="s">
        <v>127</v>
      </c>
      <c r="C47" t="s">
        <v>570</v>
      </c>
      <c r="D47" s="1">
        <f>HYPERLINK("https://pubmed.ncbi.nlm.nih.gov/?term=30530903","30530903")</f>
        <v>0</v>
      </c>
    </row>
    <row r="48" spans="1:4">
      <c r="A48">
        <v>8</v>
      </c>
      <c r="B48" t="s">
        <v>128</v>
      </c>
      <c r="C48" t="s">
        <v>570</v>
      </c>
      <c r="D48" s="1">
        <f>HYPERLINK("https://pubmed.ncbi.nlm.nih.gov/?term=11832717","11832717")</f>
        <v>0</v>
      </c>
    </row>
    <row r="49" spans="1:4">
      <c r="A49">
        <v>8</v>
      </c>
      <c r="B49" t="s">
        <v>129</v>
      </c>
      <c r="C49" t="s">
        <v>570</v>
      </c>
      <c r="D49" s="1">
        <f>HYPERLINK("https://pubmed.ncbi.nlm.nih.gov/?term=16500216","16500216")</f>
        <v>0</v>
      </c>
    </row>
    <row r="50" spans="1:4">
      <c r="A50">
        <v>8</v>
      </c>
      <c r="B50" t="s">
        <v>130</v>
      </c>
      <c r="C50" t="s">
        <v>570</v>
      </c>
      <c r="D50" s="1">
        <f>HYPERLINK("https://pubmed.ncbi.nlm.nih.gov/?term=28862261","28862261")</f>
        <v>0</v>
      </c>
    </row>
    <row r="51" spans="1:4">
      <c r="A51">
        <v>8</v>
      </c>
      <c r="B51" t="s">
        <v>131</v>
      </c>
      <c r="C51" t="s">
        <v>570</v>
      </c>
      <c r="D51" s="1">
        <f>HYPERLINK("https://pubmed.ncbi.nlm.nih.gov/?term=22732638","22732638")</f>
        <v>0</v>
      </c>
    </row>
    <row r="52" spans="1:4">
      <c r="A52">
        <v>8</v>
      </c>
      <c r="B52" t="s">
        <v>132</v>
      </c>
      <c r="C52" t="s">
        <v>570</v>
      </c>
      <c r="D52" s="1">
        <f>HYPERLINK("https://pubmed.ncbi.nlm.nih.gov/?term=1178","1178")</f>
        <v>0</v>
      </c>
    </row>
    <row r="53" spans="1:4">
      <c r="A53">
        <v>8</v>
      </c>
      <c r="B53" t="s">
        <v>133</v>
      </c>
      <c r="C53" t="s">
        <v>570</v>
      </c>
      <c r="D53" s="1">
        <f>HYPERLINK("https://pubmed.ncbi.nlm.nih.gov/?term=19773399","19773399")</f>
        <v>0</v>
      </c>
    </row>
    <row r="54" spans="1:4">
      <c r="A54">
        <v>8</v>
      </c>
      <c r="B54" t="s">
        <v>134</v>
      </c>
      <c r="C54" t="s">
        <v>570</v>
      </c>
      <c r="D54" s="1">
        <f>HYPERLINK("https://pubmed.ncbi.nlm.nih.gov/?term=35034934","35034934")</f>
        <v>0</v>
      </c>
    </row>
    <row r="55" spans="1:4">
      <c r="A55">
        <v>8</v>
      </c>
      <c r="B55" t="s">
        <v>135</v>
      </c>
      <c r="C55" t="s">
        <v>570</v>
      </c>
      <c r="D55" s="1">
        <f>HYPERLINK("https://pubmed.ncbi.nlm.nih.gov/?term=22020668","22020668")</f>
        <v>0</v>
      </c>
    </row>
    <row r="56" spans="1:4">
      <c r="A56">
        <v>8</v>
      </c>
      <c r="B56" t="s">
        <v>136</v>
      </c>
      <c r="C56" t="s">
        <v>571</v>
      </c>
      <c r="D56" s="1">
        <f>HYPERLINK("http://dx.doi.org/10.1530/EJE-14-0685","10.1530/EJE-14-0685")</f>
        <v>0</v>
      </c>
    </row>
    <row r="57" spans="1:4">
      <c r="A57">
        <v>8</v>
      </c>
      <c r="B57" t="s">
        <v>137</v>
      </c>
      <c r="C57" t="s">
        <v>570</v>
      </c>
      <c r="D57" s="1">
        <f>HYPERLINK("https://pubmed.ncbi.nlm.nih.gov/?term=22823951","22823951")</f>
        <v>0</v>
      </c>
    </row>
    <row r="58" spans="1:4">
      <c r="A58">
        <v>8</v>
      </c>
      <c r="B58" t="s">
        <v>138</v>
      </c>
      <c r="C58" t="s">
        <v>570</v>
      </c>
      <c r="D58" s="1">
        <f>HYPERLINK("https://pubmed.ncbi.nlm.nih.gov/?term=34850745","34850745")</f>
        <v>0</v>
      </c>
    </row>
    <row r="59" spans="1:4">
      <c r="A59">
        <v>8</v>
      </c>
      <c r="B59" t="s">
        <v>139</v>
      </c>
      <c r="C59" t="s">
        <v>571</v>
      </c>
      <c r="D59" s="1">
        <f>HYPERLINK("http://dx.doi.org/10.1016/j.nec.2019.05.001","10.1016/j.nec.2019.05.001")</f>
        <v>0</v>
      </c>
    </row>
    <row r="60" spans="1:4">
      <c r="A60">
        <v>8</v>
      </c>
      <c r="B60" t="s">
        <v>140</v>
      </c>
      <c r="C60" t="s">
        <v>570</v>
      </c>
      <c r="D60" s="1">
        <f>HYPERLINK("https://pubmed.ncbi.nlm.nih.gov/?term=22795811","22795811")</f>
        <v>0</v>
      </c>
    </row>
    <row r="61" spans="1:4">
      <c r="A61">
        <v>8</v>
      </c>
      <c r="B61" t="s">
        <v>141</v>
      </c>
      <c r="C61" t="s">
        <v>570</v>
      </c>
      <c r="D61" s="1">
        <f>HYPERLINK("https://pubmed.ncbi.nlm.nih.gov/?term=27498419","27498419")</f>
        <v>0</v>
      </c>
    </row>
    <row r="62" spans="1:4">
      <c r="A62">
        <v>8</v>
      </c>
      <c r="B62" t="s">
        <v>142</v>
      </c>
      <c r="C62" t="s">
        <v>570</v>
      </c>
      <c r="D62" s="1">
        <f>HYPERLINK("https://pubmed.ncbi.nlm.nih.gov/?term=34968506","34968506")</f>
        <v>0</v>
      </c>
    </row>
    <row r="63" spans="1:4">
      <c r="A63">
        <v>8</v>
      </c>
      <c r="B63" t="s">
        <v>143</v>
      </c>
      <c r="C63" t="s">
        <v>570</v>
      </c>
      <c r="D63" s="1">
        <f>HYPERLINK("https://pubmed.ncbi.nlm.nih.gov/?term=18640357","18640357")</f>
        <v>0</v>
      </c>
    </row>
    <row r="64" spans="1:4">
      <c r="A64">
        <v>8</v>
      </c>
      <c r="B64" t="s">
        <v>144</v>
      </c>
      <c r="C64" t="s">
        <v>570</v>
      </c>
      <c r="D64" s="1">
        <f>HYPERLINK("https://pubmed.ncbi.nlm.nih.gov/?term=34889853","34889853")</f>
        <v>0</v>
      </c>
    </row>
    <row r="65" spans="1:4">
      <c r="A65">
        <v>8</v>
      </c>
      <c r="B65" t="s">
        <v>145</v>
      </c>
      <c r="C65" t="s">
        <v>571</v>
      </c>
      <c r="D65" s="1">
        <f>HYPERLINK("http://dx.doi.org/10.1016/S1064-9689(02)00047-8","10.1016/S1064-9689(02)00047-8")</f>
        <v>0</v>
      </c>
    </row>
    <row r="66" spans="1:4">
      <c r="A66">
        <v>8</v>
      </c>
      <c r="B66" t="s">
        <v>146</v>
      </c>
      <c r="C66" t="s">
        <v>570</v>
      </c>
      <c r="D66" s="1">
        <f>HYPERLINK("https://pubmed.ncbi.nlm.nih.gov/?term=19833579","19833579")</f>
        <v>0</v>
      </c>
    </row>
    <row r="67" spans="1:4">
      <c r="A67">
        <v>7</v>
      </c>
      <c r="B67" t="s">
        <v>147</v>
      </c>
      <c r="C67" t="s">
        <v>570</v>
      </c>
      <c r="D67" s="1">
        <f>HYPERLINK("https://pubmed.ncbi.nlm.nih.gov/?term=15371594","15371594")</f>
        <v>0</v>
      </c>
    </row>
    <row r="68" spans="1:4">
      <c r="A68">
        <v>6</v>
      </c>
      <c r="B68" t="s">
        <v>148</v>
      </c>
      <c r="C68" t="s">
        <v>571</v>
      </c>
      <c r="D68" s="1">
        <f>HYPERLINK("http://dx.doi.org/10.5858/arpa.2013-0532-RS","10.5858/arpa.2013-0532-RS")</f>
        <v>0</v>
      </c>
    </row>
    <row r="69" spans="1:4">
      <c r="A69">
        <v>6</v>
      </c>
      <c r="B69" t="s">
        <v>149</v>
      </c>
      <c r="C69" t="s">
        <v>570</v>
      </c>
      <c r="D69" s="1">
        <f>HYPERLINK("https://pubmed.ncbi.nlm.nih.gov/?term=24662816","24662816")</f>
        <v>0</v>
      </c>
    </row>
    <row r="70" spans="1:4">
      <c r="A70">
        <v>6</v>
      </c>
      <c r="B70" t="s">
        <v>150</v>
      </c>
      <c r="C70" t="s">
        <v>570</v>
      </c>
      <c r="D70" s="1">
        <f>HYPERLINK("https://pubmed.ncbi.nlm.nih.gov/?term=19808666","19808666")</f>
        <v>0</v>
      </c>
    </row>
    <row r="71" spans="1:4">
      <c r="A71">
        <v>6</v>
      </c>
      <c r="B71" t="s">
        <v>151</v>
      </c>
      <c r="C71" t="s">
        <v>570</v>
      </c>
      <c r="D71" s="1">
        <f>HYPERLINK("https://pubmed.ncbi.nlm.nih.gov/?term=34663687","34663687")</f>
        <v>0</v>
      </c>
    </row>
    <row r="72" spans="1:4">
      <c r="A72">
        <v>6</v>
      </c>
      <c r="B72" t="s">
        <v>152</v>
      </c>
      <c r="C72" t="s">
        <v>570</v>
      </c>
      <c r="D72" s="1">
        <f>HYPERLINK("https://pubmed.ncbi.nlm.nih.gov/?term=16930334","16930334")</f>
        <v>0</v>
      </c>
    </row>
    <row r="73" spans="1:4">
      <c r="A73">
        <v>6</v>
      </c>
      <c r="B73" t="s">
        <v>153</v>
      </c>
      <c r="C73" t="s">
        <v>570</v>
      </c>
      <c r="D73" s="1">
        <f>HYPERLINK("https://pubmed.ncbi.nlm.nih.gov/?term=18505904","18505904")</f>
        <v>0</v>
      </c>
    </row>
    <row r="74" spans="1:4">
      <c r="A74">
        <v>6</v>
      </c>
      <c r="B74" t="s">
        <v>154</v>
      </c>
      <c r="C74" t="s">
        <v>570</v>
      </c>
      <c r="D74" s="1">
        <f>HYPERLINK("https://pubmed.ncbi.nlm.nih.gov/?term=10803862","10803862")</f>
        <v>0</v>
      </c>
    </row>
    <row r="75" spans="1:4">
      <c r="A75">
        <v>6</v>
      </c>
      <c r="B75" t="s">
        <v>155</v>
      </c>
      <c r="C75" t="s">
        <v>570</v>
      </c>
      <c r="D75" s="1">
        <f>HYPERLINK("https://pubmed.ncbi.nlm.nih.gov/?term=30279766","30279766")</f>
        <v>0</v>
      </c>
    </row>
    <row r="76" spans="1:4">
      <c r="A76">
        <v>6</v>
      </c>
      <c r="B76" t="s">
        <v>156</v>
      </c>
      <c r="C76" t="s">
        <v>570</v>
      </c>
      <c r="D76" s="1">
        <f>HYPERLINK("https://pubmed.ncbi.nlm.nih.gov/?term=21613052","21613052")</f>
        <v>0</v>
      </c>
    </row>
    <row r="77" spans="1:4">
      <c r="A77">
        <v>6</v>
      </c>
      <c r="B77" t="s">
        <v>157</v>
      </c>
      <c r="C77" t="s">
        <v>570</v>
      </c>
      <c r="D77" s="1">
        <f>HYPERLINK("https://pubmed.ncbi.nlm.nih.gov/?term=12829237","12829237")</f>
        <v>0</v>
      </c>
    </row>
    <row r="78" spans="1:4">
      <c r="A78">
        <v>6</v>
      </c>
      <c r="B78" t="s">
        <v>158</v>
      </c>
      <c r="C78" t="s">
        <v>571</v>
      </c>
      <c r="D78" s="1">
        <f>HYPERLINK("http://dx.doi.org/10.1016/j.path.2014.08.008","10.1016/j.path.2014.08.008")</f>
        <v>0</v>
      </c>
    </row>
    <row r="79" spans="1:4">
      <c r="A79">
        <v>6</v>
      </c>
      <c r="B79" t="s">
        <v>159</v>
      </c>
      <c r="C79" t="s">
        <v>570</v>
      </c>
      <c r="D79" s="1">
        <f>HYPERLINK("https://pubmed.ncbi.nlm.nih.gov/?term=17434305","17434305")</f>
        <v>0</v>
      </c>
    </row>
    <row r="80" spans="1:4">
      <c r="A80">
        <v>6</v>
      </c>
      <c r="B80" t="s">
        <v>160</v>
      </c>
      <c r="C80" t="s">
        <v>571</v>
      </c>
      <c r="D80" s="1">
        <f>HYPERLINK("http://dx.doi.org/10.1016/j.mpdhp.2016.02.005","10.1016/j.mpdhp.2016.02.005")</f>
        <v>0</v>
      </c>
    </row>
    <row r="81" spans="1:4">
      <c r="A81">
        <v>6</v>
      </c>
      <c r="B81" t="s">
        <v>161</v>
      </c>
      <c r="C81" t="s">
        <v>570</v>
      </c>
      <c r="D81" s="1">
        <f>HYPERLINK("https://pubmed.ncbi.nlm.nih.gov/?term=24170103","24170103")</f>
        <v>0</v>
      </c>
    </row>
    <row r="82" spans="1:4">
      <c r="A82">
        <v>6</v>
      </c>
      <c r="B82" t="s">
        <v>162</v>
      </c>
      <c r="C82" t="s">
        <v>570</v>
      </c>
      <c r="D82" s="1">
        <f>HYPERLINK("https://pubmed.ncbi.nlm.nih.gov/?term=2015872923","2015872923")</f>
        <v>0</v>
      </c>
    </row>
    <row r="83" spans="1:4">
      <c r="A83">
        <v>6</v>
      </c>
      <c r="B83" t="s">
        <v>163</v>
      </c>
      <c r="C83" t="s">
        <v>570</v>
      </c>
      <c r="D83" s="1">
        <f>HYPERLINK("https://pubmed.ncbi.nlm.nih.gov/?term=12915689","12915689")</f>
        <v>0</v>
      </c>
    </row>
    <row r="84" spans="1:4">
      <c r="A84">
        <v>6</v>
      </c>
      <c r="B84" t="s">
        <v>164</v>
      </c>
      <c r="C84" t="s">
        <v>570</v>
      </c>
      <c r="D84" s="1">
        <f>HYPERLINK("https://pubmed.ncbi.nlm.nih.gov/?term=16085168","16085168")</f>
        <v>0</v>
      </c>
    </row>
    <row r="85" spans="1:4">
      <c r="A85">
        <v>6</v>
      </c>
      <c r="B85" t="s">
        <v>165</v>
      </c>
      <c r="C85" t="s">
        <v>570</v>
      </c>
      <c r="D85" s="1">
        <f>HYPERLINK("https://pubmed.ncbi.nlm.nih.gov/?term=24122441","24122441")</f>
        <v>0</v>
      </c>
    </row>
    <row r="86" spans="1:4">
      <c r="A86">
        <v>6</v>
      </c>
      <c r="B86" t="s">
        <v>166</v>
      </c>
      <c r="C86" t="s">
        <v>570</v>
      </c>
      <c r="D86" s="1">
        <f>HYPERLINK("https://pubmed.ncbi.nlm.nih.gov/?term=17893250","17893250")</f>
        <v>0</v>
      </c>
    </row>
    <row r="87" spans="1:4">
      <c r="A87">
        <v>6</v>
      </c>
      <c r="B87" t="s">
        <v>167</v>
      </c>
      <c r="C87" t="s">
        <v>570</v>
      </c>
      <c r="D87" s="1">
        <f>HYPERLINK("https://pubmed.ncbi.nlm.nih.gov/?term=19945022","19945022")</f>
        <v>0</v>
      </c>
    </row>
    <row r="88" spans="1:4">
      <c r="A88">
        <v>6</v>
      </c>
      <c r="B88" t="s">
        <v>168</v>
      </c>
      <c r="C88" t="s">
        <v>570</v>
      </c>
      <c r="D88" s="1">
        <f>HYPERLINK("https://pubmed.ncbi.nlm.nih.gov/?term=25612273","25612273")</f>
        <v>0</v>
      </c>
    </row>
    <row r="89" spans="1:4">
      <c r="A89">
        <v>6</v>
      </c>
      <c r="B89" t="s">
        <v>169</v>
      </c>
      <c r="C89" t="s">
        <v>570</v>
      </c>
      <c r="D89" s="1">
        <f>HYPERLINK("https://pubmed.ncbi.nlm.nih.gov/?term=32115357","32115357")</f>
        <v>0</v>
      </c>
    </row>
    <row r="90" spans="1:4">
      <c r="A90">
        <v>6</v>
      </c>
      <c r="B90" t="s">
        <v>170</v>
      </c>
      <c r="C90" t="s">
        <v>571</v>
      </c>
      <c r="D90" s="1">
        <f>HYPERLINK("http://dx.doi.org/10.1074/jbc.M115.656553","10.1074/jbc.M115.656553")</f>
        <v>0</v>
      </c>
    </row>
    <row r="91" spans="1:4">
      <c r="A91">
        <v>6</v>
      </c>
      <c r="B91" t="s">
        <v>171</v>
      </c>
      <c r="C91" t="s">
        <v>570</v>
      </c>
      <c r="D91" s="1">
        <f>HYPERLINK("https://pubmed.ncbi.nlm.nih.gov/?term=25248598","25248598")</f>
        <v>0</v>
      </c>
    </row>
    <row r="92" spans="1:4">
      <c r="A92">
        <v>6</v>
      </c>
      <c r="B92" t="s">
        <v>172</v>
      </c>
      <c r="C92" t="s">
        <v>570</v>
      </c>
      <c r="D92" s="1">
        <f>HYPERLINK("https://pubmed.ncbi.nlm.nih.gov/?term=27756606","27756606")</f>
        <v>0</v>
      </c>
    </row>
    <row r="93" spans="1:4">
      <c r="A93">
        <v>6</v>
      </c>
      <c r="B93" t="s">
        <v>173</v>
      </c>
      <c r="C93" t="s">
        <v>570</v>
      </c>
      <c r="D93" s="1">
        <f>HYPERLINK("https://pubmed.ncbi.nlm.nih.gov/?term=18082273","18082273")</f>
        <v>0</v>
      </c>
    </row>
    <row r="94" spans="1:4">
      <c r="A94">
        <v>6</v>
      </c>
      <c r="B94" t="s">
        <v>174</v>
      </c>
      <c r="C94" t="s">
        <v>570</v>
      </c>
      <c r="D94" s="1">
        <f>HYPERLINK("https://pubmed.ncbi.nlm.nih.gov/?term=35615762","35615762")</f>
        <v>0</v>
      </c>
    </row>
    <row r="95" spans="1:4">
      <c r="A95">
        <v>6</v>
      </c>
      <c r="B95" t="s">
        <v>175</v>
      </c>
      <c r="C95" t="s">
        <v>571</v>
      </c>
      <c r="D95" s="1">
        <f>HYPERLINK("http://dx.doi.org/10.1515/jpem-2018-0413","10.1515/jpem-2018-0413")</f>
        <v>0</v>
      </c>
    </row>
    <row r="96" spans="1:4">
      <c r="A96">
        <v>6</v>
      </c>
      <c r="B96" t="s">
        <v>176</v>
      </c>
      <c r="C96" t="s">
        <v>570</v>
      </c>
      <c r="D96" s="1">
        <f>HYPERLINK("https://pubmed.ncbi.nlm.nih.gov/?term=29222914","29222914")</f>
        <v>0</v>
      </c>
    </row>
    <row r="97" spans="1:4">
      <c r="A97">
        <v>6</v>
      </c>
      <c r="B97" t="s">
        <v>177</v>
      </c>
      <c r="C97" t="s">
        <v>570</v>
      </c>
      <c r="D97" s="1">
        <f>HYPERLINK("https://pubmed.ncbi.nlm.nih.gov/?term=26416542","26416542")</f>
        <v>0</v>
      </c>
    </row>
    <row r="98" spans="1:4">
      <c r="A98">
        <v>6</v>
      </c>
      <c r="B98" t="s">
        <v>178</v>
      </c>
      <c r="C98" t="s">
        <v>570</v>
      </c>
      <c r="D98" s="1">
        <f>HYPERLINK("https://pubmed.ncbi.nlm.nih.gov/?term=15761532","15761532")</f>
        <v>0</v>
      </c>
    </row>
    <row r="99" spans="1:4">
      <c r="A99">
        <v>6</v>
      </c>
      <c r="B99" t="s">
        <v>179</v>
      </c>
      <c r="C99" t="s">
        <v>570</v>
      </c>
      <c r="D99" s="1">
        <f>HYPERLINK("https://pubmed.ncbi.nlm.nih.gov/?term=24747643","24747643")</f>
        <v>0</v>
      </c>
    </row>
    <row r="100" spans="1:4">
      <c r="A100">
        <v>6</v>
      </c>
      <c r="B100" t="s">
        <v>180</v>
      </c>
      <c r="C100" t="s">
        <v>570</v>
      </c>
      <c r="D100" s="1">
        <f>HYPERLINK("https://pubmed.ncbi.nlm.nih.gov/?term=21167385","21167385")</f>
        <v>0</v>
      </c>
    </row>
    <row r="101" spans="1:4">
      <c r="A101">
        <v>6</v>
      </c>
      <c r="B101" t="s">
        <v>181</v>
      </c>
      <c r="C101" t="s">
        <v>570</v>
      </c>
      <c r="D101" s="1">
        <f>HYPERLINK("https://pubmed.ncbi.nlm.nih.gov/?term=15292298","15292298")</f>
        <v>0</v>
      </c>
    </row>
    <row r="102" spans="1:4">
      <c r="A102">
        <v>6</v>
      </c>
      <c r="B102" t="s">
        <v>182</v>
      </c>
      <c r="C102" t="s">
        <v>570</v>
      </c>
      <c r="D102" s="1">
        <f>HYPERLINK("https://pubmed.ncbi.nlm.nih.gov/?term=19650827","19650827")</f>
        <v>0</v>
      </c>
    </row>
    <row r="103" spans="1:4">
      <c r="A103">
        <v>6</v>
      </c>
      <c r="B103" t="s">
        <v>183</v>
      </c>
      <c r="C103" t="s">
        <v>570</v>
      </c>
      <c r="D103" s="1">
        <f>HYPERLINK("https://pubmed.ncbi.nlm.nih.gov/?term=22420725","22420725")</f>
        <v>0</v>
      </c>
    </row>
    <row r="104" spans="1:4">
      <c r="A104">
        <v>6</v>
      </c>
      <c r="B104" t="s">
        <v>184</v>
      </c>
      <c r="C104" t="s">
        <v>570</v>
      </c>
      <c r="D104" s="1">
        <f>HYPERLINK("https://pubmed.ncbi.nlm.nih.gov/?term=19737912","19737912")</f>
        <v>0</v>
      </c>
    </row>
    <row r="105" spans="1:4">
      <c r="A105">
        <v>6</v>
      </c>
      <c r="B105" t="s">
        <v>185</v>
      </c>
      <c r="C105" t="s">
        <v>570</v>
      </c>
      <c r="D105" s="1">
        <f>HYPERLINK("https://pubmed.ncbi.nlm.nih.gov/?term=17693068","17693068")</f>
        <v>0</v>
      </c>
    </row>
    <row r="106" spans="1:4">
      <c r="A106">
        <v>6</v>
      </c>
      <c r="B106" t="s">
        <v>186</v>
      </c>
      <c r="C106" t="s">
        <v>570</v>
      </c>
      <c r="D106" s="1">
        <f>HYPERLINK("https://pubmed.ncbi.nlm.nih.gov/?term=21540154","21540154")</f>
        <v>0</v>
      </c>
    </row>
    <row r="107" spans="1:4">
      <c r="A107">
        <v>6</v>
      </c>
      <c r="B107" t="s">
        <v>187</v>
      </c>
      <c r="C107" t="s">
        <v>570</v>
      </c>
      <c r="D107" s="1">
        <f>HYPERLINK("https://pubmed.ncbi.nlm.nih.gov/?term=35181411","35181411")</f>
        <v>0</v>
      </c>
    </row>
    <row r="108" spans="1:4">
      <c r="A108">
        <v>6</v>
      </c>
      <c r="B108" t="s">
        <v>188</v>
      </c>
      <c r="C108" t="s">
        <v>570</v>
      </c>
      <c r="D108" s="1">
        <f>HYPERLINK("https://pubmed.ncbi.nlm.nih.gov/?term=29318463","29318463")</f>
        <v>0</v>
      </c>
    </row>
    <row r="109" spans="1:4">
      <c r="A109">
        <v>6</v>
      </c>
      <c r="B109" t="s">
        <v>189</v>
      </c>
      <c r="C109" t="s">
        <v>570</v>
      </c>
      <c r="D109" s="1">
        <f>HYPERLINK("https://pubmed.ncbi.nlm.nih.gov/?term=24499519","24499519")</f>
        <v>0</v>
      </c>
    </row>
    <row r="110" spans="1:4">
      <c r="A110">
        <v>5</v>
      </c>
      <c r="B110" t="s">
        <v>190</v>
      </c>
      <c r="C110" t="s">
        <v>570</v>
      </c>
      <c r="D110" s="1">
        <f>HYPERLINK("https://pubmed.ncbi.nlm.nih.gov/?term=22464252","22464252")</f>
        <v>0</v>
      </c>
    </row>
    <row r="111" spans="1:4">
      <c r="A111">
        <v>5</v>
      </c>
      <c r="B111" t="s">
        <v>191</v>
      </c>
      <c r="C111" t="s">
        <v>570</v>
      </c>
      <c r="D111" s="1">
        <f>HYPERLINK("https://pubmed.ncbi.nlm.nih.gov/?term=22259056","22259056")</f>
        <v>0</v>
      </c>
    </row>
    <row r="112" spans="1:4">
      <c r="A112">
        <v>5</v>
      </c>
      <c r="B112" t="s">
        <v>192</v>
      </c>
      <c r="C112" t="s">
        <v>570</v>
      </c>
      <c r="D112" s="1">
        <f>HYPERLINK("https://pubmed.ncbi.nlm.nih.gov/?term=18056771","18056771")</f>
        <v>0</v>
      </c>
    </row>
    <row r="113" spans="1:4">
      <c r="A113">
        <v>5</v>
      </c>
      <c r="B113" t="s">
        <v>193</v>
      </c>
      <c r="C113" t="s">
        <v>570</v>
      </c>
      <c r="D113" s="1">
        <f>HYPERLINK("https://pubmed.ncbi.nlm.nih.gov/?term=18223213","18223213")</f>
        <v>0</v>
      </c>
    </row>
    <row r="114" spans="1:4">
      <c r="A114">
        <v>5</v>
      </c>
      <c r="B114" t="s">
        <v>194</v>
      </c>
      <c r="C114" t="s">
        <v>571</v>
      </c>
      <c r="D114" s="1">
        <f>HYPERLINK("http://dx.doi.org/10.1016/S0960-0760(03)00213-9","10.1016/S0960-0760(03)00213-9")</f>
        <v>0</v>
      </c>
    </row>
    <row r="115" spans="1:4">
      <c r="A115">
        <v>5</v>
      </c>
      <c r="B115" t="s">
        <v>195</v>
      </c>
      <c r="C115" t="s">
        <v>570</v>
      </c>
      <c r="D115" s="1">
        <f>HYPERLINK("https://pubmed.ncbi.nlm.nih.gov/?term=23043190","23043190")</f>
        <v>0</v>
      </c>
    </row>
    <row r="116" spans="1:4">
      <c r="A116">
        <v>5</v>
      </c>
      <c r="B116" t="s">
        <v>196</v>
      </c>
      <c r="C116" t="s">
        <v>570</v>
      </c>
      <c r="D116" s="1">
        <f>HYPERLINK("https://pubmed.ncbi.nlm.nih.gov/?term=25890363","25890363")</f>
        <v>0</v>
      </c>
    </row>
    <row r="117" spans="1:4">
      <c r="A117">
        <v>4</v>
      </c>
      <c r="B117" t="s">
        <v>197</v>
      </c>
      <c r="C117" t="s">
        <v>570</v>
      </c>
      <c r="D117" s="1">
        <f>HYPERLINK("https://pubmed.ncbi.nlm.nih.gov/?term=29094256","29094256")</f>
        <v>0</v>
      </c>
    </row>
    <row r="118" spans="1:4">
      <c r="A118">
        <v>4</v>
      </c>
      <c r="B118" t="s">
        <v>198</v>
      </c>
      <c r="C118" t="s">
        <v>570</v>
      </c>
      <c r="D118" s="1">
        <f>HYPERLINK("https://pubmed.ncbi.nlm.nih.gov/?term=15982496","15982496")</f>
        <v>0</v>
      </c>
    </row>
    <row r="119" spans="1:4">
      <c r="A119">
        <v>4</v>
      </c>
      <c r="B119" t="s">
        <v>199</v>
      </c>
      <c r="C119" t="s">
        <v>570</v>
      </c>
      <c r="D119" s="1">
        <f>HYPERLINK("https://pubmed.ncbi.nlm.nih.gov/?term=23065993","23065993")</f>
        <v>0</v>
      </c>
    </row>
    <row r="120" spans="1:4">
      <c r="A120">
        <v>4</v>
      </c>
      <c r="B120" t="s">
        <v>200</v>
      </c>
      <c r="C120" t="s">
        <v>570</v>
      </c>
      <c r="D120" s="1">
        <f>HYPERLINK("https://pubmed.ncbi.nlm.nih.gov/?term=24785891","24785891")</f>
        <v>0</v>
      </c>
    </row>
    <row r="121" spans="1:4">
      <c r="A121">
        <v>4</v>
      </c>
      <c r="B121" t="s">
        <v>201</v>
      </c>
      <c r="C121" t="s">
        <v>570</v>
      </c>
      <c r="D121" s="1">
        <f>HYPERLINK("https://pubmed.ncbi.nlm.nih.gov/?term=20833337","20833337")</f>
        <v>0</v>
      </c>
    </row>
    <row r="122" spans="1:4">
      <c r="A122">
        <v>4</v>
      </c>
      <c r="B122" t="s">
        <v>202</v>
      </c>
      <c r="C122" t="s">
        <v>570</v>
      </c>
      <c r="D122" s="1">
        <f>HYPERLINK("https://pubmed.ncbi.nlm.nih.gov/?term=22525408","22525408")</f>
        <v>0</v>
      </c>
    </row>
    <row r="123" spans="1:4">
      <c r="A123">
        <v>4</v>
      </c>
      <c r="B123" t="s">
        <v>203</v>
      </c>
      <c r="C123" t="s">
        <v>570</v>
      </c>
      <c r="D123" s="1">
        <f>HYPERLINK("https://pubmed.ncbi.nlm.nih.gov/?term=27943004","27943004")</f>
        <v>0</v>
      </c>
    </row>
    <row r="124" spans="1:4">
      <c r="A124">
        <v>4</v>
      </c>
      <c r="B124" t="s">
        <v>204</v>
      </c>
      <c r="C124" t="s">
        <v>571</v>
      </c>
      <c r="D124" s="1">
        <f>HYPERLINK("http://dx.doi.org/10.1530/EJE-17-0227","10.1530/EJE-17-0227")</f>
        <v>0</v>
      </c>
    </row>
    <row r="125" spans="1:4">
      <c r="A125">
        <v>4</v>
      </c>
      <c r="B125" t="s">
        <v>205</v>
      </c>
      <c r="C125" t="s">
        <v>570</v>
      </c>
      <c r="D125" s="1">
        <f>HYPERLINK("https://pubmed.ncbi.nlm.nih.gov/?term=22752956","22752956")</f>
        <v>0</v>
      </c>
    </row>
    <row r="126" spans="1:4">
      <c r="A126">
        <v>4</v>
      </c>
      <c r="B126" t="s">
        <v>206</v>
      </c>
      <c r="C126" t="s">
        <v>570</v>
      </c>
      <c r="D126" s="1">
        <f>HYPERLINK("https://pubmed.ncbi.nlm.nih.gov/?term=12431692","12431692")</f>
        <v>0</v>
      </c>
    </row>
    <row r="127" spans="1:4">
      <c r="A127">
        <v>4</v>
      </c>
      <c r="B127" t="s">
        <v>207</v>
      </c>
      <c r="C127" t="s">
        <v>570</v>
      </c>
      <c r="D127" s="1">
        <f>HYPERLINK("https://pubmed.ncbi.nlm.nih.gov/?term=19915019","19915019")</f>
        <v>0</v>
      </c>
    </row>
    <row r="128" spans="1:4">
      <c r="A128">
        <v>4</v>
      </c>
      <c r="B128" t="s">
        <v>208</v>
      </c>
      <c r="C128" t="s">
        <v>570</v>
      </c>
      <c r="D128" s="1">
        <f>HYPERLINK("https://pubmed.ncbi.nlm.nih.gov/?term=16322378","16322378")</f>
        <v>0</v>
      </c>
    </row>
    <row r="129" spans="1:4">
      <c r="A129">
        <v>4</v>
      </c>
      <c r="B129" t="s">
        <v>209</v>
      </c>
      <c r="C129" t="s">
        <v>570</v>
      </c>
      <c r="D129" s="1">
        <f>HYPERLINK("https://pubmed.ncbi.nlm.nih.gov/?term=15850852","15850852")</f>
        <v>0</v>
      </c>
    </row>
    <row r="130" spans="1:4">
      <c r="A130">
        <v>4</v>
      </c>
      <c r="B130" t="s">
        <v>210</v>
      </c>
      <c r="C130" t="s">
        <v>571</v>
      </c>
      <c r="D130" s="1">
        <f>HYPERLINK("http://dx.doi.org/10.1016/j.beem.2020.101428","10.1016/j.beem.2020.101428")</f>
        <v>0</v>
      </c>
    </row>
    <row r="131" spans="1:4">
      <c r="A131">
        <v>4</v>
      </c>
      <c r="B131" t="s">
        <v>211</v>
      </c>
      <c r="C131" t="s">
        <v>570</v>
      </c>
      <c r="D131" s="1">
        <f>HYPERLINK("https://pubmed.ncbi.nlm.nih.gov/?term=16569736","16569736")</f>
        <v>0</v>
      </c>
    </row>
    <row r="132" spans="1:4">
      <c r="A132">
        <v>4</v>
      </c>
      <c r="B132" t="s">
        <v>212</v>
      </c>
      <c r="C132" t="s">
        <v>570</v>
      </c>
      <c r="D132" s="1">
        <f>HYPERLINK("https://pubmed.ncbi.nlm.nih.gov/?term=27460453","27460453")</f>
        <v>0</v>
      </c>
    </row>
    <row r="133" spans="1:4">
      <c r="A133">
        <v>4</v>
      </c>
      <c r="B133" t="s">
        <v>213</v>
      </c>
      <c r="C133" t="s">
        <v>570</v>
      </c>
      <c r="D133" s="1">
        <f>HYPERLINK("https://pubmed.ncbi.nlm.nih.gov/?term=23217369","23217369")</f>
        <v>0</v>
      </c>
    </row>
    <row r="134" spans="1:4">
      <c r="A134">
        <v>4</v>
      </c>
      <c r="B134" t="s">
        <v>214</v>
      </c>
      <c r="C134" t="s">
        <v>570</v>
      </c>
      <c r="D134" s="1">
        <f>HYPERLINK("https://pubmed.ncbi.nlm.nih.gov/?term=27825928","27825928")</f>
        <v>0</v>
      </c>
    </row>
    <row r="135" spans="1:4">
      <c r="A135">
        <v>4</v>
      </c>
      <c r="B135" t="s">
        <v>215</v>
      </c>
      <c r="C135" t="s">
        <v>571</v>
      </c>
      <c r="D135" s="1">
        <f>HYPERLINK("http://dx.doi.org/10.1038/s41379-019-0390-x","10.1038/s41379-019-0390-x")</f>
        <v>0</v>
      </c>
    </row>
    <row r="136" spans="1:4">
      <c r="A136">
        <v>4</v>
      </c>
      <c r="B136" t="s">
        <v>216</v>
      </c>
      <c r="C136" t="s">
        <v>570</v>
      </c>
      <c r="D136" s="1">
        <f>HYPERLINK("https://pubmed.ncbi.nlm.nih.gov/?term=20924687","20924687")</f>
        <v>0</v>
      </c>
    </row>
    <row r="137" spans="1:4">
      <c r="A137">
        <v>4</v>
      </c>
      <c r="B137" t="s">
        <v>217</v>
      </c>
      <c r="C137" t="s">
        <v>570</v>
      </c>
      <c r="D137" s="1">
        <f>HYPERLINK("https://pubmed.ncbi.nlm.nih.gov/?term=21115158","21115158")</f>
        <v>0</v>
      </c>
    </row>
    <row r="138" spans="1:4">
      <c r="A138">
        <v>4</v>
      </c>
      <c r="B138" t="s">
        <v>218</v>
      </c>
      <c r="C138" t="s">
        <v>570</v>
      </c>
      <c r="D138" s="1">
        <f>HYPERLINK("https://pubmed.ncbi.nlm.nih.gov/?term=18350919","18350919")</f>
        <v>0</v>
      </c>
    </row>
    <row r="139" spans="1:4">
      <c r="A139">
        <v>4</v>
      </c>
      <c r="B139" t="s">
        <v>219</v>
      </c>
      <c r="C139" t="s">
        <v>570</v>
      </c>
      <c r="D139" s="1">
        <f>HYPERLINK("https://pubmed.ncbi.nlm.nih.gov/?term=26177325","26177325")</f>
        <v>0</v>
      </c>
    </row>
    <row r="140" spans="1:4">
      <c r="A140">
        <v>4</v>
      </c>
      <c r="B140" t="s">
        <v>220</v>
      </c>
      <c r="C140" t="s">
        <v>570</v>
      </c>
      <c r="D140" s="1">
        <f>HYPERLINK("https://pubmed.ncbi.nlm.nih.gov/?term=28615245","28615245")</f>
        <v>0</v>
      </c>
    </row>
    <row r="141" spans="1:4">
      <c r="A141">
        <v>4</v>
      </c>
      <c r="B141" t="s">
        <v>221</v>
      </c>
      <c r="C141" t="s">
        <v>571</v>
      </c>
      <c r="D141" s="1">
        <f>HYPERLINK("http://dx.doi.org/10.1530/ERC-17-0361","10.1530/ERC-17-0361")</f>
        <v>0</v>
      </c>
    </row>
    <row r="142" spans="1:4">
      <c r="A142">
        <v>4</v>
      </c>
      <c r="B142" t="s">
        <v>222</v>
      </c>
      <c r="C142" t="s">
        <v>570</v>
      </c>
      <c r="D142" s="1">
        <f>HYPERLINK("https://pubmed.ncbi.nlm.nih.gov/?term=35403669","35403669")</f>
        <v>0</v>
      </c>
    </row>
    <row r="143" spans="1:4">
      <c r="A143">
        <v>4</v>
      </c>
      <c r="B143" t="s">
        <v>223</v>
      </c>
      <c r="C143" t="s">
        <v>570</v>
      </c>
      <c r="D143" s="1">
        <f>HYPERLINK("https://pubmed.ncbi.nlm.nih.gov/?term=27694896","27694896")</f>
        <v>0</v>
      </c>
    </row>
    <row r="144" spans="1:4">
      <c r="A144">
        <v>4</v>
      </c>
      <c r="B144" t="s">
        <v>224</v>
      </c>
      <c r="C144" t="s">
        <v>570</v>
      </c>
      <c r="D144" s="1">
        <f>HYPERLINK("https://pubmed.ncbi.nlm.nih.gov/?term=15657440","15657440")</f>
        <v>0</v>
      </c>
    </row>
    <row r="145" spans="1:4">
      <c r="A145">
        <v>4</v>
      </c>
      <c r="B145" t="s">
        <v>225</v>
      </c>
      <c r="C145" t="s">
        <v>570</v>
      </c>
      <c r="D145" s="1">
        <f>HYPERLINK("https://pubmed.ncbi.nlm.nih.gov/?term=29109888","29109888")</f>
        <v>0</v>
      </c>
    </row>
    <row r="146" spans="1:4">
      <c r="A146">
        <v>4</v>
      </c>
      <c r="B146" t="s">
        <v>226</v>
      </c>
      <c r="C146" t="s">
        <v>570</v>
      </c>
      <c r="D146" s="1">
        <f>HYPERLINK("https://pubmed.ncbi.nlm.nih.gov/?term=9843463","9843463")</f>
        <v>0</v>
      </c>
    </row>
    <row r="147" spans="1:4">
      <c r="A147">
        <v>4</v>
      </c>
      <c r="B147" t="s">
        <v>227</v>
      </c>
      <c r="C147" t="s">
        <v>570</v>
      </c>
      <c r="D147" s="1">
        <f>HYPERLINK("https://pubmed.ncbi.nlm.nih.gov/?term=15761655","15761655")</f>
        <v>0</v>
      </c>
    </row>
    <row r="148" spans="1:4">
      <c r="A148">
        <v>4</v>
      </c>
      <c r="B148" t="s">
        <v>228</v>
      </c>
      <c r="C148" t="s">
        <v>570</v>
      </c>
      <c r="D148" s="1">
        <f>HYPERLINK("https://pubmed.ncbi.nlm.nih.gov/?term=747","747")</f>
        <v>0</v>
      </c>
    </row>
    <row r="149" spans="1:4">
      <c r="A149">
        <v>4</v>
      </c>
      <c r="B149" t="s">
        <v>229</v>
      </c>
      <c r="C149" t="s">
        <v>570</v>
      </c>
      <c r="D149" s="1">
        <f>HYPERLINK("https://pubmed.ncbi.nlm.nih.gov/?term=33939912","33939912")</f>
        <v>0</v>
      </c>
    </row>
    <row r="150" spans="1:4">
      <c r="A150">
        <v>4</v>
      </c>
      <c r="B150" t="s">
        <v>230</v>
      </c>
      <c r="C150" t="s">
        <v>570</v>
      </c>
      <c r="D150" s="1">
        <f>HYPERLINK("https://pubmed.ncbi.nlm.nih.gov/?term=15921845","15921845")</f>
        <v>0</v>
      </c>
    </row>
    <row r="151" spans="1:4">
      <c r="A151">
        <v>4</v>
      </c>
      <c r="B151" t="s">
        <v>231</v>
      </c>
      <c r="C151" t="s">
        <v>570</v>
      </c>
      <c r="D151" s="1">
        <f>HYPERLINK("https://pubmed.ncbi.nlm.nih.gov/?term=12021165","12021165")</f>
        <v>0</v>
      </c>
    </row>
    <row r="152" spans="1:4">
      <c r="A152">
        <v>4</v>
      </c>
      <c r="B152" t="s">
        <v>232</v>
      </c>
      <c r="C152" t="s">
        <v>570</v>
      </c>
      <c r="D152" s="1">
        <f>HYPERLINK("https://pubmed.ncbi.nlm.nih.gov/?term=33644619","33644619")</f>
        <v>0</v>
      </c>
    </row>
    <row r="153" spans="1:4">
      <c r="A153">
        <v>4</v>
      </c>
      <c r="B153" t="s">
        <v>233</v>
      </c>
      <c r="C153" t="s">
        <v>570</v>
      </c>
      <c r="D153" s="1">
        <f>HYPERLINK("https://pubmed.ncbi.nlm.nih.gov/?term=19836485","19836485")</f>
        <v>0</v>
      </c>
    </row>
    <row r="154" spans="1:4">
      <c r="A154">
        <v>4</v>
      </c>
      <c r="B154" t="s">
        <v>234</v>
      </c>
      <c r="C154" t="s">
        <v>571</v>
      </c>
      <c r="D154" s="1">
        <f>HYPERLINK("http://dx.doi.org/10.1016/j.det.2019.05.016","10.1016/j.det.2019.05.016")</f>
        <v>0</v>
      </c>
    </row>
    <row r="155" spans="1:4">
      <c r="A155">
        <v>4</v>
      </c>
      <c r="B155" t="s">
        <v>235</v>
      </c>
      <c r="C155" t="s">
        <v>570</v>
      </c>
      <c r="D155" s="1">
        <f>HYPERLINK("https://pubmed.ncbi.nlm.nih.gov/?term=23676592","23676592")</f>
        <v>0</v>
      </c>
    </row>
    <row r="156" spans="1:4">
      <c r="A156">
        <v>4</v>
      </c>
      <c r="B156" t="s">
        <v>236</v>
      </c>
      <c r="C156" t="s">
        <v>570</v>
      </c>
      <c r="D156" s="1">
        <f>HYPERLINK("https://pubmed.ncbi.nlm.nih.gov/?term=16857415","16857415")</f>
        <v>0</v>
      </c>
    </row>
    <row r="157" spans="1:4">
      <c r="A157">
        <v>4</v>
      </c>
      <c r="B157" t="s">
        <v>237</v>
      </c>
      <c r="C157" t="s">
        <v>570</v>
      </c>
      <c r="D157" s="1">
        <f>HYPERLINK("https://pubmed.ncbi.nlm.nih.gov/?term=20880078","20880078")</f>
        <v>0</v>
      </c>
    </row>
    <row r="158" spans="1:4">
      <c r="A158">
        <v>4</v>
      </c>
      <c r="B158" t="s">
        <v>238</v>
      </c>
      <c r="C158" t="s">
        <v>570</v>
      </c>
      <c r="D158" s="1">
        <f>HYPERLINK("https://pubmed.ncbi.nlm.nih.gov/?term=11737307","11737307")</f>
        <v>0</v>
      </c>
    </row>
    <row r="159" spans="1:4">
      <c r="A159">
        <v>4</v>
      </c>
      <c r="B159" t="s">
        <v>239</v>
      </c>
      <c r="C159" t="s">
        <v>570</v>
      </c>
      <c r="D159" s="1">
        <f>HYPERLINK("https://pubmed.ncbi.nlm.nih.gov/?term=16787992","16787992")</f>
        <v>0</v>
      </c>
    </row>
    <row r="160" spans="1:4">
      <c r="A160">
        <v>4</v>
      </c>
      <c r="B160" t="s">
        <v>240</v>
      </c>
      <c r="C160" t="s">
        <v>570</v>
      </c>
      <c r="D160" s="1">
        <f>HYPERLINK("https://pubmed.ncbi.nlm.nih.gov/?term=24316401","24316401")</f>
        <v>0</v>
      </c>
    </row>
    <row r="161" spans="1:4">
      <c r="A161">
        <v>4</v>
      </c>
      <c r="B161" t="s">
        <v>241</v>
      </c>
      <c r="C161" t="s">
        <v>570</v>
      </c>
      <c r="D161" s="1">
        <f>HYPERLINK("https://pubmed.ncbi.nlm.nih.gov/?term=21111774","21111774")</f>
        <v>0</v>
      </c>
    </row>
    <row r="162" spans="1:4">
      <c r="A162">
        <v>4</v>
      </c>
      <c r="B162" t="s">
        <v>242</v>
      </c>
      <c r="C162" t="s">
        <v>570</v>
      </c>
      <c r="D162" s="1">
        <f>HYPERLINK("https://pubmed.ncbi.nlm.nih.gov/?term=19286473","19286473")</f>
        <v>0</v>
      </c>
    </row>
    <row r="163" spans="1:4">
      <c r="A163">
        <v>4</v>
      </c>
      <c r="B163" t="s">
        <v>243</v>
      </c>
      <c r="C163" t="s">
        <v>570</v>
      </c>
      <c r="D163" s="1">
        <f>HYPERLINK("https://pubmed.ncbi.nlm.nih.gov/?term=24020844","24020844")</f>
        <v>0</v>
      </c>
    </row>
    <row r="164" spans="1:4">
      <c r="A164">
        <v>4</v>
      </c>
      <c r="B164" t="s">
        <v>244</v>
      </c>
      <c r="C164" t="s">
        <v>570</v>
      </c>
      <c r="D164" s="1">
        <f>HYPERLINK("https://pubmed.ncbi.nlm.nih.gov/?term=25004313","25004313")</f>
        <v>0</v>
      </c>
    </row>
    <row r="165" spans="1:4">
      <c r="A165">
        <v>4</v>
      </c>
      <c r="B165" t="s">
        <v>245</v>
      </c>
      <c r="C165" t="s">
        <v>570</v>
      </c>
      <c r="D165" s="1">
        <f>HYPERLINK("https://pubmed.ncbi.nlm.nih.gov/?term=28973408","28973408")</f>
        <v>0</v>
      </c>
    </row>
    <row r="166" spans="1:4">
      <c r="A166">
        <v>4</v>
      </c>
      <c r="B166" t="s">
        <v>246</v>
      </c>
      <c r="C166" t="s">
        <v>570</v>
      </c>
      <c r="D166" s="1">
        <f>HYPERLINK("https://pubmed.ncbi.nlm.nih.gov/?term=10690880","10690880")</f>
        <v>0</v>
      </c>
    </row>
    <row r="167" spans="1:4">
      <c r="A167">
        <v>4</v>
      </c>
      <c r="B167" t="s">
        <v>247</v>
      </c>
      <c r="C167" t="s">
        <v>570</v>
      </c>
      <c r="D167" s="1">
        <f>HYPERLINK("https://pubmed.ncbi.nlm.nih.gov/?term=33948334","33948334")</f>
        <v>0</v>
      </c>
    </row>
    <row r="168" spans="1:4">
      <c r="A168">
        <v>4</v>
      </c>
      <c r="B168" t="s">
        <v>248</v>
      </c>
      <c r="C168" t="s">
        <v>570</v>
      </c>
      <c r="D168" s="1">
        <f>HYPERLINK("https://pubmed.ncbi.nlm.nih.gov/?term=25927154","25927154")</f>
        <v>0</v>
      </c>
    </row>
    <row r="169" spans="1:4">
      <c r="A169">
        <v>4</v>
      </c>
      <c r="B169" t="s">
        <v>249</v>
      </c>
      <c r="C169" t="s">
        <v>570</v>
      </c>
      <c r="D169" s="1">
        <f>HYPERLINK("https://pubmed.ncbi.nlm.nih.gov/?term=18760947","18760947")</f>
        <v>0</v>
      </c>
    </row>
    <row r="170" spans="1:4">
      <c r="A170">
        <v>4</v>
      </c>
      <c r="B170" t="s">
        <v>250</v>
      </c>
      <c r="C170" t="s">
        <v>571</v>
      </c>
      <c r="D170" s="1">
        <f>HYPERLINK("http://dx.doi.org/10.1097/PAS.0000000000000975","10.1097/PAS.0000000000000975")</f>
        <v>0</v>
      </c>
    </row>
    <row r="171" spans="1:4">
      <c r="A171">
        <v>4</v>
      </c>
      <c r="B171" t="s">
        <v>251</v>
      </c>
      <c r="C171" t="s">
        <v>570</v>
      </c>
      <c r="D171" s="1">
        <f>HYPERLINK("https://pubmed.ncbi.nlm.nih.gov/?term=35568059","35568059")</f>
        <v>0</v>
      </c>
    </row>
    <row r="172" spans="1:4">
      <c r="A172">
        <v>4</v>
      </c>
      <c r="B172" t="s">
        <v>252</v>
      </c>
      <c r="C172" t="s">
        <v>570</v>
      </c>
      <c r="D172" s="1">
        <f>HYPERLINK("https://pubmed.ncbi.nlm.nih.gov/?term=23315333","23315333")</f>
        <v>0</v>
      </c>
    </row>
    <row r="173" spans="1:4">
      <c r="A173">
        <v>4</v>
      </c>
      <c r="B173" t="s">
        <v>253</v>
      </c>
      <c r="C173" t="s">
        <v>570</v>
      </c>
      <c r="D173" s="1">
        <f>HYPERLINK("https://pubmed.ncbi.nlm.nih.gov/?term=19169478","19169478")</f>
        <v>0</v>
      </c>
    </row>
    <row r="174" spans="1:4">
      <c r="A174">
        <v>4</v>
      </c>
      <c r="B174" t="s">
        <v>254</v>
      </c>
      <c r="C174" t="s">
        <v>571</v>
      </c>
      <c r="D174" s="1">
        <f>HYPERLINK("http://dx.doi.org/10.1016/j.mpdhp.2019.07.005","10.1016/j.mpdhp.2019.07.005")</f>
        <v>0</v>
      </c>
    </row>
    <row r="175" spans="1:4">
      <c r="A175">
        <v>4</v>
      </c>
      <c r="B175" t="s">
        <v>255</v>
      </c>
      <c r="C175" t="s">
        <v>570</v>
      </c>
      <c r="D175" s="1">
        <f>HYPERLINK("https://pubmed.ncbi.nlm.nih.gov/?term=526","526")</f>
        <v>0</v>
      </c>
    </row>
    <row r="176" spans="1:4">
      <c r="A176">
        <v>4</v>
      </c>
      <c r="B176" t="s">
        <v>256</v>
      </c>
      <c r="C176" t="s">
        <v>570</v>
      </c>
      <c r="D176" s="1">
        <f>HYPERLINK("https://pubmed.ncbi.nlm.nih.gov/?term=19539840","19539840")</f>
        <v>0</v>
      </c>
    </row>
    <row r="177" spans="1:4">
      <c r="A177">
        <v>4</v>
      </c>
      <c r="B177" t="s">
        <v>257</v>
      </c>
      <c r="C177" t="s">
        <v>570</v>
      </c>
      <c r="D177" s="1">
        <f>HYPERLINK("https://pubmed.ncbi.nlm.nih.gov/?term=9215269","9215269")</f>
        <v>0</v>
      </c>
    </row>
    <row r="178" spans="1:4">
      <c r="A178">
        <v>4</v>
      </c>
      <c r="B178" t="s">
        <v>258</v>
      </c>
      <c r="C178" t="s">
        <v>570</v>
      </c>
      <c r="D178" s="1">
        <f>HYPERLINK("https://pubmed.ncbi.nlm.nih.gov/?term=35427632","35427632")</f>
        <v>0</v>
      </c>
    </row>
    <row r="179" spans="1:4">
      <c r="A179">
        <v>4</v>
      </c>
      <c r="B179" t="s">
        <v>259</v>
      </c>
      <c r="C179" t="s">
        <v>570</v>
      </c>
      <c r="D179" s="1">
        <f>HYPERLINK("https://pubmed.ncbi.nlm.nih.gov/?term=11407658","11407658")</f>
        <v>0</v>
      </c>
    </row>
    <row r="180" spans="1:4">
      <c r="A180">
        <v>4</v>
      </c>
      <c r="B180" t="s">
        <v>260</v>
      </c>
      <c r="C180" t="s">
        <v>571</v>
      </c>
      <c r="D180" s="1">
        <f>HYPERLINK("http://dx.doi.org/10.1016/j.path.2022.02.009","10.1016/j.path.2022.02.009")</f>
        <v>0</v>
      </c>
    </row>
    <row r="181" spans="1:4">
      <c r="A181">
        <v>4</v>
      </c>
      <c r="B181" t="s">
        <v>261</v>
      </c>
      <c r="C181" t="s">
        <v>571</v>
      </c>
      <c r="D181" s="1">
        <f>HYPERLINK("http://dx.doi.org/10.1016/j.path.2011.08.004","10.1016/j.path.2011.08.004")</f>
        <v>0</v>
      </c>
    </row>
    <row r="182" spans="1:4">
      <c r="A182">
        <v>4</v>
      </c>
      <c r="B182" t="s">
        <v>262</v>
      </c>
      <c r="C182" t="s">
        <v>570</v>
      </c>
      <c r="D182" s="1">
        <f>HYPERLINK("https://pubmed.ncbi.nlm.nih.gov/?term=19708762","19708762")</f>
        <v>0</v>
      </c>
    </row>
    <row r="183" spans="1:4">
      <c r="A183">
        <v>4</v>
      </c>
      <c r="B183" t="s">
        <v>263</v>
      </c>
      <c r="C183" t="s">
        <v>571</v>
      </c>
      <c r="D183" s="1">
        <f>HYPERLINK("http://dx.doi.org/10.4158/EP-2018-0111","10.4158/EP-2018-0111")</f>
        <v>0</v>
      </c>
    </row>
    <row r="184" spans="1:4">
      <c r="A184">
        <v>4</v>
      </c>
      <c r="B184" t="s">
        <v>264</v>
      </c>
      <c r="C184" t="s">
        <v>570</v>
      </c>
      <c r="D184" s="1">
        <f>HYPERLINK("https://pubmed.ncbi.nlm.nih.gov/?term=25226294","25226294")</f>
        <v>0</v>
      </c>
    </row>
    <row r="185" spans="1:4">
      <c r="A185">
        <v>4</v>
      </c>
      <c r="B185" t="s">
        <v>265</v>
      </c>
      <c r="C185" t="s">
        <v>570</v>
      </c>
      <c r="D185" s="1">
        <f>HYPERLINK("https://pubmed.ncbi.nlm.nih.gov/?term=29237939","29237939")</f>
        <v>0</v>
      </c>
    </row>
    <row r="186" spans="1:4">
      <c r="A186">
        <v>4</v>
      </c>
      <c r="B186" t="s">
        <v>266</v>
      </c>
      <c r="C186" t="s">
        <v>570</v>
      </c>
      <c r="D186" s="1">
        <f>HYPERLINK("https://pubmed.ncbi.nlm.nih.gov/?term=27535175","27535175")</f>
        <v>0</v>
      </c>
    </row>
    <row r="187" spans="1:4">
      <c r="A187">
        <v>4</v>
      </c>
      <c r="B187" t="s">
        <v>267</v>
      </c>
      <c r="C187" t="s">
        <v>570</v>
      </c>
      <c r="D187" s="1">
        <f>HYPERLINK("https://pubmed.ncbi.nlm.nih.gov/?term=744","744")</f>
        <v>0</v>
      </c>
    </row>
    <row r="188" spans="1:4">
      <c r="A188">
        <v>4</v>
      </c>
      <c r="B188" t="s">
        <v>268</v>
      </c>
      <c r="C188" t="s">
        <v>570</v>
      </c>
      <c r="D188" s="1">
        <f>HYPERLINK("https://pubmed.ncbi.nlm.nih.gov/?term=35743266","35743266")</f>
        <v>0</v>
      </c>
    </row>
    <row r="189" spans="1:4">
      <c r="A189">
        <v>4</v>
      </c>
      <c r="B189" t="s">
        <v>269</v>
      </c>
      <c r="C189" t="s">
        <v>570</v>
      </c>
      <c r="D189" s="1">
        <f>HYPERLINK("https://pubmed.ncbi.nlm.nih.gov/?term=21444236","21444236")</f>
        <v>0</v>
      </c>
    </row>
    <row r="190" spans="1:4">
      <c r="A190">
        <v>4</v>
      </c>
      <c r="B190" t="s">
        <v>270</v>
      </c>
      <c r="C190" t="s">
        <v>570</v>
      </c>
      <c r="D190" s="1">
        <f>HYPERLINK("https://pubmed.ncbi.nlm.nih.gov/?term=11981026","11981026")</f>
        <v>0</v>
      </c>
    </row>
    <row r="191" spans="1:4">
      <c r="A191">
        <v>4</v>
      </c>
      <c r="B191" t="s">
        <v>271</v>
      </c>
      <c r="C191" t="s">
        <v>571</v>
      </c>
      <c r="D191" s="1">
        <f>HYPERLINK("http://dx.doi.org/10.1016/j.mpdhp.2009.01.002","10.1016/j.mpdhp.2009.01.002")</f>
        <v>0</v>
      </c>
    </row>
    <row r="192" spans="1:4">
      <c r="A192">
        <v>4</v>
      </c>
      <c r="B192" t="s">
        <v>272</v>
      </c>
      <c r="C192" t="s">
        <v>570</v>
      </c>
      <c r="D192" s="1">
        <f>HYPERLINK("https://pubmed.ncbi.nlm.nih.gov/?term=17199165","17199165")</f>
        <v>0</v>
      </c>
    </row>
    <row r="193" spans="1:4">
      <c r="A193">
        <v>4</v>
      </c>
      <c r="B193" t="s">
        <v>273</v>
      </c>
      <c r="C193" t="s">
        <v>570</v>
      </c>
      <c r="D193" s="1">
        <f>HYPERLINK("https://pubmed.ncbi.nlm.nih.gov/?term=11061550","11061550")</f>
        <v>0</v>
      </c>
    </row>
    <row r="194" spans="1:4">
      <c r="A194">
        <v>4</v>
      </c>
      <c r="B194" t="s">
        <v>274</v>
      </c>
      <c r="C194" t="s">
        <v>570</v>
      </c>
      <c r="D194" s="1">
        <f>HYPERLINK("https://pubmed.ncbi.nlm.nih.gov/?term=32097969","32097969")</f>
        <v>0</v>
      </c>
    </row>
    <row r="195" spans="1:4">
      <c r="A195">
        <v>4</v>
      </c>
      <c r="B195" t="s">
        <v>275</v>
      </c>
      <c r="C195" t="s">
        <v>570</v>
      </c>
      <c r="D195" s="1">
        <f>HYPERLINK("https://pubmed.ncbi.nlm.nih.gov/?term=26678830","26678830")</f>
        <v>0</v>
      </c>
    </row>
    <row r="196" spans="1:4">
      <c r="A196">
        <v>4</v>
      </c>
      <c r="B196" t="s">
        <v>276</v>
      </c>
      <c r="C196" t="s">
        <v>570</v>
      </c>
      <c r="D196" s="1">
        <f>HYPERLINK("https://pubmed.ncbi.nlm.nih.gov/?term=10084605","10084605")</f>
        <v>0</v>
      </c>
    </row>
    <row r="197" spans="1:4">
      <c r="A197">
        <v>4</v>
      </c>
      <c r="B197" t="s">
        <v>277</v>
      </c>
      <c r="C197" t="s">
        <v>570</v>
      </c>
      <c r="D197" s="1">
        <f>HYPERLINK("https://pubmed.ncbi.nlm.nih.gov/?term=18423555","18423555")</f>
        <v>0</v>
      </c>
    </row>
    <row r="198" spans="1:4">
      <c r="A198">
        <v>4</v>
      </c>
      <c r="B198" t="s">
        <v>278</v>
      </c>
      <c r="C198" t="s">
        <v>570</v>
      </c>
      <c r="D198" s="1">
        <f>HYPERLINK("https://pubmed.ncbi.nlm.nih.gov/?term=27377598","27377598")</f>
        <v>0</v>
      </c>
    </row>
    <row r="199" spans="1:4">
      <c r="A199">
        <v>4</v>
      </c>
      <c r="B199" t="s">
        <v>279</v>
      </c>
      <c r="C199" t="s">
        <v>571</v>
      </c>
      <c r="D199" s="1">
        <f>HYPERLINK("http://dx.doi.org/10.5858/arpa.2017-0162-RA","10.5858/arpa.2017-0162-RA")</f>
        <v>0</v>
      </c>
    </row>
    <row r="200" spans="1:4">
      <c r="A200">
        <v>4</v>
      </c>
      <c r="B200" t="s">
        <v>280</v>
      </c>
      <c r="C200" t="s">
        <v>570</v>
      </c>
      <c r="D200" s="1">
        <f>HYPERLINK("https://pubmed.ncbi.nlm.nih.gov/?term=23266189","23266189")</f>
        <v>0</v>
      </c>
    </row>
    <row r="201" spans="1:4">
      <c r="A201">
        <v>4</v>
      </c>
      <c r="B201" t="s">
        <v>281</v>
      </c>
      <c r="C201" t="s">
        <v>570</v>
      </c>
      <c r="D201" s="1">
        <f>HYPERLINK("https://pubmed.ncbi.nlm.nih.gov/?term=22281088","22281088")</f>
        <v>0</v>
      </c>
    </row>
    <row r="202" spans="1:4">
      <c r="A202">
        <v>4</v>
      </c>
      <c r="B202" t="s">
        <v>282</v>
      </c>
      <c r="C202" t="s">
        <v>570</v>
      </c>
      <c r="D202" s="1">
        <f>HYPERLINK("https://pubmed.ncbi.nlm.nih.gov/?term=27320062","27320062")</f>
        <v>0</v>
      </c>
    </row>
    <row r="203" spans="1:4">
      <c r="A203">
        <v>4</v>
      </c>
      <c r="B203" t="s">
        <v>283</v>
      </c>
      <c r="C203" t="s">
        <v>570</v>
      </c>
      <c r="D203" s="1">
        <f>HYPERLINK("https://pubmed.ncbi.nlm.nih.gov/?term=18445140","18445140")</f>
        <v>0</v>
      </c>
    </row>
    <row r="204" spans="1:4">
      <c r="A204">
        <v>4</v>
      </c>
      <c r="B204" t="s">
        <v>284</v>
      </c>
      <c r="C204" t="s">
        <v>570</v>
      </c>
      <c r="D204" s="1">
        <f>HYPERLINK("https://pubmed.ncbi.nlm.nih.gov/?term=16229813","16229813")</f>
        <v>0</v>
      </c>
    </row>
    <row r="205" spans="1:4">
      <c r="A205">
        <v>4</v>
      </c>
      <c r="B205" t="s">
        <v>285</v>
      </c>
      <c r="C205" t="s">
        <v>570</v>
      </c>
      <c r="D205" s="1">
        <f>HYPERLINK("https://pubmed.ncbi.nlm.nih.gov/?term=27509071","27509071")</f>
        <v>0</v>
      </c>
    </row>
    <row r="206" spans="1:4">
      <c r="A206">
        <v>4</v>
      </c>
      <c r="B206" t="s">
        <v>286</v>
      </c>
      <c r="C206" t="s">
        <v>570</v>
      </c>
      <c r="D206" s="1">
        <f>HYPERLINK("https://pubmed.ncbi.nlm.nih.gov/?term=22014497","22014497")</f>
        <v>0</v>
      </c>
    </row>
    <row r="207" spans="1:4">
      <c r="A207">
        <v>4</v>
      </c>
      <c r="B207" t="s">
        <v>287</v>
      </c>
      <c r="C207" t="s">
        <v>571</v>
      </c>
      <c r="D207" s="1">
        <f>HYPERLINK("http://dx.doi.org/10.1016/j.beem.2020.101418","10.1016/j.beem.2020.101418")</f>
        <v>0</v>
      </c>
    </row>
    <row r="208" spans="1:4">
      <c r="A208">
        <v>4</v>
      </c>
      <c r="B208" t="s">
        <v>288</v>
      </c>
      <c r="C208" t="s">
        <v>570</v>
      </c>
      <c r="D208" s="1">
        <f>HYPERLINK("https://pubmed.ncbi.nlm.nih.gov/?term=19286161","19286161")</f>
        <v>0</v>
      </c>
    </row>
    <row r="209" spans="1:4">
      <c r="A209">
        <v>4</v>
      </c>
      <c r="B209" t="s">
        <v>289</v>
      </c>
      <c r="C209" t="s">
        <v>570</v>
      </c>
      <c r="D209" s="1">
        <f>HYPERLINK("https://pubmed.ncbi.nlm.nih.gov/?term=20833338","20833338")</f>
        <v>0</v>
      </c>
    </row>
    <row r="210" spans="1:4">
      <c r="A210">
        <v>3</v>
      </c>
      <c r="B210" t="s">
        <v>290</v>
      </c>
      <c r="C210" t="s">
        <v>570</v>
      </c>
      <c r="D210" s="1">
        <f>HYPERLINK("https://pubmed.ncbi.nlm.nih.gov/?term=28051113","28051113")</f>
        <v>0</v>
      </c>
    </row>
    <row r="211" spans="1:4">
      <c r="A211">
        <v>3</v>
      </c>
      <c r="B211" t="s">
        <v>291</v>
      </c>
      <c r="C211" t="s">
        <v>570</v>
      </c>
      <c r="D211" s="1">
        <f>HYPERLINK("https://pubmed.ncbi.nlm.nih.gov/?term=17396442","17396442")</f>
        <v>0</v>
      </c>
    </row>
    <row r="212" spans="1:4">
      <c r="A212">
        <v>3</v>
      </c>
      <c r="B212" t="s">
        <v>292</v>
      </c>
      <c r="C212" t="s">
        <v>570</v>
      </c>
      <c r="D212" s="1">
        <f>HYPERLINK("https://pubmed.ncbi.nlm.nih.gov/?term=23425300","23425300")</f>
        <v>0</v>
      </c>
    </row>
    <row r="213" spans="1:4">
      <c r="A213">
        <v>3</v>
      </c>
      <c r="B213" t="s">
        <v>293</v>
      </c>
      <c r="C213" t="s">
        <v>570</v>
      </c>
      <c r="D213" s="1">
        <f>HYPERLINK("https://pubmed.ncbi.nlm.nih.gov/?term=12213893","12213893")</f>
        <v>0</v>
      </c>
    </row>
    <row r="214" spans="1:4">
      <c r="A214">
        <v>3</v>
      </c>
      <c r="B214" t="s">
        <v>294</v>
      </c>
      <c r="C214" t="s">
        <v>570</v>
      </c>
      <c r="D214" s="1">
        <f>HYPERLINK("https://pubmed.ncbi.nlm.nih.gov/?term=24033266","24033266")</f>
        <v>0</v>
      </c>
    </row>
    <row r="215" spans="1:4">
      <c r="A215">
        <v>3</v>
      </c>
      <c r="B215" t="s">
        <v>295</v>
      </c>
      <c r="C215" t="s">
        <v>570</v>
      </c>
      <c r="D215" s="1">
        <f>HYPERLINK("https://pubmed.ncbi.nlm.nih.gov/?term=29264456","29264456")</f>
        <v>0</v>
      </c>
    </row>
    <row r="216" spans="1:4">
      <c r="A216">
        <v>3</v>
      </c>
      <c r="B216" t="s">
        <v>296</v>
      </c>
      <c r="C216" t="s">
        <v>570</v>
      </c>
      <c r="D216" s="1">
        <f>HYPERLINK("https://pubmed.ncbi.nlm.nih.gov/?term=24088910","24088910")</f>
        <v>0</v>
      </c>
    </row>
    <row r="217" spans="1:4">
      <c r="A217">
        <v>3</v>
      </c>
      <c r="B217" t="s">
        <v>297</v>
      </c>
      <c r="C217" t="s">
        <v>570</v>
      </c>
      <c r="D217" s="1">
        <f>HYPERLINK("https://pubmed.ncbi.nlm.nih.gov/?term=12424709","12424709")</f>
        <v>0</v>
      </c>
    </row>
    <row r="218" spans="1:4">
      <c r="A218">
        <v>2</v>
      </c>
      <c r="B218" t="s">
        <v>298</v>
      </c>
      <c r="C218" t="s">
        <v>571</v>
      </c>
      <c r="D218" s="1">
        <f>HYPERLINK("http://dx.doi.org/10.1016/j.sempedsurg.2020.150927","10.1016/j.sempedsurg.2020.150927")</f>
        <v>0</v>
      </c>
    </row>
    <row r="219" spans="1:4">
      <c r="A219">
        <v>2</v>
      </c>
      <c r="B219" t="s">
        <v>299</v>
      </c>
      <c r="C219" t="s">
        <v>570</v>
      </c>
      <c r="D219" s="1">
        <f>HYPERLINK("https://pubmed.ncbi.nlm.nih.gov/?term=19500768","19500768")</f>
        <v>0</v>
      </c>
    </row>
    <row r="220" spans="1:4">
      <c r="A220">
        <v>2</v>
      </c>
      <c r="B220" t="s">
        <v>300</v>
      </c>
      <c r="C220" t="s">
        <v>570</v>
      </c>
      <c r="D220" s="1">
        <f>HYPERLINK("https://pubmed.ncbi.nlm.nih.gov/?term=18604093","18604093")</f>
        <v>0</v>
      </c>
    </row>
    <row r="221" spans="1:4">
      <c r="A221">
        <v>2</v>
      </c>
      <c r="B221" t="s">
        <v>301</v>
      </c>
      <c r="C221" t="s">
        <v>570</v>
      </c>
      <c r="D221" s="1">
        <f>HYPERLINK("https://pubmed.ncbi.nlm.nih.gov/?term=16378774","16378774")</f>
        <v>0</v>
      </c>
    </row>
    <row r="222" spans="1:4">
      <c r="A222">
        <v>2</v>
      </c>
      <c r="B222" t="s">
        <v>302</v>
      </c>
      <c r="C222" t="s">
        <v>570</v>
      </c>
      <c r="D222" s="1">
        <f>HYPERLINK("https://pubmed.ncbi.nlm.nih.gov/?term=29900146","29900146")</f>
        <v>0</v>
      </c>
    </row>
    <row r="223" spans="1:4">
      <c r="A223">
        <v>2</v>
      </c>
      <c r="B223" t="s">
        <v>303</v>
      </c>
      <c r="C223" t="s">
        <v>570</v>
      </c>
      <c r="D223" s="1">
        <f>HYPERLINK("https://pubmed.ncbi.nlm.nih.gov/?term=22563116","22563116")</f>
        <v>0</v>
      </c>
    </row>
    <row r="224" spans="1:4">
      <c r="A224">
        <v>2</v>
      </c>
      <c r="B224" t="s">
        <v>304</v>
      </c>
      <c r="C224" t="s">
        <v>570</v>
      </c>
      <c r="D224" s="1">
        <f>HYPERLINK("https://pubmed.ncbi.nlm.nih.gov/?term=20026299","20026299")</f>
        <v>0</v>
      </c>
    </row>
    <row r="225" spans="1:4">
      <c r="A225">
        <v>2</v>
      </c>
      <c r="B225" t="s">
        <v>305</v>
      </c>
      <c r="C225" t="s">
        <v>570</v>
      </c>
      <c r="D225" s="1">
        <f>HYPERLINK("https://pubmed.ncbi.nlm.nih.gov/?term=1022","1022")</f>
        <v>0</v>
      </c>
    </row>
    <row r="226" spans="1:4">
      <c r="A226">
        <v>2</v>
      </c>
      <c r="B226" t="s">
        <v>306</v>
      </c>
      <c r="C226" t="s">
        <v>570</v>
      </c>
      <c r="D226" s="1">
        <f>HYPERLINK("https://pubmed.ncbi.nlm.nih.gov/?term=27453662","27453662")</f>
        <v>0</v>
      </c>
    </row>
    <row r="227" spans="1:4">
      <c r="A227">
        <v>2</v>
      </c>
      <c r="B227" t="s">
        <v>307</v>
      </c>
      <c r="C227" t="s">
        <v>570</v>
      </c>
      <c r="D227" s="1">
        <f>HYPERLINK("https://pubmed.ncbi.nlm.nih.gov/?term=32773155","32773155")</f>
        <v>0</v>
      </c>
    </row>
    <row r="228" spans="1:4">
      <c r="A228">
        <v>2</v>
      </c>
      <c r="B228" t="s">
        <v>308</v>
      </c>
      <c r="C228" t="s">
        <v>570</v>
      </c>
      <c r="D228" s="1">
        <f>HYPERLINK("https://pubmed.ncbi.nlm.nih.gov/?term=16001326","16001326")</f>
        <v>0</v>
      </c>
    </row>
    <row r="229" spans="1:4">
      <c r="A229">
        <v>2</v>
      </c>
      <c r="B229" t="s">
        <v>309</v>
      </c>
      <c r="C229" t="s">
        <v>570</v>
      </c>
      <c r="D229" s="1">
        <f>HYPERLINK("https://pubmed.ncbi.nlm.nih.gov/?term=34862711","34862711")</f>
        <v>0</v>
      </c>
    </row>
    <row r="230" spans="1:4">
      <c r="A230">
        <v>2</v>
      </c>
      <c r="B230" t="s">
        <v>310</v>
      </c>
      <c r="C230" t="s">
        <v>571</v>
      </c>
      <c r="D230" s="1">
        <f>HYPERLINK("http://dx.doi.org/10.1097/CCO.0000000000000525","10.1097/CCO.0000000000000525")</f>
        <v>0</v>
      </c>
    </row>
    <row r="231" spans="1:4">
      <c r="A231">
        <v>2</v>
      </c>
      <c r="B231" t="s">
        <v>311</v>
      </c>
      <c r="C231" t="s">
        <v>570</v>
      </c>
      <c r="D231" s="1">
        <f>HYPERLINK("https://pubmed.ncbi.nlm.nih.gov/?term=21900385","21900385")</f>
        <v>0</v>
      </c>
    </row>
    <row r="232" spans="1:4">
      <c r="A232">
        <v>2</v>
      </c>
      <c r="B232" t="s">
        <v>312</v>
      </c>
      <c r="C232" t="s">
        <v>572</v>
      </c>
      <c r="D232" s="1" t="s">
        <v>575</v>
      </c>
    </row>
    <row r="233" spans="1:4">
      <c r="A233">
        <v>2</v>
      </c>
      <c r="B233" t="s">
        <v>313</v>
      </c>
      <c r="C233" t="s">
        <v>570</v>
      </c>
      <c r="D233" s="1">
        <f>HYPERLINK("https://pubmed.ncbi.nlm.nih.gov/?term=18549891","18549891")</f>
        <v>0</v>
      </c>
    </row>
    <row r="234" spans="1:4">
      <c r="A234">
        <v>2</v>
      </c>
      <c r="B234" t="s">
        <v>314</v>
      </c>
      <c r="C234" t="s">
        <v>570</v>
      </c>
      <c r="D234" s="1">
        <f>HYPERLINK("https://pubmed.ncbi.nlm.nih.gov/?term=27940298","27940298")</f>
        <v>0</v>
      </c>
    </row>
    <row r="235" spans="1:4">
      <c r="A235">
        <v>2</v>
      </c>
      <c r="B235" t="s">
        <v>315</v>
      </c>
      <c r="C235" t="s">
        <v>570</v>
      </c>
      <c r="D235" s="1">
        <f>HYPERLINK("https://pubmed.ncbi.nlm.nih.gov/?term=34159396","34159396")</f>
        <v>0</v>
      </c>
    </row>
    <row r="236" spans="1:4">
      <c r="A236">
        <v>2</v>
      </c>
      <c r="B236" t="s">
        <v>316</v>
      </c>
      <c r="C236" t="s">
        <v>570</v>
      </c>
      <c r="D236" s="1">
        <f>HYPERLINK("https://pubmed.ncbi.nlm.nih.gov/?term=17322955","17322955")</f>
        <v>0</v>
      </c>
    </row>
    <row r="237" spans="1:4">
      <c r="A237">
        <v>2</v>
      </c>
      <c r="B237" t="s">
        <v>317</v>
      </c>
      <c r="C237" t="s">
        <v>570</v>
      </c>
      <c r="D237" s="1">
        <f>HYPERLINK("https://pubmed.ncbi.nlm.nih.gov/?term=17128664","17128664")</f>
        <v>0</v>
      </c>
    </row>
    <row r="238" spans="1:4">
      <c r="A238">
        <v>2</v>
      </c>
      <c r="B238" t="s">
        <v>318</v>
      </c>
      <c r="C238" t="s">
        <v>570</v>
      </c>
      <c r="D238" s="1">
        <f>HYPERLINK("https://pubmed.ncbi.nlm.nih.gov/?term=23771922","23771922")</f>
        <v>0</v>
      </c>
    </row>
    <row r="239" spans="1:4">
      <c r="A239">
        <v>2</v>
      </c>
      <c r="B239" t="s">
        <v>319</v>
      </c>
      <c r="C239" t="s">
        <v>570</v>
      </c>
      <c r="D239" s="1">
        <f>HYPERLINK("https://pubmed.ncbi.nlm.nih.gov/?term=26042218","26042218")</f>
        <v>0</v>
      </c>
    </row>
    <row r="240" spans="1:4">
      <c r="A240">
        <v>2</v>
      </c>
      <c r="B240" t="s">
        <v>320</v>
      </c>
      <c r="C240" t="s">
        <v>570</v>
      </c>
      <c r="D240" s="1">
        <f>HYPERLINK("https://pubmed.ncbi.nlm.nih.gov/?term=24302625","24302625")</f>
        <v>0</v>
      </c>
    </row>
    <row r="241" spans="1:4">
      <c r="A241">
        <v>2</v>
      </c>
      <c r="B241" t="s">
        <v>321</v>
      </c>
      <c r="C241" t="s">
        <v>570</v>
      </c>
      <c r="D241" s="1">
        <f>HYPERLINK("https://pubmed.ncbi.nlm.nih.gov/?term=18548895","18548895")</f>
        <v>0</v>
      </c>
    </row>
    <row r="242" spans="1:4">
      <c r="A242">
        <v>2</v>
      </c>
      <c r="B242" t="s">
        <v>322</v>
      </c>
      <c r="C242" t="s">
        <v>570</v>
      </c>
      <c r="D242" s="1">
        <f>HYPERLINK("https://pubmed.ncbi.nlm.nih.gov/?term=18672144","18672144")</f>
        <v>0</v>
      </c>
    </row>
    <row r="243" spans="1:4">
      <c r="A243">
        <v>2</v>
      </c>
      <c r="B243" t="s">
        <v>323</v>
      </c>
      <c r="C243" t="s">
        <v>570</v>
      </c>
      <c r="D243" s="1">
        <f>HYPERLINK("https://pubmed.ncbi.nlm.nih.gov/?term=16491075","16491075")</f>
        <v>0</v>
      </c>
    </row>
    <row r="244" spans="1:4">
      <c r="A244">
        <v>2</v>
      </c>
      <c r="B244" t="s">
        <v>324</v>
      </c>
      <c r="C244" t="s">
        <v>570</v>
      </c>
      <c r="D244" s="1">
        <f>HYPERLINK("https://pubmed.ncbi.nlm.nih.gov/?term=20531296","20531296")</f>
        <v>0</v>
      </c>
    </row>
    <row r="245" spans="1:4">
      <c r="A245">
        <v>2</v>
      </c>
      <c r="B245" t="s">
        <v>325</v>
      </c>
      <c r="C245" t="s">
        <v>570</v>
      </c>
      <c r="D245" s="1">
        <f>HYPERLINK("https://pubmed.ncbi.nlm.nih.gov/?term=1098","1098")</f>
        <v>0</v>
      </c>
    </row>
    <row r="246" spans="1:4">
      <c r="A246">
        <v>2</v>
      </c>
      <c r="B246" t="s">
        <v>326</v>
      </c>
      <c r="C246" t="s">
        <v>570</v>
      </c>
      <c r="D246" s="1">
        <f>HYPERLINK("https://pubmed.ncbi.nlm.nih.gov/?term=26204136","26204136")</f>
        <v>0</v>
      </c>
    </row>
    <row r="247" spans="1:4">
      <c r="A247">
        <v>2</v>
      </c>
      <c r="B247" t="s">
        <v>327</v>
      </c>
      <c r="C247" t="s">
        <v>570</v>
      </c>
      <c r="D247" s="1">
        <f>HYPERLINK("https://pubmed.ncbi.nlm.nih.gov/?term=31707590","31707590")</f>
        <v>0</v>
      </c>
    </row>
    <row r="248" spans="1:4">
      <c r="A248">
        <v>2</v>
      </c>
      <c r="B248" t="s">
        <v>328</v>
      </c>
      <c r="C248" t="s">
        <v>570</v>
      </c>
      <c r="D248" s="1">
        <f>HYPERLINK("https://pubmed.ncbi.nlm.nih.gov/?term=22306211","22306211")</f>
        <v>0</v>
      </c>
    </row>
    <row r="249" spans="1:4">
      <c r="A249">
        <v>2</v>
      </c>
      <c r="B249" t="s">
        <v>329</v>
      </c>
      <c r="C249" t="s">
        <v>570</v>
      </c>
      <c r="D249" s="1">
        <f>HYPERLINK("https://pubmed.ncbi.nlm.nih.gov/?term=22514108","22514108")</f>
        <v>0</v>
      </c>
    </row>
    <row r="250" spans="1:4">
      <c r="A250">
        <v>2</v>
      </c>
      <c r="B250" t="s">
        <v>330</v>
      </c>
      <c r="C250" t="s">
        <v>570</v>
      </c>
      <c r="D250" s="1">
        <f>HYPERLINK("https://pubmed.ncbi.nlm.nih.gov/?term=20159461","20159461")</f>
        <v>0</v>
      </c>
    </row>
    <row r="251" spans="1:4">
      <c r="A251">
        <v>2</v>
      </c>
      <c r="B251" t="s">
        <v>331</v>
      </c>
      <c r="C251" t="s">
        <v>570</v>
      </c>
      <c r="D251" s="1">
        <f>HYPERLINK("https://pubmed.ncbi.nlm.nih.gov/?term=16696379","16696379")</f>
        <v>0</v>
      </c>
    </row>
    <row r="252" spans="1:4">
      <c r="A252">
        <v>2</v>
      </c>
      <c r="B252" t="s">
        <v>332</v>
      </c>
      <c r="C252" t="s">
        <v>571</v>
      </c>
      <c r="D252" s="1">
        <f>HYPERLINK("http://dx.doi.org/10.1016/j.ejso.2022.02.005","10.1016/j.ejso.2022.02.005")</f>
        <v>0</v>
      </c>
    </row>
    <row r="253" spans="1:4">
      <c r="A253">
        <v>2</v>
      </c>
      <c r="B253" t="s">
        <v>333</v>
      </c>
      <c r="C253" t="s">
        <v>570</v>
      </c>
      <c r="D253" s="1">
        <f>HYPERLINK("https://pubmed.ncbi.nlm.nih.gov/?term=9141510","9141510")</f>
        <v>0</v>
      </c>
    </row>
    <row r="254" spans="1:4">
      <c r="A254">
        <v>2</v>
      </c>
      <c r="B254" t="s">
        <v>334</v>
      </c>
      <c r="C254" t="s">
        <v>570</v>
      </c>
      <c r="D254" s="1">
        <f>HYPERLINK("https://pubmed.ncbi.nlm.nih.gov/?term=14985329","14985329")</f>
        <v>0</v>
      </c>
    </row>
    <row r="255" spans="1:4">
      <c r="A255">
        <v>2</v>
      </c>
      <c r="B255" t="s">
        <v>335</v>
      </c>
      <c r="C255" t="s">
        <v>570</v>
      </c>
      <c r="D255" s="1">
        <f>HYPERLINK("https://pubmed.ncbi.nlm.nih.gov/?term=32302974","32302974")</f>
        <v>0</v>
      </c>
    </row>
    <row r="256" spans="1:4">
      <c r="A256">
        <v>2</v>
      </c>
      <c r="B256" t="s">
        <v>336</v>
      </c>
      <c r="C256" t="s">
        <v>572</v>
      </c>
      <c r="D256" s="1" t="s">
        <v>576</v>
      </c>
    </row>
    <row r="257" spans="1:4">
      <c r="A257">
        <v>2</v>
      </c>
      <c r="B257" t="s">
        <v>337</v>
      </c>
      <c r="C257" t="s">
        <v>570</v>
      </c>
      <c r="D257" s="1">
        <f>HYPERLINK("https://pubmed.ncbi.nlm.nih.gov/?term=22166941","22166941")</f>
        <v>0</v>
      </c>
    </row>
    <row r="258" spans="1:4">
      <c r="A258">
        <v>2</v>
      </c>
      <c r="B258" t="s">
        <v>338</v>
      </c>
      <c r="C258" t="s">
        <v>570</v>
      </c>
      <c r="D258" s="1">
        <f>HYPERLINK("https://pubmed.ncbi.nlm.nih.gov/?term=18226732","18226732")</f>
        <v>0</v>
      </c>
    </row>
    <row r="259" spans="1:4">
      <c r="A259">
        <v>2</v>
      </c>
      <c r="B259" t="s">
        <v>339</v>
      </c>
      <c r="C259" t="s">
        <v>570</v>
      </c>
      <c r="D259" s="1">
        <f>HYPERLINK("https://pubmed.ncbi.nlm.nih.gov/?term=15368482","15368482")</f>
        <v>0</v>
      </c>
    </row>
    <row r="260" spans="1:4">
      <c r="A260">
        <v>2</v>
      </c>
      <c r="B260" t="s">
        <v>340</v>
      </c>
      <c r="C260" t="s">
        <v>570</v>
      </c>
      <c r="D260" s="1">
        <f>HYPERLINK("https://pubmed.ncbi.nlm.nih.gov/?term=18827002","18827002")</f>
        <v>0</v>
      </c>
    </row>
    <row r="261" spans="1:4">
      <c r="A261">
        <v>2</v>
      </c>
      <c r="B261" t="s">
        <v>341</v>
      </c>
      <c r="C261" t="s">
        <v>570</v>
      </c>
      <c r="D261" s="1">
        <f>HYPERLINK("https://pubmed.ncbi.nlm.nih.gov/?term=15177315","15177315")</f>
        <v>0</v>
      </c>
    </row>
    <row r="262" spans="1:4">
      <c r="A262">
        <v>2</v>
      </c>
      <c r="B262" t="s">
        <v>342</v>
      </c>
      <c r="C262" t="s">
        <v>570</v>
      </c>
      <c r="D262" s="1">
        <f>HYPERLINK("https://pubmed.ncbi.nlm.nih.gov/?term=20951316","20951316")</f>
        <v>0</v>
      </c>
    </row>
    <row r="263" spans="1:4">
      <c r="A263">
        <v>2</v>
      </c>
      <c r="B263" t="s">
        <v>343</v>
      </c>
      <c r="C263" t="s">
        <v>570</v>
      </c>
      <c r="D263" s="1">
        <f>HYPERLINK("https://pubmed.ncbi.nlm.nih.gov/?term=23995348","23995348")</f>
        <v>0</v>
      </c>
    </row>
    <row r="264" spans="1:4">
      <c r="A264">
        <v>2</v>
      </c>
      <c r="B264" t="s">
        <v>344</v>
      </c>
      <c r="C264" t="s">
        <v>570</v>
      </c>
      <c r="D264" s="1">
        <f>HYPERLINK("https://pubmed.ncbi.nlm.nih.gov/?term=33682474","33682474")</f>
        <v>0</v>
      </c>
    </row>
    <row r="265" spans="1:4">
      <c r="A265">
        <v>2</v>
      </c>
      <c r="B265" t="s">
        <v>345</v>
      </c>
      <c r="C265" t="s">
        <v>570</v>
      </c>
      <c r="D265" s="1">
        <f>HYPERLINK("https://pubmed.ncbi.nlm.nih.gov/?term=12670039","12670039")</f>
        <v>0</v>
      </c>
    </row>
    <row r="266" spans="1:4">
      <c r="A266">
        <v>2</v>
      </c>
      <c r="B266" t="s">
        <v>346</v>
      </c>
      <c r="C266" t="s">
        <v>570</v>
      </c>
      <c r="D266" s="1">
        <f>HYPERLINK("https://pubmed.ncbi.nlm.nih.gov/?term=30206679","30206679")</f>
        <v>0</v>
      </c>
    </row>
    <row r="267" spans="1:4">
      <c r="A267">
        <v>2</v>
      </c>
      <c r="B267" t="s">
        <v>347</v>
      </c>
      <c r="C267" t="s">
        <v>570</v>
      </c>
      <c r="D267" s="1">
        <f>HYPERLINK("https://pubmed.ncbi.nlm.nih.gov/?term=34611929","34611929")</f>
        <v>0</v>
      </c>
    </row>
    <row r="268" spans="1:4">
      <c r="A268">
        <v>2</v>
      </c>
      <c r="B268" t="s">
        <v>348</v>
      </c>
      <c r="C268" t="s">
        <v>570</v>
      </c>
      <c r="D268" s="1">
        <f>HYPERLINK("https://pubmed.ncbi.nlm.nih.gov/?term=18419788","18419788")</f>
        <v>0</v>
      </c>
    </row>
    <row r="269" spans="1:4">
      <c r="A269">
        <v>2</v>
      </c>
      <c r="B269" t="s">
        <v>349</v>
      </c>
      <c r="C269" t="s">
        <v>570</v>
      </c>
      <c r="D269" s="1">
        <f>HYPERLINK("https://pubmed.ncbi.nlm.nih.gov/?term=974","974")</f>
        <v>0</v>
      </c>
    </row>
    <row r="270" spans="1:4">
      <c r="A270">
        <v>2</v>
      </c>
      <c r="B270" t="s">
        <v>350</v>
      </c>
      <c r="C270" t="s">
        <v>570</v>
      </c>
      <c r="D270" s="1">
        <f>HYPERLINK("https://pubmed.ncbi.nlm.nih.gov/?term=28522647","28522647")</f>
        <v>0</v>
      </c>
    </row>
    <row r="271" spans="1:4">
      <c r="A271">
        <v>2</v>
      </c>
      <c r="B271" t="s">
        <v>351</v>
      </c>
      <c r="C271" t="s">
        <v>570</v>
      </c>
      <c r="D271" s="1">
        <f>HYPERLINK("https://pubmed.ncbi.nlm.nih.gov/?term=16109722","16109722")</f>
        <v>0</v>
      </c>
    </row>
    <row r="272" spans="1:4">
      <c r="A272">
        <v>2</v>
      </c>
      <c r="B272" t="s">
        <v>352</v>
      </c>
      <c r="C272" t="s">
        <v>570</v>
      </c>
      <c r="D272" s="1">
        <f>HYPERLINK("https://pubmed.ncbi.nlm.nih.gov/?term=21291531","21291531")</f>
        <v>0</v>
      </c>
    </row>
    <row r="273" spans="1:4">
      <c r="A273">
        <v>2</v>
      </c>
      <c r="B273" t="s">
        <v>353</v>
      </c>
      <c r="C273" t="s">
        <v>570</v>
      </c>
      <c r="D273" s="1">
        <f>HYPERLINK("https://pubmed.ncbi.nlm.nih.gov/?term=34774791","34774791")</f>
        <v>0</v>
      </c>
    </row>
    <row r="274" spans="1:4">
      <c r="A274">
        <v>2</v>
      </c>
      <c r="B274" t="s">
        <v>354</v>
      </c>
      <c r="C274" t="s">
        <v>570</v>
      </c>
      <c r="D274" s="1">
        <f>HYPERLINK("https://pubmed.ncbi.nlm.nih.gov/?term=19178533","19178533")</f>
        <v>0</v>
      </c>
    </row>
    <row r="275" spans="1:4">
      <c r="A275">
        <v>2</v>
      </c>
      <c r="B275" t="s">
        <v>355</v>
      </c>
      <c r="C275" t="s">
        <v>570</v>
      </c>
      <c r="D275" s="1">
        <f>HYPERLINK("https://pubmed.ncbi.nlm.nih.gov/?term=9694579","9694579")</f>
        <v>0</v>
      </c>
    </row>
    <row r="276" spans="1:4">
      <c r="A276">
        <v>2</v>
      </c>
      <c r="B276" t="s">
        <v>356</v>
      </c>
      <c r="C276" t="s">
        <v>570</v>
      </c>
      <c r="D276" s="1">
        <f>HYPERLINK("https://pubmed.ncbi.nlm.nih.gov/?term=23640426","23640426")</f>
        <v>0</v>
      </c>
    </row>
    <row r="277" spans="1:4">
      <c r="A277">
        <v>2</v>
      </c>
      <c r="B277" t="s">
        <v>357</v>
      </c>
      <c r="C277" t="s">
        <v>570</v>
      </c>
      <c r="D277" s="1">
        <f>HYPERLINK("https://pubmed.ncbi.nlm.nih.gov/?term=25440720","25440720")</f>
        <v>0</v>
      </c>
    </row>
    <row r="278" spans="1:4">
      <c r="A278">
        <v>2</v>
      </c>
      <c r="B278" t="s">
        <v>358</v>
      </c>
      <c r="C278" t="s">
        <v>570</v>
      </c>
      <c r="D278" s="1">
        <f>HYPERLINK("https://pubmed.ncbi.nlm.nih.gov/?term=24512487","24512487")</f>
        <v>0</v>
      </c>
    </row>
    <row r="279" spans="1:4">
      <c r="A279">
        <v>2</v>
      </c>
      <c r="B279" t="s">
        <v>359</v>
      </c>
      <c r="C279" t="s">
        <v>573</v>
      </c>
      <c r="D279" s="1">
        <f>HYPERLINK("https://clinicaltrials.gov/ct2/show/NCT01560260","NCT01560260")</f>
        <v>0</v>
      </c>
    </row>
    <row r="280" spans="1:4">
      <c r="A280">
        <v>2</v>
      </c>
      <c r="B280" t="s">
        <v>360</v>
      </c>
      <c r="C280" t="s">
        <v>570</v>
      </c>
      <c r="D280" s="1">
        <f>HYPERLINK("https://pubmed.ncbi.nlm.nih.gov/?term=26038202","26038202")</f>
        <v>0</v>
      </c>
    </row>
    <row r="281" spans="1:4">
      <c r="A281">
        <v>2</v>
      </c>
      <c r="B281" t="s">
        <v>361</v>
      </c>
      <c r="C281" t="s">
        <v>570</v>
      </c>
      <c r="D281" s="1">
        <f>HYPERLINK("https://pubmed.ncbi.nlm.nih.gov/?term=15816372","15816372")</f>
        <v>0</v>
      </c>
    </row>
    <row r="282" spans="1:4">
      <c r="A282">
        <v>2</v>
      </c>
      <c r="B282" t="s">
        <v>362</v>
      </c>
      <c r="C282" t="s">
        <v>570</v>
      </c>
      <c r="D282" s="1">
        <f>HYPERLINK("https://pubmed.ncbi.nlm.nih.gov/?term=28161730","28161730")</f>
        <v>0</v>
      </c>
    </row>
    <row r="283" spans="1:4">
      <c r="A283">
        <v>2</v>
      </c>
      <c r="B283" t="s">
        <v>363</v>
      </c>
      <c r="C283" t="s">
        <v>570</v>
      </c>
      <c r="D283" s="1">
        <f>HYPERLINK("https://pubmed.ncbi.nlm.nih.gov/?term=28710192","28710192")</f>
        <v>0</v>
      </c>
    </row>
    <row r="284" spans="1:4">
      <c r="A284">
        <v>2</v>
      </c>
      <c r="B284" t="s">
        <v>364</v>
      </c>
      <c r="C284" t="s">
        <v>570</v>
      </c>
      <c r="D284" s="1">
        <f>HYPERLINK("https://pubmed.ncbi.nlm.nih.gov/?term=17932105","17932105")</f>
        <v>0</v>
      </c>
    </row>
    <row r="285" spans="1:4">
      <c r="A285">
        <v>2</v>
      </c>
      <c r="B285" t="s">
        <v>365</v>
      </c>
      <c r="C285" t="s">
        <v>570</v>
      </c>
      <c r="D285" s="1">
        <f>HYPERLINK("https://pubmed.ncbi.nlm.nih.gov/?term=32299111","32299111")</f>
        <v>0</v>
      </c>
    </row>
    <row r="286" spans="1:4">
      <c r="A286">
        <v>2</v>
      </c>
      <c r="B286" t="s">
        <v>366</v>
      </c>
      <c r="C286" t="s">
        <v>570</v>
      </c>
      <c r="D286" s="1">
        <f>HYPERLINK("https://pubmed.ncbi.nlm.nih.gov/?term=34689149","34689149")</f>
        <v>0</v>
      </c>
    </row>
    <row r="287" spans="1:4">
      <c r="A287">
        <v>2</v>
      </c>
      <c r="B287" t="s">
        <v>367</v>
      </c>
      <c r="C287" t="s">
        <v>570</v>
      </c>
      <c r="D287" s="1">
        <f>HYPERLINK("https://pubmed.ncbi.nlm.nih.gov/?term=11502813","11502813")</f>
        <v>0</v>
      </c>
    </row>
    <row r="288" spans="1:4">
      <c r="A288">
        <v>2</v>
      </c>
      <c r="B288" t="s">
        <v>368</v>
      </c>
      <c r="C288" t="s">
        <v>570</v>
      </c>
      <c r="D288" s="1">
        <f>HYPERLINK("https://pubmed.ncbi.nlm.nih.gov/?term=22723333","22723333")</f>
        <v>0</v>
      </c>
    </row>
    <row r="289" spans="1:4">
      <c r="A289">
        <v>2</v>
      </c>
      <c r="B289" t="s">
        <v>369</v>
      </c>
      <c r="C289" t="s">
        <v>570</v>
      </c>
      <c r="D289" s="1">
        <f>HYPERLINK("https://pubmed.ncbi.nlm.nih.gov/?term=22981398","22981398")</f>
        <v>0</v>
      </c>
    </row>
    <row r="290" spans="1:4">
      <c r="A290">
        <v>2</v>
      </c>
      <c r="B290" t="s">
        <v>370</v>
      </c>
      <c r="C290" t="s">
        <v>570</v>
      </c>
      <c r="D290" s="1">
        <f>HYPERLINK("https://pubmed.ncbi.nlm.nih.gov/?term=23045281","23045281")</f>
        <v>0</v>
      </c>
    </row>
    <row r="291" spans="1:4">
      <c r="A291">
        <v>2</v>
      </c>
      <c r="B291" t="s">
        <v>371</v>
      </c>
      <c r="C291" t="s">
        <v>570</v>
      </c>
      <c r="D291" s="1">
        <f>HYPERLINK("https://pubmed.ncbi.nlm.nih.gov/?term=10776991","10776991")</f>
        <v>0</v>
      </c>
    </row>
    <row r="292" spans="1:4">
      <c r="A292">
        <v>2</v>
      </c>
      <c r="B292" t="s">
        <v>372</v>
      </c>
      <c r="C292" t="s">
        <v>570</v>
      </c>
      <c r="D292" s="1">
        <f>HYPERLINK("https://pubmed.ncbi.nlm.nih.gov/?term=18282736","18282736")</f>
        <v>0</v>
      </c>
    </row>
    <row r="293" spans="1:4">
      <c r="A293">
        <v>2</v>
      </c>
      <c r="B293" t="s">
        <v>373</v>
      </c>
      <c r="C293" t="s">
        <v>570</v>
      </c>
      <c r="D293" s="1">
        <f>HYPERLINK("https://pubmed.ncbi.nlm.nih.gov/?term=492","492")</f>
        <v>0</v>
      </c>
    </row>
    <row r="294" spans="1:4">
      <c r="A294">
        <v>2</v>
      </c>
      <c r="B294" t="s">
        <v>374</v>
      </c>
      <c r="C294" t="s">
        <v>570</v>
      </c>
      <c r="D294" s="1">
        <f>HYPERLINK("https://pubmed.ncbi.nlm.nih.gov/?term=19056041","19056041")</f>
        <v>0</v>
      </c>
    </row>
    <row r="295" spans="1:4">
      <c r="A295">
        <v>2</v>
      </c>
      <c r="B295" t="s">
        <v>375</v>
      </c>
      <c r="C295" t="s">
        <v>570</v>
      </c>
      <c r="D295" s="1">
        <f>HYPERLINK("https://pubmed.ncbi.nlm.nih.gov/?term=30897549","30897549")</f>
        <v>0</v>
      </c>
    </row>
    <row r="296" spans="1:4">
      <c r="A296">
        <v>2</v>
      </c>
      <c r="B296" t="s">
        <v>376</v>
      </c>
      <c r="C296" t="s">
        <v>570</v>
      </c>
      <c r="D296" s="1">
        <f>HYPERLINK("https://pubmed.ncbi.nlm.nih.gov/?term=23522175","23522175")</f>
        <v>0</v>
      </c>
    </row>
    <row r="297" spans="1:4">
      <c r="A297">
        <v>2</v>
      </c>
      <c r="B297" t="s">
        <v>377</v>
      </c>
      <c r="C297" t="s">
        <v>570</v>
      </c>
      <c r="D297" s="1">
        <f>HYPERLINK("https://pubmed.ncbi.nlm.nih.gov/?term=30442879","30442879")</f>
        <v>0</v>
      </c>
    </row>
    <row r="298" spans="1:4">
      <c r="A298">
        <v>2</v>
      </c>
      <c r="B298" t="s">
        <v>378</v>
      </c>
      <c r="C298" t="s">
        <v>571</v>
      </c>
      <c r="D298" s="1">
        <f>HYPERLINK("http://dx.doi.org/10.1016/j.amjoto.2022.103404","10.1016/j.amjoto.2022.103404")</f>
        <v>0</v>
      </c>
    </row>
    <row r="299" spans="1:4">
      <c r="A299">
        <v>2</v>
      </c>
      <c r="B299" t="s">
        <v>379</v>
      </c>
      <c r="C299" t="s">
        <v>570</v>
      </c>
      <c r="D299" s="1">
        <f>HYPERLINK("https://pubmed.ncbi.nlm.nih.gov/?term=8386144","8386144")</f>
        <v>0</v>
      </c>
    </row>
    <row r="300" spans="1:4">
      <c r="A300">
        <v>2</v>
      </c>
      <c r="B300" t="s">
        <v>380</v>
      </c>
      <c r="C300" t="s">
        <v>570</v>
      </c>
      <c r="D300" s="1">
        <f>HYPERLINK("https://pubmed.ncbi.nlm.nih.gov/?term=16891114","16891114")</f>
        <v>0</v>
      </c>
    </row>
    <row r="301" spans="1:4">
      <c r="A301">
        <v>2</v>
      </c>
      <c r="B301" t="s">
        <v>381</v>
      </c>
      <c r="C301" t="s">
        <v>570</v>
      </c>
      <c r="D301" s="1">
        <f>HYPERLINK("https://pubmed.ncbi.nlm.nih.gov/?term=20883921","20883921")</f>
        <v>0</v>
      </c>
    </row>
    <row r="302" spans="1:4">
      <c r="A302">
        <v>2</v>
      </c>
      <c r="B302" t="s">
        <v>382</v>
      </c>
      <c r="C302" t="s">
        <v>570</v>
      </c>
      <c r="D302" s="1">
        <f>HYPERLINK("https://pubmed.ncbi.nlm.nih.gov/?term=10647642","10647642")</f>
        <v>0</v>
      </c>
    </row>
    <row r="303" spans="1:4">
      <c r="A303">
        <v>2</v>
      </c>
      <c r="B303" t="s">
        <v>383</v>
      </c>
      <c r="C303" t="s">
        <v>570</v>
      </c>
      <c r="D303" s="1">
        <f>HYPERLINK("https://pubmed.ncbi.nlm.nih.gov/?term=12532046","12532046")</f>
        <v>0</v>
      </c>
    </row>
    <row r="304" spans="1:4">
      <c r="A304">
        <v>2</v>
      </c>
      <c r="B304" t="s">
        <v>384</v>
      </c>
      <c r="C304" t="s">
        <v>570</v>
      </c>
      <c r="D304" s="1">
        <f>HYPERLINK("https://pubmed.ncbi.nlm.nih.gov/?term=32207702","32207702")</f>
        <v>0</v>
      </c>
    </row>
    <row r="305" spans="1:4">
      <c r="A305">
        <v>2</v>
      </c>
      <c r="B305" t="s">
        <v>385</v>
      </c>
      <c r="C305" t="s">
        <v>570</v>
      </c>
      <c r="D305" s="1">
        <f>HYPERLINK("https://pubmed.ncbi.nlm.nih.gov/?term=10523219","10523219")</f>
        <v>0</v>
      </c>
    </row>
    <row r="306" spans="1:4">
      <c r="A306">
        <v>2</v>
      </c>
      <c r="B306" t="s">
        <v>386</v>
      </c>
      <c r="C306" t="s">
        <v>570</v>
      </c>
      <c r="D306" s="1">
        <f>HYPERLINK("https://pubmed.ncbi.nlm.nih.gov/?term=22471738","22471738")</f>
        <v>0</v>
      </c>
    </row>
    <row r="307" spans="1:4">
      <c r="A307">
        <v>2</v>
      </c>
      <c r="B307" t="s">
        <v>387</v>
      </c>
      <c r="C307" t="s">
        <v>571</v>
      </c>
      <c r="D307" s="1">
        <f>HYPERLINK("http://dx.doi.org/10.1016/j.clindermatol.2020.03.007","10.1016/j.clindermatol.2020.03.007")</f>
        <v>0</v>
      </c>
    </row>
    <row r="308" spans="1:4">
      <c r="A308">
        <v>2</v>
      </c>
      <c r="B308" t="s">
        <v>388</v>
      </c>
      <c r="C308" t="s">
        <v>570</v>
      </c>
      <c r="D308" s="1">
        <f>HYPERLINK("https://pubmed.ncbi.nlm.nih.gov/?term=30381388","30381388")</f>
        <v>0</v>
      </c>
    </row>
    <row r="309" spans="1:4">
      <c r="A309">
        <v>2</v>
      </c>
      <c r="B309" t="s">
        <v>389</v>
      </c>
      <c r="C309" t="s">
        <v>570</v>
      </c>
      <c r="D309" s="1">
        <f>HYPERLINK("https://pubmed.ncbi.nlm.nih.gov/?term=26405036","26405036")</f>
        <v>0</v>
      </c>
    </row>
    <row r="310" spans="1:4">
      <c r="A310">
        <v>2</v>
      </c>
      <c r="B310" t="s">
        <v>390</v>
      </c>
      <c r="C310" t="s">
        <v>571</v>
      </c>
      <c r="D310" s="1">
        <f>HYPERLINK("http://dx.doi.org/10.1016/j.mric.2007.08.010","10.1016/j.mric.2007.08.010")</f>
        <v>0</v>
      </c>
    </row>
    <row r="311" spans="1:4">
      <c r="A311">
        <v>2</v>
      </c>
      <c r="B311" t="s">
        <v>391</v>
      </c>
      <c r="C311" t="s">
        <v>570</v>
      </c>
      <c r="D311" s="1">
        <f>HYPERLINK("https://pubmed.ncbi.nlm.nih.gov/?term=29542870","29542870")</f>
        <v>0</v>
      </c>
    </row>
    <row r="312" spans="1:4">
      <c r="A312">
        <v>2</v>
      </c>
      <c r="B312" t="s">
        <v>392</v>
      </c>
      <c r="C312" t="s">
        <v>570</v>
      </c>
      <c r="D312" s="1">
        <f>HYPERLINK("https://pubmed.ncbi.nlm.nih.gov/?term=10704431","10704431")</f>
        <v>0</v>
      </c>
    </row>
    <row r="313" spans="1:4">
      <c r="A313">
        <v>2</v>
      </c>
      <c r="B313" t="s">
        <v>393</v>
      </c>
      <c r="C313" t="s">
        <v>570</v>
      </c>
      <c r="D313" s="1">
        <f>HYPERLINK("https://pubmed.ncbi.nlm.nih.gov/?term=10417694","10417694")</f>
        <v>0</v>
      </c>
    </row>
    <row r="314" spans="1:4">
      <c r="A314">
        <v>2</v>
      </c>
      <c r="B314" t="s">
        <v>394</v>
      </c>
      <c r="C314" t="s">
        <v>570</v>
      </c>
      <c r="D314" s="1">
        <f>HYPERLINK("https://pubmed.ncbi.nlm.nih.gov/?term=20960199","20960199")</f>
        <v>0</v>
      </c>
    </row>
    <row r="315" spans="1:4">
      <c r="A315">
        <v>2</v>
      </c>
      <c r="B315" t="s">
        <v>395</v>
      </c>
      <c r="C315" t="s">
        <v>570</v>
      </c>
      <c r="D315" s="1">
        <f>HYPERLINK("https://pubmed.ncbi.nlm.nih.gov/?term=22513650","22513650")</f>
        <v>0</v>
      </c>
    </row>
    <row r="316" spans="1:4">
      <c r="A316">
        <v>2</v>
      </c>
      <c r="B316" t="s">
        <v>396</v>
      </c>
      <c r="C316" t="s">
        <v>570</v>
      </c>
      <c r="D316" s="1">
        <f>HYPERLINK("https://pubmed.ncbi.nlm.nih.gov/?term=33432480","33432480")</f>
        <v>0</v>
      </c>
    </row>
    <row r="317" spans="1:4">
      <c r="A317">
        <v>2</v>
      </c>
      <c r="B317" t="s">
        <v>397</v>
      </c>
      <c r="C317" t="s">
        <v>570</v>
      </c>
      <c r="D317" s="1">
        <f>HYPERLINK("https://pubmed.ncbi.nlm.nih.gov/?term=20453475","20453475")</f>
        <v>0</v>
      </c>
    </row>
    <row r="318" spans="1:4">
      <c r="A318">
        <v>2</v>
      </c>
      <c r="B318" t="s">
        <v>398</v>
      </c>
      <c r="C318" t="s">
        <v>570</v>
      </c>
      <c r="D318" s="1">
        <f>HYPERLINK("https://pubmed.ncbi.nlm.nih.gov/?term=23652670","23652670")</f>
        <v>0</v>
      </c>
    </row>
    <row r="319" spans="1:4">
      <c r="A319">
        <v>2</v>
      </c>
      <c r="B319" t="s">
        <v>399</v>
      </c>
      <c r="C319" t="s">
        <v>570</v>
      </c>
      <c r="D319" s="1">
        <f>HYPERLINK("https://pubmed.ncbi.nlm.nih.gov/?term=20570174","20570174")</f>
        <v>0</v>
      </c>
    </row>
    <row r="320" spans="1:4">
      <c r="A320">
        <v>2</v>
      </c>
      <c r="B320" t="s">
        <v>400</v>
      </c>
      <c r="C320" t="s">
        <v>570</v>
      </c>
      <c r="D320" s="1">
        <f>HYPERLINK("https://pubmed.ncbi.nlm.nih.gov/?term=24886234","24886234")</f>
        <v>0</v>
      </c>
    </row>
    <row r="321" spans="1:4">
      <c r="A321">
        <v>2</v>
      </c>
      <c r="B321" t="s">
        <v>401</v>
      </c>
      <c r="C321" t="s">
        <v>570</v>
      </c>
      <c r="D321" s="1">
        <f>HYPERLINK("https://pubmed.ncbi.nlm.nih.gov/?term=29483466","29483466")</f>
        <v>0</v>
      </c>
    </row>
    <row r="322" spans="1:4">
      <c r="A322">
        <v>2</v>
      </c>
      <c r="B322" t="s">
        <v>402</v>
      </c>
      <c r="C322" t="s">
        <v>571</v>
      </c>
      <c r="D322" s="1">
        <f>HYPERLINK("http://dx.doi.org/10.1016/j.ijcard.2011.12.052","10.1016/j.ijcard.2011.12.052")</f>
        <v>0</v>
      </c>
    </row>
    <row r="323" spans="1:4">
      <c r="A323">
        <v>2</v>
      </c>
      <c r="B323" t="s">
        <v>403</v>
      </c>
      <c r="C323" t="s">
        <v>570</v>
      </c>
      <c r="D323" s="1">
        <f>HYPERLINK("https://pubmed.ncbi.nlm.nih.gov/?term=19351815","19351815")</f>
        <v>0</v>
      </c>
    </row>
    <row r="324" spans="1:4">
      <c r="A324">
        <v>2</v>
      </c>
      <c r="B324" t="s">
        <v>404</v>
      </c>
      <c r="C324" t="s">
        <v>571</v>
      </c>
      <c r="D324" s="1">
        <f>HYPERLINK("http://dx.doi.org/10.1097/DAD.0000000000001226","10.1097/DAD.0000000000001226")</f>
        <v>0</v>
      </c>
    </row>
    <row r="325" spans="1:4">
      <c r="A325">
        <v>2</v>
      </c>
      <c r="B325" t="s">
        <v>405</v>
      </c>
      <c r="C325" t="s">
        <v>571</v>
      </c>
      <c r="D325" s="1">
        <f>HYPERLINK("http://dx.doi.org/10.1530/ERC-20-0273","10.1530/ERC-20-0273")</f>
        <v>0</v>
      </c>
    </row>
    <row r="326" spans="1:4">
      <c r="A326">
        <v>2</v>
      </c>
      <c r="B326" t="s">
        <v>406</v>
      </c>
      <c r="C326" t="s">
        <v>570</v>
      </c>
      <c r="D326" s="1">
        <f>HYPERLINK("https://pubmed.ncbi.nlm.nih.gov/?term=35769184","35769184")</f>
        <v>0</v>
      </c>
    </row>
    <row r="327" spans="1:4">
      <c r="A327">
        <v>2</v>
      </c>
      <c r="B327" t="s">
        <v>407</v>
      </c>
      <c r="C327" t="s">
        <v>570</v>
      </c>
      <c r="D327" s="1">
        <f>HYPERLINK("https://pubmed.ncbi.nlm.nih.gov/?term=11854015","11854015")</f>
        <v>0</v>
      </c>
    </row>
    <row r="328" spans="1:4">
      <c r="A328">
        <v>2</v>
      </c>
      <c r="B328" t="s">
        <v>408</v>
      </c>
      <c r="C328" t="s">
        <v>570</v>
      </c>
      <c r="D328" s="1">
        <f>HYPERLINK("https://pubmed.ncbi.nlm.nih.gov/?term=23674160","23674160")</f>
        <v>0</v>
      </c>
    </row>
    <row r="329" spans="1:4">
      <c r="A329">
        <v>2</v>
      </c>
      <c r="B329" t="s">
        <v>409</v>
      </c>
      <c r="C329" t="s">
        <v>571</v>
      </c>
      <c r="D329" s="1">
        <f>HYPERLINK("http://dx.doi.org/10.1016/j.path.2019.08.005","10.1016/j.path.2019.08.005")</f>
        <v>0</v>
      </c>
    </row>
    <row r="330" spans="1:4">
      <c r="A330">
        <v>2</v>
      </c>
      <c r="B330" t="s">
        <v>410</v>
      </c>
      <c r="C330" t="s">
        <v>570</v>
      </c>
      <c r="D330" s="1">
        <f>HYPERLINK("https://pubmed.ncbi.nlm.nih.gov/?term=15282353","15282353")</f>
        <v>0</v>
      </c>
    </row>
    <row r="331" spans="1:4">
      <c r="A331">
        <v>2</v>
      </c>
      <c r="B331" t="s">
        <v>411</v>
      </c>
      <c r="C331" t="s">
        <v>571</v>
      </c>
      <c r="D331" s="1">
        <f>HYPERLINK("http://dx.doi.org/10.1016/S0039-6109(05)70224-3","10.1016/S0039-6109(05)70224-3")</f>
        <v>0</v>
      </c>
    </row>
    <row r="332" spans="1:4">
      <c r="A332">
        <v>2</v>
      </c>
      <c r="B332" t="s">
        <v>412</v>
      </c>
      <c r="C332" t="s">
        <v>570</v>
      </c>
      <c r="D332" s="1">
        <f>HYPERLINK("https://pubmed.ncbi.nlm.nih.gov/?term=17349716","17349716")</f>
        <v>0</v>
      </c>
    </row>
    <row r="333" spans="1:4">
      <c r="A333">
        <v>2</v>
      </c>
      <c r="B333" t="s">
        <v>413</v>
      </c>
      <c r="C333" t="s">
        <v>570</v>
      </c>
      <c r="D333" s="1">
        <f>HYPERLINK("https://pubmed.ncbi.nlm.nih.gov/?term=19738044","19738044")</f>
        <v>0</v>
      </c>
    </row>
    <row r="334" spans="1:4">
      <c r="A334">
        <v>2</v>
      </c>
      <c r="B334" t="s">
        <v>414</v>
      </c>
      <c r="C334" t="s">
        <v>570</v>
      </c>
      <c r="D334" s="1">
        <f>HYPERLINK("https://pubmed.ncbi.nlm.nih.gov/?term=25017568","25017568")</f>
        <v>0</v>
      </c>
    </row>
    <row r="335" spans="1:4">
      <c r="A335">
        <v>2</v>
      </c>
      <c r="B335" t="s">
        <v>415</v>
      </c>
      <c r="C335" t="s">
        <v>570</v>
      </c>
      <c r="D335" s="1">
        <f>HYPERLINK("https://pubmed.ncbi.nlm.nih.gov/?term=20237143","20237143")</f>
        <v>0</v>
      </c>
    </row>
    <row r="336" spans="1:4">
      <c r="A336">
        <v>2</v>
      </c>
      <c r="B336" t="s">
        <v>416</v>
      </c>
      <c r="C336" t="s">
        <v>570</v>
      </c>
      <c r="D336" s="1">
        <f>HYPERLINK("https://pubmed.ncbi.nlm.nih.gov/?term=12203783","12203783")</f>
        <v>0</v>
      </c>
    </row>
    <row r="337" spans="1:4">
      <c r="A337">
        <v>2</v>
      </c>
      <c r="B337" t="s">
        <v>417</v>
      </c>
      <c r="C337" t="s">
        <v>571</v>
      </c>
      <c r="D337" s="1">
        <f>HYPERLINK("http://dx.doi.org/10.1016/j.tem.2003.08.005","10.1016/j.tem.2003.08.005")</f>
        <v>0</v>
      </c>
    </row>
    <row r="338" spans="1:4">
      <c r="A338">
        <v>2</v>
      </c>
      <c r="B338" t="s">
        <v>418</v>
      </c>
      <c r="C338" t="s">
        <v>570</v>
      </c>
      <c r="D338" s="1">
        <f>HYPERLINK("https://pubmed.ncbi.nlm.nih.gov/?term=11572037","11572037")</f>
        <v>0</v>
      </c>
    </row>
    <row r="339" spans="1:4">
      <c r="A339">
        <v>2</v>
      </c>
      <c r="B339" t="s">
        <v>419</v>
      </c>
      <c r="C339" t="s">
        <v>570</v>
      </c>
      <c r="D339" s="1">
        <f>HYPERLINK("https://pubmed.ncbi.nlm.nih.gov/?term=16192737","16192737")</f>
        <v>0</v>
      </c>
    </row>
    <row r="340" spans="1:4">
      <c r="A340">
        <v>2</v>
      </c>
      <c r="B340" t="s">
        <v>420</v>
      </c>
      <c r="C340" t="s">
        <v>570</v>
      </c>
      <c r="D340" s="1">
        <f>HYPERLINK("https://pubmed.ncbi.nlm.nih.gov/?term=21357848","21357848")</f>
        <v>0</v>
      </c>
    </row>
    <row r="341" spans="1:4">
      <c r="A341">
        <v>2</v>
      </c>
      <c r="B341" t="s">
        <v>421</v>
      </c>
      <c r="C341" t="s">
        <v>570</v>
      </c>
      <c r="D341" s="1">
        <f>HYPERLINK("https://pubmed.ncbi.nlm.nih.gov/?term=35732416","35732416")</f>
        <v>0</v>
      </c>
    </row>
    <row r="342" spans="1:4">
      <c r="A342">
        <v>2</v>
      </c>
      <c r="B342" t="s">
        <v>422</v>
      </c>
      <c r="C342" t="s">
        <v>570</v>
      </c>
      <c r="D342" s="1">
        <f>HYPERLINK("https://pubmed.ncbi.nlm.nih.gov/?term=9709978","9709978")</f>
        <v>0</v>
      </c>
    </row>
    <row r="343" spans="1:4">
      <c r="A343">
        <v>2</v>
      </c>
      <c r="B343" t="s">
        <v>423</v>
      </c>
      <c r="C343" t="s">
        <v>570</v>
      </c>
      <c r="D343" s="1">
        <f>HYPERLINK("https://pubmed.ncbi.nlm.nih.gov/?term=16828406","16828406")</f>
        <v>0</v>
      </c>
    </row>
    <row r="344" spans="1:4">
      <c r="A344">
        <v>2</v>
      </c>
      <c r="B344" t="s">
        <v>424</v>
      </c>
      <c r="C344" t="s">
        <v>570</v>
      </c>
      <c r="D344" s="1">
        <f>HYPERLINK("https://pubmed.ncbi.nlm.nih.gov/?term=1893556","1893556")</f>
        <v>0</v>
      </c>
    </row>
    <row r="345" spans="1:4">
      <c r="A345">
        <v>2</v>
      </c>
      <c r="B345" t="s">
        <v>425</v>
      </c>
      <c r="C345" t="s">
        <v>570</v>
      </c>
      <c r="D345" s="1">
        <f>HYPERLINK("https://pubmed.ncbi.nlm.nih.gov/?term=21130061","21130061")</f>
        <v>0</v>
      </c>
    </row>
    <row r="346" spans="1:4">
      <c r="A346">
        <v>2</v>
      </c>
      <c r="B346" t="s">
        <v>426</v>
      </c>
      <c r="C346" t="s">
        <v>570</v>
      </c>
      <c r="D346" s="1">
        <f>HYPERLINK("https://pubmed.ncbi.nlm.nih.gov/?term=22499224","22499224")</f>
        <v>0</v>
      </c>
    </row>
    <row r="347" spans="1:4">
      <c r="A347">
        <v>2</v>
      </c>
      <c r="B347" t="s">
        <v>427</v>
      </c>
      <c r="C347" t="s">
        <v>570</v>
      </c>
      <c r="D347" s="1">
        <f>HYPERLINK("https://pubmed.ncbi.nlm.nih.gov/?term=32637219","32637219")</f>
        <v>0</v>
      </c>
    </row>
    <row r="348" spans="1:4">
      <c r="A348">
        <v>2</v>
      </c>
      <c r="B348" t="s">
        <v>428</v>
      </c>
      <c r="C348" t="s">
        <v>570</v>
      </c>
      <c r="D348" s="1">
        <f>HYPERLINK("https://pubmed.ncbi.nlm.nih.gov/?term=32944460","32944460")</f>
        <v>0</v>
      </c>
    </row>
    <row r="349" spans="1:4">
      <c r="A349">
        <v>2</v>
      </c>
      <c r="B349" t="s">
        <v>429</v>
      </c>
      <c r="C349" t="s">
        <v>570</v>
      </c>
      <c r="D349" s="1">
        <f>HYPERLINK("https://pubmed.ncbi.nlm.nih.gov/?term=25240574","25240574")</f>
        <v>0</v>
      </c>
    </row>
    <row r="350" spans="1:4">
      <c r="A350">
        <v>2</v>
      </c>
      <c r="B350" t="s">
        <v>430</v>
      </c>
      <c r="C350" t="s">
        <v>570</v>
      </c>
      <c r="D350" s="1">
        <f>HYPERLINK("https://pubmed.ncbi.nlm.nih.gov/?term=11979368","11979368")</f>
        <v>0</v>
      </c>
    </row>
    <row r="351" spans="1:4">
      <c r="A351">
        <v>2</v>
      </c>
      <c r="B351" t="s">
        <v>431</v>
      </c>
      <c r="C351" t="s">
        <v>570</v>
      </c>
      <c r="D351" s="1">
        <f>HYPERLINK("https://pubmed.ncbi.nlm.nih.gov/?term=17673127","17673127")</f>
        <v>0</v>
      </c>
    </row>
    <row r="352" spans="1:4">
      <c r="A352">
        <v>2</v>
      </c>
      <c r="B352" t="s">
        <v>432</v>
      </c>
      <c r="C352" t="s">
        <v>570</v>
      </c>
      <c r="D352" s="1">
        <f>HYPERLINK("https://pubmed.ncbi.nlm.nih.gov/?term=28276158","28276158")</f>
        <v>0</v>
      </c>
    </row>
    <row r="353" spans="1:4">
      <c r="A353">
        <v>2</v>
      </c>
      <c r="B353" t="s">
        <v>433</v>
      </c>
      <c r="C353" t="s">
        <v>571</v>
      </c>
      <c r="D353" s="1">
        <f>HYPERLINK("http://dx.doi.org/10.1530/ERC-19-0517","10.1530/ERC-19-0517")</f>
        <v>0</v>
      </c>
    </row>
    <row r="354" spans="1:4">
      <c r="A354">
        <v>2</v>
      </c>
      <c r="B354" t="s">
        <v>434</v>
      </c>
      <c r="C354" t="s">
        <v>570</v>
      </c>
      <c r="D354" s="1">
        <f>HYPERLINK("https://pubmed.ncbi.nlm.nih.gov/?term=15110875","15110875")</f>
        <v>0</v>
      </c>
    </row>
    <row r="355" spans="1:4">
      <c r="A355">
        <v>2</v>
      </c>
      <c r="B355" t="s">
        <v>435</v>
      </c>
      <c r="C355" t="s">
        <v>571</v>
      </c>
      <c r="D355" s="1">
        <f>HYPERLINK("http://dx.doi.org/10.1016/j.mpdhp.2007.11.001","10.1016/j.mpdhp.2007.11.001")</f>
        <v>0</v>
      </c>
    </row>
    <row r="356" spans="1:4">
      <c r="A356">
        <v>2</v>
      </c>
      <c r="B356" t="s">
        <v>436</v>
      </c>
      <c r="C356" t="s">
        <v>570</v>
      </c>
      <c r="D356" s="1">
        <f>HYPERLINK("https://pubmed.ncbi.nlm.nih.gov/?term=34518999","34518999")</f>
        <v>0</v>
      </c>
    </row>
    <row r="357" spans="1:4">
      <c r="A357">
        <v>2</v>
      </c>
      <c r="B357" t="s">
        <v>437</v>
      </c>
      <c r="C357" t="s">
        <v>570</v>
      </c>
      <c r="D357" s="1">
        <f>HYPERLINK("https://pubmed.ncbi.nlm.nih.gov/?term=12646696","12646696")</f>
        <v>0</v>
      </c>
    </row>
    <row r="358" spans="1:4">
      <c r="A358">
        <v>2</v>
      </c>
      <c r="B358" t="s">
        <v>438</v>
      </c>
      <c r="C358" t="s">
        <v>570</v>
      </c>
      <c r="D358" s="1">
        <f>HYPERLINK("https://pubmed.ncbi.nlm.nih.gov/?term=35094342","35094342")</f>
        <v>0</v>
      </c>
    </row>
    <row r="359" spans="1:4">
      <c r="A359">
        <v>2</v>
      </c>
      <c r="B359" t="s">
        <v>439</v>
      </c>
      <c r="C359" t="s">
        <v>571</v>
      </c>
      <c r="D359" s="1">
        <f>HYPERLINK("http://dx.doi.org/10.1016/j.jpag.2014.01.071","10.1016/j.jpag.2014.01.071")</f>
        <v>0</v>
      </c>
    </row>
    <row r="360" spans="1:4">
      <c r="A360">
        <v>2</v>
      </c>
      <c r="B360" t="s">
        <v>440</v>
      </c>
      <c r="C360" t="s">
        <v>571</v>
      </c>
      <c r="D360" s="1">
        <f>HYPERLINK("http://dx.doi.org/10.1016/j.jaad.2006.02.017","10.1016/j.jaad.2006.02.017")</f>
        <v>0</v>
      </c>
    </row>
    <row r="361" spans="1:4">
      <c r="A361">
        <v>2</v>
      </c>
      <c r="B361" t="s">
        <v>441</v>
      </c>
      <c r="C361" t="s">
        <v>570</v>
      </c>
      <c r="D361" s="1">
        <f>HYPERLINK("https://pubmed.ncbi.nlm.nih.gov/?term=17395979","17395979")</f>
        <v>0</v>
      </c>
    </row>
    <row r="362" spans="1:4">
      <c r="A362">
        <v>2</v>
      </c>
      <c r="B362" t="s">
        <v>442</v>
      </c>
      <c r="C362" t="s">
        <v>570</v>
      </c>
      <c r="D362" s="1">
        <f>HYPERLINK("https://pubmed.ncbi.nlm.nih.gov/?term=31877737","31877737")</f>
        <v>0</v>
      </c>
    </row>
    <row r="363" spans="1:4">
      <c r="A363">
        <v>2</v>
      </c>
      <c r="B363" t="s">
        <v>443</v>
      </c>
      <c r="C363" t="s">
        <v>570</v>
      </c>
      <c r="D363" s="1">
        <f>HYPERLINK("https://pubmed.ncbi.nlm.nih.gov/?term=25225481","25225481")</f>
        <v>0</v>
      </c>
    </row>
    <row r="364" spans="1:4">
      <c r="A364">
        <v>2</v>
      </c>
      <c r="B364" t="s">
        <v>444</v>
      </c>
      <c r="C364" t="s">
        <v>570</v>
      </c>
      <c r="D364" s="1">
        <f>HYPERLINK("https://pubmed.ncbi.nlm.nih.gov/?term=19470615","19470615")</f>
        <v>0</v>
      </c>
    </row>
    <row r="365" spans="1:4">
      <c r="A365">
        <v>2</v>
      </c>
      <c r="B365" t="s">
        <v>445</v>
      </c>
      <c r="C365" t="s">
        <v>570</v>
      </c>
      <c r="D365" s="1">
        <f>HYPERLINK("https://pubmed.ncbi.nlm.nih.gov/?term=16772351","16772351")</f>
        <v>0</v>
      </c>
    </row>
    <row r="366" spans="1:4">
      <c r="A366">
        <v>2</v>
      </c>
      <c r="B366" t="s">
        <v>446</v>
      </c>
      <c r="C366" t="s">
        <v>570</v>
      </c>
      <c r="D366" s="1">
        <f>HYPERLINK("https://pubmed.ncbi.nlm.nih.gov/?term=20829611","20829611")</f>
        <v>0</v>
      </c>
    </row>
    <row r="367" spans="1:4">
      <c r="A367">
        <v>2</v>
      </c>
      <c r="B367" t="s">
        <v>447</v>
      </c>
      <c r="C367" t="s">
        <v>570</v>
      </c>
      <c r="D367" s="1">
        <f>HYPERLINK("https://pubmed.ncbi.nlm.nih.gov/?term=772","772")</f>
        <v>0</v>
      </c>
    </row>
    <row r="368" spans="1:4">
      <c r="A368">
        <v>2</v>
      </c>
      <c r="B368" t="s">
        <v>448</v>
      </c>
      <c r="C368" t="s">
        <v>570</v>
      </c>
      <c r="D368" s="1">
        <f>HYPERLINK("https://pubmed.ncbi.nlm.nih.gov/?term=2069210","2069210")</f>
        <v>0</v>
      </c>
    </row>
    <row r="369" spans="1:4">
      <c r="A369">
        <v>2</v>
      </c>
      <c r="B369" t="s">
        <v>449</v>
      </c>
      <c r="C369" t="s">
        <v>571</v>
      </c>
      <c r="D369" s="1">
        <f>HYPERLINK("http://dx.doi.org/10.1016/S0889-8529(05)70202-4","10.1016/S0889-8529(05)70202-4")</f>
        <v>0</v>
      </c>
    </row>
    <row r="370" spans="1:4">
      <c r="A370">
        <v>2</v>
      </c>
      <c r="B370" t="s">
        <v>450</v>
      </c>
      <c r="C370" t="s">
        <v>570</v>
      </c>
      <c r="D370" s="1">
        <f>HYPERLINK("https://pubmed.ncbi.nlm.nih.gov/?term=1175","1175")</f>
        <v>0</v>
      </c>
    </row>
    <row r="371" spans="1:4">
      <c r="A371">
        <v>2</v>
      </c>
      <c r="B371" t="s">
        <v>451</v>
      </c>
      <c r="C371" t="s">
        <v>570</v>
      </c>
      <c r="D371" s="1">
        <f>HYPERLINK("https://pubmed.ncbi.nlm.nih.gov/?term=19945026","19945026")</f>
        <v>0</v>
      </c>
    </row>
    <row r="372" spans="1:4">
      <c r="A372">
        <v>2</v>
      </c>
      <c r="B372" t="s">
        <v>452</v>
      </c>
      <c r="C372" t="s">
        <v>571</v>
      </c>
      <c r="D372" s="1">
        <f>HYPERLINK("http://dx.doi.org/10.1016/S1050-1738(02)00167-6","10.1016/S1050-1738(02)00167-6")</f>
        <v>0</v>
      </c>
    </row>
    <row r="373" spans="1:4">
      <c r="A373">
        <v>2</v>
      </c>
      <c r="B373" t="s">
        <v>453</v>
      </c>
      <c r="C373" t="s">
        <v>570</v>
      </c>
      <c r="D373" s="1">
        <f>HYPERLINK("https://pubmed.ncbi.nlm.nih.gov/?term=18799615","18799615")</f>
        <v>0</v>
      </c>
    </row>
    <row r="374" spans="1:4">
      <c r="A374">
        <v>2</v>
      </c>
      <c r="B374" t="s">
        <v>454</v>
      </c>
      <c r="C374" t="s">
        <v>570</v>
      </c>
      <c r="D374" s="1">
        <f>HYPERLINK("https://pubmed.ncbi.nlm.nih.gov/?term=25012505","25012505")</f>
        <v>0</v>
      </c>
    </row>
    <row r="375" spans="1:4">
      <c r="A375">
        <v>2</v>
      </c>
      <c r="B375" t="s">
        <v>455</v>
      </c>
      <c r="C375" t="s">
        <v>571</v>
      </c>
      <c r="D375" s="1">
        <f>HYPERLINK("http://dx.doi.org/10.1016/j.bpg.2005.02.013","10.1016/j.bpg.2005.02.013")</f>
        <v>0</v>
      </c>
    </row>
    <row r="376" spans="1:4">
      <c r="A376">
        <v>2</v>
      </c>
      <c r="B376" t="s">
        <v>456</v>
      </c>
      <c r="C376" t="s">
        <v>570</v>
      </c>
      <c r="D376" s="1">
        <f>HYPERLINK("https://pubmed.ncbi.nlm.nih.gov/?term=28893983","28893983")</f>
        <v>0</v>
      </c>
    </row>
    <row r="377" spans="1:4">
      <c r="A377">
        <v>2</v>
      </c>
      <c r="B377" t="s">
        <v>457</v>
      </c>
      <c r="C377" t="s">
        <v>570</v>
      </c>
      <c r="D377" s="1">
        <f>HYPERLINK("https://pubmed.ncbi.nlm.nih.gov/?term=27321957","27321957")</f>
        <v>0</v>
      </c>
    </row>
    <row r="378" spans="1:4">
      <c r="A378">
        <v>2</v>
      </c>
      <c r="B378" t="s">
        <v>458</v>
      </c>
      <c r="C378" t="s">
        <v>570</v>
      </c>
      <c r="D378" s="1">
        <f>HYPERLINK("https://pubmed.ncbi.nlm.nih.gov/?term=19945021","19945021")</f>
        <v>0</v>
      </c>
    </row>
    <row r="379" spans="1:4">
      <c r="A379">
        <v>2</v>
      </c>
      <c r="B379" t="s">
        <v>459</v>
      </c>
      <c r="C379" t="s">
        <v>571</v>
      </c>
      <c r="D379" s="1">
        <f>HYPERLINK("http://dx.doi.org/10.1530/EJE-19-0602","10.1530/EJE-19-0602")</f>
        <v>0</v>
      </c>
    </row>
    <row r="380" spans="1:4">
      <c r="A380">
        <v>2</v>
      </c>
      <c r="B380" t="s">
        <v>460</v>
      </c>
      <c r="C380" t="s">
        <v>570</v>
      </c>
      <c r="D380" s="1">
        <f>HYPERLINK("https://pubmed.ncbi.nlm.nih.gov/?term=22815067","22815067")</f>
        <v>0</v>
      </c>
    </row>
    <row r="381" spans="1:4">
      <c r="A381">
        <v>2</v>
      </c>
      <c r="B381" t="s">
        <v>461</v>
      </c>
      <c r="C381" t="s">
        <v>570</v>
      </c>
      <c r="D381" s="1">
        <f>HYPERLINK("https://pubmed.ncbi.nlm.nih.gov/?term=8577540","8577540")</f>
        <v>0</v>
      </c>
    </row>
    <row r="382" spans="1:4">
      <c r="A382">
        <v>2</v>
      </c>
      <c r="B382" t="s">
        <v>462</v>
      </c>
      <c r="C382" t="s">
        <v>570</v>
      </c>
      <c r="D382" s="1">
        <f>HYPERLINK("https://pubmed.ncbi.nlm.nih.gov/?term=10701527","10701527")</f>
        <v>0</v>
      </c>
    </row>
    <row r="383" spans="1:4">
      <c r="A383">
        <v>2</v>
      </c>
      <c r="B383" t="s">
        <v>463</v>
      </c>
      <c r="C383" t="s">
        <v>571</v>
      </c>
      <c r="D383" s="1">
        <f>HYPERLINK("http://dx.doi.org/10.1016/j.mpdhp.2016.02.002","10.1016/j.mpdhp.2016.02.002")</f>
        <v>0</v>
      </c>
    </row>
    <row r="384" spans="1:4">
      <c r="A384">
        <v>2</v>
      </c>
      <c r="B384" t="s">
        <v>464</v>
      </c>
      <c r="C384" t="s">
        <v>570</v>
      </c>
      <c r="D384" s="1">
        <f>HYPERLINK("https://pubmed.ncbi.nlm.nih.gov/?term=18671646","18671646")</f>
        <v>0</v>
      </c>
    </row>
    <row r="385" spans="1:4">
      <c r="A385">
        <v>2</v>
      </c>
      <c r="B385" t="s">
        <v>465</v>
      </c>
      <c r="C385" t="s">
        <v>570</v>
      </c>
      <c r="D385" s="1">
        <f>HYPERLINK("https://pubmed.ncbi.nlm.nih.gov/?term=24618615","24618615")</f>
        <v>0</v>
      </c>
    </row>
    <row r="386" spans="1:4">
      <c r="A386">
        <v>2</v>
      </c>
      <c r="B386" t="s">
        <v>466</v>
      </c>
      <c r="C386" t="s">
        <v>570</v>
      </c>
      <c r="D386" s="1">
        <f>HYPERLINK("https://pubmed.ncbi.nlm.nih.gov/?term=24892279","24892279")</f>
        <v>0</v>
      </c>
    </row>
    <row r="387" spans="1:4">
      <c r="A387">
        <v>2</v>
      </c>
      <c r="B387" t="s">
        <v>467</v>
      </c>
      <c r="C387" t="s">
        <v>570</v>
      </c>
      <c r="D387" s="1">
        <f>HYPERLINK("https://pubmed.ncbi.nlm.nih.gov/?term=17670676","17670676")</f>
        <v>0</v>
      </c>
    </row>
    <row r="388" spans="1:4">
      <c r="A388">
        <v>2</v>
      </c>
      <c r="B388" t="s">
        <v>468</v>
      </c>
      <c r="C388" t="s">
        <v>570</v>
      </c>
      <c r="D388" s="1">
        <f>HYPERLINK("https://pubmed.ncbi.nlm.nih.gov/?term=18209861","18209861")</f>
        <v>0</v>
      </c>
    </row>
    <row r="389" spans="1:4">
      <c r="A389">
        <v>2</v>
      </c>
      <c r="B389" t="s">
        <v>469</v>
      </c>
      <c r="C389" t="s">
        <v>570</v>
      </c>
      <c r="D389" s="1">
        <f>HYPERLINK("https://pubmed.ncbi.nlm.nih.gov/?term=18226729","18226729")</f>
        <v>0</v>
      </c>
    </row>
    <row r="390" spans="1:4">
      <c r="A390">
        <v>2</v>
      </c>
      <c r="B390" t="s">
        <v>470</v>
      </c>
      <c r="C390" t="s">
        <v>570</v>
      </c>
      <c r="D390" s="1">
        <f>HYPERLINK("https://pubmed.ncbi.nlm.nih.gov/?term=8772778","8772778")</f>
        <v>0</v>
      </c>
    </row>
    <row r="391" spans="1:4">
      <c r="A391">
        <v>2</v>
      </c>
      <c r="B391" t="s">
        <v>471</v>
      </c>
      <c r="C391" t="s">
        <v>570</v>
      </c>
      <c r="D391" s="1">
        <f>HYPERLINK("https://pubmed.ncbi.nlm.nih.gov/?term=15331577","15331577")</f>
        <v>0</v>
      </c>
    </row>
    <row r="392" spans="1:4">
      <c r="A392">
        <v>2</v>
      </c>
      <c r="B392" t="s">
        <v>472</v>
      </c>
      <c r="C392" t="s">
        <v>570</v>
      </c>
      <c r="D392" s="1">
        <f>HYPERLINK("https://pubmed.ncbi.nlm.nih.gov/?term=19124466","19124466")</f>
        <v>0</v>
      </c>
    </row>
    <row r="393" spans="1:4">
      <c r="A393">
        <v>2</v>
      </c>
      <c r="B393" t="s">
        <v>473</v>
      </c>
      <c r="C393" t="s">
        <v>570</v>
      </c>
      <c r="D393" s="1">
        <f>HYPERLINK("https://pubmed.ncbi.nlm.nih.gov/?term=20833336","20833336")</f>
        <v>0</v>
      </c>
    </row>
    <row r="394" spans="1:4">
      <c r="A394">
        <v>2</v>
      </c>
      <c r="B394" t="s">
        <v>474</v>
      </c>
      <c r="C394" t="s">
        <v>570</v>
      </c>
      <c r="D394" s="1">
        <f>HYPERLINK("https://pubmed.ncbi.nlm.nih.gov/?term=21930188","21930188")</f>
        <v>0</v>
      </c>
    </row>
    <row r="395" spans="1:4">
      <c r="A395">
        <v>2</v>
      </c>
      <c r="B395" t="s">
        <v>475</v>
      </c>
      <c r="C395" t="s">
        <v>570</v>
      </c>
      <c r="D395" s="1">
        <f>HYPERLINK("https://pubmed.ncbi.nlm.nih.gov/?term=26459559","26459559")</f>
        <v>0</v>
      </c>
    </row>
    <row r="396" spans="1:4">
      <c r="A396">
        <v>2</v>
      </c>
      <c r="B396" t="s">
        <v>476</v>
      </c>
      <c r="C396" t="s">
        <v>570</v>
      </c>
      <c r="D396" s="1">
        <f>HYPERLINK("https://pubmed.ncbi.nlm.nih.gov/?term=34913878","34913878")</f>
        <v>0</v>
      </c>
    </row>
    <row r="397" spans="1:4">
      <c r="A397">
        <v>2</v>
      </c>
      <c r="B397" t="s">
        <v>477</v>
      </c>
      <c r="C397" t="s">
        <v>570</v>
      </c>
      <c r="D397" s="1">
        <f>HYPERLINK("https://pubmed.ncbi.nlm.nih.gov/?term=19522826","19522826")</f>
        <v>0</v>
      </c>
    </row>
    <row r="398" spans="1:4">
      <c r="A398">
        <v>2</v>
      </c>
      <c r="B398" t="s">
        <v>478</v>
      </c>
      <c r="C398" t="s">
        <v>570</v>
      </c>
      <c r="D398" s="1">
        <f>HYPERLINK("https://pubmed.ncbi.nlm.nih.gov/?term=12466322","12466322")</f>
        <v>0</v>
      </c>
    </row>
    <row r="399" spans="1:4">
      <c r="A399">
        <v>2</v>
      </c>
      <c r="B399" t="s">
        <v>479</v>
      </c>
      <c r="C399" t="s">
        <v>570</v>
      </c>
      <c r="D399" s="1">
        <f>HYPERLINK("https://pubmed.ncbi.nlm.nih.gov/?term=17904549","17904549")</f>
        <v>0</v>
      </c>
    </row>
    <row r="400" spans="1:4">
      <c r="A400">
        <v>2</v>
      </c>
      <c r="B400" t="s">
        <v>480</v>
      </c>
      <c r="C400" t="s">
        <v>570</v>
      </c>
      <c r="D400" s="1">
        <f>HYPERLINK("https://pubmed.ncbi.nlm.nih.gov/?term=10199805","10199805")</f>
        <v>0</v>
      </c>
    </row>
    <row r="401" spans="1:4">
      <c r="A401">
        <v>2</v>
      </c>
      <c r="B401" t="s">
        <v>481</v>
      </c>
      <c r="C401" t="s">
        <v>570</v>
      </c>
      <c r="D401" s="1">
        <f>HYPERLINK("https://pubmed.ncbi.nlm.nih.gov/?term=25298879","25298879")</f>
        <v>0</v>
      </c>
    </row>
    <row r="402" spans="1:4">
      <c r="A402">
        <v>2</v>
      </c>
      <c r="B402" t="s">
        <v>482</v>
      </c>
      <c r="C402" t="s">
        <v>570</v>
      </c>
      <c r="D402" s="1">
        <f>HYPERLINK("https://pubmed.ncbi.nlm.nih.gov/?term=26027919","26027919")</f>
        <v>0</v>
      </c>
    </row>
    <row r="403" spans="1:4">
      <c r="A403">
        <v>2</v>
      </c>
      <c r="B403" t="s">
        <v>483</v>
      </c>
      <c r="C403" t="s">
        <v>570</v>
      </c>
      <c r="D403" s="1">
        <f>HYPERLINK("https://pubmed.ncbi.nlm.nih.gov/?term=18230408","18230408")</f>
        <v>0</v>
      </c>
    </row>
    <row r="404" spans="1:4">
      <c r="A404">
        <v>2</v>
      </c>
      <c r="B404" t="s">
        <v>484</v>
      </c>
      <c r="C404" t="s">
        <v>570</v>
      </c>
      <c r="D404" s="1">
        <f>HYPERLINK("https://pubmed.ncbi.nlm.nih.gov/?term=16843122","16843122")</f>
        <v>0</v>
      </c>
    </row>
    <row r="405" spans="1:4">
      <c r="A405">
        <v>2</v>
      </c>
      <c r="B405" t="s">
        <v>485</v>
      </c>
      <c r="C405" t="s">
        <v>570</v>
      </c>
      <c r="D405" s="1">
        <f>HYPERLINK("https://pubmed.ncbi.nlm.nih.gov/?term=18848651","18848651")</f>
        <v>0</v>
      </c>
    </row>
    <row r="406" spans="1:4">
      <c r="A406">
        <v>2</v>
      </c>
      <c r="B406" t="s">
        <v>486</v>
      </c>
      <c r="C406" t="s">
        <v>570</v>
      </c>
      <c r="D406" s="1">
        <f>HYPERLINK("https://pubmed.ncbi.nlm.nih.gov/?term=19509103","19509103")</f>
        <v>0</v>
      </c>
    </row>
    <row r="407" spans="1:4">
      <c r="A407">
        <v>2</v>
      </c>
      <c r="B407" t="s">
        <v>487</v>
      </c>
      <c r="C407" t="s">
        <v>570</v>
      </c>
      <c r="D407" s="1">
        <f>HYPERLINK("https://pubmed.ncbi.nlm.nih.gov/?term=481","481")</f>
        <v>0</v>
      </c>
    </row>
    <row r="408" spans="1:4">
      <c r="A408">
        <v>2</v>
      </c>
      <c r="B408" t="s">
        <v>488</v>
      </c>
      <c r="C408" t="s">
        <v>570</v>
      </c>
      <c r="D408" s="1">
        <f>HYPERLINK("https://pubmed.ncbi.nlm.nih.gov/?term=20685833","20685833")</f>
        <v>0</v>
      </c>
    </row>
    <row r="409" spans="1:4">
      <c r="A409">
        <v>2</v>
      </c>
      <c r="B409" t="s">
        <v>489</v>
      </c>
      <c r="C409" t="s">
        <v>570</v>
      </c>
      <c r="D409" s="1">
        <f>HYPERLINK("https://pubmed.ncbi.nlm.nih.gov/?term=16198789","16198789")</f>
        <v>0</v>
      </c>
    </row>
    <row r="410" spans="1:4">
      <c r="A410">
        <v>2</v>
      </c>
      <c r="B410" t="s">
        <v>490</v>
      </c>
      <c r="C410" t="s">
        <v>570</v>
      </c>
      <c r="D410" s="1">
        <f>HYPERLINK("https://pubmed.ncbi.nlm.nih.gov/?term=31117334","31117334")</f>
        <v>0</v>
      </c>
    </row>
    <row r="411" spans="1:4">
      <c r="A411">
        <v>2</v>
      </c>
      <c r="B411" t="s">
        <v>491</v>
      </c>
      <c r="C411" t="s">
        <v>570</v>
      </c>
      <c r="D411" s="1">
        <f>HYPERLINK("https://pubmed.ncbi.nlm.nih.gov/?term=20004940","20004940")</f>
        <v>0</v>
      </c>
    </row>
    <row r="412" spans="1:4">
      <c r="A412">
        <v>2</v>
      </c>
      <c r="B412" t="s">
        <v>492</v>
      </c>
      <c r="C412" t="s">
        <v>570</v>
      </c>
      <c r="D412" s="1">
        <f>HYPERLINK("https://pubmed.ncbi.nlm.nih.gov/?term=30510946","30510946")</f>
        <v>0</v>
      </c>
    </row>
    <row r="413" spans="1:4">
      <c r="A413">
        <v>2</v>
      </c>
      <c r="B413" t="s">
        <v>493</v>
      </c>
      <c r="C413" t="s">
        <v>570</v>
      </c>
      <c r="D413" s="1">
        <f>HYPERLINK("https://pubmed.ncbi.nlm.nih.gov/?term=9851802","9851802")</f>
        <v>0</v>
      </c>
    </row>
    <row r="414" spans="1:4">
      <c r="A414">
        <v>2</v>
      </c>
      <c r="B414" t="s">
        <v>494</v>
      </c>
      <c r="C414" t="s">
        <v>570</v>
      </c>
      <c r="D414" s="1">
        <f>HYPERLINK("https://pubmed.ncbi.nlm.nih.gov/?term=22205709","22205709")</f>
        <v>0</v>
      </c>
    </row>
    <row r="415" spans="1:4">
      <c r="A415">
        <v>2</v>
      </c>
      <c r="B415" t="s">
        <v>495</v>
      </c>
      <c r="C415" t="s">
        <v>570</v>
      </c>
      <c r="D415" s="1">
        <f>HYPERLINK("https://pubmed.ncbi.nlm.nih.gov/?term=18498840","18498840")</f>
        <v>0</v>
      </c>
    </row>
    <row r="416" spans="1:4">
      <c r="A416">
        <v>2</v>
      </c>
      <c r="B416" t="s">
        <v>496</v>
      </c>
      <c r="C416" t="s">
        <v>570</v>
      </c>
      <c r="D416" s="1">
        <f>HYPERLINK("https://pubmed.ncbi.nlm.nih.gov/?term=911","911")</f>
        <v>0</v>
      </c>
    </row>
    <row r="417" spans="1:4">
      <c r="A417">
        <v>2</v>
      </c>
      <c r="B417" t="s">
        <v>497</v>
      </c>
      <c r="C417" t="s">
        <v>571</v>
      </c>
      <c r="D417" s="1">
        <f>HYPERLINK("http://dx.doi.org/10.1515/jpem-2018-0199","10.1515/jpem-2018-0199")</f>
        <v>0</v>
      </c>
    </row>
    <row r="418" spans="1:4">
      <c r="A418">
        <v>2</v>
      </c>
      <c r="B418" t="s">
        <v>498</v>
      </c>
      <c r="C418" t="s">
        <v>570</v>
      </c>
      <c r="D418" s="1">
        <f>HYPERLINK("https://pubmed.ncbi.nlm.nih.gov/?term=11994328","11994328")</f>
        <v>0</v>
      </c>
    </row>
    <row r="419" spans="1:4">
      <c r="A419">
        <v>2</v>
      </c>
      <c r="B419" t="s">
        <v>499</v>
      </c>
      <c r="C419" t="s">
        <v>571</v>
      </c>
      <c r="D419" s="1">
        <f>HYPERLINK("http://dx.doi.org/10.1097/MED.0000000000000266","10.1097/MED.0000000000000266")</f>
        <v>0</v>
      </c>
    </row>
    <row r="420" spans="1:4">
      <c r="A420">
        <v>2</v>
      </c>
      <c r="B420" t="s">
        <v>500</v>
      </c>
      <c r="C420" t="s">
        <v>570</v>
      </c>
      <c r="D420" s="1">
        <f>HYPERLINK("https://pubmed.ncbi.nlm.nih.gov/?term=25279575","25279575")</f>
        <v>0</v>
      </c>
    </row>
    <row r="421" spans="1:4">
      <c r="A421">
        <v>2</v>
      </c>
      <c r="B421" t="s">
        <v>501</v>
      </c>
      <c r="C421" t="s">
        <v>570</v>
      </c>
      <c r="D421" s="1">
        <f>HYPERLINK("https://pubmed.ncbi.nlm.nih.gov/?term=16980202","16980202")</f>
        <v>0</v>
      </c>
    </row>
    <row r="422" spans="1:4">
      <c r="A422">
        <v>2</v>
      </c>
      <c r="B422" t="s">
        <v>502</v>
      </c>
      <c r="C422" t="s">
        <v>570</v>
      </c>
      <c r="D422" s="1">
        <f>HYPERLINK("https://pubmed.ncbi.nlm.nih.gov/?term=22461635","22461635")</f>
        <v>0</v>
      </c>
    </row>
    <row r="423" spans="1:4">
      <c r="A423">
        <v>2</v>
      </c>
      <c r="B423" t="s">
        <v>503</v>
      </c>
      <c r="C423" t="s">
        <v>571</v>
      </c>
      <c r="D423" s="1">
        <f>HYPERLINK("http://dx.doi.org/10.1210/clinem/dgaa002","10.1210/clinem/dgaa002")</f>
        <v>0</v>
      </c>
    </row>
    <row r="424" spans="1:4">
      <c r="A424">
        <v>2</v>
      </c>
      <c r="B424" t="s">
        <v>504</v>
      </c>
      <c r="C424" t="s">
        <v>570</v>
      </c>
      <c r="D424" s="1">
        <f>HYPERLINK("https://pubmed.ncbi.nlm.nih.gov/?term=24227708","24227708")</f>
        <v>0</v>
      </c>
    </row>
    <row r="425" spans="1:4">
      <c r="A425">
        <v>2</v>
      </c>
      <c r="B425" t="s">
        <v>505</v>
      </c>
      <c r="C425" t="s">
        <v>570</v>
      </c>
      <c r="D425" s="1">
        <f>HYPERLINK("https://pubmed.ncbi.nlm.nih.gov/?term=15901137","15901137")</f>
        <v>0</v>
      </c>
    </row>
    <row r="426" spans="1:4">
      <c r="A426">
        <v>2</v>
      </c>
      <c r="B426" t="s">
        <v>506</v>
      </c>
      <c r="C426" t="s">
        <v>570</v>
      </c>
      <c r="D426" s="1">
        <f>HYPERLINK("https://pubmed.ncbi.nlm.nih.gov/?term=10607338","10607338")</f>
        <v>0</v>
      </c>
    </row>
    <row r="427" spans="1:4">
      <c r="A427">
        <v>2</v>
      </c>
      <c r="B427" t="s">
        <v>507</v>
      </c>
      <c r="C427" t="s">
        <v>572</v>
      </c>
      <c r="D427" s="1" t="s">
        <v>577</v>
      </c>
    </row>
    <row r="428" spans="1:4">
      <c r="A428">
        <v>2</v>
      </c>
      <c r="B428" t="s">
        <v>508</v>
      </c>
      <c r="C428" t="s">
        <v>571</v>
      </c>
      <c r="D428" s="1">
        <f>HYPERLINK("http://dx.doi.org/10.1038/s41379-019-0386-6","10.1038/s41379-019-0386-6")</f>
        <v>0</v>
      </c>
    </row>
    <row r="429" spans="1:4">
      <c r="A429">
        <v>2</v>
      </c>
      <c r="B429" t="s">
        <v>509</v>
      </c>
      <c r="C429" t="s">
        <v>570</v>
      </c>
      <c r="D429" s="1">
        <f>HYPERLINK("https://pubmed.ncbi.nlm.nih.gov/?term=26788925","26788925")</f>
        <v>0</v>
      </c>
    </row>
    <row r="430" spans="1:4">
      <c r="A430">
        <v>2</v>
      </c>
      <c r="B430" t="s">
        <v>510</v>
      </c>
      <c r="C430" t="s">
        <v>570</v>
      </c>
      <c r="D430" s="1">
        <f>HYPERLINK("https://pubmed.ncbi.nlm.nih.gov/?term=21058423","21058423")</f>
        <v>0</v>
      </c>
    </row>
    <row r="431" spans="1:4">
      <c r="A431">
        <v>2</v>
      </c>
      <c r="B431" t="s">
        <v>511</v>
      </c>
      <c r="C431" t="s">
        <v>571</v>
      </c>
      <c r="D431" s="1">
        <f>HYPERLINK("http://dx.doi.org/10.1016/S0022-5347(05)68881-7","10.1016/S0022-5347(05)68881-7")</f>
        <v>0</v>
      </c>
    </row>
    <row r="432" spans="1:4">
      <c r="A432">
        <v>2</v>
      </c>
      <c r="B432" t="s">
        <v>512</v>
      </c>
      <c r="C432" t="s">
        <v>570</v>
      </c>
      <c r="D432" s="1">
        <f>HYPERLINK("https://pubmed.ncbi.nlm.nih.gov/?term=17975024","17975024")</f>
        <v>0</v>
      </c>
    </row>
    <row r="433" spans="1:4">
      <c r="A433">
        <v>2</v>
      </c>
      <c r="B433" t="s">
        <v>513</v>
      </c>
      <c r="C433" t="s">
        <v>570</v>
      </c>
      <c r="D433" s="1">
        <f>HYPERLINK("https://pubmed.ncbi.nlm.nih.gov/?term=17277668","17277668")</f>
        <v>0</v>
      </c>
    </row>
    <row r="434" spans="1:4">
      <c r="A434">
        <v>2</v>
      </c>
      <c r="B434" t="s">
        <v>514</v>
      </c>
      <c r="C434" t="s">
        <v>570</v>
      </c>
      <c r="D434" s="1">
        <f>HYPERLINK("https://pubmed.ncbi.nlm.nih.gov/?term=34043183","34043183")</f>
        <v>0</v>
      </c>
    </row>
    <row r="435" spans="1:4">
      <c r="A435">
        <v>2</v>
      </c>
      <c r="B435" t="s">
        <v>515</v>
      </c>
      <c r="C435" t="s">
        <v>570</v>
      </c>
      <c r="D435" s="1">
        <f>HYPERLINK("https://pubmed.ncbi.nlm.nih.gov/?term=26390100","26390100")</f>
        <v>0</v>
      </c>
    </row>
    <row r="436" spans="1:4">
      <c r="A436">
        <v>2</v>
      </c>
      <c r="B436" t="s">
        <v>516</v>
      </c>
      <c r="C436" t="s">
        <v>571</v>
      </c>
      <c r="D436" s="1">
        <f>HYPERLINK("http://dx.doi.org/10.1016/j.mpdhp.2009.01.004","10.1016/j.mpdhp.2009.01.004")</f>
        <v>0</v>
      </c>
    </row>
    <row r="437" spans="1:4">
      <c r="A437">
        <v>2</v>
      </c>
      <c r="B437" t="s">
        <v>517</v>
      </c>
      <c r="C437" t="s">
        <v>571</v>
      </c>
      <c r="D437" s="1">
        <f>HYPERLINK("http://dx.doi.org/10.1016/S0889-8529(05)70290-5","10.1016/S0889-8529(05)70290-5")</f>
        <v>0</v>
      </c>
    </row>
    <row r="438" spans="1:4">
      <c r="A438">
        <v>2</v>
      </c>
      <c r="B438" t="s">
        <v>518</v>
      </c>
      <c r="C438" t="s">
        <v>570</v>
      </c>
      <c r="D438" s="1">
        <f>HYPERLINK("https://pubmed.ncbi.nlm.nih.gov/?term=23323113","23323113")</f>
        <v>0</v>
      </c>
    </row>
    <row r="439" spans="1:4">
      <c r="A439">
        <v>2</v>
      </c>
      <c r="B439" t="s">
        <v>519</v>
      </c>
      <c r="C439" t="s">
        <v>570</v>
      </c>
      <c r="D439" s="1">
        <f>HYPERLINK("https://pubmed.ncbi.nlm.nih.gov/?term=32814623","32814623")</f>
        <v>0</v>
      </c>
    </row>
    <row r="440" spans="1:4">
      <c r="A440">
        <v>2</v>
      </c>
      <c r="B440" t="s">
        <v>520</v>
      </c>
      <c r="C440" t="s">
        <v>570</v>
      </c>
      <c r="D440" s="1">
        <f>HYPERLINK("https://pubmed.ncbi.nlm.nih.gov/?term=29262613","29262613")</f>
        <v>0</v>
      </c>
    </row>
    <row r="441" spans="1:4">
      <c r="A441">
        <v>2</v>
      </c>
      <c r="B441" t="s">
        <v>521</v>
      </c>
      <c r="C441" t="s">
        <v>570</v>
      </c>
      <c r="D441" s="1">
        <f>HYPERLINK("https://pubmed.ncbi.nlm.nih.gov/?term=17543732","17543732")</f>
        <v>0</v>
      </c>
    </row>
    <row r="442" spans="1:4">
      <c r="A442">
        <v>2</v>
      </c>
      <c r="B442" t="s">
        <v>522</v>
      </c>
      <c r="C442" t="s">
        <v>570</v>
      </c>
      <c r="D442" s="1">
        <f>HYPERLINK("https://pubmed.ncbi.nlm.nih.gov/?term=34532875","34532875")</f>
        <v>0</v>
      </c>
    </row>
    <row r="443" spans="1:4">
      <c r="A443">
        <v>2</v>
      </c>
      <c r="B443" t="s">
        <v>523</v>
      </c>
      <c r="C443" t="s">
        <v>570</v>
      </c>
      <c r="D443" s="1">
        <f>HYPERLINK("https://pubmed.ncbi.nlm.nih.gov/?term=29205368","29205368")</f>
        <v>0</v>
      </c>
    </row>
    <row r="444" spans="1:4">
      <c r="A444">
        <v>2</v>
      </c>
      <c r="B444" t="s">
        <v>524</v>
      </c>
      <c r="C444" t="s">
        <v>570</v>
      </c>
      <c r="D444" s="1">
        <f>HYPERLINK("https://pubmed.ncbi.nlm.nih.gov/?term=16278264","16278264")</f>
        <v>0</v>
      </c>
    </row>
    <row r="445" spans="1:4">
      <c r="A445">
        <v>2</v>
      </c>
      <c r="B445" t="s">
        <v>525</v>
      </c>
      <c r="C445" t="s">
        <v>570</v>
      </c>
      <c r="D445" s="1">
        <f>HYPERLINK("https://pubmed.ncbi.nlm.nih.gov/?term=21880053","21880053")</f>
        <v>0</v>
      </c>
    </row>
    <row r="446" spans="1:4">
      <c r="A446">
        <v>2</v>
      </c>
      <c r="B446" t="s">
        <v>526</v>
      </c>
      <c r="C446" t="s">
        <v>570</v>
      </c>
      <c r="D446" s="1">
        <f>HYPERLINK("https://pubmed.ncbi.nlm.nih.gov/?term=28007658","28007658")</f>
        <v>0</v>
      </c>
    </row>
    <row r="447" spans="1:4">
      <c r="A447">
        <v>2</v>
      </c>
      <c r="B447" t="s">
        <v>527</v>
      </c>
      <c r="C447" t="s">
        <v>570</v>
      </c>
      <c r="D447" s="1">
        <f>HYPERLINK("https://pubmed.ncbi.nlm.nih.gov/?term=18316483","18316483")</f>
        <v>0</v>
      </c>
    </row>
    <row r="448" spans="1:4">
      <c r="A448">
        <v>2</v>
      </c>
      <c r="B448" t="s">
        <v>528</v>
      </c>
      <c r="C448" t="s">
        <v>570</v>
      </c>
      <c r="D448" s="1">
        <f>HYPERLINK("https://pubmed.ncbi.nlm.nih.gov/?term=25336503","25336503")</f>
        <v>0</v>
      </c>
    </row>
    <row r="449" spans="1:4">
      <c r="A449">
        <v>2</v>
      </c>
      <c r="B449" t="s">
        <v>529</v>
      </c>
      <c r="C449" t="s">
        <v>570</v>
      </c>
      <c r="D449" s="1">
        <f>HYPERLINK("https://pubmed.ncbi.nlm.nih.gov/?term=20952298","20952298")</f>
        <v>0</v>
      </c>
    </row>
    <row r="450" spans="1:4">
      <c r="A450">
        <v>2</v>
      </c>
      <c r="B450" t="s">
        <v>530</v>
      </c>
      <c r="C450" t="s">
        <v>571</v>
      </c>
      <c r="D450" s="1">
        <f>HYPERLINK("http://dx.doi.org/10.2176/nmc.ra.2014-0184","10.2176/nmc.ra.2014-0184")</f>
        <v>0</v>
      </c>
    </row>
    <row r="451" spans="1:4">
      <c r="A451">
        <v>2</v>
      </c>
      <c r="B451" t="s">
        <v>531</v>
      </c>
      <c r="C451" t="s">
        <v>570</v>
      </c>
      <c r="D451" s="1">
        <f>HYPERLINK("https://pubmed.ncbi.nlm.nih.gov/?term=15286154","15286154")</f>
        <v>0</v>
      </c>
    </row>
    <row r="452" spans="1:4">
      <c r="A452">
        <v>2</v>
      </c>
      <c r="B452" t="s">
        <v>532</v>
      </c>
      <c r="C452" t="s">
        <v>570</v>
      </c>
      <c r="D452" s="1">
        <f>HYPERLINK("https://pubmed.ncbi.nlm.nih.gov/?term=23599145","23599145")</f>
        <v>0</v>
      </c>
    </row>
    <row r="453" spans="1:4">
      <c r="A453">
        <v>2</v>
      </c>
      <c r="B453" t="s">
        <v>533</v>
      </c>
      <c r="C453" t="s">
        <v>571</v>
      </c>
      <c r="D453" s="1">
        <f>HYPERLINK("http://dx.doi.org/10.1530/JOE-20-0035","10.1530/JOE-20-0035")</f>
        <v>0</v>
      </c>
    </row>
    <row r="454" spans="1:4">
      <c r="A454">
        <v>2</v>
      </c>
      <c r="B454" t="s">
        <v>534</v>
      </c>
      <c r="C454" t="s">
        <v>570</v>
      </c>
      <c r="D454" s="1">
        <f>HYPERLINK("https://pubmed.ncbi.nlm.nih.gov/?term=22992589","22992589")</f>
        <v>0</v>
      </c>
    </row>
    <row r="455" spans="1:4">
      <c r="A455">
        <v>2</v>
      </c>
      <c r="B455" t="s">
        <v>535</v>
      </c>
      <c r="C455" t="s">
        <v>570</v>
      </c>
      <c r="D455" s="1">
        <f>HYPERLINK("https://pubmed.ncbi.nlm.nih.gov/?term=15240590","15240590")</f>
        <v>0</v>
      </c>
    </row>
    <row r="456" spans="1:4">
      <c r="A456">
        <v>2</v>
      </c>
      <c r="B456" t="s">
        <v>536</v>
      </c>
      <c r="C456" t="s">
        <v>570</v>
      </c>
      <c r="D456" s="1">
        <f>HYPERLINK("https://pubmed.ncbi.nlm.nih.gov/?term=8609225","8609225")</f>
        <v>0</v>
      </c>
    </row>
    <row r="457" spans="1:4">
      <c r="A457">
        <v>2</v>
      </c>
      <c r="B457" t="s">
        <v>537</v>
      </c>
      <c r="C457" t="s">
        <v>570</v>
      </c>
      <c r="D457" s="1">
        <f>HYPERLINK("https://pubmed.ncbi.nlm.nih.gov/?term=14660734","14660734")</f>
        <v>0</v>
      </c>
    </row>
    <row r="458" spans="1:4">
      <c r="A458">
        <v>2</v>
      </c>
      <c r="B458" t="s">
        <v>538</v>
      </c>
      <c r="C458" t="s">
        <v>571</v>
      </c>
      <c r="D458" s="1">
        <f>HYPERLINK("http://dx.doi.org/10.1097/AOG.0000000000000340","10.1097/AOG.0000000000000340")</f>
        <v>0</v>
      </c>
    </row>
    <row r="459" spans="1:4">
      <c r="A459">
        <v>2</v>
      </c>
      <c r="B459" t="s">
        <v>539</v>
      </c>
      <c r="C459" t="s">
        <v>570</v>
      </c>
      <c r="D459" s="1">
        <f>HYPERLINK("https://pubmed.ncbi.nlm.nih.gov/?term=30069243","30069243")</f>
        <v>0</v>
      </c>
    </row>
    <row r="460" spans="1:4">
      <c r="A460">
        <v>2</v>
      </c>
      <c r="B460" t="s">
        <v>540</v>
      </c>
      <c r="C460" t="s">
        <v>570</v>
      </c>
      <c r="D460" s="1">
        <f>HYPERLINK("https://pubmed.ncbi.nlm.nih.gov/?term=17893251","17893251")</f>
        <v>0</v>
      </c>
    </row>
    <row r="461" spans="1:4">
      <c r="A461">
        <v>2</v>
      </c>
      <c r="B461" t="s">
        <v>541</v>
      </c>
      <c r="C461" t="s">
        <v>570</v>
      </c>
      <c r="D461" s="1">
        <f>HYPERLINK("https://pubmed.ncbi.nlm.nih.gov/?term=26618408","26618408")</f>
        <v>0</v>
      </c>
    </row>
    <row r="462" spans="1:4">
      <c r="A462">
        <v>2</v>
      </c>
      <c r="B462" t="s">
        <v>542</v>
      </c>
      <c r="C462" t="s">
        <v>570</v>
      </c>
      <c r="D462" s="1">
        <f>HYPERLINK("https://pubmed.ncbi.nlm.nih.gov/?term=25592387","25592387")</f>
        <v>0</v>
      </c>
    </row>
    <row r="463" spans="1:4">
      <c r="A463">
        <v>2</v>
      </c>
      <c r="B463" t="s">
        <v>543</v>
      </c>
      <c r="C463" t="s">
        <v>570</v>
      </c>
      <c r="D463" s="1">
        <f>HYPERLINK("https://pubmed.ncbi.nlm.nih.gov/?term=21976722","21976722")</f>
        <v>0</v>
      </c>
    </row>
    <row r="464" spans="1:4">
      <c r="A464">
        <v>2</v>
      </c>
      <c r="B464" t="s">
        <v>544</v>
      </c>
      <c r="C464" t="s">
        <v>570</v>
      </c>
      <c r="D464" s="1">
        <f>HYPERLINK("https://pubmed.ncbi.nlm.nih.gov/?term=29390296","29390296")</f>
        <v>0</v>
      </c>
    </row>
    <row r="465" spans="1:4">
      <c r="A465">
        <v>2</v>
      </c>
      <c r="B465" t="s">
        <v>545</v>
      </c>
      <c r="C465" t="s">
        <v>570</v>
      </c>
      <c r="D465" s="1">
        <f>HYPERLINK("https://pubmed.ncbi.nlm.nih.gov/?term=22220234","22220234")</f>
        <v>0</v>
      </c>
    </row>
    <row r="466" spans="1:4">
      <c r="A466">
        <v>2</v>
      </c>
      <c r="B466" t="s">
        <v>546</v>
      </c>
      <c r="C466" t="s">
        <v>570</v>
      </c>
      <c r="D466" s="1">
        <f>HYPERLINK("https://pubmed.ncbi.nlm.nih.gov/?term=20685857","20685857")</f>
        <v>0</v>
      </c>
    </row>
    <row r="467" spans="1:4">
      <c r="A467">
        <v>2</v>
      </c>
      <c r="B467" t="s">
        <v>547</v>
      </c>
      <c r="C467" t="s">
        <v>570</v>
      </c>
      <c r="D467" s="1">
        <f>HYPERLINK("https://pubmed.ncbi.nlm.nih.gov/?term=20190548","20190548")</f>
        <v>0</v>
      </c>
    </row>
    <row r="468" spans="1:4">
      <c r="A468">
        <v>2</v>
      </c>
      <c r="B468" t="s">
        <v>548</v>
      </c>
      <c r="C468" t="s">
        <v>570</v>
      </c>
      <c r="D468" s="1">
        <f>HYPERLINK("https://pubmed.ncbi.nlm.nih.gov/?term=24621290","24621290")</f>
        <v>0</v>
      </c>
    </row>
    <row r="469" spans="1:4">
      <c r="A469">
        <v>2</v>
      </c>
      <c r="B469" t="s">
        <v>549</v>
      </c>
      <c r="C469" t="s">
        <v>571</v>
      </c>
      <c r="D469" s="1">
        <f>HYPERLINK("http://dx.doi.org/10.1089/omi.2018.0160","10.1089/omi.2018.0160")</f>
        <v>0</v>
      </c>
    </row>
    <row r="470" spans="1:4">
      <c r="A470">
        <v>2</v>
      </c>
      <c r="B470" t="s">
        <v>550</v>
      </c>
      <c r="C470" t="s">
        <v>570</v>
      </c>
      <c r="D470" s="1">
        <f>HYPERLINK("https://pubmed.ncbi.nlm.nih.gov/?term=23715723","23715723")</f>
        <v>0</v>
      </c>
    </row>
    <row r="471" spans="1:4">
      <c r="A471">
        <v>2</v>
      </c>
      <c r="B471" t="s">
        <v>551</v>
      </c>
      <c r="C471" t="s">
        <v>571</v>
      </c>
      <c r="D471" s="1">
        <f>HYPERLINK("http://dx.doi.org/10.1016/j.mpdhp.2010.12.006","10.1016/j.mpdhp.2010.12.006")</f>
        <v>0</v>
      </c>
    </row>
    <row r="472" spans="1:4">
      <c r="A472">
        <v>2</v>
      </c>
      <c r="B472" t="s">
        <v>552</v>
      </c>
      <c r="C472" t="s">
        <v>570</v>
      </c>
      <c r="D472" s="1">
        <f>HYPERLINK("https://pubmed.ncbi.nlm.nih.gov/?term=12763000","12763000")</f>
        <v>0</v>
      </c>
    </row>
    <row r="473" spans="1:4">
      <c r="A473">
        <v>2</v>
      </c>
      <c r="B473" t="s">
        <v>553</v>
      </c>
      <c r="C473" t="s">
        <v>571</v>
      </c>
      <c r="D473" s="1">
        <f>HYPERLINK("http://dx.doi.org/10.1016/j.path.2009.08.014","10.1016/j.path.2009.08.014")</f>
        <v>0</v>
      </c>
    </row>
    <row r="474" spans="1:4">
      <c r="A474">
        <v>2</v>
      </c>
      <c r="B474" t="s">
        <v>554</v>
      </c>
      <c r="C474" t="s">
        <v>570</v>
      </c>
      <c r="D474" s="1">
        <f>HYPERLINK("https://pubmed.ncbi.nlm.nih.gov/?term=30630164","30630164")</f>
        <v>0</v>
      </c>
    </row>
    <row r="475" spans="1:4">
      <c r="A475">
        <v>2</v>
      </c>
      <c r="B475" t="s">
        <v>555</v>
      </c>
      <c r="C475" t="s">
        <v>570</v>
      </c>
      <c r="D475" s="1">
        <f>HYPERLINK("https://pubmed.ncbi.nlm.nih.gov/?term=15705925","15705925")</f>
        <v>0</v>
      </c>
    </row>
    <row r="476" spans="1:4">
      <c r="A476">
        <v>2</v>
      </c>
      <c r="B476" t="s">
        <v>556</v>
      </c>
      <c r="C476" t="s">
        <v>570</v>
      </c>
      <c r="D476" s="1">
        <f>HYPERLINK("https://pubmed.ncbi.nlm.nih.gov/?term=32854934","32854934")</f>
        <v>0</v>
      </c>
    </row>
    <row r="477" spans="1:4">
      <c r="A477">
        <v>2</v>
      </c>
      <c r="B477" t="s">
        <v>557</v>
      </c>
      <c r="C477" t="s">
        <v>571</v>
      </c>
      <c r="D477" s="1">
        <f>HYPERLINK("http://dx.doi.org/10.1530/ERC-20-0136","10.1530/ERC-20-0136")</f>
        <v>0</v>
      </c>
    </row>
    <row r="478" spans="1:4">
      <c r="A478">
        <v>2</v>
      </c>
      <c r="B478" t="s">
        <v>558</v>
      </c>
      <c r="C478" t="s">
        <v>570</v>
      </c>
      <c r="D478" s="1">
        <f>HYPERLINK("https://pubmed.ncbi.nlm.nih.gov/?term=21852354","21852354")</f>
        <v>0</v>
      </c>
    </row>
    <row r="479" spans="1:4">
      <c r="A479">
        <v>2</v>
      </c>
      <c r="B479" t="s">
        <v>559</v>
      </c>
      <c r="C479" t="s">
        <v>570</v>
      </c>
      <c r="D479" s="1">
        <f>HYPERLINK("https://pubmed.ncbi.nlm.nih.gov/?term=32451863","32451863")</f>
        <v>0</v>
      </c>
    </row>
    <row r="480" spans="1:4">
      <c r="A480">
        <v>2</v>
      </c>
      <c r="B480" t="s">
        <v>560</v>
      </c>
      <c r="C480" t="s">
        <v>570</v>
      </c>
      <c r="D480" s="1">
        <f>HYPERLINK("https://pubmed.ncbi.nlm.nih.gov/?term=18780607","18780607")</f>
        <v>0</v>
      </c>
    </row>
    <row r="481" spans="1:4">
      <c r="A481">
        <v>2</v>
      </c>
      <c r="B481" t="s">
        <v>561</v>
      </c>
      <c r="C481" t="s">
        <v>570</v>
      </c>
      <c r="D481" s="1">
        <f>HYPERLINK("https://pubmed.ncbi.nlm.nih.gov/?term=12119280","12119280")</f>
        <v>0</v>
      </c>
    </row>
    <row r="482" spans="1:4">
      <c r="A482">
        <v>2</v>
      </c>
      <c r="B482" t="s">
        <v>562</v>
      </c>
      <c r="C482" t="s">
        <v>570</v>
      </c>
      <c r="D482" s="1">
        <f>HYPERLINK("https://pubmed.ncbi.nlm.nih.gov/?term=11095480","11095480")</f>
        <v>0</v>
      </c>
    </row>
    <row r="483" spans="1:4">
      <c r="A483">
        <v>2</v>
      </c>
      <c r="B483" t="s">
        <v>563</v>
      </c>
      <c r="C483" t="s">
        <v>570</v>
      </c>
      <c r="D483" s="1">
        <f>HYPERLINK("https://pubmed.ncbi.nlm.nih.gov/?term=17478243","17478243")</f>
        <v>0</v>
      </c>
    </row>
    <row r="484" spans="1:4">
      <c r="A484">
        <v>2</v>
      </c>
      <c r="B484" t="s">
        <v>564</v>
      </c>
      <c r="C484" t="s">
        <v>570</v>
      </c>
      <c r="D484" s="1">
        <f>HYPERLINK("https://pubmed.ncbi.nlm.nih.gov/?term=28445712","28445712")</f>
        <v>0</v>
      </c>
    </row>
    <row r="485" spans="1:4">
      <c r="A485">
        <v>2</v>
      </c>
      <c r="B485" t="s">
        <v>565</v>
      </c>
      <c r="C485" t="s">
        <v>570</v>
      </c>
      <c r="D485" s="1">
        <f>HYPERLINK("https://pubmed.ncbi.nlm.nih.gov/?term=15953464","15953464")</f>
        <v>0</v>
      </c>
    </row>
    <row r="486" spans="1:4">
      <c r="A486">
        <v>2</v>
      </c>
      <c r="B486" t="s">
        <v>566</v>
      </c>
      <c r="C486" t="s">
        <v>570</v>
      </c>
      <c r="D486" s="1">
        <f>HYPERLINK("https://pubmed.ncbi.nlm.nih.gov/?term=23743763","23743763")</f>
        <v>0</v>
      </c>
    </row>
    <row r="487" spans="1:4">
      <c r="A487">
        <v>2</v>
      </c>
      <c r="B487" t="s">
        <v>567</v>
      </c>
      <c r="C487" t="s">
        <v>571</v>
      </c>
      <c r="D487" s="1">
        <f>HYPERLINK("http://dx.doi.org/10.1089/thy.2020.0109","10.1089/thy.2020.0109")</f>
        <v>0</v>
      </c>
    </row>
    <row r="488" spans="1:4">
      <c r="A488">
        <v>2</v>
      </c>
      <c r="B488" t="s">
        <v>568</v>
      </c>
      <c r="C488" t="s">
        <v>570</v>
      </c>
      <c r="D488" s="1">
        <f>HYPERLINK("https://pubmed.ncbi.nlm.nih.gov/?term=15630436","15630436")</f>
        <v>0</v>
      </c>
    </row>
    <row r="489" spans="1:4">
      <c r="A489">
        <v>2</v>
      </c>
      <c r="B489" t="s">
        <v>569</v>
      </c>
      <c r="C489" t="s">
        <v>570</v>
      </c>
      <c r="D489" s="1">
        <f>HYPERLINK("https://pubmed.ncbi.nlm.nih.gov/?term=26246497","26246497")</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55"/>
  <sheetViews>
    <sheetView workbookViewId="0"/>
  </sheetViews>
  <sheetFormatPr defaultRowHeight="15"/>
  <cols>
    <col min="4" max="4" width="20.7109375" style="1" customWidth="1"/>
  </cols>
  <sheetData>
    <row r="1" spans="1:4" s="3" customFormat="1">
      <c r="A1" s="3" t="s">
        <v>637</v>
      </c>
      <c r="B1" s="3" t="s">
        <v>579</v>
      </c>
      <c r="C1" s="3" t="s">
        <v>580</v>
      </c>
      <c r="D1" s="3" t="s">
        <v>581</v>
      </c>
    </row>
    <row r="2" spans="1:4">
      <c r="A2">
        <v>17</v>
      </c>
      <c r="B2" t="s">
        <v>582</v>
      </c>
      <c r="C2" t="s">
        <v>570</v>
      </c>
      <c r="D2" s="1">
        <f>HYPERLINK("https://pubmed.ncbi.nlm.nih.gov/?term=32039305","32039305")</f>
        <v>0</v>
      </c>
    </row>
    <row r="3" spans="1:4">
      <c r="A3">
        <v>15</v>
      </c>
      <c r="B3" t="s">
        <v>583</v>
      </c>
      <c r="C3" t="s">
        <v>570</v>
      </c>
      <c r="D3" s="1">
        <f>HYPERLINK("https://pubmed.ncbi.nlm.nih.gov/?term=30510946","30510946")</f>
        <v>0</v>
      </c>
    </row>
    <row r="4" spans="1:4">
      <c r="A4">
        <v>12</v>
      </c>
      <c r="B4" t="s">
        <v>584</v>
      </c>
      <c r="C4" t="s">
        <v>570</v>
      </c>
      <c r="D4" s="1">
        <f>HYPERLINK("https://pubmed.ncbi.nlm.nih.gov/?term=33040851","33040851")</f>
        <v>0</v>
      </c>
    </row>
    <row r="5" spans="1:4">
      <c r="A5">
        <v>12</v>
      </c>
      <c r="B5" t="s">
        <v>585</v>
      </c>
      <c r="C5" t="s">
        <v>571</v>
      </c>
      <c r="D5" s="1">
        <f>HYPERLINK("http://dx.doi.org/10.1016/j.livres.2017.12.003","10.1016/j.livres.2017.12.003")</f>
        <v>0</v>
      </c>
    </row>
    <row r="6" spans="1:4">
      <c r="A6">
        <v>12</v>
      </c>
      <c r="B6" t="s">
        <v>586</v>
      </c>
      <c r="C6" t="s">
        <v>571</v>
      </c>
      <c r="D6" s="1">
        <f>HYPERLINK("http://dx.doi.org/10.1016/j.livres.2017.12.011","10.1016/j.livres.2017.12.011")</f>
        <v>0</v>
      </c>
    </row>
    <row r="7" spans="1:4">
      <c r="A7">
        <v>11</v>
      </c>
      <c r="B7" t="s">
        <v>587</v>
      </c>
      <c r="C7" t="s">
        <v>570</v>
      </c>
      <c r="D7" s="1">
        <f>HYPERLINK("https://pubmed.ncbi.nlm.nih.gov/?term=22752956","22752956")</f>
        <v>0</v>
      </c>
    </row>
    <row r="8" spans="1:4">
      <c r="A8">
        <v>9</v>
      </c>
      <c r="B8" t="s">
        <v>588</v>
      </c>
      <c r="C8" t="s">
        <v>571</v>
      </c>
      <c r="D8" s="1">
        <f>HYPERLINK("http://dx.doi.org/10.1016/j.ehpc.2017.06.003","10.1016/j.ehpc.2017.06.003")</f>
        <v>0</v>
      </c>
    </row>
    <row r="9" spans="1:4">
      <c r="A9">
        <v>8</v>
      </c>
      <c r="B9" t="s">
        <v>589</v>
      </c>
      <c r="C9" t="s">
        <v>571</v>
      </c>
      <c r="D9" s="1">
        <f>HYPERLINK("http://dx.doi.org/10.1016/j.ecl.2017.01.004","10.1016/j.ecl.2017.01.004")</f>
        <v>0</v>
      </c>
    </row>
    <row r="10" spans="1:4">
      <c r="A10">
        <v>8</v>
      </c>
      <c r="B10" t="s">
        <v>590</v>
      </c>
      <c r="C10" t="s">
        <v>570</v>
      </c>
      <c r="D10" s="1">
        <f>HYPERLINK("https://pubmed.ncbi.nlm.nih.gov/?term=21454229","21454229")</f>
        <v>0</v>
      </c>
    </row>
    <row r="11" spans="1:4">
      <c r="A11">
        <v>8</v>
      </c>
      <c r="B11" t="s">
        <v>591</v>
      </c>
      <c r="C11" t="s">
        <v>570</v>
      </c>
      <c r="D11" s="1">
        <f>HYPERLINK("https://pubmed.ncbi.nlm.nih.gov/?term=30093212","30093212")</f>
        <v>0</v>
      </c>
    </row>
    <row r="12" spans="1:4">
      <c r="A12">
        <v>6</v>
      </c>
      <c r="B12" t="s">
        <v>592</v>
      </c>
      <c r="C12" t="s">
        <v>570</v>
      </c>
      <c r="D12" s="1">
        <f>HYPERLINK("https://pubmed.ncbi.nlm.nih.gov/?term=12666684","12666684")</f>
        <v>0</v>
      </c>
    </row>
    <row r="13" spans="1:4">
      <c r="A13">
        <v>6</v>
      </c>
      <c r="B13" t="s">
        <v>593</v>
      </c>
      <c r="C13" t="s">
        <v>570</v>
      </c>
      <c r="D13" s="1">
        <f>HYPERLINK("https://pubmed.ncbi.nlm.nih.gov/?term=24144965","24144965")</f>
        <v>0</v>
      </c>
    </row>
    <row r="14" spans="1:4">
      <c r="A14">
        <v>6</v>
      </c>
      <c r="B14" t="s">
        <v>594</v>
      </c>
      <c r="C14" t="s">
        <v>570</v>
      </c>
      <c r="D14" s="1">
        <f>HYPERLINK("https://pubmed.ncbi.nlm.nih.gov/?term=26788925","26788925")</f>
        <v>0</v>
      </c>
    </row>
    <row r="15" spans="1:4">
      <c r="A15">
        <v>4</v>
      </c>
      <c r="B15" t="s">
        <v>595</v>
      </c>
      <c r="C15" t="s">
        <v>571</v>
      </c>
      <c r="D15" s="1">
        <f>HYPERLINK("http://dx.doi.org/10.1016/j.mpdhp.2016.02.004","10.1016/j.mpdhp.2016.02.004")</f>
        <v>0</v>
      </c>
    </row>
    <row r="16" spans="1:4">
      <c r="A16">
        <v>4</v>
      </c>
      <c r="B16" t="s">
        <v>596</v>
      </c>
      <c r="C16" t="s">
        <v>570</v>
      </c>
      <c r="D16" s="1">
        <f>HYPERLINK("https://pubmed.ncbi.nlm.nih.gov/?term=21852354","21852354")</f>
        <v>0</v>
      </c>
    </row>
    <row r="17" spans="1:4">
      <c r="A17">
        <v>4</v>
      </c>
      <c r="B17" t="s">
        <v>597</v>
      </c>
      <c r="C17" t="s">
        <v>570</v>
      </c>
      <c r="D17" s="1">
        <f>HYPERLINK("https://pubmed.ncbi.nlm.nih.gov/?term=32215884","32215884")</f>
        <v>0</v>
      </c>
    </row>
    <row r="18" spans="1:4">
      <c r="A18">
        <v>4</v>
      </c>
      <c r="B18" t="s">
        <v>598</v>
      </c>
      <c r="C18" t="s">
        <v>570</v>
      </c>
      <c r="D18" s="1">
        <f>HYPERLINK("https://pubmed.ncbi.nlm.nih.gov/?term=24012779","24012779")</f>
        <v>0</v>
      </c>
    </row>
    <row r="19" spans="1:4">
      <c r="A19">
        <v>4</v>
      </c>
      <c r="B19" t="s">
        <v>599</v>
      </c>
      <c r="C19" t="s">
        <v>570</v>
      </c>
      <c r="D19" s="1">
        <f>HYPERLINK("https://pubmed.ncbi.nlm.nih.gov/?term=30456751","30456751")</f>
        <v>0</v>
      </c>
    </row>
    <row r="20" spans="1:4">
      <c r="A20">
        <v>4</v>
      </c>
      <c r="B20" t="s">
        <v>600</v>
      </c>
      <c r="C20" t="s">
        <v>570</v>
      </c>
      <c r="D20" s="1">
        <f>HYPERLINK("https://pubmed.ncbi.nlm.nih.gov/?term=21602319","21602319")</f>
        <v>0</v>
      </c>
    </row>
    <row r="21" spans="1:4">
      <c r="A21">
        <v>4</v>
      </c>
      <c r="B21" t="s">
        <v>601</v>
      </c>
      <c r="C21" t="s">
        <v>570</v>
      </c>
      <c r="D21" s="1">
        <f>HYPERLINK("https://pubmed.ncbi.nlm.nih.gov/?term=24886234","24886234")</f>
        <v>0</v>
      </c>
    </row>
    <row r="22" spans="1:4">
      <c r="A22">
        <v>4</v>
      </c>
      <c r="B22" t="s">
        <v>602</v>
      </c>
      <c r="C22" t="s">
        <v>570</v>
      </c>
      <c r="D22" s="1">
        <f>HYPERLINK("https://pubmed.ncbi.nlm.nih.gov/?term=19833579","19833579")</f>
        <v>0</v>
      </c>
    </row>
    <row r="23" spans="1:4">
      <c r="A23">
        <v>3</v>
      </c>
      <c r="B23" t="s">
        <v>603</v>
      </c>
      <c r="C23" t="s">
        <v>570</v>
      </c>
      <c r="D23" s="1">
        <f>HYPERLINK("https://pubmed.ncbi.nlm.nih.gov/?term=25963740","25963740")</f>
        <v>0</v>
      </c>
    </row>
    <row r="24" spans="1:4">
      <c r="A24">
        <v>3</v>
      </c>
      <c r="B24" t="s">
        <v>604</v>
      </c>
      <c r="C24" t="s">
        <v>572</v>
      </c>
      <c r="D24" s="1" t="s">
        <v>636</v>
      </c>
    </row>
    <row r="25" spans="1:4">
      <c r="A25">
        <v>3</v>
      </c>
      <c r="B25" t="s">
        <v>605</v>
      </c>
      <c r="C25" t="s">
        <v>571</v>
      </c>
      <c r="D25" s="1">
        <f>HYPERLINK("http://dx.doi.org/10.1016/j.coemr.2019.06.003","10.1016/j.coemr.2019.06.003")</f>
        <v>0</v>
      </c>
    </row>
    <row r="26" spans="1:4">
      <c r="A26">
        <v>3</v>
      </c>
      <c r="B26" t="s">
        <v>606</v>
      </c>
      <c r="C26" t="s">
        <v>570</v>
      </c>
      <c r="D26" s="1">
        <f>HYPERLINK("https://pubmed.ncbi.nlm.nih.gov/?term=26114882","26114882")</f>
        <v>0</v>
      </c>
    </row>
    <row r="27" spans="1:4">
      <c r="A27">
        <v>3</v>
      </c>
      <c r="B27" t="s">
        <v>607</v>
      </c>
      <c r="C27" t="s">
        <v>570</v>
      </c>
      <c r="D27" s="1">
        <f>HYPERLINK("https://pubmed.ncbi.nlm.nih.gov/?term=27254269","27254269")</f>
        <v>0</v>
      </c>
    </row>
    <row r="28" spans="1:4">
      <c r="A28">
        <v>3</v>
      </c>
      <c r="B28" t="s">
        <v>608</v>
      </c>
      <c r="C28" t="s">
        <v>570</v>
      </c>
      <c r="D28" s="1">
        <f>HYPERLINK("https://pubmed.ncbi.nlm.nih.gov/?term=25446387","25446387")</f>
        <v>0</v>
      </c>
    </row>
    <row r="29" spans="1:4">
      <c r="A29">
        <v>3</v>
      </c>
      <c r="B29" t="s">
        <v>609</v>
      </c>
      <c r="C29" t="s">
        <v>570</v>
      </c>
      <c r="D29" s="1">
        <f>HYPERLINK("https://pubmed.ncbi.nlm.nih.gov/?term=22020668","22020668")</f>
        <v>0</v>
      </c>
    </row>
    <row r="30" spans="1:4">
      <c r="A30">
        <v>2</v>
      </c>
      <c r="B30" t="s">
        <v>610</v>
      </c>
      <c r="C30" t="s">
        <v>570</v>
      </c>
      <c r="D30" s="1">
        <f>HYPERLINK("https://pubmed.ncbi.nlm.nih.gov/?term=21450940","21450940")</f>
        <v>0</v>
      </c>
    </row>
    <row r="31" spans="1:4">
      <c r="A31">
        <v>2</v>
      </c>
      <c r="B31" t="s">
        <v>611</v>
      </c>
      <c r="C31" t="s">
        <v>570</v>
      </c>
      <c r="D31" s="1">
        <f>HYPERLINK("https://pubmed.ncbi.nlm.nih.gov/?term=21115159","21115159")</f>
        <v>0</v>
      </c>
    </row>
    <row r="32" spans="1:4">
      <c r="A32">
        <v>2</v>
      </c>
      <c r="B32" t="s">
        <v>612</v>
      </c>
      <c r="C32" t="s">
        <v>570</v>
      </c>
      <c r="D32" s="1">
        <f>HYPERLINK("https://pubmed.ncbi.nlm.nih.gov/?term=33112278","33112278")</f>
        <v>0</v>
      </c>
    </row>
    <row r="33" spans="1:4">
      <c r="A33">
        <v>2</v>
      </c>
      <c r="B33" t="s">
        <v>613</v>
      </c>
      <c r="C33" t="s">
        <v>570</v>
      </c>
      <c r="D33" s="1">
        <f>HYPERLINK("https://pubmed.ncbi.nlm.nih.gov/?term=27657986","27657986")</f>
        <v>0</v>
      </c>
    </row>
    <row r="34" spans="1:4">
      <c r="A34">
        <v>2</v>
      </c>
      <c r="B34" t="s">
        <v>614</v>
      </c>
      <c r="C34" t="s">
        <v>570</v>
      </c>
      <c r="D34" s="1">
        <f>HYPERLINK("https://pubmed.ncbi.nlm.nih.gov/?term=27509071","27509071")</f>
        <v>0</v>
      </c>
    </row>
    <row r="35" spans="1:4">
      <c r="A35">
        <v>2</v>
      </c>
      <c r="B35" t="s">
        <v>615</v>
      </c>
      <c r="C35" t="s">
        <v>570</v>
      </c>
      <c r="D35" s="1">
        <f>HYPERLINK("https://pubmed.ncbi.nlm.nih.gov/?term=29264456","29264456")</f>
        <v>0</v>
      </c>
    </row>
    <row r="36" spans="1:4">
      <c r="A36">
        <v>2</v>
      </c>
      <c r="B36" t="s">
        <v>616</v>
      </c>
      <c r="C36" t="s">
        <v>570</v>
      </c>
      <c r="D36" s="1">
        <f>HYPERLINK("https://pubmed.ncbi.nlm.nih.gov/?term=17543732","17543732")</f>
        <v>0</v>
      </c>
    </row>
    <row r="37" spans="1:4">
      <c r="A37">
        <v>2</v>
      </c>
      <c r="B37" t="s">
        <v>617</v>
      </c>
      <c r="C37" t="s">
        <v>571</v>
      </c>
      <c r="D37" s="1">
        <f>HYPERLINK("http://dx.doi.org/10.1016/j.endien.2017.09.004","10.1016/j.endien.2017.09.004")</f>
        <v>0</v>
      </c>
    </row>
    <row r="38" spans="1:4">
      <c r="A38">
        <v>2</v>
      </c>
      <c r="B38" t="s">
        <v>618</v>
      </c>
      <c r="C38" t="s">
        <v>570</v>
      </c>
      <c r="D38" s="1">
        <f>HYPERLINK("https://pubmed.ncbi.nlm.nih.gov/?term=22145222","22145222")</f>
        <v>0</v>
      </c>
    </row>
    <row r="39" spans="1:4">
      <c r="A39">
        <v>2</v>
      </c>
      <c r="B39" t="s">
        <v>619</v>
      </c>
      <c r="C39" t="s">
        <v>571</v>
      </c>
      <c r="D39" s="1">
        <f>HYPERLINK("http://dx.doi.org/10.1016/S0735-1097(12)60911-5","10.1016/S0735-1097(12)60911-5")</f>
        <v>0</v>
      </c>
    </row>
    <row r="40" spans="1:4">
      <c r="A40">
        <v>2</v>
      </c>
      <c r="B40" t="s">
        <v>620</v>
      </c>
      <c r="C40" t="s">
        <v>570</v>
      </c>
      <c r="D40" s="1">
        <f>HYPERLINK("https://pubmed.ncbi.nlm.nih.gov/?term=31877737","31877737")</f>
        <v>0</v>
      </c>
    </row>
    <row r="41" spans="1:4">
      <c r="A41">
        <v>2</v>
      </c>
      <c r="B41" t="s">
        <v>621</v>
      </c>
      <c r="C41" t="s">
        <v>570</v>
      </c>
      <c r="D41" s="1">
        <f>HYPERLINK("https://pubmed.ncbi.nlm.nih.gov/?term=29162369","29162369")</f>
        <v>0</v>
      </c>
    </row>
    <row r="42" spans="1:4">
      <c r="A42">
        <v>2</v>
      </c>
      <c r="B42" t="s">
        <v>622</v>
      </c>
      <c r="C42" t="s">
        <v>570</v>
      </c>
      <c r="D42" s="1">
        <f>HYPERLINK("https://pubmed.ncbi.nlm.nih.gov/?term=20833331","20833331")</f>
        <v>0</v>
      </c>
    </row>
    <row r="43" spans="1:4">
      <c r="A43">
        <v>2</v>
      </c>
      <c r="B43" t="s">
        <v>623</v>
      </c>
      <c r="C43" t="s">
        <v>570</v>
      </c>
      <c r="D43" s="1">
        <f>HYPERLINK("https://pubmed.ncbi.nlm.nih.gov/?term=32674070","32674070")</f>
        <v>0</v>
      </c>
    </row>
    <row r="44" spans="1:4">
      <c r="A44">
        <v>2</v>
      </c>
      <c r="B44" t="s">
        <v>624</v>
      </c>
      <c r="C44" t="s">
        <v>570</v>
      </c>
      <c r="D44" s="1">
        <f>HYPERLINK("https://pubmed.ncbi.nlm.nih.gov/?term=31862487","31862487")</f>
        <v>0</v>
      </c>
    </row>
    <row r="45" spans="1:4">
      <c r="A45">
        <v>2</v>
      </c>
      <c r="B45" t="s">
        <v>625</v>
      </c>
      <c r="C45" t="s">
        <v>570</v>
      </c>
      <c r="D45" s="1">
        <f>HYPERLINK("https://pubmed.ncbi.nlm.nih.gov/?term=20004940","20004940")</f>
        <v>0</v>
      </c>
    </row>
    <row r="46" spans="1:4">
      <c r="A46">
        <v>2</v>
      </c>
      <c r="B46" t="s">
        <v>626</v>
      </c>
      <c r="C46" t="s">
        <v>571</v>
      </c>
      <c r="D46" s="1">
        <f>HYPERLINK("http://dx.doi.org/10.1016/j.coemr.2019.08.016","10.1016/j.coemr.2019.08.016")</f>
        <v>0</v>
      </c>
    </row>
    <row r="47" spans="1:4">
      <c r="A47">
        <v>2</v>
      </c>
      <c r="B47" t="s">
        <v>627</v>
      </c>
      <c r="C47" t="s">
        <v>570</v>
      </c>
      <c r="D47" s="1">
        <f>HYPERLINK("https://pubmed.ncbi.nlm.nih.gov/?term=22563116","22563116")</f>
        <v>0</v>
      </c>
    </row>
    <row r="48" spans="1:4">
      <c r="A48">
        <v>2</v>
      </c>
      <c r="B48" t="s">
        <v>628</v>
      </c>
      <c r="C48" t="s">
        <v>570</v>
      </c>
      <c r="D48" s="1">
        <f>HYPERLINK("https://pubmed.ncbi.nlm.nih.gov/?term=20451576","20451576")</f>
        <v>0</v>
      </c>
    </row>
    <row r="49" spans="1:4">
      <c r="A49">
        <v>2</v>
      </c>
      <c r="B49" t="s">
        <v>629</v>
      </c>
      <c r="C49" t="s">
        <v>570</v>
      </c>
      <c r="D49" s="1">
        <f>HYPERLINK("https://pubmed.ncbi.nlm.nih.gov/?term=27966451","27966451")</f>
        <v>0</v>
      </c>
    </row>
    <row r="50" spans="1:4">
      <c r="A50">
        <v>2</v>
      </c>
      <c r="B50" t="s">
        <v>630</v>
      </c>
      <c r="C50" t="s">
        <v>570</v>
      </c>
      <c r="D50" s="1">
        <f>HYPERLINK("https://pubmed.ncbi.nlm.nih.gov/?term=21111774","21111774")</f>
        <v>0</v>
      </c>
    </row>
    <row r="51" spans="1:4">
      <c r="A51">
        <v>2</v>
      </c>
      <c r="B51" t="s">
        <v>631</v>
      </c>
      <c r="C51" t="s">
        <v>570</v>
      </c>
      <c r="D51" s="1">
        <f>HYPERLINK("https://pubmed.ncbi.nlm.nih.gov/?term=34689149","34689149")</f>
        <v>0</v>
      </c>
    </row>
    <row r="52" spans="1:4">
      <c r="A52">
        <v>2</v>
      </c>
      <c r="B52" t="s">
        <v>632</v>
      </c>
      <c r="C52" t="s">
        <v>570</v>
      </c>
      <c r="D52" s="1">
        <f>HYPERLINK("https://pubmed.ncbi.nlm.nih.gov/?term=23715723","23715723")</f>
        <v>0</v>
      </c>
    </row>
    <row r="53" spans="1:4">
      <c r="A53">
        <v>2</v>
      </c>
      <c r="B53" t="s">
        <v>633</v>
      </c>
      <c r="C53" t="s">
        <v>570</v>
      </c>
      <c r="D53" s="1">
        <f>HYPERLINK("https://pubmed.ncbi.nlm.nih.gov/?term=30065853","30065853")</f>
        <v>0</v>
      </c>
    </row>
    <row r="54" spans="1:4">
      <c r="A54">
        <v>2</v>
      </c>
      <c r="B54" t="s">
        <v>634</v>
      </c>
      <c r="C54" t="s">
        <v>570</v>
      </c>
      <c r="D54" s="1">
        <f>HYPERLINK("https://pubmed.ncbi.nlm.nih.gov/?term=21900385","21900385")</f>
        <v>0</v>
      </c>
    </row>
    <row r="55" spans="1:4">
      <c r="A55">
        <v>2</v>
      </c>
      <c r="B55" t="s">
        <v>635</v>
      </c>
      <c r="C55" t="s">
        <v>571</v>
      </c>
      <c r="D55" s="1">
        <f>HYPERLINK("http://dx.doi.org/10.7150/jca.47158","10.7150/jca.47158")</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355"/>
  <sheetViews>
    <sheetView workbookViewId="0"/>
  </sheetViews>
  <sheetFormatPr defaultRowHeight="15"/>
  <cols>
    <col min="11" max="11" width="20.7109375" style="1" customWidth="1"/>
    <col min="12" max="12" width="20.7109375" style="1" customWidth="1"/>
  </cols>
  <sheetData>
    <row r="1" spans="1:15" s="2" customFormat="1" ht="120" customHeight="1">
      <c r="A1" s="2" t="s">
        <v>45</v>
      </c>
      <c r="B1" s="2" t="s">
        <v>1232</v>
      </c>
      <c r="C1" s="2" t="s">
        <v>50</v>
      </c>
      <c r="D1" s="2" t="s">
        <v>1233</v>
      </c>
      <c r="E1" s="2" t="s">
        <v>1234</v>
      </c>
      <c r="F1" s="2" t="s">
        <v>1235</v>
      </c>
      <c r="G1" s="2" t="s">
        <v>1236</v>
      </c>
      <c r="H1" s="2" t="s">
        <v>1237</v>
      </c>
      <c r="I1" s="2" t="s">
        <v>1238</v>
      </c>
      <c r="J1" s="2" t="s">
        <v>1239</v>
      </c>
      <c r="K1" s="2" t="s">
        <v>61</v>
      </c>
      <c r="L1" s="2" t="s">
        <v>62</v>
      </c>
      <c r="M1" s="2" t="s">
        <v>58</v>
      </c>
      <c r="N1" s="2" t="s">
        <v>59</v>
      </c>
      <c r="O1" s="2" t="s">
        <v>60</v>
      </c>
    </row>
    <row r="2" spans="1:15">
      <c r="A2" t="s">
        <v>0</v>
      </c>
      <c r="B2" t="s">
        <v>11</v>
      </c>
      <c r="C2" t="s">
        <v>14</v>
      </c>
    </row>
    <row r="3" spans="1:15">
      <c r="A3" t="s">
        <v>638</v>
      </c>
      <c r="B3">
        <v>3.208</v>
      </c>
      <c r="C3">
        <v>171</v>
      </c>
      <c r="D3" t="s">
        <v>987</v>
      </c>
      <c r="E3" t="s">
        <v>2</v>
      </c>
      <c r="F3" t="s">
        <v>990</v>
      </c>
      <c r="G3">
        <v>0</v>
      </c>
      <c r="H3">
        <v>0</v>
      </c>
      <c r="I3">
        <v>0</v>
      </c>
      <c r="J3">
        <v>0</v>
      </c>
      <c r="K3" s="1">
        <f>HYPERLINK("https://pubmed.ncbi.nlm.nih.gov/?term=19732068","1")</f>
        <v>0</v>
      </c>
      <c r="M3">
        <v>1</v>
      </c>
      <c r="N3" t="s">
        <v>1023</v>
      </c>
      <c r="O3" t="s">
        <v>1023</v>
      </c>
    </row>
    <row r="4" spans="1:15">
      <c r="A4" t="s">
        <v>35</v>
      </c>
      <c r="B4">
        <v>2.646</v>
      </c>
      <c r="C4">
        <v>80</v>
      </c>
      <c r="D4" t="s">
        <v>987</v>
      </c>
      <c r="E4" t="s">
        <v>989</v>
      </c>
      <c r="F4" t="s">
        <v>991</v>
      </c>
      <c r="G4">
        <v>0</v>
      </c>
      <c r="H4">
        <v>0</v>
      </c>
      <c r="I4">
        <v>0</v>
      </c>
      <c r="J4">
        <v>0</v>
      </c>
      <c r="K4" s="1">
        <f>HYPERLINK("https://pubmed.ncbi.nlm.nih.gov/?term=25794958","1")</f>
        <v>0</v>
      </c>
      <c r="M4">
        <v>1</v>
      </c>
      <c r="N4" t="s">
        <v>1024</v>
      </c>
      <c r="O4" t="s">
        <v>1024</v>
      </c>
    </row>
    <row r="5" spans="1:15">
      <c r="A5" t="s">
        <v>639</v>
      </c>
      <c r="B5">
        <v>2.603</v>
      </c>
      <c r="C5">
        <v>174</v>
      </c>
      <c r="D5" t="s">
        <v>987</v>
      </c>
      <c r="E5" t="s">
        <v>2</v>
      </c>
      <c r="F5" t="s">
        <v>992</v>
      </c>
      <c r="G5">
        <v>0</v>
      </c>
      <c r="H5">
        <v>0</v>
      </c>
      <c r="I5">
        <v>0</v>
      </c>
      <c r="J5">
        <v>0</v>
      </c>
      <c r="K5" s="1">
        <f>HYPERLINK("https://pubmed.ncbi.nlm.nih.gov/?term=21125679%2C24342289%2C33260476%2C27083401","22")</f>
        <v>0</v>
      </c>
      <c r="M5">
        <v>1</v>
      </c>
      <c r="N5" t="s">
        <v>1025</v>
      </c>
      <c r="O5" t="s">
        <v>1025</v>
      </c>
    </row>
    <row r="6" spans="1:15">
      <c r="A6" t="s">
        <v>640</v>
      </c>
      <c r="B6">
        <v>2.34</v>
      </c>
      <c r="C6">
        <v>235</v>
      </c>
      <c r="D6" t="s">
        <v>987</v>
      </c>
      <c r="E6" t="s">
        <v>6</v>
      </c>
      <c r="F6" t="s">
        <v>993</v>
      </c>
      <c r="G6">
        <v>0</v>
      </c>
      <c r="H6">
        <v>0</v>
      </c>
      <c r="I6">
        <v>0</v>
      </c>
      <c r="J6">
        <v>0</v>
      </c>
      <c r="K6" s="1">
        <f>HYPERLINK("https://pubmed.ncbi.nlm.nih.gov/?term=27498419","1")</f>
        <v>0</v>
      </c>
      <c r="M6">
        <v>1</v>
      </c>
      <c r="N6" t="s">
        <v>1026</v>
      </c>
      <c r="O6" t="s">
        <v>1026</v>
      </c>
    </row>
    <row r="7" spans="1:15">
      <c r="A7" t="s">
        <v>641</v>
      </c>
      <c r="B7">
        <v>2.137</v>
      </c>
      <c r="C7">
        <v>84</v>
      </c>
      <c r="D7" t="s">
        <v>987</v>
      </c>
      <c r="F7" t="s">
        <v>994</v>
      </c>
      <c r="G7">
        <v>0</v>
      </c>
      <c r="H7">
        <v>0</v>
      </c>
      <c r="I7">
        <v>0</v>
      </c>
      <c r="J7">
        <v>0</v>
      </c>
      <c r="K7" s="1">
        <f>HYPERLINK("https://pubmed.ncbi.nlm.nih.gov/?term=30732428","1")</f>
        <v>0</v>
      </c>
      <c r="M7">
        <v>1</v>
      </c>
      <c r="N7" t="s">
        <v>1027</v>
      </c>
      <c r="O7" t="s">
        <v>1027</v>
      </c>
    </row>
    <row r="8" spans="1:15">
      <c r="A8" t="s">
        <v>642</v>
      </c>
      <c r="B8">
        <v>2.076</v>
      </c>
      <c r="C8">
        <v>92</v>
      </c>
      <c r="D8" t="s">
        <v>987</v>
      </c>
      <c r="F8" t="s">
        <v>995</v>
      </c>
      <c r="G8">
        <v>0</v>
      </c>
      <c r="H8">
        <v>0</v>
      </c>
      <c r="I8">
        <v>0</v>
      </c>
      <c r="J8">
        <v>0</v>
      </c>
      <c r="K8" s="1">
        <f>HYPERLINK("https://pubmed.ncbi.nlm.nih.gov/?term=11427876%2C21883840%2C21924324%2C23099271","5")</f>
        <v>0</v>
      </c>
      <c r="L8" s="1">
        <f>HYPERLINK("http://dx.doi.org/10.1016/S0094-0143(05)70089-6","10.1016/S0094-0143(05)70089-6")</f>
        <v>0</v>
      </c>
      <c r="M8">
        <v>1</v>
      </c>
      <c r="N8" t="s">
        <v>1028</v>
      </c>
      <c r="O8" t="s">
        <v>1028</v>
      </c>
    </row>
    <row r="9" spans="1:15">
      <c r="A9" t="s">
        <v>643</v>
      </c>
      <c r="B9">
        <v>2.076</v>
      </c>
      <c r="C9">
        <v>35</v>
      </c>
      <c r="D9" t="s">
        <v>987</v>
      </c>
      <c r="F9" t="s">
        <v>995</v>
      </c>
      <c r="G9">
        <v>0</v>
      </c>
      <c r="H9">
        <v>0</v>
      </c>
      <c r="I9">
        <v>0</v>
      </c>
      <c r="J9">
        <v>0</v>
      </c>
      <c r="K9" s="1">
        <f>HYPERLINK("https://pubmed.ncbi.nlm.nih.gov/?term=24892279%2C29032440%2C19732068","3")</f>
        <v>0</v>
      </c>
      <c r="M9">
        <v>1</v>
      </c>
      <c r="N9" t="s">
        <v>1029</v>
      </c>
      <c r="O9" t="s">
        <v>1029</v>
      </c>
    </row>
    <row r="10" spans="1:15">
      <c r="A10" t="s">
        <v>644</v>
      </c>
      <c r="B10">
        <v>1.994</v>
      </c>
      <c r="C10">
        <v>83</v>
      </c>
      <c r="D10" t="s">
        <v>987</v>
      </c>
      <c r="E10" t="s">
        <v>6</v>
      </c>
      <c r="F10" t="s">
        <v>992</v>
      </c>
      <c r="G10">
        <v>0</v>
      </c>
      <c r="H10">
        <v>0</v>
      </c>
      <c r="I10">
        <v>0</v>
      </c>
      <c r="J10">
        <v>0</v>
      </c>
      <c r="K10" s="1">
        <f>HYPERLINK("https://pubmed.ncbi.nlm.nih.gov/?term=17543732%2C28274950%2C28614035%2C25977826","6")</f>
        <v>0</v>
      </c>
      <c r="M10">
        <v>1</v>
      </c>
      <c r="N10" t="s">
        <v>1030</v>
      </c>
      <c r="O10" t="s">
        <v>1030</v>
      </c>
    </row>
    <row r="11" spans="1:15">
      <c r="A11" t="s">
        <v>645</v>
      </c>
      <c r="B11">
        <v>1.848</v>
      </c>
      <c r="C11">
        <v>468</v>
      </c>
      <c r="D11" t="s">
        <v>987</v>
      </c>
      <c r="F11" t="s">
        <v>990</v>
      </c>
      <c r="G11">
        <v>0</v>
      </c>
      <c r="H11">
        <v>0</v>
      </c>
      <c r="I11">
        <v>0</v>
      </c>
      <c r="J11">
        <v>0</v>
      </c>
      <c r="K11" s="1">
        <f>HYPERLINK("https://pubmed.ncbi.nlm.nih.gov/?term=15958502%2C24512487","2")</f>
        <v>0</v>
      </c>
      <c r="M11">
        <v>1</v>
      </c>
      <c r="N11" t="s">
        <v>1031</v>
      </c>
      <c r="O11" t="s">
        <v>1031</v>
      </c>
    </row>
    <row r="12" spans="1:15">
      <c r="A12" t="s">
        <v>646</v>
      </c>
      <c r="B12">
        <v>1.902</v>
      </c>
      <c r="C12">
        <v>30</v>
      </c>
      <c r="D12" t="s">
        <v>987</v>
      </c>
      <c r="E12" t="s">
        <v>6</v>
      </c>
      <c r="F12" t="s">
        <v>996</v>
      </c>
      <c r="G12">
        <v>0</v>
      </c>
      <c r="H12">
        <v>0</v>
      </c>
      <c r="I12">
        <v>0</v>
      </c>
      <c r="J12">
        <v>0</v>
      </c>
      <c r="K12" s="1">
        <f>HYPERLINK("https://pubmed.ncbi.nlm.nih.gov/?term=25226294%2C15850852%2C32215884%2C30456751%2C22745241","23")</f>
        <v>0</v>
      </c>
      <c r="M12">
        <v>1</v>
      </c>
      <c r="N12" t="s">
        <v>1032</v>
      </c>
      <c r="O12" t="s">
        <v>1032</v>
      </c>
    </row>
    <row r="13" spans="1:15">
      <c r="A13" t="s">
        <v>647</v>
      </c>
      <c r="B13">
        <v>1.838</v>
      </c>
      <c r="C13">
        <v>152</v>
      </c>
      <c r="D13" t="s">
        <v>987</v>
      </c>
      <c r="F13" t="s">
        <v>997</v>
      </c>
      <c r="G13">
        <v>0</v>
      </c>
      <c r="H13">
        <v>0</v>
      </c>
      <c r="I13">
        <v>0</v>
      </c>
      <c r="J13">
        <v>0</v>
      </c>
      <c r="K13" s="1">
        <f>HYPERLINK("https://pubmed.ncbi.nlm.nih.gov/?term=30851160%2C34657781","2")</f>
        <v>0</v>
      </c>
      <c r="M13">
        <v>1</v>
      </c>
      <c r="N13" t="s">
        <v>1033</v>
      </c>
      <c r="O13" t="s">
        <v>1033</v>
      </c>
    </row>
    <row r="14" spans="1:15">
      <c r="A14" t="s">
        <v>648</v>
      </c>
      <c r="B14">
        <v>1.838</v>
      </c>
      <c r="C14">
        <v>65</v>
      </c>
      <c r="D14" t="s">
        <v>987</v>
      </c>
      <c r="F14" t="s">
        <v>998</v>
      </c>
      <c r="G14">
        <v>0</v>
      </c>
      <c r="H14">
        <v>0</v>
      </c>
      <c r="I14">
        <v>0</v>
      </c>
      <c r="J14">
        <v>0</v>
      </c>
      <c r="K14" s="1">
        <f>HYPERLINK("https://pubmed.ncbi.nlm.nih.gov/?term=15097932%2C30381388%2C32972602%2C24223358%2C20188338","20")</f>
        <v>0</v>
      </c>
      <c r="M14">
        <v>1</v>
      </c>
      <c r="N14" t="s">
        <v>1034</v>
      </c>
      <c r="O14" t="s">
        <v>1034</v>
      </c>
    </row>
    <row r="15" spans="1:15">
      <c r="A15" t="s">
        <v>649</v>
      </c>
      <c r="B15">
        <v>1.751</v>
      </c>
      <c r="C15">
        <v>95</v>
      </c>
      <c r="D15" t="s">
        <v>987</v>
      </c>
      <c r="E15" t="s">
        <v>2</v>
      </c>
      <c r="F15" t="s">
        <v>4</v>
      </c>
      <c r="G15">
        <v>0</v>
      </c>
      <c r="H15">
        <v>0</v>
      </c>
      <c r="I15">
        <v>0</v>
      </c>
      <c r="J15">
        <v>0</v>
      </c>
      <c r="K15" s="1">
        <f>HYPERLINK("https://pubmed.ncbi.nlm.nih.gov/?term=28752085%2C32972602%2C34243855%2C24472290","21")</f>
        <v>0</v>
      </c>
      <c r="L15" s="1">
        <f>HYPERLINK("http://dx.doi.org/10.1016/S1079-2104(03)70027-4","10.1016/S1079-2104(03)70027-4")</f>
        <v>0</v>
      </c>
      <c r="M15">
        <v>1</v>
      </c>
      <c r="N15" t="s">
        <v>1035</v>
      </c>
      <c r="O15" t="s">
        <v>1035</v>
      </c>
    </row>
    <row r="16" spans="1:15">
      <c r="A16" t="s">
        <v>650</v>
      </c>
      <c r="B16">
        <v>1.685</v>
      </c>
      <c r="C16">
        <v>171</v>
      </c>
      <c r="D16" t="s">
        <v>987</v>
      </c>
      <c r="F16" t="s">
        <v>999</v>
      </c>
      <c r="G16">
        <v>0</v>
      </c>
      <c r="H16">
        <v>0</v>
      </c>
      <c r="I16">
        <v>0</v>
      </c>
      <c r="J16">
        <v>0</v>
      </c>
      <c r="K16" s="1">
        <f>HYPERLINK("https://pubmed.ncbi.nlm.nih.gov/?term=16647420%2C15134798%2C12946873","3")</f>
        <v>0</v>
      </c>
      <c r="M16">
        <v>1</v>
      </c>
      <c r="N16" t="s">
        <v>1036</v>
      </c>
      <c r="O16" t="s">
        <v>1036</v>
      </c>
    </row>
    <row r="17" spans="1:15">
      <c r="A17" t="s">
        <v>651</v>
      </c>
      <c r="B17">
        <v>1.695</v>
      </c>
      <c r="C17">
        <v>16</v>
      </c>
      <c r="D17" t="s">
        <v>987</v>
      </c>
      <c r="F17" t="s">
        <v>1000</v>
      </c>
      <c r="G17">
        <v>0</v>
      </c>
      <c r="H17">
        <v>0</v>
      </c>
      <c r="I17">
        <v>0</v>
      </c>
      <c r="J17">
        <v>0</v>
      </c>
      <c r="M17">
        <v>1</v>
      </c>
      <c r="N17" t="s">
        <v>1037</v>
      </c>
      <c r="O17" t="s">
        <v>1037</v>
      </c>
    </row>
    <row r="18" spans="1:15">
      <c r="A18" t="s">
        <v>652</v>
      </c>
      <c r="B18">
        <v>1.685</v>
      </c>
      <c r="C18">
        <v>29</v>
      </c>
      <c r="D18" t="s">
        <v>987</v>
      </c>
      <c r="F18" t="s">
        <v>999</v>
      </c>
      <c r="G18">
        <v>0</v>
      </c>
      <c r="H18">
        <v>0</v>
      </c>
      <c r="I18">
        <v>0</v>
      </c>
      <c r="J18">
        <v>0</v>
      </c>
      <c r="K18" s="1">
        <f>HYPERLINK("https://pubmed.ncbi.nlm.nih.gov/?term=20188338","1")</f>
        <v>0</v>
      </c>
      <c r="M18">
        <v>1</v>
      </c>
      <c r="N18" t="s">
        <v>1038</v>
      </c>
      <c r="O18" t="s">
        <v>1038</v>
      </c>
    </row>
    <row r="19" spans="1:15">
      <c r="A19" t="s">
        <v>653</v>
      </c>
      <c r="B19">
        <v>1.539</v>
      </c>
      <c r="C19">
        <v>316</v>
      </c>
      <c r="D19" t="s">
        <v>987</v>
      </c>
      <c r="F19" t="s">
        <v>997</v>
      </c>
      <c r="G19">
        <v>0</v>
      </c>
      <c r="H19">
        <v>0</v>
      </c>
      <c r="I19">
        <v>0</v>
      </c>
      <c r="J19">
        <v>0</v>
      </c>
      <c r="K19" s="1">
        <f>HYPERLINK("https://pubmed.ncbi.nlm.nih.gov/?term=11326257","1")</f>
        <v>0</v>
      </c>
      <c r="M19">
        <v>1</v>
      </c>
      <c r="N19" t="s">
        <v>1039</v>
      </c>
      <c r="O19" t="s">
        <v>1039</v>
      </c>
    </row>
    <row r="20" spans="1:15">
      <c r="A20" t="s">
        <v>654</v>
      </c>
      <c r="B20">
        <v>1.549</v>
      </c>
      <c r="C20">
        <v>78</v>
      </c>
      <c r="D20" t="s">
        <v>987</v>
      </c>
      <c r="F20" t="s">
        <v>1001</v>
      </c>
      <c r="G20">
        <v>0</v>
      </c>
      <c r="H20">
        <v>0</v>
      </c>
      <c r="I20">
        <v>0</v>
      </c>
      <c r="J20">
        <v>0</v>
      </c>
      <c r="K20" s="1">
        <f>HYPERLINK("https://pubmed.ncbi.nlm.nih.gov/?term=12163131%2C9144890","2")</f>
        <v>0</v>
      </c>
      <c r="M20">
        <v>1</v>
      </c>
      <c r="N20" t="s">
        <v>1040</v>
      </c>
      <c r="O20" t="s">
        <v>1040</v>
      </c>
    </row>
    <row r="21" spans="1:15">
      <c r="A21" t="s">
        <v>655</v>
      </c>
      <c r="B21">
        <v>1.549</v>
      </c>
      <c r="C21">
        <v>32</v>
      </c>
      <c r="D21" t="s">
        <v>987</v>
      </c>
      <c r="F21" t="s">
        <v>1001</v>
      </c>
      <c r="G21">
        <v>0</v>
      </c>
      <c r="H21">
        <v>0</v>
      </c>
      <c r="I21">
        <v>0</v>
      </c>
      <c r="J21">
        <v>0</v>
      </c>
      <c r="K21" s="1">
        <f>HYPERLINK("https://pubmed.ncbi.nlm.nih.gov/?term=21854357","1")</f>
        <v>0</v>
      </c>
      <c r="M21">
        <v>1</v>
      </c>
      <c r="N21" t="s">
        <v>1041</v>
      </c>
      <c r="O21" t="s">
        <v>1041</v>
      </c>
    </row>
    <row r="22" spans="1:15">
      <c r="A22" t="s">
        <v>656</v>
      </c>
      <c r="B22">
        <v>1.549</v>
      </c>
      <c r="C22">
        <v>31</v>
      </c>
      <c r="D22" t="s">
        <v>987</v>
      </c>
      <c r="F22" t="s">
        <v>1001</v>
      </c>
      <c r="G22">
        <v>0</v>
      </c>
      <c r="H22">
        <v>0</v>
      </c>
      <c r="I22">
        <v>0</v>
      </c>
      <c r="J22">
        <v>0</v>
      </c>
      <c r="K22" s="1">
        <f>HYPERLINK("https://pubmed.ncbi.nlm.nih.gov/?term=23255978%2C24472290","6")</f>
        <v>0</v>
      </c>
      <c r="M22">
        <v>1</v>
      </c>
      <c r="N22" t="s">
        <v>1042</v>
      </c>
      <c r="O22" t="s">
        <v>1042</v>
      </c>
    </row>
    <row r="23" spans="1:15">
      <c r="A23" t="s">
        <v>657</v>
      </c>
      <c r="B23">
        <v>1.467</v>
      </c>
      <c r="C23">
        <v>102</v>
      </c>
      <c r="D23" t="s">
        <v>987</v>
      </c>
      <c r="E23" t="s">
        <v>6</v>
      </c>
      <c r="F23" t="s">
        <v>1001</v>
      </c>
      <c r="G23">
        <v>0</v>
      </c>
      <c r="H23">
        <v>0</v>
      </c>
      <c r="I23">
        <v>0</v>
      </c>
      <c r="J23">
        <v>0</v>
      </c>
      <c r="K23" s="1">
        <f>HYPERLINK("https://pubmed.ncbi.nlm.nih.gov/?term=30677777%2C32201880%2C32674070%2C30072068","8")</f>
        <v>0</v>
      </c>
      <c r="M23">
        <v>1</v>
      </c>
      <c r="N23" t="s">
        <v>1043</v>
      </c>
      <c r="O23" t="s">
        <v>1043</v>
      </c>
    </row>
    <row r="24" spans="1:15">
      <c r="A24" t="s">
        <v>658</v>
      </c>
      <c r="B24">
        <v>1.457</v>
      </c>
      <c r="C24">
        <v>36</v>
      </c>
      <c r="D24" t="s">
        <v>987</v>
      </c>
      <c r="F24" t="s">
        <v>1002</v>
      </c>
      <c r="G24">
        <v>0</v>
      </c>
      <c r="H24">
        <v>0</v>
      </c>
      <c r="I24">
        <v>0</v>
      </c>
      <c r="J24">
        <v>0</v>
      </c>
      <c r="K24" s="1">
        <f>HYPERLINK("https://pubmed.ncbi.nlm.nih.gov/?term=25004313%2C22457694%2C31511491","6")</f>
        <v>0</v>
      </c>
      <c r="L24" s="1">
        <f>HYPERLINK("http://dx.doi.org/10.1016/S0190-9622(00)70202-7","10.1016/S0190-9622(00)70202-7")</f>
        <v>0</v>
      </c>
      <c r="M24">
        <v>1</v>
      </c>
      <c r="N24" t="s">
        <v>1044</v>
      </c>
      <c r="O24" t="s">
        <v>1044</v>
      </c>
    </row>
    <row r="25" spans="1:15">
      <c r="A25" t="s">
        <v>659</v>
      </c>
      <c r="B25">
        <v>1.396</v>
      </c>
      <c r="C25">
        <v>197</v>
      </c>
      <c r="D25" t="s">
        <v>987</v>
      </c>
      <c r="F25" t="s">
        <v>992</v>
      </c>
      <c r="G25">
        <v>0</v>
      </c>
      <c r="H25">
        <v>0</v>
      </c>
      <c r="I25">
        <v>0</v>
      </c>
      <c r="J25">
        <v>0</v>
      </c>
      <c r="K25" s="1">
        <f>HYPERLINK("https://pubmed.ncbi.nlm.nih.gov/?term=14561967%2C25004313%2C15097932%2C21054707%2C26322079","18")</f>
        <v>0</v>
      </c>
      <c r="M25">
        <v>1</v>
      </c>
      <c r="N25" t="s">
        <v>1045</v>
      </c>
      <c r="O25" t="s">
        <v>1045</v>
      </c>
    </row>
    <row r="26" spans="1:15">
      <c r="A26" t="s">
        <v>660</v>
      </c>
      <c r="B26">
        <v>1.396</v>
      </c>
      <c r="C26">
        <v>177</v>
      </c>
      <c r="D26" t="s">
        <v>987</v>
      </c>
      <c r="F26" t="s">
        <v>992</v>
      </c>
      <c r="G26">
        <v>0</v>
      </c>
      <c r="H26">
        <v>0</v>
      </c>
      <c r="I26">
        <v>0</v>
      </c>
      <c r="J26">
        <v>0</v>
      </c>
      <c r="K26" s="1">
        <f>HYPERLINK("https://pubmed.ncbi.nlm.nih.gov/?term=32972602%2C21807166%2C30306789%2C24981185%2C21151174","6")</f>
        <v>0</v>
      </c>
      <c r="M26">
        <v>1</v>
      </c>
      <c r="N26" t="s">
        <v>1046</v>
      </c>
      <c r="O26" t="s">
        <v>1046</v>
      </c>
    </row>
    <row r="27" spans="1:15">
      <c r="A27" t="s">
        <v>661</v>
      </c>
      <c r="B27">
        <v>1.396</v>
      </c>
      <c r="C27">
        <v>74</v>
      </c>
      <c r="D27" t="s">
        <v>987</v>
      </c>
      <c r="F27" t="s">
        <v>992</v>
      </c>
      <c r="G27">
        <v>0</v>
      </c>
      <c r="H27">
        <v>0</v>
      </c>
      <c r="I27">
        <v>0</v>
      </c>
      <c r="J27">
        <v>0</v>
      </c>
      <c r="K27" s="1">
        <f>HYPERLINK("https://pubmed.ncbi.nlm.nih.gov/?term=34657781%2C33937056","2")</f>
        <v>0</v>
      </c>
      <c r="M27">
        <v>1</v>
      </c>
      <c r="N27" t="s">
        <v>1047</v>
      </c>
      <c r="O27" t="s">
        <v>1047</v>
      </c>
    </row>
    <row r="28" spans="1:15">
      <c r="A28" t="s">
        <v>662</v>
      </c>
      <c r="B28">
        <v>1.37</v>
      </c>
      <c r="C28">
        <v>143</v>
      </c>
      <c r="D28" t="s">
        <v>987</v>
      </c>
      <c r="E28" t="s">
        <v>6</v>
      </c>
      <c r="F28" t="s">
        <v>995</v>
      </c>
      <c r="G28">
        <v>0</v>
      </c>
      <c r="H28">
        <v>0</v>
      </c>
      <c r="I28">
        <v>0</v>
      </c>
      <c r="J28">
        <v>0</v>
      </c>
      <c r="K28" s="1">
        <f>HYPERLINK("https://pubmed.ncbi.nlm.nih.gov/?term=32457700","2")</f>
        <v>0</v>
      </c>
      <c r="M28">
        <v>1</v>
      </c>
      <c r="N28" t="s">
        <v>1048</v>
      </c>
      <c r="O28" t="s">
        <v>1048</v>
      </c>
    </row>
    <row r="29" spans="1:15">
      <c r="A29" t="s">
        <v>663</v>
      </c>
      <c r="B29">
        <v>1.396</v>
      </c>
      <c r="C29">
        <v>6</v>
      </c>
      <c r="D29" t="s">
        <v>987</v>
      </c>
      <c r="F29" t="s">
        <v>992</v>
      </c>
      <c r="G29">
        <v>0</v>
      </c>
      <c r="H29">
        <v>0</v>
      </c>
      <c r="I29">
        <v>0</v>
      </c>
      <c r="J29">
        <v>0</v>
      </c>
      <c r="M29">
        <v>1</v>
      </c>
      <c r="N29" t="s">
        <v>1049</v>
      </c>
      <c r="O29" t="s">
        <v>1049</v>
      </c>
    </row>
    <row r="30" spans="1:15">
      <c r="A30" t="s">
        <v>664</v>
      </c>
      <c r="B30">
        <v>1.37</v>
      </c>
      <c r="C30">
        <v>46</v>
      </c>
      <c r="D30" t="s">
        <v>987</v>
      </c>
      <c r="F30" t="s">
        <v>1003</v>
      </c>
      <c r="G30">
        <v>0</v>
      </c>
      <c r="H30">
        <v>0</v>
      </c>
      <c r="I30">
        <v>0</v>
      </c>
      <c r="J30">
        <v>0</v>
      </c>
      <c r="K30" s="1">
        <f>HYPERLINK("https://pubmed.ncbi.nlm.nih.gov/?term=27909765","2")</f>
        <v>0</v>
      </c>
      <c r="M30">
        <v>1</v>
      </c>
      <c r="N30" t="s">
        <v>1050</v>
      </c>
      <c r="O30" t="s">
        <v>1050</v>
      </c>
    </row>
    <row r="31" spans="1:15">
      <c r="A31" t="s">
        <v>665</v>
      </c>
      <c r="B31">
        <v>1.36</v>
      </c>
      <c r="C31">
        <v>11</v>
      </c>
      <c r="D31" t="s">
        <v>987</v>
      </c>
      <c r="E31" t="s">
        <v>2</v>
      </c>
      <c r="G31">
        <v>0</v>
      </c>
      <c r="H31">
        <v>0</v>
      </c>
      <c r="I31">
        <v>0</v>
      </c>
      <c r="J31">
        <v>0</v>
      </c>
      <c r="M31">
        <v>1</v>
      </c>
      <c r="N31" t="s">
        <v>1051</v>
      </c>
      <c r="O31" t="s">
        <v>1051</v>
      </c>
    </row>
    <row r="32" spans="1:15">
      <c r="A32" t="s">
        <v>666</v>
      </c>
      <c r="B32">
        <v>1.36</v>
      </c>
      <c r="C32">
        <v>2</v>
      </c>
      <c r="D32" t="s">
        <v>987</v>
      </c>
      <c r="E32" t="s">
        <v>2</v>
      </c>
      <c r="G32">
        <v>0</v>
      </c>
      <c r="H32">
        <v>0</v>
      </c>
      <c r="I32">
        <v>0</v>
      </c>
      <c r="J32">
        <v>0</v>
      </c>
      <c r="M32">
        <v>1</v>
      </c>
      <c r="N32" t="s">
        <v>1052</v>
      </c>
      <c r="O32" t="s">
        <v>1052</v>
      </c>
    </row>
    <row r="33" spans="1:15">
      <c r="A33" t="s">
        <v>667</v>
      </c>
      <c r="B33">
        <v>1.36</v>
      </c>
      <c r="C33">
        <v>0</v>
      </c>
      <c r="D33" t="s">
        <v>987</v>
      </c>
      <c r="E33" t="s">
        <v>2</v>
      </c>
      <c r="G33">
        <v>0</v>
      </c>
      <c r="H33">
        <v>0</v>
      </c>
      <c r="I33">
        <v>0</v>
      </c>
      <c r="J33">
        <v>0</v>
      </c>
      <c r="M33">
        <v>1</v>
      </c>
      <c r="N33" t="s">
        <v>1052</v>
      </c>
      <c r="O33" t="s">
        <v>1052</v>
      </c>
    </row>
    <row r="34" spans="1:15">
      <c r="A34" t="s">
        <v>668</v>
      </c>
      <c r="B34">
        <v>1.294</v>
      </c>
      <c r="C34">
        <v>119</v>
      </c>
      <c r="D34" t="s">
        <v>987</v>
      </c>
      <c r="F34" t="s">
        <v>999</v>
      </c>
      <c r="G34">
        <v>0</v>
      </c>
      <c r="H34">
        <v>0</v>
      </c>
      <c r="I34">
        <v>0</v>
      </c>
      <c r="J34">
        <v>0</v>
      </c>
      <c r="K34" s="1">
        <f>HYPERLINK("https://pubmed.ncbi.nlm.nih.gov/?term=21054707","9")</f>
        <v>0</v>
      </c>
      <c r="L34" s="1">
        <f>HYPERLINK("http://dx.doi.org/10.2478/v10011-010-0028-5","10.2478/v10011-010-0028-5")</f>
        <v>0</v>
      </c>
      <c r="M34">
        <v>1</v>
      </c>
      <c r="N34" t="s">
        <v>1053</v>
      </c>
      <c r="O34" t="s">
        <v>1053</v>
      </c>
    </row>
    <row r="35" spans="1:15">
      <c r="A35" t="s">
        <v>669</v>
      </c>
      <c r="B35">
        <v>1.304</v>
      </c>
      <c r="C35">
        <v>57</v>
      </c>
      <c r="D35" t="s">
        <v>987</v>
      </c>
      <c r="F35" t="s">
        <v>996</v>
      </c>
      <c r="G35">
        <v>0</v>
      </c>
      <c r="H35">
        <v>0</v>
      </c>
      <c r="I35">
        <v>0</v>
      </c>
      <c r="J35">
        <v>0</v>
      </c>
      <c r="M35">
        <v>1</v>
      </c>
      <c r="N35" t="s">
        <v>1054</v>
      </c>
      <c r="O35" t="s">
        <v>1054</v>
      </c>
    </row>
    <row r="36" spans="1:15">
      <c r="A36" t="s">
        <v>670</v>
      </c>
      <c r="B36">
        <v>1.243</v>
      </c>
      <c r="C36">
        <v>213</v>
      </c>
      <c r="D36" t="s">
        <v>987</v>
      </c>
      <c r="F36" t="s">
        <v>992</v>
      </c>
      <c r="G36">
        <v>0</v>
      </c>
      <c r="H36">
        <v>0</v>
      </c>
      <c r="I36">
        <v>0</v>
      </c>
      <c r="J36">
        <v>0</v>
      </c>
      <c r="K36" s="1">
        <f>HYPERLINK("https://pubmed.ncbi.nlm.nih.gov/?term=28545949","1")</f>
        <v>0</v>
      </c>
      <c r="M36">
        <v>1</v>
      </c>
      <c r="N36" t="s">
        <v>1055</v>
      </c>
      <c r="O36" t="s">
        <v>1055</v>
      </c>
    </row>
    <row r="37" spans="1:15">
      <c r="A37" t="s">
        <v>671</v>
      </c>
      <c r="B37">
        <v>1.278</v>
      </c>
      <c r="C37">
        <v>107</v>
      </c>
      <c r="D37" t="s">
        <v>987</v>
      </c>
      <c r="E37" t="s">
        <v>6</v>
      </c>
      <c r="F37" t="s">
        <v>2</v>
      </c>
      <c r="G37">
        <v>0</v>
      </c>
      <c r="H37">
        <v>0</v>
      </c>
      <c r="I37">
        <v>0</v>
      </c>
      <c r="J37">
        <v>0</v>
      </c>
      <c r="K37" s="1">
        <f>HYPERLINK("https://pubmed.ncbi.nlm.nih.gov/?term=32257493","1")</f>
        <v>0</v>
      </c>
      <c r="M37">
        <v>1</v>
      </c>
      <c r="N37" t="s">
        <v>1055</v>
      </c>
      <c r="O37" t="s">
        <v>1055</v>
      </c>
    </row>
    <row r="38" spans="1:15">
      <c r="A38" t="s">
        <v>672</v>
      </c>
      <c r="B38">
        <v>1.304</v>
      </c>
      <c r="C38">
        <v>8</v>
      </c>
      <c r="D38" t="s">
        <v>987</v>
      </c>
      <c r="F38" t="s">
        <v>996</v>
      </c>
      <c r="G38">
        <v>0</v>
      </c>
      <c r="H38">
        <v>0</v>
      </c>
      <c r="I38">
        <v>0</v>
      </c>
      <c r="J38">
        <v>0</v>
      </c>
      <c r="K38" s="1">
        <f>HYPERLINK("https://pubmed.ncbi.nlm.nih.gov/?term=22153789%2C17543732%2C32754750%2C20685833","5")</f>
        <v>0</v>
      </c>
      <c r="L38" s="1">
        <f>HYPERLINK("http://dx.doi.org/10.1016/j.hermed.2014.05.001","10.1016/j.hermed.2014.05.001")</f>
        <v>0</v>
      </c>
      <c r="M38">
        <v>1</v>
      </c>
      <c r="N38" t="s">
        <v>1056</v>
      </c>
      <c r="O38" t="s">
        <v>1056</v>
      </c>
    </row>
    <row r="39" spans="1:15">
      <c r="A39" t="s">
        <v>673</v>
      </c>
      <c r="B39">
        <v>2.484</v>
      </c>
      <c r="C39">
        <v>94</v>
      </c>
      <c r="D39" t="s">
        <v>987</v>
      </c>
      <c r="E39" t="s">
        <v>6</v>
      </c>
      <c r="F39" t="s">
        <v>1004</v>
      </c>
      <c r="G39">
        <v>0</v>
      </c>
      <c r="H39">
        <v>0</v>
      </c>
      <c r="I39">
        <v>0</v>
      </c>
      <c r="J39">
        <v>0</v>
      </c>
      <c r="K39" s="1">
        <f>HYPERLINK("https://pubmed.ncbi.nlm.nih.gov/?term=31027974","3")</f>
        <v>0</v>
      </c>
      <c r="M39">
        <v>2</v>
      </c>
      <c r="N39" t="s">
        <v>1057</v>
      </c>
      <c r="O39" t="s">
        <v>1204</v>
      </c>
    </row>
    <row r="40" spans="1:15">
      <c r="A40" t="s">
        <v>674</v>
      </c>
      <c r="B40">
        <v>1.243</v>
      </c>
      <c r="C40">
        <v>41</v>
      </c>
      <c r="D40" t="s">
        <v>987</v>
      </c>
      <c r="F40" t="s">
        <v>992</v>
      </c>
      <c r="G40">
        <v>0</v>
      </c>
      <c r="H40">
        <v>0</v>
      </c>
      <c r="I40">
        <v>0</v>
      </c>
      <c r="J40">
        <v>0</v>
      </c>
      <c r="K40" s="1">
        <f>HYPERLINK("https://pubmed.ncbi.nlm.nih.gov/?term=12163131%2C9144890","2")</f>
        <v>0</v>
      </c>
      <c r="M40">
        <v>1</v>
      </c>
      <c r="N40" t="s">
        <v>1058</v>
      </c>
      <c r="O40" t="s">
        <v>1058</v>
      </c>
    </row>
    <row r="41" spans="1:15">
      <c r="A41" t="s">
        <v>675</v>
      </c>
      <c r="B41">
        <v>1.243</v>
      </c>
      <c r="C41">
        <v>27</v>
      </c>
      <c r="D41" t="s">
        <v>987</v>
      </c>
      <c r="F41" t="s">
        <v>992</v>
      </c>
      <c r="G41">
        <v>0</v>
      </c>
      <c r="H41">
        <v>0</v>
      </c>
      <c r="I41">
        <v>0</v>
      </c>
      <c r="J41">
        <v>0</v>
      </c>
      <c r="K41" s="1">
        <f>HYPERLINK("https://pubmed.ncbi.nlm.nih.gov/?term=20129193%2C33850412%2C22119069","4")</f>
        <v>0</v>
      </c>
      <c r="M41">
        <v>1</v>
      </c>
      <c r="N41" t="s">
        <v>1059</v>
      </c>
      <c r="O41" t="s">
        <v>1059</v>
      </c>
    </row>
    <row r="42" spans="1:15">
      <c r="A42" t="s">
        <v>676</v>
      </c>
      <c r="B42">
        <v>1.224</v>
      </c>
      <c r="C42">
        <v>22</v>
      </c>
      <c r="D42" t="s">
        <v>987</v>
      </c>
      <c r="F42" t="s">
        <v>1005</v>
      </c>
      <c r="G42">
        <v>0</v>
      </c>
      <c r="H42">
        <v>0</v>
      </c>
      <c r="I42">
        <v>0</v>
      </c>
      <c r="J42">
        <v>0</v>
      </c>
      <c r="K42" s="1">
        <f>HYPERLINK("https://pubmed.ncbi.nlm.nih.gov/?term=34243855%2C12907270%2C17163996","3")</f>
        <v>0</v>
      </c>
      <c r="M42">
        <v>1</v>
      </c>
      <c r="N42" t="s">
        <v>1060</v>
      </c>
      <c r="O42" t="s">
        <v>1060</v>
      </c>
    </row>
    <row r="43" spans="1:15">
      <c r="A43" t="s">
        <v>677</v>
      </c>
      <c r="B43">
        <v>1.177</v>
      </c>
      <c r="C43">
        <v>110</v>
      </c>
      <c r="D43" t="s">
        <v>987</v>
      </c>
      <c r="F43" t="s">
        <v>1005</v>
      </c>
      <c r="G43">
        <v>0</v>
      </c>
      <c r="H43">
        <v>0</v>
      </c>
      <c r="I43">
        <v>0</v>
      </c>
      <c r="J43">
        <v>0</v>
      </c>
      <c r="K43" s="1">
        <f>HYPERLINK("https://pubmed.ncbi.nlm.nih.gov/?term=16291174","1")</f>
        <v>0</v>
      </c>
      <c r="M43">
        <v>1</v>
      </c>
      <c r="N43" t="s">
        <v>1061</v>
      </c>
      <c r="O43" t="s">
        <v>1061</v>
      </c>
    </row>
    <row r="44" spans="1:15">
      <c r="A44" t="s">
        <v>678</v>
      </c>
      <c r="B44">
        <v>1.207</v>
      </c>
      <c r="C44">
        <v>5</v>
      </c>
      <c r="D44" t="s">
        <v>987</v>
      </c>
      <c r="E44" t="s">
        <v>2</v>
      </c>
      <c r="G44">
        <v>0</v>
      </c>
      <c r="H44">
        <v>0</v>
      </c>
      <c r="I44">
        <v>0</v>
      </c>
      <c r="J44">
        <v>0</v>
      </c>
      <c r="K44" s="1">
        <f>HYPERLINK("https://pubmed.ncbi.nlm.nih.gov/?term=25295416%2C34544639","3")</f>
        <v>0</v>
      </c>
      <c r="M44">
        <v>1</v>
      </c>
      <c r="N44" t="s">
        <v>1062</v>
      </c>
      <c r="O44" t="s">
        <v>1062</v>
      </c>
    </row>
    <row r="45" spans="1:15">
      <c r="A45" t="s">
        <v>679</v>
      </c>
      <c r="B45">
        <v>1.158</v>
      </c>
      <c r="C45">
        <v>117</v>
      </c>
      <c r="D45" t="s">
        <v>987</v>
      </c>
      <c r="F45" t="s">
        <v>1006</v>
      </c>
      <c r="G45">
        <v>0</v>
      </c>
      <c r="H45">
        <v>0</v>
      </c>
      <c r="I45">
        <v>0</v>
      </c>
      <c r="J45">
        <v>0</v>
      </c>
      <c r="K45" s="1">
        <f>HYPERLINK("https://pubmed.ncbi.nlm.nih.gov/?term=30851160","2")</f>
        <v>0</v>
      </c>
      <c r="M45">
        <v>1</v>
      </c>
      <c r="N45" t="s">
        <v>1063</v>
      </c>
      <c r="O45" t="s">
        <v>1063</v>
      </c>
    </row>
    <row r="46" spans="1:15">
      <c r="A46" t="s">
        <v>680</v>
      </c>
      <c r="B46">
        <v>1.158</v>
      </c>
      <c r="C46">
        <v>105</v>
      </c>
      <c r="D46" t="s">
        <v>987</v>
      </c>
      <c r="F46" t="s">
        <v>1006</v>
      </c>
      <c r="G46">
        <v>0</v>
      </c>
      <c r="H46">
        <v>0</v>
      </c>
      <c r="I46">
        <v>0</v>
      </c>
      <c r="J46">
        <v>0</v>
      </c>
      <c r="K46" s="1">
        <f>HYPERLINK("https://pubmed.ncbi.nlm.nih.gov/?term=32547285%2C23917672%2C24703516","3")</f>
        <v>0</v>
      </c>
      <c r="M46">
        <v>1</v>
      </c>
      <c r="N46" t="s">
        <v>1064</v>
      </c>
      <c r="O46" t="s">
        <v>1064</v>
      </c>
    </row>
    <row r="47" spans="1:15">
      <c r="A47" t="s">
        <v>681</v>
      </c>
      <c r="B47">
        <v>2.309</v>
      </c>
      <c r="C47">
        <v>204</v>
      </c>
      <c r="D47" t="s">
        <v>987</v>
      </c>
      <c r="F47" t="s">
        <v>1007</v>
      </c>
      <c r="G47">
        <v>0</v>
      </c>
      <c r="H47">
        <v>0</v>
      </c>
      <c r="I47">
        <v>0</v>
      </c>
      <c r="J47">
        <v>0</v>
      </c>
      <c r="K47" s="1">
        <f>HYPERLINK("https://pubmed.ncbi.nlm.nih.gov/?term=34680514%2C33637447%2C16698415%2C22499224","32")</f>
        <v>0</v>
      </c>
      <c r="M47">
        <v>2</v>
      </c>
      <c r="N47" t="s">
        <v>1065</v>
      </c>
      <c r="O47" t="s">
        <v>1205</v>
      </c>
    </row>
    <row r="48" spans="1:15">
      <c r="A48" t="s">
        <v>682</v>
      </c>
      <c r="B48">
        <v>1.158</v>
      </c>
      <c r="C48">
        <v>18</v>
      </c>
      <c r="D48" t="s">
        <v>987</v>
      </c>
      <c r="F48" t="s">
        <v>1006</v>
      </c>
      <c r="G48">
        <v>0</v>
      </c>
      <c r="H48">
        <v>0</v>
      </c>
      <c r="I48">
        <v>0</v>
      </c>
      <c r="J48">
        <v>0</v>
      </c>
      <c r="K48" s="1">
        <f>HYPERLINK("https://pubmed.ncbi.nlm.nih.gov/?term=18037561","1")</f>
        <v>0</v>
      </c>
      <c r="M48">
        <v>1</v>
      </c>
      <c r="N48" t="s">
        <v>1066</v>
      </c>
      <c r="O48" t="s">
        <v>1066</v>
      </c>
    </row>
    <row r="49" spans="1:15">
      <c r="A49" t="s">
        <v>683</v>
      </c>
      <c r="B49">
        <v>1.158</v>
      </c>
      <c r="C49">
        <v>10</v>
      </c>
      <c r="D49" t="s">
        <v>987</v>
      </c>
      <c r="F49" t="s">
        <v>1006</v>
      </c>
      <c r="G49">
        <v>0</v>
      </c>
      <c r="H49">
        <v>0</v>
      </c>
      <c r="I49">
        <v>0</v>
      </c>
      <c r="J49">
        <v>0</v>
      </c>
      <c r="K49" s="1">
        <f>HYPERLINK("https://pubmed.ncbi.nlm.nih.gov/?term=18226731%2C31847209%2C31522358%2C29264479%2C32880813","11")</f>
        <v>0</v>
      </c>
      <c r="M49">
        <v>1</v>
      </c>
      <c r="N49" t="s">
        <v>1067</v>
      </c>
      <c r="O49" t="s">
        <v>1067</v>
      </c>
    </row>
    <row r="50" spans="1:15">
      <c r="A50" t="s">
        <v>684</v>
      </c>
      <c r="B50">
        <v>1.158</v>
      </c>
      <c r="C50">
        <v>6</v>
      </c>
      <c r="D50" t="s">
        <v>987</v>
      </c>
      <c r="F50" t="s">
        <v>1006</v>
      </c>
      <c r="G50">
        <v>0</v>
      </c>
      <c r="H50">
        <v>0</v>
      </c>
      <c r="I50">
        <v>0</v>
      </c>
      <c r="J50">
        <v>0</v>
      </c>
      <c r="M50">
        <v>1</v>
      </c>
      <c r="N50" t="s">
        <v>1068</v>
      </c>
      <c r="O50" t="s">
        <v>1068</v>
      </c>
    </row>
    <row r="51" spans="1:15">
      <c r="A51" t="s">
        <v>685</v>
      </c>
      <c r="B51">
        <v>1.142</v>
      </c>
      <c r="C51">
        <v>38</v>
      </c>
      <c r="D51" t="s">
        <v>987</v>
      </c>
      <c r="E51" t="s">
        <v>6</v>
      </c>
      <c r="F51" t="s">
        <v>1008</v>
      </c>
      <c r="G51">
        <v>0</v>
      </c>
      <c r="H51">
        <v>0</v>
      </c>
      <c r="I51">
        <v>0</v>
      </c>
      <c r="J51">
        <v>0</v>
      </c>
      <c r="M51">
        <v>1</v>
      </c>
      <c r="N51" t="s">
        <v>1069</v>
      </c>
      <c r="O51" t="s">
        <v>1069</v>
      </c>
    </row>
    <row r="52" spans="1:15">
      <c r="A52" t="s">
        <v>686</v>
      </c>
      <c r="B52">
        <v>1.151</v>
      </c>
      <c r="C52">
        <v>11</v>
      </c>
      <c r="D52" t="s">
        <v>987</v>
      </c>
      <c r="F52" t="s">
        <v>996</v>
      </c>
      <c r="G52">
        <v>0</v>
      </c>
      <c r="H52">
        <v>0</v>
      </c>
      <c r="I52">
        <v>0</v>
      </c>
      <c r="J52">
        <v>0</v>
      </c>
      <c r="K52" s="1">
        <f>HYPERLINK("https://pubmed.ncbi.nlm.nih.gov/?term=23018211%2C22153789","2")</f>
        <v>0</v>
      </c>
      <c r="M52">
        <v>1</v>
      </c>
      <c r="N52" t="s">
        <v>1069</v>
      </c>
      <c r="O52" t="s">
        <v>1069</v>
      </c>
    </row>
    <row r="53" spans="1:15">
      <c r="A53" t="s">
        <v>687</v>
      </c>
      <c r="B53">
        <v>0.871</v>
      </c>
      <c r="C53">
        <v>805</v>
      </c>
      <c r="D53" t="s">
        <v>987</v>
      </c>
      <c r="F53" t="s">
        <v>1009</v>
      </c>
      <c r="G53">
        <v>0</v>
      </c>
      <c r="H53">
        <v>0</v>
      </c>
      <c r="I53">
        <v>0</v>
      </c>
      <c r="J53">
        <v>0</v>
      </c>
      <c r="K53" s="1">
        <f>HYPERLINK("https://pubmed.ncbi.nlm.nih.gov/?term=32257493","1")</f>
        <v>0</v>
      </c>
      <c r="M53">
        <v>1</v>
      </c>
      <c r="N53" t="s">
        <v>1070</v>
      </c>
      <c r="O53" t="s">
        <v>1070</v>
      </c>
    </row>
    <row r="54" spans="1:15">
      <c r="A54" t="s">
        <v>688</v>
      </c>
      <c r="B54">
        <v>1.071</v>
      </c>
      <c r="C54">
        <v>128</v>
      </c>
      <c r="D54" t="s">
        <v>987</v>
      </c>
      <c r="F54" t="s">
        <v>1009</v>
      </c>
      <c r="G54">
        <v>0</v>
      </c>
      <c r="H54">
        <v>0</v>
      </c>
      <c r="I54">
        <v>0</v>
      </c>
      <c r="J54">
        <v>0</v>
      </c>
      <c r="K54" s="1">
        <f>HYPERLINK("https://pubmed.ncbi.nlm.nih.gov/?term=22220234%2C31818529%2C24472290%2C26957701%2C22474560","6")</f>
        <v>0</v>
      </c>
      <c r="M54">
        <v>1</v>
      </c>
      <c r="N54" t="s">
        <v>1071</v>
      </c>
      <c r="O54" t="s">
        <v>1071</v>
      </c>
    </row>
    <row r="55" spans="1:15">
      <c r="A55" t="s">
        <v>689</v>
      </c>
      <c r="B55">
        <v>1.071</v>
      </c>
      <c r="C55">
        <v>35</v>
      </c>
      <c r="D55" t="s">
        <v>987</v>
      </c>
      <c r="F55" t="s">
        <v>1009</v>
      </c>
      <c r="G55">
        <v>0</v>
      </c>
      <c r="H55">
        <v>0</v>
      </c>
      <c r="I55">
        <v>0</v>
      </c>
      <c r="J55">
        <v>0</v>
      </c>
      <c r="M55">
        <v>1</v>
      </c>
      <c r="N55" t="s">
        <v>1072</v>
      </c>
      <c r="O55" t="s">
        <v>1072</v>
      </c>
    </row>
    <row r="56" spans="1:15">
      <c r="A56" t="s">
        <v>690</v>
      </c>
      <c r="B56">
        <v>1.071</v>
      </c>
      <c r="C56">
        <v>29</v>
      </c>
      <c r="D56" t="s">
        <v>987</v>
      </c>
      <c r="F56" t="s">
        <v>1009</v>
      </c>
      <c r="G56">
        <v>0</v>
      </c>
      <c r="H56">
        <v>0</v>
      </c>
      <c r="I56">
        <v>0</v>
      </c>
      <c r="J56">
        <v>0</v>
      </c>
      <c r="K56" s="1">
        <f>HYPERLINK("https://pubmed.ncbi.nlm.nih.gov/?term=16698415%2C21714455%2C26045561","23")</f>
        <v>0</v>
      </c>
      <c r="L56" s="1">
        <f>HYPERLINK("http://dx.doi.org/10.1016/S1079-2104(03)70027-4","10.1016/S1079-2104(03)70027-4")</f>
        <v>0</v>
      </c>
      <c r="M56">
        <v>1</v>
      </c>
      <c r="N56" t="s">
        <v>1073</v>
      </c>
      <c r="O56" t="s">
        <v>1073</v>
      </c>
    </row>
    <row r="57" spans="1:15">
      <c r="A57" t="s">
        <v>691</v>
      </c>
      <c r="B57">
        <v>1.071</v>
      </c>
      <c r="C57">
        <v>6</v>
      </c>
      <c r="D57" t="s">
        <v>987</v>
      </c>
      <c r="F57" t="s">
        <v>1009</v>
      </c>
      <c r="G57">
        <v>0</v>
      </c>
      <c r="H57">
        <v>0</v>
      </c>
      <c r="I57">
        <v>0</v>
      </c>
      <c r="J57">
        <v>0</v>
      </c>
      <c r="M57">
        <v>1</v>
      </c>
      <c r="N57" t="s">
        <v>1074</v>
      </c>
      <c r="O57" t="s">
        <v>1074</v>
      </c>
    </row>
    <row r="58" spans="1:15">
      <c r="A58" t="s">
        <v>692</v>
      </c>
      <c r="B58">
        <v>1.005</v>
      </c>
      <c r="C58">
        <v>194</v>
      </c>
      <c r="D58" t="s">
        <v>987</v>
      </c>
      <c r="F58" t="s">
        <v>1</v>
      </c>
      <c r="G58">
        <v>0</v>
      </c>
      <c r="H58">
        <v>0</v>
      </c>
      <c r="I58">
        <v>0</v>
      </c>
      <c r="J58">
        <v>0</v>
      </c>
      <c r="K58" s="1">
        <f>HYPERLINK("https://pubmed.ncbi.nlm.nih.gov/?term=25539592%2C22414215%2C24688789%2C30595931","4")</f>
        <v>0</v>
      </c>
      <c r="M58">
        <v>1</v>
      </c>
      <c r="N58" t="s">
        <v>1075</v>
      </c>
      <c r="O58" t="s">
        <v>1075</v>
      </c>
    </row>
    <row r="59" spans="1:15">
      <c r="A59" t="s">
        <v>693</v>
      </c>
      <c r="B59">
        <v>1.05</v>
      </c>
      <c r="C59">
        <v>18</v>
      </c>
      <c r="D59" t="s">
        <v>987</v>
      </c>
      <c r="E59" t="s">
        <v>6</v>
      </c>
      <c r="F59" t="s">
        <v>1010</v>
      </c>
      <c r="G59">
        <v>0</v>
      </c>
      <c r="H59">
        <v>0</v>
      </c>
      <c r="I59">
        <v>0</v>
      </c>
      <c r="J59">
        <v>0</v>
      </c>
      <c r="K59" s="1">
        <f>HYPERLINK("https://pubmed.ncbi.nlm.nih.gov/?term=32972602%2C23464687%2C17543732","4")</f>
        <v>0</v>
      </c>
      <c r="M59">
        <v>1</v>
      </c>
      <c r="N59" t="s">
        <v>26</v>
      </c>
      <c r="O59" t="s">
        <v>26</v>
      </c>
    </row>
    <row r="60" spans="1:15">
      <c r="A60" t="s">
        <v>694</v>
      </c>
      <c r="B60">
        <v>1.005</v>
      </c>
      <c r="C60">
        <v>149</v>
      </c>
      <c r="D60" t="s">
        <v>987</v>
      </c>
      <c r="F60" t="s">
        <v>1</v>
      </c>
      <c r="G60">
        <v>0</v>
      </c>
      <c r="H60">
        <v>0</v>
      </c>
      <c r="I60">
        <v>0</v>
      </c>
      <c r="J60">
        <v>0</v>
      </c>
      <c r="K60" s="1">
        <f>HYPERLINK("https://pubmed.ncbi.nlm.nih.gov/?term=21075289%2C21364689%2C22314389%2C34681905","5")</f>
        <v>0</v>
      </c>
      <c r="M60">
        <v>1</v>
      </c>
      <c r="N60" t="s">
        <v>26</v>
      </c>
      <c r="O60" t="s">
        <v>26</v>
      </c>
    </row>
    <row r="61" spans="1:15">
      <c r="A61" t="s">
        <v>695</v>
      </c>
      <c r="B61">
        <v>0.986</v>
      </c>
      <c r="C61">
        <v>202</v>
      </c>
      <c r="D61" t="s">
        <v>987</v>
      </c>
      <c r="E61" t="s">
        <v>6</v>
      </c>
      <c r="F61" t="s">
        <v>1011</v>
      </c>
      <c r="G61">
        <v>0</v>
      </c>
      <c r="H61">
        <v>0</v>
      </c>
      <c r="I61">
        <v>0</v>
      </c>
      <c r="J61">
        <v>0</v>
      </c>
      <c r="K61" s="1">
        <f>HYPERLINK("https://pubmed.ncbi.nlm.nih.gov/?term=11807427","19")</f>
        <v>0</v>
      </c>
      <c r="L61" s="1">
        <f>HYPERLINK("http://dx.doi.org/10.1016/j.ejrex.2008.04.009","10.1016/j.ejrex.2008.04.009")</f>
        <v>0</v>
      </c>
      <c r="M61">
        <v>1</v>
      </c>
      <c r="N61" t="s">
        <v>26</v>
      </c>
      <c r="O61" t="s">
        <v>26</v>
      </c>
    </row>
    <row r="62" spans="1:15">
      <c r="A62" t="s">
        <v>696</v>
      </c>
      <c r="B62">
        <v>1.005</v>
      </c>
      <c r="C62">
        <v>124</v>
      </c>
      <c r="D62" t="s">
        <v>987</v>
      </c>
      <c r="F62" t="s">
        <v>999</v>
      </c>
      <c r="G62">
        <v>0</v>
      </c>
      <c r="H62">
        <v>0</v>
      </c>
      <c r="I62">
        <v>0</v>
      </c>
      <c r="J62">
        <v>0</v>
      </c>
      <c r="K62" s="1">
        <f>HYPERLINK("https://pubmed.ncbi.nlm.nih.gov/?term=28878664%2C19836485%2C24636754","15")</f>
        <v>0</v>
      </c>
      <c r="M62">
        <v>1</v>
      </c>
      <c r="N62" t="s">
        <v>1076</v>
      </c>
      <c r="O62" t="s">
        <v>1076</v>
      </c>
    </row>
    <row r="63" spans="1:15">
      <c r="A63" t="s">
        <v>697</v>
      </c>
      <c r="B63">
        <v>1.005</v>
      </c>
      <c r="C63">
        <v>113</v>
      </c>
      <c r="D63" t="s">
        <v>987</v>
      </c>
      <c r="F63" t="s">
        <v>1</v>
      </c>
      <c r="G63">
        <v>0</v>
      </c>
      <c r="H63">
        <v>0</v>
      </c>
      <c r="I63">
        <v>0</v>
      </c>
      <c r="J63">
        <v>0</v>
      </c>
      <c r="K63" s="1">
        <f>HYPERLINK("https://pubmed.ncbi.nlm.nih.gov/?term=22732638%2C22292707%2C33260476%2C33066449%2C34657781","21")</f>
        <v>0</v>
      </c>
      <c r="M63">
        <v>1</v>
      </c>
      <c r="N63" t="s">
        <v>1077</v>
      </c>
      <c r="O63" t="s">
        <v>1077</v>
      </c>
    </row>
    <row r="64" spans="1:15">
      <c r="A64" t="s">
        <v>698</v>
      </c>
      <c r="B64">
        <v>1.005</v>
      </c>
      <c r="C64">
        <v>109</v>
      </c>
      <c r="D64" t="s">
        <v>987</v>
      </c>
      <c r="F64" t="s">
        <v>1</v>
      </c>
      <c r="G64">
        <v>0</v>
      </c>
      <c r="H64">
        <v>0</v>
      </c>
      <c r="I64">
        <v>0</v>
      </c>
      <c r="J64">
        <v>0</v>
      </c>
      <c r="K64" s="1">
        <f>HYPERLINK("https://pubmed.ncbi.nlm.nih.gov/?term=28752085%2C26957701%2C24472290%2C24636754%2C12946482","13")</f>
        <v>0</v>
      </c>
      <c r="M64">
        <v>1</v>
      </c>
      <c r="N64" t="s">
        <v>1077</v>
      </c>
      <c r="O64" t="s">
        <v>1077</v>
      </c>
    </row>
    <row r="65" spans="1:15">
      <c r="A65" t="s">
        <v>699</v>
      </c>
      <c r="B65">
        <v>1.005</v>
      </c>
      <c r="C65">
        <v>101</v>
      </c>
      <c r="D65" t="s">
        <v>987</v>
      </c>
      <c r="F65" t="s">
        <v>1</v>
      </c>
      <c r="G65">
        <v>0</v>
      </c>
      <c r="H65">
        <v>0</v>
      </c>
      <c r="I65">
        <v>0</v>
      </c>
      <c r="J65">
        <v>0</v>
      </c>
      <c r="K65" s="1">
        <f>HYPERLINK("https://pubmed.ncbi.nlm.nih.gov/?term=22424282","1")</f>
        <v>0</v>
      </c>
      <c r="M65">
        <v>1</v>
      </c>
      <c r="N65" t="s">
        <v>1078</v>
      </c>
      <c r="O65" t="s">
        <v>1078</v>
      </c>
    </row>
    <row r="66" spans="1:15">
      <c r="A66" t="s">
        <v>700</v>
      </c>
      <c r="B66">
        <v>1.005</v>
      </c>
      <c r="C66">
        <v>100</v>
      </c>
      <c r="D66" t="s">
        <v>987</v>
      </c>
      <c r="F66" t="s">
        <v>1</v>
      </c>
      <c r="G66">
        <v>0</v>
      </c>
      <c r="H66">
        <v>0</v>
      </c>
      <c r="I66">
        <v>0</v>
      </c>
      <c r="J66">
        <v>0</v>
      </c>
      <c r="K66" s="1">
        <f>HYPERLINK("https://pubmed.ncbi.nlm.nih.gov/?term=24342289%2C24718845%2C28405879%2C30595931","4")</f>
        <v>0</v>
      </c>
      <c r="M66">
        <v>1</v>
      </c>
      <c r="N66" t="s">
        <v>1078</v>
      </c>
      <c r="O66" t="s">
        <v>1078</v>
      </c>
    </row>
    <row r="67" spans="1:15">
      <c r="A67" t="s">
        <v>701</v>
      </c>
      <c r="B67">
        <v>1.005</v>
      </c>
      <c r="C67">
        <v>94</v>
      </c>
      <c r="D67" t="s">
        <v>987</v>
      </c>
      <c r="F67" t="s">
        <v>1</v>
      </c>
      <c r="G67">
        <v>0</v>
      </c>
      <c r="H67">
        <v>0</v>
      </c>
      <c r="I67">
        <v>0</v>
      </c>
      <c r="J67">
        <v>0</v>
      </c>
      <c r="K67" s="1">
        <f>HYPERLINK("https://pubmed.ncbi.nlm.nih.gov/?term=12149713","1")</f>
        <v>0</v>
      </c>
      <c r="M67">
        <v>1</v>
      </c>
      <c r="N67" t="s">
        <v>1079</v>
      </c>
      <c r="O67" t="s">
        <v>1079</v>
      </c>
    </row>
    <row r="68" spans="1:15">
      <c r="A68" t="s">
        <v>702</v>
      </c>
      <c r="B68">
        <v>0.777</v>
      </c>
      <c r="C68">
        <v>765</v>
      </c>
      <c r="D68" t="s">
        <v>987</v>
      </c>
      <c r="F68" t="s">
        <v>1012</v>
      </c>
      <c r="G68">
        <v>0</v>
      </c>
      <c r="H68">
        <v>0</v>
      </c>
      <c r="I68">
        <v>0</v>
      </c>
      <c r="J68">
        <v>0</v>
      </c>
      <c r="K68" s="1">
        <f>HYPERLINK("https://pubmed.ncbi.nlm.nih.gov/?term=22153789%2C30851160%2C31522358","29")</f>
        <v>0</v>
      </c>
      <c r="M68">
        <v>1</v>
      </c>
      <c r="N68" t="s">
        <v>1079</v>
      </c>
      <c r="O68" t="s">
        <v>1079</v>
      </c>
    </row>
    <row r="69" spans="1:15">
      <c r="A69" t="s">
        <v>703</v>
      </c>
      <c r="B69">
        <v>1.005</v>
      </c>
      <c r="C69">
        <v>73</v>
      </c>
      <c r="D69" t="s">
        <v>987</v>
      </c>
      <c r="F69" t="s">
        <v>1</v>
      </c>
      <c r="G69">
        <v>0</v>
      </c>
      <c r="H69">
        <v>0</v>
      </c>
      <c r="I69">
        <v>0</v>
      </c>
      <c r="J69">
        <v>0</v>
      </c>
      <c r="K69" s="1">
        <f>HYPERLINK("https://pubmed.ncbi.nlm.nih.gov/?term=11807427%2C32972602%2C12208196%2C21054707","11")</f>
        <v>0</v>
      </c>
      <c r="M69">
        <v>1</v>
      </c>
      <c r="N69" t="s">
        <v>1080</v>
      </c>
      <c r="O69" t="s">
        <v>1080</v>
      </c>
    </row>
    <row r="70" spans="1:15">
      <c r="A70" t="s">
        <v>704</v>
      </c>
      <c r="B70">
        <v>1.005</v>
      </c>
      <c r="C70">
        <v>67</v>
      </c>
      <c r="D70" t="s">
        <v>987</v>
      </c>
      <c r="F70" t="s">
        <v>1</v>
      </c>
      <c r="G70">
        <v>0</v>
      </c>
      <c r="H70">
        <v>0</v>
      </c>
      <c r="I70">
        <v>0</v>
      </c>
      <c r="J70">
        <v>0</v>
      </c>
      <c r="M70">
        <v>1</v>
      </c>
      <c r="N70" t="s">
        <v>1080</v>
      </c>
      <c r="O70" t="s">
        <v>1080</v>
      </c>
    </row>
    <row r="71" spans="1:15">
      <c r="A71" t="s">
        <v>705</v>
      </c>
      <c r="B71">
        <v>0.989</v>
      </c>
      <c r="C71">
        <v>114</v>
      </c>
      <c r="D71" t="s">
        <v>987</v>
      </c>
      <c r="E71" t="s">
        <v>6</v>
      </c>
      <c r="F71" t="s">
        <v>4</v>
      </c>
      <c r="G71">
        <v>0</v>
      </c>
      <c r="H71">
        <v>0</v>
      </c>
      <c r="I71">
        <v>0</v>
      </c>
      <c r="J71">
        <v>0</v>
      </c>
      <c r="K71" s="1">
        <f>HYPERLINK("https://pubmed.ncbi.nlm.nih.gov/?term=12431692%2C22047791%2C18313539%2C21054707%2C29574203","7")</f>
        <v>0</v>
      </c>
      <c r="M71">
        <v>1</v>
      </c>
      <c r="N71" t="s">
        <v>1080</v>
      </c>
      <c r="O71" t="s">
        <v>1080</v>
      </c>
    </row>
    <row r="72" spans="1:15">
      <c r="A72" t="s">
        <v>706</v>
      </c>
      <c r="B72">
        <v>1.005</v>
      </c>
      <c r="C72">
        <v>57</v>
      </c>
      <c r="D72" t="s">
        <v>987</v>
      </c>
      <c r="F72" t="s">
        <v>1</v>
      </c>
      <c r="G72">
        <v>0</v>
      </c>
      <c r="H72">
        <v>0</v>
      </c>
      <c r="I72">
        <v>0</v>
      </c>
      <c r="J72">
        <v>0</v>
      </c>
      <c r="K72" s="1">
        <f>HYPERLINK("https://pubmed.ncbi.nlm.nih.gov/?term=23676592%2C17509385","3")</f>
        <v>0</v>
      </c>
      <c r="M72">
        <v>1</v>
      </c>
      <c r="N72" t="s">
        <v>1081</v>
      </c>
      <c r="O72" t="s">
        <v>1081</v>
      </c>
    </row>
    <row r="73" spans="1:15">
      <c r="A73" t="s">
        <v>707</v>
      </c>
      <c r="B73">
        <v>1.005</v>
      </c>
      <c r="C73">
        <v>48</v>
      </c>
      <c r="D73" t="s">
        <v>987</v>
      </c>
      <c r="F73" t="s">
        <v>1</v>
      </c>
      <c r="G73">
        <v>0</v>
      </c>
      <c r="H73">
        <v>0</v>
      </c>
      <c r="I73">
        <v>0</v>
      </c>
      <c r="J73">
        <v>0</v>
      </c>
      <c r="M73">
        <v>1</v>
      </c>
      <c r="N73" t="s">
        <v>1082</v>
      </c>
      <c r="O73" t="s">
        <v>1082</v>
      </c>
    </row>
    <row r="74" spans="1:15">
      <c r="A74" t="s">
        <v>708</v>
      </c>
      <c r="B74">
        <v>1.005</v>
      </c>
      <c r="C74">
        <v>44</v>
      </c>
      <c r="D74" t="s">
        <v>987</v>
      </c>
      <c r="F74" t="s">
        <v>1</v>
      </c>
      <c r="G74">
        <v>0</v>
      </c>
      <c r="H74">
        <v>0</v>
      </c>
      <c r="I74">
        <v>0</v>
      </c>
      <c r="J74">
        <v>0</v>
      </c>
      <c r="K74" s="1">
        <f>HYPERLINK("https://pubmed.ncbi.nlm.nih.gov/?term=32257493","1")</f>
        <v>0</v>
      </c>
      <c r="M74">
        <v>1</v>
      </c>
      <c r="N74" t="s">
        <v>1083</v>
      </c>
      <c r="O74" t="s">
        <v>1083</v>
      </c>
    </row>
    <row r="75" spans="1:15">
      <c r="A75" t="s">
        <v>709</v>
      </c>
      <c r="B75">
        <v>1.005</v>
      </c>
      <c r="C75">
        <v>24</v>
      </c>
      <c r="D75" t="s">
        <v>987</v>
      </c>
      <c r="F75" t="s">
        <v>1</v>
      </c>
      <c r="G75">
        <v>0</v>
      </c>
      <c r="H75">
        <v>0</v>
      </c>
      <c r="I75">
        <v>0</v>
      </c>
      <c r="J75">
        <v>0</v>
      </c>
      <c r="K75" s="1">
        <f>HYPERLINK("https://pubmed.ncbi.nlm.nih.gov/?term=31896402%2C25971163%2C10027454","3")</f>
        <v>0</v>
      </c>
      <c r="M75">
        <v>1</v>
      </c>
      <c r="N75" t="s">
        <v>1084</v>
      </c>
      <c r="O75" t="s">
        <v>1084</v>
      </c>
    </row>
    <row r="76" spans="1:15">
      <c r="A76" t="s">
        <v>710</v>
      </c>
      <c r="B76">
        <v>1.005</v>
      </c>
      <c r="C76">
        <v>18</v>
      </c>
      <c r="D76" t="s">
        <v>987</v>
      </c>
      <c r="F76" t="s">
        <v>1</v>
      </c>
      <c r="G76">
        <v>0</v>
      </c>
      <c r="H76">
        <v>0</v>
      </c>
      <c r="I76">
        <v>0</v>
      </c>
      <c r="J76">
        <v>0</v>
      </c>
      <c r="M76">
        <v>1</v>
      </c>
      <c r="N76" t="s">
        <v>1085</v>
      </c>
      <c r="O76" t="s">
        <v>1085</v>
      </c>
    </row>
    <row r="77" spans="1:15">
      <c r="A77" t="s">
        <v>711</v>
      </c>
      <c r="B77">
        <v>1.005</v>
      </c>
      <c r="C77">
        <v>15</v>
      </c>
      <c r="D77" t="s">
        <v>987</v>
      </c>
      <c r="F77" t="s">
        <v>992</v>
      </c>
      <c r="G77">
        <v>0</v>
      </c>
      <c r="H77">
        <v>0</v>
      </c>
      <c r="I77">
        <v>0</v>
      </c>
      <c r="J77">
        <v>0</v>
      </c>
      <c r="K77" s="1">
        <f>HYPERLINK("https://pubmed.ncbi.nlm.nih.gov/?term=32138674%2C27514600%2C30955517%2C32792043","6")</f>
        <v>0</v>
      </c>
      <c r="L77" s="1">
        <f>HYPERLINK("http://dx.doi.org/10.1016/S1062-1458(02)00520-2","10.1016/S1062-1458(02)00520-2")</f>
        <v>0</v>
      </c>
      <c r="M77">
        <v>1</v>
      </c>
      <c r="N77" t="s">
        <v>1085</v>
      </c>
      <c r="O77" t="s">
        <v>1085</v>
      </c>
    </row>
    <row r="78" spans="1:15">
      <c r="A78" t="s">
        <v>712</v>
      </c>
      <c r="B78">
        <v>1.005</v>
      </c>
      <c r="C78">
        <v>14</v>
      </c>
      <c r="D78" t="s">
        <v>987</v>
      </c>
      <c r="F78" t="s">
        <v>1</v>
      </c>
      <c r="G78">
        <v>0</v>
      </c>
      <c r="H78">
        <v>0</v>
      </c>
      <c r="I78">
        <v>0</v>
      </c>
      <c r="J78">
        <v>0</v>
      </c>
      <c r="K78" s="1">
        <f>HYPERLINK("https://pubmed.ncbi.nlm.nih.gov/?term=30851160","2")</f>
        <v>0</v>
      </c>
      <c r="M78">
        <v>1</v>
      </c>
      <c r="N78" t="s">
        <v>1085</v>
      </c>
      <c r="O78" t="s">
        <v>1085</v>
      </c>
    </row>
    <row r="79" spans="1:15">
      <c r="A79" t="s">
        <v>713</v>
      </c>
      <c r="B79">
        <v>1.005</v>
      </c>
      <c r="C79">
        <v>11</v>
      </c>
      <c r="D79" t="s">
        <v>987</v>
      </c>
      <c r="F79" t="s">
        <v>1</v>
      </c>
      <c r="G79">
        <v>0</v>
      </c>
      <c r="H79">
        <v>0</v>
      </c>
      <c r="I79">
        <v>0</v>
      </c>
      <c r="J79">
        <v>0</v>
      </c>
      <c r="M79">
        <v>1</v>
      </c>
      <c r="N79" t="s">
        <v>1085</v>
      </c>
      <c r="O79" t="s">
        <v>1085</v>
      </c>
    </row>
    <row r="80" spans="1:15">
      <c r="A80" t="s">
        <v>714</v>
      </c>
      <c r="B80">
        <v>1.005</v>
      </c>
      <c r="C80">
        <v>10</v>
      </c>
      <c r="D80" t="s">
        <v>987</v>
      </c>
      <c r="F80" t="s">
        <v>1</v>
      </c>
      <c r="G80">
        <v>0</v>
      </c>
      <c r="H80">
        <v>0</v>
      </c>
      <c r="I80">
        <v>0</v>
      </c>
      <c r="J80">
        <v>0</v>
      </c>
      <c r="M80">
        <v>1</v>
      </c>
      <c r="N80" t="s">
        <v>1085</v>
      </c>
      <c r="O80" t="s">
        <v>1085</v>
      </c>
    </row>
    <row r="81" spans="1:15">
      <c r="A81" t="s">
        <v>715</v>
      </c>
      <c r="B81">
        <v>1.005</v>
      </c>
      <c r="C81">
        <v>5</v>
      </c>
      <c r="D81" t="s">
        <v>987</v>
      </c>
      <c r="F81" t="s">
        <v>1</v>
      </c>
      <c r="G81">
        <v>0</v>
      </c>
      <c r="H81">
        <v>0</v>
      </c>
      <c r="I81">
        <v>0</v>
      </c>
      <c r="J81">
        <v>0</v>
      </c>
      <c r="M81">
        <v>1</v>
      </c>
      <c r="N81" t="s">
        <v>1086</v>
      </c>
      <c r="O81" t="s">
        <v>1086</v>
      </c>
    </row>
    <row r="82" spans="1:15">
      <c r="A82" t="s">
        <v>716</v>
      </c>
      <c r="B82">
        <v>1.005</v>
      </c>
      <c r="C82">
        <v>3</v>
      </c>
      <c r="D82" t="s">
        <v>987</v>
      </c>
      <c r="F82" t="s">
        <v>1</v>
      </c>
      <c r="G82">
        <v>0</v>
      </c>
      <c r="H82">
        <v>0</v>
      </c>
      <c r="I82">
        <v>0</v>
      </c>
      <c r="J82">
        <v>0</v>
      </c>
      <c r="M82">
        <v>1</v>
      </c>
      <c r="N82" t="s">
        <v>1086</v>
      </c>
      <c r="O82" t="s">
        <v>1086</v>
      </c>
    </row>
    <row r="83" spans="1:15">
      <c r="A83" t="s">
        <v>717</v>
      </c>
      <c r="B83">
        <v>1.005</v>
      </c>
      <c r="C83">
        <v>3</v>
      </c>
      <c r="D83" t="s">
        <v>987</v>
      </c>
      <c r="F83" t="s">
        <v>1</v>
      </c>
      <c r="G83">
        <v>0</v>
      </c>
      <c r="H83">
        <v>0</v>
      </c>
      <c r="I83">
        <v>0</v>
      </c>
      <c r="J83">
        <v>0</v>
      </c>
      <c r="M83">
        <v>1</v>
      </c>
      <c r="N83" t="s">
        <v>1086</v>
      </c>
      <c r="O83" t="s">
        <v>1086</v>
      </c>
    </row>
    <row r="84" spans="1:15">
      <c r="A84" t="s">
        <v>718</v>
      </c>
      <c r="B84">
        <v>1.005</v>
      </c>
      <c r="C84">
        <v>1</v>
      </c>
      <c r="D84" t="s">
        <v>987</v>
      </c>
      <c r="F84" t="s">
        <v>1</v>
      </c>
      <c r="G84">
        <v>0</v>
      </c>
      <c r="H84">
        <v>0</v>
      </c>
      <c r="I84">
        <v>0</v>
      </c>
      <c r="J84">
        <v>0</v>
      </c>
      <c r="M84">
        <v>1</v>
      </c>
      <c r="N84" t="s">
        <v>1086</v>
      </c>
      <c r="O84" t="s">
        <v>1086</v>
      </c>
    </row>
    <row r="85" spans="1:15">
      <c r="A85" t="s">
        <v>719</v>
      </c>
      <c r="B85">
        <v>1.005</v>
      </c>
      <c r="C85">
        <v>1</v>
      </c>
      <c r="D85" t="s">
        <v>987</v>
      </c>
      <c r="F85" t="s">
        <v>1</v>
      </c>
      <c r="G85">
        <v>0</v>
      </c>
      <c r="H85">
        <v>0</v>
      </c>
      <c r="I85">
        <v>0</v>
      </c>
      <c r="J85">
        <v>0</v>
      </c>
      <c r="K85" s="1">
        <f>HYPERLINK("https://pubmed.ncbi.nlm.nih.gov/?term=31563382","3")</f>
        <v>0</v>
      </c>
      <c r="M85">
        <v>1</v>
      </c>
      <c r="N85" t="s">
        <v>1086</v>
      </c>
      <c r="O85" t="s">
        <v>1086</v>
      </c>
    </row>
    <row r="86" spans="1:15">
      <c r="A86" t="s">
        <v>720</v>
      </c>
      <c r="B86">
        <v>1.005</v>
      </c>
      <c r="C86">
        <v>0</v>
      </c>
      <c r="D86" t="s">
        <v>987</v>
      </c>
      <c r="F86" t="s">
        <v>1</v>
      </c>
      <c r="G86">
        <v>0</v>
      </c>
      <c r="H86">
        <v>0</v>
      </c>
      <c r="I86">
        <v>0</v>
      </c>
      <c r="J86">
        <v>0</v>
      </c>
      <c r="M86">
        <v>1</v>
      </c>
      <c r="N86" t="s">
        <v>1086</v>
      </c>
      <c r="O86" t="s">
        <v>1086</v>
      </c>
    </row>
    <row r="87" spans="1:15">
      <c r="A87" t="s">
        <v>721</v>
      </c>
      <c r="B87">
        <v>1.005</v>
      </c>
      <c r="C87">
        <v>0</v>
      </c>
      <c r="D87" t="s">
        <v>987</v>
      </c>
      <c r="F87" t="s">
        <v>1</v>
      </c>
      <c r="G87">
        <v>0</v>
      </c>
      <c r="H87">
        <v>0</v>
      </c>
      <c r="I87">
        <v>0</v>
      </c>
      <c r="J87">
        <v>0</v>
      </c>
      <c r="M87">
        <v>1</v>
      </c>
      <c r="N87" t="s">
        <v>1086</v>
      </c>
      <c r="O87" t="s">
        <v>1086</v>
      </c>
    </row>
    <row r="88" spans="1:15">
      <c r="A88" t="s">
        <v>722</v>
      </c>
      <c r="B88">
        <v>1.005</v>
      </c>
      <c r="C88">
        <v>0</v>
      </c>
      <c r="D88" t="s">
        <v>987</v>
      </c>
      <c r="F88" t="s">
        <v>1</v>
      </c>
      <c r="G88">
        <v>0</v>
      </c>
      <c r="H88">
        <v>0</v>
      </c>
      <c r="I88">
        <v>0</v>
      </c>
      <c r="J88">
        <v>0</v>
      </c>
      <c r="M88">
        <v>1</v>
      </c>
      <c r="N88" t="s">
        <v>1086</v>
      </c>
      <c r="O88" t="s">
        <v>1086</v>
      </c>
    </row>
    <row r="89" spans="1:15">
      <c r="A89" t="s">
        <v>723</v>
      </c>
      <c r="B89">
        <v>0.989</v>
      </c>
      <c r="C89">
        <v>26</v>
      </c>
      <c r="D89" t="s">
        <v>987</v>
      </c>
      <c r="E89" t="s">
        <v>6</v>
      </c>
      <c r="F89" t="s">
        <v>4</v>
      </c>
      <c r="G89">
        <v>0</v>
      </c>
      <c r="H89">
        <v>0</v>
      </c>
      <c r="I89">
        <v>0</v>
      </c>
      <c r="J89">
        <v>0</v>
      </c>
      <c r="K89" s="1">
        <f>HYPERLINK("https://pubmed.ncbi.nlm.nih.gov/?term=24314388","2")</f>
        <v>0</v>
      </c>
      <c r="L89" s="1">
        <f>HYPERLINK("http://dx.doi.org/10.1016/S1079-2104(03)70027-4","10.1016/S1079-2104(03)70027-4")</f>
        <v>0</v>
      </c>
      <c r="M89">
        <v>1</v>
      </c>
      <c r="N89" t="s">
        <v>1087</v>
      </c>
      <c r="O89" t="s">
        <v>1087</v>
      </c>
    </row>
    <row r="90" spans="1:15">
      <c r="A90" t="s">
        <v>724</v>
      </c>
      <c r="B90">
        <v>0.989</v>
      </c>
      <c r="C90">
        <v>17</v>
      </c>
      <c r="D90" t="s">
        <v>987</v>
      </c>
      <c r="E90" t="s">
        <v>6</v>
      </c>
      <c r="F90" t="s">
        <v>4</v>
      </c>
      <c r="G90">
        <v>0</v>
      </c>
      <c r="H90">
        <v>0</v>
      </c>
      <c r="I90">
        <v>0</v>
      </c>
      <c r="J90">
        <v>0</v>
      </c>
      <c r="K90" s="1">
        <f>HYPERLINK("https://pubmed.ncbi.nlm.nih.gov/?term=21054707%2C30955517","2")</f>
        <v>0</v>
      </c>
      <c r="M90">
        <v>1</v>
      </c>
      <c r="N90" t="s">
        <v>1088</v>
      </c>
      <c r="O90" t="s">
        <v>1088</v>
      </c>
    </row>
    <row r="91" spans="1:15">
      <c r="A91" t="s">
        <v>725</v>
      </c>
      <c r="B91">
        <v>0.847</v>
      </c>
      <c r="C91">
        <v>83</v>
      </c>
      <c r="D91" t="s">
        <v>987</v>
      </c>
      <c r="F91" t="s">
        <v>1013</v>
      </c>
      <c r="G91">
        <v>0</v>
      </c>
      <c r="H91">
        <v>0</v>
      </c>
      <c r="I91">
        <v>0</v>
      </c>
      <c r="J91">
        <v>0</v>
      </c>
      <c r="M91">
        <v>1</v>
      </c>
      <c r="N91" t="s">
        <v>1089</v>
      </c>
      <c r="O91" t="s">
        <v>1089</v>
      </c>
    </row>
    <row r="92" spans="1:15">
      <c r="A92" t="s">
        <v>726</v>
      </c>
      <c r="B92">
        <v>0.852</v>
      </c>
      <c r="C92">
        <v>46</v>
      </c>
      <c r="D92" t="s">
        <v>987</v>
      </c>
      <c r="F92" t="s">
        <v>1</v>
      </c>
      <c r="G92">
        <v>0</v>
      </c>
      <c r="H92">
        <v>0</v>
      </c>
      <c r="I92">
        <v>0</v>
      </c>
      <c r="J92">
        <v>0</v>
      </c>
      <c r="K92" s="1">
        <f>HYPERLINK("https://pubmed.ncbi.nlm.nih.gov/?term=30699069%2C22153789%2C33112274%2C28274950%2C18728705","6")</f>
        <v>0</v>
      </c>
      <c r="M92">
        <v>1</v>
      </c>
      <c r="N92" t="s">
        <v>1090</v>
      </c>
      <c r="O92" t="s">
        <v>1090</v>
      </c>
    </row>
    <row r="93" spans="1:15">
      <c r="A93" t="s">
        <v>727</v>
      </c>
      <c r="B93">
        <v>3.246</v>
      </c>
      <c r="C93">
        <v>498</v>
      </c>
      <c r="D93" t="s">
        <v>988</v>
      </c>
      <c r="F93" t="s">
        <v>65</v>
      </c>
      <c r="G93">
        <v>0</v>
      </c>
      <c r="H93">
        <v>0</v>
      </c>
      <c r="I93">
        <v>0</v>
      </c>
      <c r="J93">
        <v>0</v>
      </c>
      <c r="K93" s="1">
        <f>HYPERLINK("https://pubmed.ncbi.nlm.nih.gov/?term=22442551","1")</f>
        <v>0</v>
      </c>
      <c r="M93">
        <v>4</v>
      </c>
      <c r="N93" t="s">
        <v>1091</v>
      </c>
      <c r="O93" t="s">
        <v>1206</v>
      </c>
    </row>
    <row r="94" spans="1:15">
      <c r="A94" t="s">
        <v>727</v>
      </c>
      <c r="B94">
        <v>3.246</v>
      </c>
      <c r="C94">
        <v>498</v>
      </c>
      <c r="D94" t="s">
        <v>987</v>
      </c>
      <c r="F94" t="s">
        <v>992</v>
      </c>
      <c r="G94">
        <v>0</v>
      </c>
      <c r="H94">
        <v>0</v>
      </c>
      <c r="I94">
        <v>0</v>
      </c>
      <c r="J94">
        <v>0</v>
      </c>
      <c r="K94" s="1">
        <f>HYPERLINK("https://pubmed.ncbi.nlm.nih.gov/?term=22442551","1")</f>
        <v>0</v>
      </c>
      <c r="M94">
        <v>4</v>
      </c>
      <c r="N94" t="s">
        <v>1091</v>
      </c>
      <c r="O94" t="s">
        <v>1206</v>
      </c>
    </row>
    <row r="95" spans="1:15">
      <c r="A95" t="s">
        <v>728</v>
      </c>
      <c r="B95">
        <v>0.716</v>
      </c>
      <c r="C95">
        <v>383</v>
      </c>
      <c r="D95" t="s">
        <v>987</v>
      </c>
      <c r="F95" t="s">
        <v>992</v>
      </c>
      <c r="G95">
        <v>0</v>
      </c>
      <c r="H95">
        <v>0</v>
      </c>
      <c r="I95">
        <v>0</v>
      </c>
      <c r="J95">
        <v>0</v>
      </c>
      <c r="K95" s="1">
        <f>HYPERLINK("https://pubmed.ncbi.nlm.nih.gov/?term=6263093%2C17349716","2")</f>
        <v>0</v>
      </c>
      <c r="M95">
        <v>1</v>
      </c>
      <c r="N95" t="s">
        <v>1092</v>
      </c>
      <c r="O95" t="s">
        <v>1092</v>
      </c>
    </row>
    <row r="96" spans="1:15">
      <c r="A96" t="s">
        <v>729</v>
      </c>
      <c r="B96">
        <v>1.685</v>
      </c>
      <c r="C96">
        <v>13</v>
      </c>
      <c r="D96" t="s">
        <v>987</v>
      </c>
      <c r="F96" t="s">
        <v>999</v>
      </c>
      <c r="G96">
        <v>0</v>
      </c>
      <c r="H96">
        <v>0</v>
      </c>
      <c r="I96">
        <v>0</v>
      </c>
      <c r="J96">
        <v>0</v>
      </c>
      <c r="K96" s="1">
        <f>HYPERLINK("https://pubmed.ncbi.nlm.nih.gov/?term=26180627%2C20888942%2C26957701%2C24556484%2C28778308","7")</f>
        <v>0</v>
      </c>
      <c r="M96">
        <v>2</v>
      </c>
      <c r="N96" t="s">
        <v>1093</v>
      </c>
      <c r="O96" t="s">
        <v>1202</v>
      </c>
    </row>
    <row r="97" spans="1:15">
      <c r="A97" t="s">
        <v>730</v>
      </c>
      <c r="B97">
        <v>0.833</v>
      </c>
      <c r="C97">
        <v>24</v>
      </c>
      <c r="D97" t="s">
        <v>987</v>
      </c>
      <c r="F97" t="s">
        <v>1014</v>
      </c>
      <c r="G97">
        <v>0</v>
      </c>
      <c r="H97">
        <v>0</v>
      </c>
      <c r="I97">
        <v>0</v>
      </c>
      <c r="J97">
        <v>0</v>
      </c>
      <c r="K97" s="1">
        <f>HYPERLINK("https://pubmed.ncbi.nlm.nih.gov/?term=21147195","1")</f>
        <v>0</v>
      </c>
      <c r="M97">
        <v>1</v>
      </c>
      <c r="N97" t="s">
        <v>1094</v>
      </c>
      <c r="O97" t="s">
        <v>1094</v>
      </c>
    </row>
    <row r="98" spans="1:15">
      <c r="A98" t="s">
        <v>731</v>
      </c>
      <c r="B98">
        <v>0.833</v>
      </c>
      <c r="C98">
        <v>1</v>
      </c>
      <c r="D98" t="s">
        <v>987</v>
      </c>
      <c r="F98" t="s">
        <v>1014</v>
      </c>
      <c r="G98">
        <v>0</v>
      </c>
      <c r="H98">
        <v>0</v>
      </c>
      <c r="I98">
        <v>0</v>
      </c>
      <c r="J98">
        <v>0</v>
      </c>
      <c r="K98" s="1">
        <f>HYPERLINK("https://pubmed.ncbi.nlm.nih.gov/?term=32335259","1")</f>
        <v>0</v>
      </c>
      <c r="M98">
        <v>1</v>
      </c>
      <c r="N98" t="s">
        <v>1095</v>
      </c>
      <c r="O98" t="s">
        <v>1095</v>
      </c>
    </row>
    <row r="99" spans="1:15">
      <c r="A99" t="s">
        <v>732</v>
      </c>
      <c r="B99">
        <v>0.799</v>
      </c>
      <c r="C99">
        <v>53</v>
      </c>
      <c r="D99" t="s">
        <v>987</v>
      </c>
      <c r="F99" t="s">
        <v>4</v>
      </c>
      <c r="G99">
        <v>0</v>
      </c>
      <c r="H99">
        <v>0</v>
      </c>
      <c r="I99">
        <v>0</v>
      </c>
      <c r="J99">
        <v>0</v>
      </c>
      <c r="K99" s="1">
        <f>HYPERLINK("https://pubmed.ncbi.nlm.nih.gov/?term=25830090","1")</f>
        <v>0</v>
      </c>
      <c r="M99">
        <v>1</v>
      </c>
      <c r="N99" t="s">
        <v>1096</v>
      </c>
      <c r="O99" t="s">
        <v>1096</v>
      </c>
    </row>
    <row r="100" spans="1:15">
      <c r="A100" t="s">
        <v>732</v>
      </c>
      <c r="B100">
        <v>0.799</v>
      </c>
      <c r="C100">
        <v>53</v>
      </c>
      <c r="D100" t="s">
        <v>988</v>
      </c>
      <c r="F100" t="s">
        <v>65</v>
      </c>
      <c r="G100">
        <v>0</v>
      </c>
      <c r="H100">
        <v>0</v>
      </c>
      <c r="I100">
        <v>0</v>
      </c>
      <c r="J100">
        <v>0</v>
      </c>
      <c r="K100" s="1">
        <f>HYPERLINK("https://pubmed.ncbi.nlm.nih.gov/?term=25830090","1")</f>
        <v>0</v>
      </c>
      <c r="M100">
        <v>1</v>
      </c>
      <c r="N100" t="s">
        <v>1096</v>
      </c>
      <c r="O100" t="s">
        <v>1096</v>
      </c>
    </row>
    <row r="101" spans="1:15">
      <c r="A101" t="s">
        <v>733</v>
      </c>
      <c r="B101">
        <v>0.716</v>
      </c>
      <c r="C101">
        <v>259</v>
      </c>
      <c r="D101" t="s">
        <v>987</v>
      </c>
      <c r="F101" t="s">
        <v>1015</v>
      </c>
      <c r="G101">
        <v>0</v>
      </c>
      <c r="H101">
        <v>0</v>
      </c>
      <c r="I101">
        <v>0</v>
      </c>
      <c r="J101">
        <v>0</v>
      </c>
      <c r="K101" s="1">
        <f>HYPERLINK("https://pubmed.ncbi.nlm.nih.gov/?term=21569903","1")</f>
        <v>0</v>
      </c>
      <c r="M101">
        <v>1</v>
      </c>
      <c r="N101" t="s">
        <v>1097</v>
      </c>
      <c r="O101" t="s">
        <v>1097</v>
      </c>
    </row>
    <row r="102" spans="1:15">
      <c r="A102" t="s">
        <v>734</v>
      </c>
      <c r="B102">
        <v>0.772</v>
      </c>
      <c r="C102">
        <v>59</v>
      </c>
      <c r="D102" t="s">
        <v>987</v>
      </c>
      <c r="F102" t="s">
        <v>1009</v>
      </c>
      <c r="G102">
        <v>0</v>
      </c>
      <c r="H102">
        <v>0</v>
      </c>
      <c r="I102">
        <v>0</v>
      </c>
      <c r="J102">
        <v>0</v>
      </c>
      <c r="M102">
        <v>1</v>
      </c>
      <c r="N102" t="s">
        <v>1098</v>
      </c>
      <c r="O102" t="s">
        <v>1098</v>
      </c>
    </row>
    <row r="103" spans="1:15">
      <c r="A103" t="s">
        <v>735</v>
      </c>
      <c r="B103">
        <v>0.737</v>
      </c>
      <c r="C103">
        <v>52</v>
      </c>
      <c r="D103" t="s">
        <v>987</v>
      </c>
      <c r="F103" t="s">
        <v>1016</v>
      </c>
      <c r="G103">
        <v>0</v>
      </c>
      <c r="H103">
        <v>0</v>
      </c>
      <c r="I103">
        <v>0</v>
      </c>
      <c r="J103">
        <v>0</v>
      </c>
      <c r="K103" s="1">
        <f>HYPERLINK("https://pubmed.ncbi.nlm.nih.gov/?term=22119069","1")</f>
        <v>0</v>
      </c>
      <c r="M103">
        <v>1</v>
      </c>
      <c r="N103" t="s">
        <v>1099</v>
      </c>
      <c r="O103" t="s">
        <v>1099</v>
      </c>
    </row>
    <row r="104" spans="1:15">
      <c r="A104" t="s">
        <v>736</v>
      </c>
      <c r="B104">
        <v>0.68</v>
      </c>
      <c r="C104">
        <v>144</v>
      </c>
      <c r="D104" t="s">
        <v>987</v>
      </c>
      <c r="F104" t="s">
        <v>2</v>
      </c>
      <c r="G104">
        <v>0</v>
      </c>
      <c r="H104">
        <v>0</v>
      </c>
      <c r="I104">
        <v>0</v>
      </c>
      <c r="J104">
        <v>0</v>
      </c>
      <c r="K104" s="1">
        <f>HYPERLINK("https://pubmed.ncbi.nlm.nih.gov/?term=15062272%2C27178685%2C20883921%2C18701323%2C31606507","8")</f>
        <v>0</v>
      </c>
      <c r="M104">
        <v>1</v>
      </c>
      <c r="N104" t="s">
        <v>1100</v>
      </c>
      <c r="O104" t="s">
        <v>1100</v>
      </c>
    </row>
    <row r="105" spans="1:15">
      <c r="A105" t="s">
        <v>737</v>
      </c>
      <c r="B105">
        <v>0.68</v>
      </c>
      <c r="C105">
        <v>126</v>
      </c>
      <c r="D105" t="s">
        <v>987</v>
      </c>
      <c r="F105" t="s">
        <v>2</v>
      </c>
      <c r="G105">
        <v>0</v>
      </c>
      <c r="H105">
        <v>0</v>
      </c>
      <c r="I105">
        <v>0</v>
      </c>
      <c r="J105">
        <v>0</v>
      </c>
      <c r="K105" s="1">
        <f>HYPERLINK("https://pubmed.ncbi.nlm.nih.gov/?term=19836485%2C15097932%2C29414432%2C28815190%2C21304376","18")</f>
        <v>0</v>
      </c>
      <c r="M105">
        <v>1</v>
      </c>
      <c r="N105" t="s">
        <v>1101</v>
      </c>
      <c r="O105" t="s">
        <v>1101</v>
      </c>
    </row>
    <row r="106" spans="1:15">
      <c r="A106" t="s">
        <v>738</v>
      </c>
      <c r="B106">
        <v>0.706</v>
      </c>
      <c r="C106">
        <v>3</v>
      </c>
      <c r="D106" t="s">
        <v>987</v>
      </c>
      <c r="F106" t="s">
        <v>1</v>
      </c>
      <c r="G106">
        <v>0</v>
      </c>
      <c r="H106">
        <v>0</v>
      </c>
      <c r="I106">
        <v>0</v>
      </c>
      <c r="J106">
        <v>0</v>
      </c>
      <c r="M106">
        <v>1</v>
      </c>
      <c r="N106" t="s">
        <v>1102</v>
      </c>
      <c r="O106" t="s">
        <v>1102</v>
      </c>
    </row>
    <row r="107" spans="1:15">
      <c r="A107" t="s">
        <v>739</v>
      </c>
      <c r="B107">
        <v>0.6899999999999999</v>
      </c>
      <c r="C107">
        <v>41</v>
      </c>
      <c r="D107" t="s">
        <v>987</v>
      </c>
      <c r="F107" t="s">
        <v>991</v>
      </c>
      <c r="G107">
        <v>0</v>
      </c>
      <c r="H107">
        <v>0</v>
      </c>
      <c r="I107">
        <v>0</v>
      </c>
      <c r="J107">
        <v>0</v>
      </c>
      <c r="K107" s="1">
        <f>HYPERLINK("https://pubmed.ncbi.nlm.nih.gov/?term=26356799","2")</f>
        <v>0</v>
      </c>
      <c r="M107">
        <v>1</v>
      </c>
      <c r="N107" t="s">
        <v>1103</v>
      </c>
      <c r="O107" t="s">
        <v>1103</v>
      </c>
    </row>
    <row r="108" spans="1:15">
      <c r="A108" t="s">
        <v>740</v>
      </c>
      <c r="B108">
        <v>0.68</v>
      </c>
      <c r="C108">
        <v>60</v>
      </c>
      <c r="D108" t="s">
        <v>987</v>
      </c>
      <c r="F108" t="s">
        <v>2</v>
      </c>
      <c r="G108">
        <v>0</v>
      </c>
      <c r="H108">
        <v>0</v>
      </c>
      <c r="I108">
        <v>0</v>
      </c>
      <c r="J108">
        <v>0</v>
      </c>
      <c r="M108">
        <v>1</v>
      </c>
      <c r="N108" t="s">
        <v>1104</v>
      </c>
      <c r="O108" t="s">
        <v>1104</v>
      </c>
    </row>
    <row r="109" spans="1:15">
      <c r="A109" t="s">
        <v>741</v>
      </c>
      <c r="B109">
        <v>0.68</v>
      </c>
      <c r="C109">
        <v>59</v>
      </c>
      <c r="D109" t="s">
        <v>987</v>
      </c>
      <c r="F109" t="s">
        <v>2</v>
      </c>
      <c r="G109">
        <v>0</v>
      </c>
      <c r="H109">
        <v>0</v>
      </c>
      <c r="I109">
        <v>0</v>
      </c>
      <c r="J109">
        <v>0</v>
      </c>
      <c r="K109" s="1">
        <f>HYPERLINK("https://pubmed.ncbi.nlm.nih.gov/?term=16698415%2C30167009","12")</f>
        <v>0</v>
      </c>
      <c r="L109" s="1">
        <f>HYPERLINK("http://dx.doi.org/10.1097/MD.0000000000021852","10.1097/MD.0000000000021852")</f>
        <v>0</v>
      </c>
      <c r="M109">
        <v>1</v>
      </c>
      <c r="N109" t="s">
        <v>1104</v>
      </c>
      <c r="O109" t="s">
        <v>1104</v>
      </c>
    </row>
    <row r="110" spans="1:15">
      <c r="A110" t="s">
        <v>742</v>
      </c>
      <c r="B110">
        <v>0.6899999999999999</v>
      </c>
      <c r="C110">
        <v>27</v>
      </c>
      <c r="D110" t="s">
        <v>987</v>
      </c>
      <c r="F110" t="s">
        <v>991</v>
      </c>
      <c r="G110">
        <v>0</v>
      </c>
      <c r="H110">
        <v>0</v>
      </c>
      <c r="I110">
        <v>0</v>
      </c>
      <c r="J110">
        <v>0</v>
      </c>
      <c r="K110" s="1">
        <f>HYPERLINK("https://pubmed.ncbi.nlm.nih.gov/?term=32773155%2C30595931%2C32051810%2C34206592","5")</f>
        <v>0</v>
      </c>
      <c r="M110">
        <v>1</v>
      </c>
      <c r="N110" t="s">
        <v>1105</v>
      </c>
      <c r="O110" t="s">
        <v>1105</v>
      </c>
    </row>
    <row r="111" spans="1:15">
      <c r="A111" t="s">
        <v>743</v>
      </c>
      <c r="B111">
        <v>0.6899999999999999</v>
      </c>
      <c r="C111">
        <v>24</v>
      </c>
      <c r="D111" t="s">
        <v>987</v>
      </c>
      <c r="F111" t="s">
        <v>991</v>
      </c>
      <c r="G111">
        <v>0</v>
      </c>
      <c r="H111">
        <v>0</v>
      </c>
      <c r="I111">
        <v>0</v>
      </c>
      <c r="J111">
        <v>0</v>
      </c>
      <c r="M111">
        <v>1</v>
      </c>
      <c r="N111" t="s">
        <v>1105</v>
      </c>
      <c r="O111" t="s">
        <v>1105</v>
      </c>
    </row>
    <row r="112" spans="1:15">
      <c r="A112" t="s">
        <v>744</v>
      </c>
      <c r="B112">
        <v>0.68</v>
      </c>
      <c r="C112">
        <v>50</v>
      </c>
      <c r="D112" t="s">
        <v>987</v>
      </c>
      <c r="F112" t="s">
        <v>2</v>
      </c>
      <c r="G112">
        <v>0</v>
      </c>
      <c r="H112">
        <v>0</v>
      </c>
      <c r="I112">
        <v>0</v>
      </c>
      <c r="J112">
        <v>0</v>
      </c>
      <c r="K112" s="1">
        <f>HYPERLINK("https://pubmed.ncbi.nlm.nih.gov/?term=23618320","1")</f>
        <v>0</v>
      </c>
      <c r="M112">
        <v>1</v>
      </c>
      <c r="N112" t="s">
        <v>1105</v>
      </c>
      <c r="O112" t="s">
        <v>1105</v>
      </c>
    </row>
    <row r="113" spans="1:15">
      <c r="A113" t="s">
        <v>745</v>
      </c>
      <c r="B113">
        <v>0.68</v>
      </c>
      <c r="C113">
        <v>49</v>
      </c>
      <c r="D113" t="s">
        <v>987</v>
      </c>
      <c r="F113" t="s">
        <v>2</v>
      </c>
      <c r="G113">
        <v>0</v>
      </c>
      <c r="H113">
        <v>0</v>
      </c>
      <c r="I113">
        <v>0</v>
      </c>
      <c r="J113">
        <v>0</v>
      </c>
      <c r="M113">
        <v>1</v>
      </c>
      <c r="N113" t="s">
        <v>1105</v>
      </c>
      <c r="O113" t="s">
        <v>1105</v>
      </c>
    </row>
    <row r="114" spans="1:15">
      <c r="A114" t="s">
        <v>746</v>
      </c>
      <c r="B114">
        <v>0.6899999999999999</v>
      </c>
      <c r="C114">
        <v>12</v>
      </c>
      <c r="D114" t="s">
        <v>987</v>
      </c>
      <c r="F114" t="s">
        <v>991</v>
      </c>
      <c r="G114">
        <v>0</v>
      </c>
      <c r="H114">
        <v>0</v>
      </c>
      <c r="I114">
        <v>0</v>
      </c>
      <c r="J114">
        <v>0</v>
      </c>
      <c r="M114">
        <v>1</v>
      </c>
      <c r="N114" t="s">
        <v>1106</v>
      </c>
      <c r="O114" t="s">
        <v>1106</v>
      </c>
    </row>
    <row r="115" spans="1:15">
      <c r="A115" t="s">
        <v>747</v>
      </c>
      <c r="B115">
        <v>0.68</v>
      </c>
      <c r="C115">
        <v>37</v>
      </c>
      <c r="D115" t="s">
        <v>987</v>
      </c>
      <c r="F115" t="s">
        <v>2</v>
      </c>
      <c r="G115">
        <v>0</v>
      </c>
      <c r="H115">
        <v>0</v>
      </c>
      <c r="I115">
        <v>0</v>
      </c>
      <c r="J115">
        <v>0</v>
      </c>
      <c r="K115" s="1">
        <f>HYPERLINK("https://pubmed.ncbi.nlm.nih.gov/?term=18701323%2C12505124%2C23676592","6")</f>
        <v>0</v>
      </c>
      <c r="M115">
        <v>1</v>
      </c>
      <c r="N115" t="s">
        <v>1107</v>
      </c>
      <c r="O115" t="s">
        <v>1107</v>
      </c>
    </row>
    <row r="116" spans="1:15">
      <c r="A116" t="s">
        <v>748</v>
      </c>
      <c r="B116">
        <v>0.68</v>
      </c>
      <c r="C116">
        <v>33</v>
      </c>
      <c r="D116" t="s">
        <v>987</v>
      </c>
      <c r="F116" t="s">
        <v>2</v>
      </c>
      <c r="G116">
        <v>0</v>
      </c>
      <c r="H116">
        <v>0</v>
      </c>
      <c r="I116">
        <v>0</v>
      </c>
      <c r="J116">
        <v>0</v>
      </c>
      <c r="L116" s="1">
        <f>HYPERLINK("http://dx.doi.org/10.1016/j.adengl.2020.12.024","10.1016/j.adengl.2020.12.024")</f>
        <v>0</v>
      </c>
      <c r="M116">
        <v>1</v>
      </c>
      <c r="N116" t="s">
        <v>1107</v>
      </c>
      <c r="O116" t="s">
        <v>1107</v>
      </c>
    </row>
    <row r="117" spans="1:15">
      <c r="A117" t="s">
        <v>749</v>
      </c>
      <c r="B117">
        <v>2.05</v>
      </c>
      <c r="C117">
        <v>67</v>
      </c>
      <c r="D117" t="s">
        <v>987</v>
      </c>
      <c r="E117" t="s">
        <v>2</v>
      </c>
      <c r="F117" t="s">
        <v>991</v>
      </c>
      <c r="G117">
        <v>0</v>
      </c>
      <c r="H117">
        <v>0</v>
      </c>
      <c r="I117">
        <v>0</v>
      </c>
      <c r="J117">
        <v>0</v>
      </c>
      <c r="K117" s="1">
        <f>HYPERLINK("https://pubmed.ncbi.nlm.nih.gov/?term=26114882%2C12160810","2")</f>
        <v>0</v>
      </c>
      <c r="M117">
        <v>3</v>
      </c>
      <c r="N117" t="s">
        <v>1108</v>
      </c>
      <c r="O117" t="s">
        <v>1107</v>
      </c>
    </row>
    <row r="118" spans="1:15">
      <c r="A118" t="s">
        <v>750</v>
      </c>
      <c r="B118">
        <v>0.68</v>
      </c>
      <c r="C118">
        <v>28</v>
      </c>
      <c r="D118" t="s">
        <v>987</v>
      </c>
      <c r="F118" t="s">
        <v>2</v>
      </c>
      <c r="G118">
        <v>0</v>
      </c>
      <c r="H118">
        <v>0</v>
      </c>
      <c r="I118">
        <v>0</v>
      </c>
      <c r="J118">
        <v>0</v>
      </c>
      <c r="K118" s="1">
        <f>HYPERLINK("https://pubmed.ncbi.nlm.nih.gov/?term=12691799%2C28779712","2")</f>
        <v>0</v>
      </c>
      <c r="M118">
        <v>1</v>
      </c>
      <c r="N118" t="s">
        <v>1109</v>
      </c>
      <c r="O118" t="s">
        <v>1109</v>
      </c>
    </row>
    <row r="119" spans="1:15">
      <c r="A119" t="s">
        <v>751</v>
      </c>
      <c r="B119">
        <v>1.36</v>
      </c>
      <c r="C119">
        <v>31</v>
      </c>
      <c r="D119" t="s">
        <v>987</v>
      </c>
      <c r="E119" t="s">
        <v>2</v>
      </c>
      <c r="G119">
        <v>0</v>
      </c>
      <c r="H119">
        <v>0</v>
      </c>
      <c r="I119">
        <v>0</v>
      </c>
      <c r="J119">
        <v>0</v>
      </c>
      <c r="K119" s="1">
        <f>HYPERLINK("https://pubmed.ncbi.nlm.nih.gov/?term=31896402%2C22982078%2C26356799%2C22823951","6")</f>
        <v>0</v>
      </c>
      <c r="M119">
        <v>2</v>
      </c>
      <c r="N119" t="s">
        <v>1110</v>
      </c>
      <c r="O119" t="s">
        <v>1111</v>
      </c>
    </row>
    <row r="120" spans="1:15">
      <c r="A120" t="s">
        <v>752</v>
      </c>
      <c r="B120">
        <v>0.68</v>
      </c>
      <c r="C120">
        <v>11</v>
      </c>
      <c r="D120" t="s">
        <v>987</v>
      </c>
      <c r="F120" t="s">
        <v>2</v>
      </c>
      <c r="G120">
        <v>0</v>
      </c>
      <c r="H120">
        <v>0</v>
      </c>
      <c r="I120">
        <v>0</v>
      </c>
      <c r="J120">
        <v>0</v>
      </c>
      <c r="M120">
        <v>1</v>
      </c>
      <c r="N120" t="s">
        <v>1111</v>
      </c>
      <c r="O120" t="s">
        <v>1111</v>
      </c>
    </row>
    <row r="121" spans="1:15">
      <c r="A121" t="s">
        <v>753</v>
      </c>
      <c r="B121">
        <v>0.68</v>
      </c>
      <c r="C121">
        <v>10</v>
      </c>
      <c r="D121" t="s">
        <v>987</v>
      </c>
      <c r="F121" t="s">
        <v>2</v>
      </c>
      <c r="G121">
        <v>0</v>
      </c>
      <c r="H121">
        <v>0</v>
      </c>
      <c r="I121">
        <v>0</v>
      </c>
      <c r="J121">
        <v>0</v>
      </c>
      <c r="M121">
        <v>1</v>
      </c>
      <c r="N121" t="s">
        <v>1111</v>
      </c>
      <c r="O121" t="s">
        <v>1111</v>
      </c>
    </row>
    <row r="122" spans="1:15">
      <c r="A122" t="s">
        <v>754</v>
      </c>
      <c r="B122">
        <v>0.68</v>
      </c>
      <c r="C122">
        <v>9</v>
      </c>
      <c r="D122" t="s">
        <v>987</v>
      </c>
      <c r="F122" t="s">
        <v>2</v>
      </c>
      <c r="G122">
        <v>0</v>
      </c>
      <c r="H122">
        <v>0</v>
      </c>
      <c r="I122">
        <v>0</v>
      </c>
      <c r="J122">
        <v>0</v>
      </c>
      <c r="K122" s="1">
        <f>HYPERLINK("https://pubmed.ncbi.nlm.nih.gov/?term=10985152","1")</f>
        <v>0</v>
      </c>
      <c r="M122">
        <v>1</v>
      </c>
      <c r="N122" t="s">
        <v>1112</v>
      </c>
      <c r="O122" t="s">
        <v>1112</v>
      </c>
    </row>
    <row r="123" spans="1:15">
      <c r="A123" t="s">
        <v>755</v>
      </c>
      <c r="B123">
        <v>0.68</v>
      </c>
      <c r="C123">
        <v>7</v>
      </c>
      <c r="D123" t="s">
        <v>987</v>
      </c>
      <c r="F123" t="s">
        <v>2</v>
      </c>
      <c r="G123">
        <v>0</v>
      </c>
      <c r="H123">
        <v>0</v>
      </c>
      <c r="I123">
        <v>0</v>
      </c>
      <c r="J123">
        <v>0</v>
      </c>
      <c r="K123" s="1">
        <f>HYPERLINK("https://pubmed.ncbi.nlm.nih.gov/?term=27177589%2C29802835","2")</f>
        <v>0</v>
      </c>
      <c r="M123">
        <v>1</v>
      </c>
      <c r="N123" t="s">
        <v>1112</v>
      </c>
      <c r="O123" t="s">
        <v>1112</v>
      </c>
    </row>
    <row r="124" spans="1:15">
      <c r="A124" t="s">
        <v>756</v>
      </c>
      <c r="B124">
        <v>0.68</v>
      </c>
      <c r="C124">
        <v>7</v>
      </c>
      <c r="D124" t="s">
        <v>987</v>
      </c>
      <c r="F124" t="s">
        <v>2</v>
      </c>
      <c r="G124">
        <v>0</v>
      </c>
      <c r="H124">
        <v>0</v>
      </c>
      <c r="I124">
        <v>0</v>
      </c>
      <c r="J124">
        <v>0</v>
      </c>
      <c r="M124">
        <v>1</v>
      </c>
      <c r="N124" t="s">
        <v>1112</v>
      </c>
      <c r="O124" t="s">
        <v>1112</v>
      </c>
    </row>
    <row r="125" spans="1:15">
      <c r="A125" t="s">
        <v>757</v>
      </c>
      <c r="B125">
        <v>0.68</v>
      </c>
      <c r="C125">
        <v>6</v>
      </c>
      <c r="D125" t="s">
        <v>987</v>
      </c>
      <c r="F125" t="s">
        <v>2</v>
      </c>
      <c r="G125">
        <v>0</v>
      </c>
      <c r="H125">
        <v>0</v>
      </c>
      <c r="I125">
        <v>0</v>
      </c>
      <c r="J125">
        <v>0</v>
      </c>
      <c r="M125">
        <v>1</v>
      </c>
      <c r="N125" t="s">
        <v>1112</v>
      </c>
      <c r="O125" t="s">
        <v>1112</v>
      </c>
    </row>
    <row r="126" spans="1:15">
      <c r="A126" t="s">
        <v>758</v>
      </c>
      <c r="B126">
        <v>0.68</v>
      </c>
      <c r="C126">
        <v>5</v>
      </c>
      <c r="D126" t="s">
        <v>987</v>
      </c>
      <c r="F126" t="s">
        <v>2</v>
      </c>
      <c r="G126">
        <v>0</v>
      </c>
      <c r="H126">
        <v>0</v>
      </c>
      <c r="I126">
        <v>0</v>
      </c>
      <c r="J126">
        <v>0</v>
      </c>
      <c r="M126">
        <v>1</v>
      </c>
      <c r="N126" t="s">
        <v>1112</v>
      </c>
      <c r="O126" t="s">
        <v>1112</v>
      </c>
    </row>
    <row r="127" spans="1:15">
      <c r="A127" t="s">
        <v>759</v>
      </c>
      <c r="B127">
        <v>0.68</v>
      </c>
      <c r="C127">
        <v>5</v>
      </c>
      <c r="D127" t="s">
        <v>987</v>
      </c>
      <c r="F127" t="s">
        <v>2</v>
      </c>
      <c r="G127">
        <v>0</v>
      </c>
      <c r="H127">
        <v>0</v>
      </c>
      <c r="I127">
        <v>0</v>
      </c>
      <c r="J127">
        <v>0</v>
      </c>
      <c r="M127">
        <v>1</v>
      </c>
      <c r="N127" t="s">
        <v>1112</v>
      </c>
      <c r="O127" t="s">
        <v>1112</v>
      </c>
    </row>
    <row r="128" spans="1:15">
      <c r="A128" t="s">
        <v>760</v>
      </c>
      <c r="B128">
        <v>0.68</v>
      </c>
      <c r="C128">
        <v>4</v>
      </c>
      <c r="D128" t="s">
        <v>987</v>
      </c>
      <c r="F128" t="s">
        <v>2</v>
      </c>
      <c r="G128">
        <v>0</v>
      </c>
      <c r="H128">
        <v>0</v>
      </c>
      <c r="I128">
        <v>0</v>
      </c>
      <c r="J128">
        <v>0</v>
      </c>
      <c r="K128" s="1">
        <f>HYPERLINK("https://pubmed.ncbi.nlm.nih.gov/?term=22577569%2C31896402%2C26356799","3")</f>
        <v>0</v>
      </c>
      <c r="M128">
        <v>1</v>
      </c>
      <c r="N128" t="s">
        <v>1112</v>
      </c>
      <c r="O128" t="s">
        <v>1112</v>
      </c>
    </row>
    <row r="129" spans="1:15">
      <c r="A129" t="s">
        <v>761</v>
      </c>
      <c r="B129">
        <v>0.68</v>
      </c>
      <c r="C129">
        <v>3</v>
      </c>
      <c r="D129" t="s">
        <v>987</v>
      </c>
      <c r="F129" t="s">
        <v>2</v>
      </c>
      <c r="G129">
        <v>0</v>
      </c>
      <c r="H129">
        <v>0</v>
      </c>
      <c r="I129">
        <v>0</v>
      </c>
      <c r="J129">
        <v>0</v>
      </c>
      <c r="K129" s="1">
        <f>HYPERLINK("https://pubmed.ncbi.nlm.nih.gov/?term=28359841%2C28779712","2")</f>
        <v>0</v>
      </c>
      <c r="M129">
        <v>1</v>
      </c>
      <c r="N129" t="s">
        <v>1112</v>
      </c>
      <c r="O129" t="s">
        <v>1112</v>
      </c>
    </row>
    <row r="130" spans="1:15">
      <c r="A130" t="s">
        <v>762</v>
      </c>
      <c r="B130">
        <v>0.68</v>
      </c>
      <c r="C130">
        <v>2</v>
      </c>
      <c r="D130" t="s">
        <v>987</v>
      </c>
      <c r="F130" t="s">
        <v>2</v>
      </c>
      <c r="G130">
        <v>0</v>
      </c>
      <c r="H130">
        <v>0</v>
      </c>
      <c r="I130">
        <v>0</v>
      </c>
      <c r="J130">
        <v>0</v>
      </c>
      <c r="M130">
        <v>1</v>
      </c>
      <c r="N130" t="s">
        <v>1112</v>
      </c>
      <c r="O130" t="s">
        <v>1112</v>
      </c>
    </row>
    <row r="131" spans="1:15">
      <c r="A131" t="s">
        <v>763</v>
      </c>
      <c r="B131">
        <v>0.68</v>
      </c>
      <c r="C131">
        <v>1</v>
      </c>
      <c r="D131" t="s">
        <v>987</v>
      </c>
      <c r="F131" t="s">
        <v>2</v>
      </c>
      <c r="G131">
        <v>0</v>
      </c>
      <c r="H131">
        <v>0</v>
      </c>
      <c r="I131">
        <v>0</v>
      </c>
      <c r="J131">
        <v>0</v>
      </c>
      <c r="M131">
        <v>1</v>
      </c>
      <c r="N131" t="s">
        <v>1112</v>
      </c>
      <c r="O131" t="s">
        <v>1112</v>
      </c>
    </row>
    <row r="132" spans="1:15">
      <c r="A132" t="s">
        <v>764</v>
      </c>
      <c r="B132">
        <v>0.68</v>
      </c>
      <c r="C132">
        <v>1</v>
      </c>
      <c r="D132" t="s">
        <v>987</v>
      </c>
      <c r="F132" t="s">
        <v>2</v>
      </c>
      <c r="G132">
        <v>0</v>
      </c>
      <c r="H132">
        <v>0</v>
      </c>
      <c r="I132">
        <v>0</v>
      </c>
      <c r="J132">
        <v>0</v>
      </c>
      <c r="M132">
        <v>1</v>
      </c>
      <c r="N132" t="s">
        <v>1112</v>
      </c>
      <c r="O132" t="s">
        <v>1112</v>
      </c>
    </row>
    <row r="133" spans="1:15">
      <c r="A133" t="s">
        <v>765</v>
      </c>
      <c r="B133">
        <v>0.68</v>
      </c>
      <c r="C133">
        <v>1</v>
      </c>
      <c r="D133" t="s">
        <v>987</v>
      </c>
      <c r="F133" t="s">
        <v>2</v>
      </c>
      <c r="G133">
        <v>0</v>
      </c>
      <c r="H133">
        <v>0</v>
      </c>
      <c r="I133">
        <v>0</v>
      </c>
      <c r="J133">
        <v>0</v>
      </c>
      <c r="M133">
        <v>1</v>
      </c>
      <c r="N133" t="s">
        <v>1112</v>
      </c>
      <c r="O133" t="s">
        <v>1112</v>
      </c>
    </row>
    <row r="134" spans="1:15">
      <c r="A134" t="s">
        <v>766</v>
      </c>
      <c r="B134">
        <v>0.68</v>
      </c>
      <c r="C134">
        <v>0</v>
      </c>
      <c r="D134" t="s">
        <v>987</v>
      </c>
      <c r="F134" t="s">
        <v>2</v>
      </c>
      <c r="G134">
        <v>0</v>
      </c>
      <c r="H134">
        <v>0</v>
      </c>
      <c r="I134">
        <v>0</v>
      </c>
      <c r="J134">
        <v>0</v>
      </c>
      <c r="M134">
        <v>1</v>
      </c>
      <c r="N134" t="s">
        <v>1113</v>
      </c>
      <c r="O134" t="s">
        <v>1113</v>
      </c>
    </row>
    <row r="135" spans="1:15">
      <c r="A135" t="s">
        <v>767</v>
      </c>
      <c r="B135">
        <v>0.68</v>
      </c>
      <c r="C135">
        <v>0</v>
      </c>
      <c r="D135" t="s">
        <v>987</v>
      </c>
      <c r="F135" t="s">
        <v>2</v>
      </c>
      <c r="G135">
        <v>0</v>
      </c>
      <c r="H135">
        <v>0</v>
      </c>
      <c r="I135">
        <v>0</v>
      </c>
      <c r="J135">
        <v>0</v>
      </c>
      <c r="M135">
        <v>1</v>
      </c>
      <c r="N135" t="s">
        <v>1113</v>
      </c>
      <c r="O135" t="s">
        <v>1113</v>
      </c>
    </row>
    <row r="136" spans="1:15">
      <c r="A136" t="s">
        <v>768</v>
      </c>
      <c r="B136">
        <v>0.525</v>
      </c>
      <c r="C136">
        <v>448</v>
      </c>
      <c r="D136" t="s">
        <v>987</v>
      </c>
      <c r="E136" t="s">
        <v>6</v>
      </c>
      <c r="F136" t="s">
        <v>1017</v>
      </c>
      <c r="G136">
        <v>0</v>
      </c>
      <c r="H136">
        <v>0</v>
      </c>
      <c r="I136">
        <v>0</v>
      </c>
      <c r="J136">
        <v>0</v>
      </c>
      <c r="K136" s="1">
        <f>HYPERLINK("https://pubmed.ncbi.nlm.nih.gov/?term=28822849%2C20685758%2C33660127%2C25105801%2C33112278","9")</f>
        <v>0</v>
      </c>
      <c r="M136">
        <v>1</v>
      </c>
      <c r="N136" t="s">
        <v>1113</v>
      </c>
      <c r="O136" t="s">
        <v>1113</v>
      </c>
    </row>
    <row r="137" spans="1:15">
      <c r="A137" t="s">
        <v>769</v>
      </c>
      <c r="B137">
        <v>0.544</v>
      </c>
      <c r="C137">
        <v>388</v>
      </c>
      <c r="D137" t="s">
        <v>987</v>
      </c>
      <c r="F137" t="s">
        <v>1008</v>
      </c>
      <c r="G137">
        <v>0</v>
      </c>
      <c r="H137">
        <v>0</v>
      </c>
      <c r="I137">
        <v>0</v>
      </c>
      <c r="J137">
        <v>0</v>
      </c>
      <c r="K137" s="1">
        <f>HYPERLINK("https://pubmed.ncbi.nlm.nih.gov/?term=19407508","1")</f>
        <v>0</v>
      </c>
      <c r="M137">
        <v>1</v>
      </c>
      <c r="N137" t="s">
        <v>1114</v>
      </c>
      <c r="O137" t="s">
        <v>1114</v>
      </c>
    </row>
    <row r="138" spans="1:15">
      <c r="A138" t="s">
        <v>770</v>
      </c>
      <c r="B138">
        <v>1.822</v>
      </c>
      <c r="C138">
        <v>439</v>
      </c>
      <c r="D138" t="s">
        <v>988</v>
      </c>
      <c r="F138" t="s">
        <v>65</v>
      </c>
      <c r="G138">
        <v>0</v>
      </c>
      <c r="H138">
        <v>0</v>
      </c>
      <c r="I138">
        <v>0</v>
      </c>
      <c r="J138">
        <v>0</v>
      </c>
      <c r="K138" s="1">
        <f>HYPERLINK("https://pubmed.ncbi.nlm.nih.gov/?term=10210408%2C26366315%2C23323113%2C25226294","5")</f>
        <v>0</v>
      </c>
      <c r="M138">
        <v>3</v>
      </c>
      <c r="N138" t="s">
        <v>1115</v>
      </c>
      <c r="O138" t="s">
        <v>1207</v>
      </c>
    </row>
    <row r="139" spans="1:15">
      <c r="A139" t="s">
        <v>770</v>
      </c>
      <c r="B139">
        <v>1.822</v>
      </c>
      <c r="C139">
        <v>439</v>
      </c>
      <c r="D139" t="s">
        <v>987</v>
      </c>
      <c r="E139" t="s">
        <v>6</v>
      </c>
      <c r="G139">
        <v>0</v>
      </c>
      <c r="H139">
        <v>0</v>
      </c>
      <c r="I139">
        <v>0</v>
      </c>
      <c r="J139">
        <v>0</v>
      </c>
      <c r="K139" s="1">
        <f>HYPERLINK("https://pubmed.ncbi.nlm.nih.gov/?term=10210408%2C26366315%2C23323113%2C25226294","5")</f>
        <v>0</v>
      </c>
      <c r="M139">
        <v>3</v>
      </c>
      <c r="N139" t="s">
        <v>1115</v>
      </c>
      <c r="O139" t="s">
        <v>1207</v>
      </c>
    </row>
    <row r="140" spans="1:15">
      <c r="A140" t="s">
        <v>771</v>
      </c>
      <c r="B140">
        <v>1.205</v>
      </c>
      <c r="C140">
        <v>200</v>
      </c>
      <c r="D140" t="s">
        <v>987</v>
      </c>
      <c r="F140" t="s">
        <v>1018</v>
      </c>
      <c r="G140">
        <v>0</v>
      </c>
      <c r="H140">
        <v>0</v>
      </c>
      <c r="I140">
        <v>0</v>
      </c>
      <c r="J140">
        <v>0</v>
      </c>
      <c r="K140" s="1">
        <f>HYPERLINK("https://pubmed.ncbi.nlm.nih.gov/?term=17396442%2C24703516","2")</f>
        <v>0</v>
      </c>
      <c r="M140">
        <v>2</v>
      </c>
      <c r="N140" t="s">
        <v>1116</v>
      </c>
      <c r="O140" t="s">
        <v>1208</v>
      </c>
    </row>
    <row r="141" spans="1:15">
      <c r="A141" t="s">
        <v>772</v>
      </c>
      <c r="B141">
        <v>0.614</v>
      </c>
      <c r="C141">
        <v>60</v>
      </c>
      <c r="D141" t="s">
        <v>987</v>
      </c>
      <c r="F141" t="s">
        <v>1</v>
      </c>
      <c r="G141">
        <v>0</v>
      </c>
      <c r="H141">
        <v>0</v>
      </c>
      <c r="I141">
        <v>0</v>
      </c>
      <c r="J141">
        <v>0</v>
      </c>
      <c r="M141">
        <v>1</v>
      </c>
      <c r="N141" t="s">
        <v>1117</v>
      </c>
      <c r="O141" t="s">
        <v>1117</v>
      </c>
    </row>
    <row r="142" spans="1:15">
      <c r="A142" t="s">
        <v>773</v>
      </c>
      <c r="B142">
        <v>0.598</v>
      </c>
      <c r="C142">
        <v>61</v>
      </c>
      <c r="D142" t="s">
        <v>987</v>
      </c>
      <c r="E142" t="s">
        <v>6</v>
      </c>
      <c r="G142">
        <v>0</v>
      </c>
      <c r="H142">
        <v>0</v>
      </c>
      <c r="I142">
        <v>0</v>
      </c>
      <c r="J142">
        <v>0</v>
      </c>
      <c r="K142" s="1">
        <f>HYPERLINK("https://pubmed.ncbi.nlm.nih.gov/?term=21753790%2C19913465%2C33088497%2C23575762%2C32165101","7")</f>
        <v>0</v>
      </c>
      <c r="M142">
        <v>1</v>
      </c>
      <c r="N142" t="s">
        <v>1118</v>
      </c>
      <c r="O142" t="s">
        <v>1118</v>
      </c>
    </row>
    <row r="143" spans="1:15">
      <c r="A143" t="s">
        <v>774</v>
      </c>
      <c r="B143">
        <v>1.782</v>
      </c>
      <c r="C143">
        <v>158</v>
      </c>
      <c r="D143" t="s">
        <v>987</v>
      </c>
      <c r="F143" t="s">
        <v>1019</v>
      </c>
      <c r="G143">
        <v>0</v>
      </c>
      <c r="H143">
        <v>0</v>
      </c>
      <c r="I143">
        <v>0</v>
      </c>
      <c r="J143">
        <v>0</v>
      </c>
      <c r="K143" s="1">
        <f>HYPERLINK("https://pubmed.ncbi.nlm.nih.gov/?term=22871612%2C32165101%2C30120907","3")</f>
        <v>0</v>
      </c>
      <c r="M143">
        <v>3</v>
      </c>
      <c r="N143" t="s">
        <v>1119</v>
      </c>
      <c r="O143" t="s">
        <v>1209</v>
      </c>
    </row>
    <row r="144" spans="1:15">
      <c r="A144" t="s">
        <v>775</v>
      </c>
      <c r="B144">
        <v>0.544</v>
      </c>
      <c r="C144">
        <v>172</v>
      </c>
      <c r="D144" t="s">
        <v>987</v>
      </c>
      <c r="F144" t="s">
        <v>1008</v>
      </c>
      <c r="G144">
        <v>0</v>
      </c>
      <c r="H144">
        <v>0</v>
      </c>
      <c r="I144">
        <v>0</v>
      </c>
      <c r="J144">
        <v>0</v>
      </c>
      <c r="K144" s="1">
        <f>HYPERLINK("https://pubmed.ncbi.nlm.nih.gov/?term=33040851%2C25798129%2C33159664","10")</f>
        <v>0</v>
      </c>
      <c r="L144" s="1">
        <f>HYPERLINK("http://dx.doi.org/10.1016/j.ihj.2020.11.003","10.1016/j.ihj.2020.11.003;10.1157/13127852")</f>
        <v>0</v>
      </c>
      <c r="M144">
        <v>1</v>
      </c>
      <c r="N144" t="s">
        <v>1120</v>
      </c>
      <c r="O144" t="s">
        <v>1120</v>
      </c>
    </row>
    <row r="145" spans="1:15">
      <c r="A145" t="s">
        <v>776</v>
      </c>
      <c r="B145">
        <v>0.598</v>
      </c>
      <c r="C145">
        <v>8</v>
      </c>
      <c r="D145" t="s">
        <v>987</v>
      </c>
      <c r="E145" t="s">
        <v>6</v>
      </c>
      <c r="G145">
        <v>0</v>
      </c>
      <c r="H145">
        <v>0</v>
      </c>
      <c r="I145">
        <v>0</v>
      </c>
      <c r="J145">
        <v>0</v>
      </c>
      <c r="K145" s="1">
        <f>HYPERLINK("https://pubmed.ncbi.nlm.nih.gov/?term=22119069","1")</f>
        <v>0</v>
      </c>
      <c r="M145">
        <v>1</v>
      </c>
      <c r="N145" t="s">
        <v>1121</v>
      </c>
      <c r="O145" t="s">
        <v>1121</v>
      </c>
    </row>
    <row r="146" spans="1:15">
      <c r="A146" t="s">
        <v>777</v>
      </c>
      <c r="B146">
        <v>0.598</v>
      </c>
      <c r="C146">
        <v>4</v>
      </c>
      <c r="D146" t="s">
        <v>987</v>
      </c>
      <c r="E146" t="s">
        <v>6</v>
      </c>
      <c r="G146">
        <v>0</v>
      </c>
      <c r="H146">
        <v>0</v>
      </c>
      <c r="I146">
        <v>0</v>
      </c>
      <c r="J146">
        <v>0</v>
      </c>
      <c r="K146" s="1">
        <f>HYPERLINK("https://pubmed.ncbi.nlm.nih.gov/?term=30052520%2C25226294%2C17848226%2C22745241%2C16828412","9")</f>
        <v>0</v>
      </c>
      <c r="M146">
        <v>1</v>
      </c>
      <c r="N146" t="s">
        <v>1121</v>
      </c>
      <c r="O146" t="s">
        <v>1121</v>
      </c>
    </row>
    <row r="147" spans="1:15">
      <c r="A147" t="s">
        <v>778</v>
      </c>
      <c r="B147">
        <v>0.598</v>
      </c>
      <c r="C147">
        <v>4</v>
      </c>
      <c r="D147" t="s">
        <v>987</v>
      </c>
      <c r="E147" t="s">
        <v>6</v>
      </c>
      <c r="G147">
        <v>0</v>
      </c>
      <c r="H147">
        <v>0</v>
      </c>
      <c r="I147">
        <v>0</v>
      </c>
      <c r="J147">
        <v>0</v>
      </c>
      <c r="M147">
        <v>1</v>
      </c>
      <c r="N147" t="s">
        <v>1121</v>
      </c>
      <c r="O147" t="s">
        <v>1121</v>
      </c>
    </row>
    <row r="148" spans="1:15">
      <c r="A148" t="s">
        <v>779</v>
      </c>
      <c r="B148">
        <v>1.158</v>
      </c>
      <c r="C148">
        <v>120</v>
      </c>
      <c r="D148" t="s">
        <v>987</v>
      </c>
      <c r="F148" t="s">
        <v>1006</v>
      </c>
      <c r="G148">
        <v>0</v>
      </c>
      <c r="H148">
        <v>0</v>
      </c>
      <c r="I148">
        <v>0</v>
      </c>
      <c r="J148">
        <v>0</v>
      </c>
      <c r="K148" s="1">
        <f>HYPERLINK("https://pubmed.ncbi.nlm.nih.gov/?term=33222917%2C27542635","3")</f>
        <v>0</v>
      </c>
      <c r="M148">
        <v>2</v>
      </c>
      <c r="N148" t="s">
        <v>1063</v>
      </c>
      <c r="O148" t="s">
        <v>1121</v>
      </c>
    </row>
    <row r="149" spans="1:15">
      <c r="A149" t="s">
        <v>780</v>
      </c>
      <c r="B149">
        <v>0.598</v>
      </c>
      <c r="C149">
        <v>1</v>
      </c>
      <c r="D149" t="s">
        <v>987</v>
      </c>
      <c r="E149" t="s">
        <v>6</v>
      </c>
      <c r="G149">
        <v>0</v>
      </c>
      <c r="H149">
        <v>0</v>
      </c>
      <c r="I149">
        <v>0</v>
      </c>
      <c r="J149">
        <v>0</v>
      </c>
      <c r="M149">
        <v>1</v>
      </c>
      <c r="N149" t="s">
        <v>1122</v>
      </c>
      <c r="O149" t="s">
        <v>1122</v>
      </c>
    </row>
    <row r="150" spans="1:15">
      <c r="A150" t="s">
        <v>781</v>
      </c>
      <c r="B150">
        <v>0.544</v>
      </c>
      <c r="C150">
        <v>41</v>
      </c>
      <c r="D150" t="s">
        <v>987</v>
      </c>
      <c r="F150" t="s">
        <v>1008</v>
      </c>
      <c r="G150">
        <v>0</v>
      </c>
      <c r="H150">
        <v>0</v>
      </c>
      <c r="I150">
        <v>0</v>
      </c>
      <c r="J150">
        <v>0</v>
      </c>
      <c r="K150" s="1">
        <f>HYPERLINK("https://pubmed.ncbi.nlm.nih.gov/?term=23917672%2C20707247%2C24556484","11")</f>
        <v>0</v>
      </c>
      <c r="L150" s="1">
        <f>HYPERLINK("http://dx.doi.org/10.1016/j.epsc.2020.101524","10.1016/j.epsc.2020.101524")</f>
        <v>0</v>
      </c>
      <c r="M150">
        <v>1</v>
      </c>
      <c r="N150" t="s">
        <v>1123</v>
      </c>
      <c r="O150" t="s">
        <v>1123</v>
      </c>
    </row>
    <row r="151" spans="1:15">
      <c r="A151" t="s">
        <v>782</v>
      </c>
      <c r="B151">
        <v>1.05</v>
      </c>
      <c r="C151">
        <v>161</v>
      </c>
      <c r="D151" t="s">
        <v>987</v>
      </c>
      <c r="F151" t="s">
        <v>992</v>
      </c>
      <c r="G151">
        <v>0</v>
      </c>
      <c r="H151">
        <v>0</v>
      </c>
      <c r="I151">
        <v>0</v>
      </c>
      <c r="J151">
        <v>0</v>
      </c>
      <c r="K151" s="1">
        <f>HYPERLINK("https://pubmed.ncbi.nlm.nih.gov/?term=29594118","52")</f>
        <v>0</v>
      </c>
      <c r="L151" s="1">
        <f>HYPERLINK("http://dx.doi.org/10.1016/j.mpsur.2020.10.008","10.1016/j.mpsur.2020.10.008;10.1016/j.mpsur.2017.06.022;10.1016/j.mpsur.2014.07.007;10.1016/j.mpsur.2011.06.004")</f>
        <v>0</v>
      </c>
      <c r="M151">
        <v>2</v>
      </c>
      <c r="N151" t="s">
        <v>1124</v>
      </c>
      <c r="O151" t="s">
        <v>1210</v>
      </c>
    </row>
    <row r="152" spans="1:15">
      <c r="A152" t="s">
        <v>783</v>
      </c>
      <c r="B152">
        <v>0.544</v>
      </c>
      <c r="C152">
        <v>3</v>
      </c>
      <c r="D152" t="s">
        <v>987</v>
      </c>
      <c r="F152" t="s">
        <v>1008</v>
      </c>
      <c r="G152">
        <v>0</v>
      </c>
      <c r="H152">
        <v>0</v>
      </c>
      <c r="I152">
        <v>0</v>
      </c>
      <c r="J152">
        <v>0</v>
      </c>
      <c r="M152">
        <v>1</v>
      </c>
      <c r="N152" t="s">
        <v>1125</v>
      </c>
      <c r="O152" t="s">
        <v>1125</v>
      </c>
    </row>
    <row r="153" spans="1:15">
      <c r="A153" t="s">
        <v>784</v>
      </c>
      <c r="B153">
        <v>0.544</v>
      </c>
      <c r="C153">
        <v>1</v>
      </c>
      <c r="D153" t="s">
        <v>987</v>
      </c>
      <c r="F153" t="s">
        <v>1008</v>
      </c>
      <c r="G153">
        <v>0</v>
      </c>
      <c r="H153">
        <v>0</v>
      </c>
      <c r="I153">
        <v>0</v>
      </c>
      <c r="J153">
        <v>0</v>
      </c>
      <c r="M153">
        <v>1</v>
      </c>
      <c r="N153" t="s">
        <v>1125</v>
      </c>
      <c r="O153" t="s">
        <v>1125</v>
      </c>
    </row>
    <row r="154" spans="1:15">
      <c r="A154" t="s">
        <v>785</v>
      </c>
      <c r="B154">
        <v>0.527</v>
      </c>
      <c r="C154">
        <v>21</v>
      </c>
      <c r="D154" t="s">
        <v>987</v>
      </c>
      <c r="F154" t="s">
        <v>2</v>
      </c>
      <c r="G154">
        <v>0</v>
      </c>
      <c r="H154">
        <v>0</v>
      </c>
      <c r="I154">
        <v>0</v>
      </c>
      <c r="J154">
        <v>0</v>
      </c>
      <c r="K154" s="1">
        <f>HYPERLINK("https://pubmed.ncbi.nlm.nih.gov/?term=32621582%2C20188338","14")</f>
        <v>0</v>
      </c>
      <c r="M154">
        <v>1</v>
      </c>
      <c r="N154" t="s">
        <v>1126</v>
      </c>
      <c r="O154" t="s">
        <v>1126</v>
      </c>
    </row>
    <row r="155" spans="1:15">
      <c r="A155" t="s">
        <v>786</v>
      </c>
      <c r="B155">
        <v>0.527</v>
      </c>
      <c r="C155">
        <v>8</v>
      </c>
      <c r="D155" t="s">
        <v>987</v>
      </c>
      <c r="F155" t="s">
        <v>2</v>
      </c>
      <c r="G155">
        <v>0</v>
      </c>
      <c r="H155">
        <v>0</v>
      </c>
      <c r="I155">
        <v>0</v>
      </c>
      <c r="J155">
        <v>0</v>
      </c>
      <c r="M155">
        <v>1</v>
      </c>
      <c r="N155" t="s">
        <v>1127</v>
      </c>
      <c r="O155" t="s">
        <v>1127</v>
      </c>
    </row>
    <row r="156" spans="1:15">
      <c r="A156" t="s">
        <v>787</v>
      </c>
      <c r="B156">
        <v>0.527</v>
      </c>
      <c r="C156">
        <v>2</v>
      </c>
      <c r="D156" t="s">
        <v>987</v>
      </c>
      <c r="F156" t="s">
        <v>2</v>
      </c>
      <c r="G156">
        <v>0</v>
      </c>
      <c r="H156">
        <v>0</v>
      </c>
      <c r="I156">
        <v>0</v>
      </c>
      <c r="J156">
        <v>0</v>
      </c>
      <c r="K156" s="1">
        <f>HYPERLINK("https://pubmed.ncbi.nlm.nih.gov/?term=12149713%2C22069173%2C22052063%2C21301487","4")</f>
        <v>0</v>
      </c>
      <c r="M156">
        <v>1</v>
      </c>
      <c r="N156" t="s">
        <v>1127</v>
      </c>
      <c r="O156" t="s">
        <v>1127</v>
      </c>
    </row>
    <row r="157" spans="1:15">
      <c r="A157" t="s">
        <v>788</v>
      </c>
      <c r="B157">
        <v>0.527</v>
      </c>
      <c r="C157">
        <v>1</v>
      </c>
      <c r="D157" t="s">
        <v>987</v>
      </c>
      <c r="F157" t="s">
        <v>2</v>
      </c>
      <c r="G157">
        <v>0</v>
      </c>
      <c r="H157">
        <v>0</v>
      </c>
      <c r="I157">
        <v>0</v>
      </c>
      <c r="J157">
        <v>0</v>
      </c>
      <c r="M157">
        <v>1</v>
      </c>
      <c r="N157" t="s">
        <v>1128</v>
      </c>
      <c r="O157" t="s">
        <v>1128</v>
      </c>
    </row>
    <row r="158" spans="1:15">
      <c r="A158" t="s">
        <v>789</v>
      </c>
      <c r="B158">
        <v>1.005</v>
      </c>
      <c r="C158">
        <v>9</v>
      </c>
      <c r="D158" t="s">
        <v>987</v>
      </c>
      <c r="F158" t="s">
        <v>1</v>
      </c>
      <c r="G158">
        <v>0</v>
      </c>
      <c r="H158">
        <v>0</v>
      </c>
      <c r="I158">
        <v>0</v>
      </c>
      <c r="J158">
        <v>0</v>
      </c>
      <c r="M158">
        <v>2</v>
      </c>
      <c r="N158" t="s">
        <v>1085</v>
      </c>
      <c r="O158" t="s">
        <v>1211</v>
      </c>
    </row>
    <row r="159" spans="1:15">
      <c r="A159" t="s">
        <v>790</v>
      </c>
      <c r="B159">
        <v>0.452</v>
      </c>
      <c r="C159">
        <v>104</v>
      </c>
      <c r="D159" t="s">
        <v>987</v>
      </c>
      <c r="F159" t="s">
        <v>1010</v>
      </c>
      <c r="G159">
        <v>0</v>
      </c>
      <c r="H159">
        <v>0</v>
      </c>
      <c r="I159">
        <v>0</v>
      </c>
      <c r="J159">
        <v>0</v>
      </c>
      <c r="M159">
        <v>1</v>
      </c>
      <c r="N159" t="s">
        <v>1129</v>
      </c>
      <c r="O159" t="s">
        <v>1129</v>
      </c>
    </row>
    <row r="160" spans="1:15">
      <c r="A160" t="s">
        <v>791</v>
      </c>
      <c r="B160">
        <v>0.471</v>
      </c>
      <c r="C160">
        <v>20</v>
      </c>
      <c r="D160" t="s">
        <v>987</v>
      </c>
      <c r="F160" t="s">
        <v>996</v>
      </c>
      <c r="G160">
        <v>0</v>
      </c>
      <c r="H160">
        <v>0</v>
      </c>
      <c r="I160">
        <v>0</v>
      </c>
      <c r="J160">
        <v>0</v>
      </c>
      <c r="K160" s="1">
        <f>HYPERLINK("https://pubmed.ncbi.nlm.nih.gov/?term=26356799","2")</f>
        <v>0</v>
      </c>
      <c r="L160" s="1">
        <f>HYPERLINK("http://dx.doi.org/10.1016/j.aace.2020.11.038","10.1016/j.aace.2020.11.038")</f>
        <v>0</v>
      </c>
      <c r="M160">
        <v>1</v>
      </c>
      <c r="N160" t="s">
        <v>1130</v>
      </c>
      <c r="O160" t="s">
        <v>1130</v>
      </c>
    </row>
    <row r="161" spans="1:15">
      <c r="A161" t="s">
        <v>792</v>
      </c>
      <c r="B161">
        <v>0.438</v>
      </c>
      <c r="C161">
        <v>103</v>
      </c>
      <c r="D161" t="s">
        <v>987</v>
      </c>
      <c r="F161" t="s">
        <v>1020</v>
      </c>
      <c r="G161">
        <v>0</v>
      </c>
      <c r="H161">
        <v>0</v>
      </c>
      <c r="I161">
        <v>0</v>
      </c>
      <c r="J161">
        <v>0</v>
      </c>
      <c r="K161" s="1">
        <f>HYPERLINK("https://pubmed.ncbi.nlm.nih.gov/?term=30511005%2C31896402%2C22715817%2C20883921%2C23384078","8")</f>
        <v>0</v>
      </c>
      <c r="M161">
        <v>1</v>
      </c>
      <c r="N161" t="s">
        <v>1131</v>
      </c>
      <c r="O161" t="s">
        <v>1131</v>
      </c>
    </row>
    <row r="162" spans="1:15">
      <c r="A162" t="s">
        <v>793</v>
      </c>
      <c r="B162">
        <v>0.445</v>
      </c>
      <c r="C162">
        <v>53</v>
      </c>
      <c r="D162" t="s">
        <v>987</v>
      </c>
      <c r="E162" t="s">
        <v>6</v>
      </c>
      <c r="G162">
        <v>0</v>
      </c>
      <c r="H162">
        <v>0</v>
      </c>
      <c r="I162">
        <v>0</v>
      </c>
      <c r="J162">
        <v>0</v>
      </c>
      <c r="K162" s="1">
        <f>HYPERLINK("https://pubmed.ncbi.nlm.nih.gov/?term=25226294%2C30052520%2C17848226%2C31027974","14")</f>
        <v>0</v>
      </c>
      <c r="M162">
        <v>1</v>
      </c>
      <c r="N162" t="s">
        <v>1132</v>
      </c>
      <c r="O162" t="s">
        <v>1132</v>
      </c>
    </row>
    <row r="163" spans="1:15">
      <c r="A163" t="s">
        <v>794</v>
      </c>
      <c r="B163">
        <v>0.461</v>
      </c>
      <c r="C163">
        <v>4</v>
      </c>
      <c r="D163" t="s">
        <v>987</v>
      </c>
      <c r="F163" t="s">
        <v>1</v>
      </c>
      <c r="G163">
        <v>0</v>
      </c>
      <c r="H163">
        <v>0</v>
      </c>
      <c r="I163">
        <v>0</v>
      </c>
      <c r="J163">
        <v>0</v>
      </c>
      <c r="M163">
        <v>1</v>
      </c>
      <c r="N163" t="s">
        <v>1133</v>
      </c>
      <c r="O163" t="s">
        <v>1133</v>
      </c>
    </row>
    <row r="164" spans="1:15">
      <c r="A164" t="s">
        <v>795</v>
      </c>
      <c r="B164">
        <v>0.391</v>
      </c>
      <c r="C164">
        <v>186</v>
      </c>
      <c r="D164" t="s">
        <v>987</v>
      </c>
      <c r="F164" t="s">
        <v>4</v>
      </c>
      <c r="G164">
        <v>0</v>
      </c>
      <c r="H164">
        <v>0</v>
      </c>
      <c r="I164">
        <v>0</v>
      </c>
      <c r="J164">
        <v>0</v>
      </c>
      <c r="K164" s="1">
        <f>HYPERLINK("https://pubmed.ncbi.nlm.nih.gov/?term=32257493%2C26602414","2")</f>
        <v>0</v>
      </c>
      <c r="M164">
        <v>1</v>
      </c>
      <c r="N164" t="s">
        <v>1134</v>
      </c>
      <c r="O164" t="s">
        <v>1134</v>
      </c>
    </row>
    <row r="165" spans="1:15">
      <c r="A165" t="s">
        <v>796</v>
      </c>
      <c r="B165">
        <v>0.391</v>
      </c>
      <c r="C165">
        <v>180</v>
      </c>
      <c r="D165" t="s">
        <v>987</v>
      </c>
      <c r="F165" t="s">
        <v>4</v>
      </c>
      <c r="G165">
        <v>0</v>
      </c>
      <c r="H165">
        <v>0</v>
      </c>
      <c r="I165">
        <v>0</v>
      </c>
      <c r="J165">
        <v>0</v>
      </c>
      <c r="K165" s="1">
        <f>HYPERLINK("https://pubmed.ncbi.nlm.nih.gov/?term=31883676%2C28768491","2")</f>
        <v>0</v>
      </c>
      <c r="M165">
        <v>1</v>
      </c>
      <c r="N165" t="s">
        <v>1135</v>
      </c>
      <c r="O165" t="s">
        <v>1135</v>
      </c>
    </row>
    <row r="166" spans="1:15">
      <c r="A166" t="s">
        <v>797</v>
      </c>
      <c r="B166">
        <v>0.438</v>
      </c>
      <c r="C166">
        <v>22</v>
      </c>
      <c r="D166" t="s">
        <v>987</v>
      </c>
      <c r="F166" t="s">
        <v>1020</v>
      </c>
      <c r="G166">
        <v>0</v>
      </c>
      <c r="H166">
        <v>0</v>
      </c>
      <c r="I166">
        <v>0</v>
      </c>
      <c r="J166">
        <v>0</v>
      </c>
      <c r="M166">
        <v>1</v>
      </c>
      <c r="N166" t="s">
        <v>1136</v>
      </c>
      <c r="O166" t="s">
        <v>1136</v>
      </c>
    </row>
    <row r="167" spans="1:15">
      <c r="A167" t="s">
        <v>798</v>
      </c>
      <c r="B167">
        <v>0.391</v>
      </c>
      <c r="C167">
        <v>144</v>
      </c>
      <c r="D167" t="s">
        <v>987</v>
      </c>
      <c r="F167" t="s">
        <v>4</v>
      </c>
      <c r="G167">
        <v>0</v>
      </c>
      <c r="H167">
        <v>0</v>
      </c>
      <c r="I167">
        <v>0</v>
      </c>
      <c r="J167">
        <v>0</v>
      </c>
      <c r="K167" s="1">
        <f>HYPERLINK("https://pubmed.ncbi.nlm.nih.gov/?term=21473982%2C28261279%2C19913465%2C30072068","15")</f>
        <v>0</v>
      </c>
      <c r="M167">
        <v>1</v>
      </c>
      <c r="N167" t="s">
        <v>1137</v>
      </c>
      <c r="O167" t="s">
        <v>1137</v>
      </c>
    </row>
    <row r="168" spans="1:15">
      <c r="A168" t="s">
        <v>799</v>
      </c>
      <c r="B168">
        <v>0.391</v>
      </c>
      <c r="C168">
        <v>118</v>
      </c>
      <c r="D168" t="s">
        <v>987</v>
      </c>
      <c r="F168" t="s">
        <v>4</v>
      </c>
      <c r="G168">
        <v>0</v>
      </c>
      <c r="H168">
        <v>0</v>
      </c>
      <c r="I168">
        <v>0</v>
      </c>
      <c r="J168">
        <v>0</v>
      </c>
      <c r="K168" s="1">
        <f>HYPERLINK("https://pubmed.ncbi.nlm.nih.gov/?term=31174229%2C33419029%2C21821493%2C21081783","15")</f>
        <v>0</v>
      </c>
      <c r="M168">
        <v>1</v>
      </c>
      <c r="N168" t="s">
        <v>1138</v>
      </c>
      <c r="O168" t="s">
        <v>1138</v>
      </c>
    </row>
    <row r="169" spans="1:15">
      <c r="A169" t="s">
        <v>800</v>
      </c>
      <c r="B169">
        <v>0.391</v>
      </c>
      <c r="C169">
        <v>107</v>
      </c>
      <c r="D169" t="s">
        <v>987</v>
      </c>
      <c r="F169" t="s">
        <v>4</v>
      </c>
      <c r="G169">
        <v>0</v>
      </c>
      <c r="H169">
        <v>0</v>
      </c>
      <c r="I169">
        <v>0</v>
      </c>
      <c r="J169">
        <v>0</v>
      </c>
      <c r="K169" s="1">
        <f>HYPERLINK("https://pubmed.ncbi.nlm.nih.gov/?term=30886602%2C22457694","3")</f>
        <v>0</v>
      </c>
      <c r="L169" s="1">
        <f>HYPERLINK("http://dx.doi.org/10.1186/1546-0096-11-S2-P313","10.1186/1546-0096-11-S2-P313")</f>
        <v>0</v>
      </c>
      <c r="M169">
        <v>1</v>
      </c>
      <c r="N169" t="s">
        <v>1139</v>
      </c>
      <c r="O169" t="s">
        <v>1139</v>
      </c>
    </row>
    <row r="170" spans="1:15">
      <c r="A170" t="s">
        <v>801</v>
      </c>
      <c r="B170">
        <v>0.391</v>
      </c>
      <c r="C170">
        <v>98</v>
      </c>
      <c r="D170" t="s">
        <v>987</v>
      </c>
      <c r="F170" t="s">
        <v>4</v>
      </c>
      <c r="G170">
        <v>0</v>
      </c>
      <c r="H170">
        <v>0</v>
      </c>
      <c r="I170">
        <v>0</v>
      </c>
      <c r="J170">
        <v>0</v>
      </c>
      <c r="K170" s="1">
        <f>HYPERLINK("https://pubmed.ncbi.nlm.nih.gov/?term=29574203","1")</f>
        <v>0</v>
      </c>
      <c r="M170">
        <v>1</v>
      </c>
      <c r="N170" t="s">
        <v>1140</v>
      </c>
      <c r="O170" t="s">
        <v>1140</v>
      </c>
    </row>
    <row r="171" spans="1:15">
      <c r="A171" t="s">
        <v>802</v>
      </c>
      <c r="B171">
        <v>0.391</v>
      </c>
      <c r="C171">
        <v>91</v>
      </c>
      <c r="D171" t="s">
        <v>987</v>
      </c>
      <c r="F171" t="s">
        <v>4</v>
      </c>
      <c r="G171">
        <v>0</v>
      </c>
      <c r="H171">
        <v>0</v>
      </c>
      <c r="I171">
        <v>0</v>
      </c>
      <c r="J171">
        <v>0</v>
      </c>
      <c r="K171" s="1">
        <f>HYPERLINK("https://pubmed.ncbi.nlm.nih.gov/?term=29574203","1")</f>
        <v>0</v>
      </c>
      <c r="M171">
        <v>1</v>
      </c>
      <c r="N171" t="s">
        <v>1141</v>
      </c>
      <c r="O171" t="s">
        <v>1141</v>
      </c>
    </row>
    <row r="172" spans="1:15">
      <c r="A172" t="s">
        <v>803</v>
      </c>
      <c r="B172">
        <v>0.391</v>
      </c>
      <c r="C172">
        <v>89</v>
      </c>
      <c r="D172" t="s">
        <v>987</v>
      </c>
      <c r="F172" t="s">
        <v>4</v>
      </c>
      <c r="G172">
        <v>0</v>
      </c>
      <c r="H172">
        <v>0</v>
      </c>
      <c r="I172">
        <v>0</v>
      </c>
      <c r="J172">
        <v>0</v>
      </c>
      <c r="K172" s="1">
        <f>HYPERLINK("https://pubmed.ncbi.nlm.nih.gov/?term=17950649%2C34154667%2C29032440%2C28848544","5")</f>
        <v>0</v>
      </c>
      <c r="M172">
        <v>1</v>
      </c>
      <c r="N172" t="s">
        <v>1141</v>
      </c>
      <c r="O172" t="s">
        <v>1141</v>
      </c>
    </row>
    <row r="173" spans="1:15">
      <c r="A173" t="s">
        <v>804</v>
      </c>
      <c r="B173">
        <v>0.391</v>
      </c>
      <c r="C173">
        <v>77</v>
      </c>
      <c r="D173" t="s">
        <v>987</v>
      </c>
      <c r="F173" t="s">
        <v>4</v>
      </c>
      <c r="G173">
        <v>0</v>
      </c>
      <c r="H173">
        <v>0</v>
      </c>
      <c r="I173">
        <v>0</v>
      </c>
      <c r="J173">
        <v>0</v>
      </c>
      <c r="K173" s="1">
        <f>HYPERLINK("https://pubmed.ncbi.nlm.nih.gov/?term=32457700","1")</f>
        <v>0</v>
      </c>
      <c r="M173">
        <v>1</v>
      </c>
      <c r="N173" t="s">
        <v>1142</v>
      </c>
      <c r="O173" t="s">
        <v>1142</v>
      </c>
    </row>
    <row r="174" spans="1:15">
      <c r="A174" t="s">
        <v>805</v>
      </c>
      <c r="B174">
        <v>0.391</v>
      </c>
      <c r="C174">
        <v>70</v>
      </c>
      <c r="D174" t="s">
        <v>987</v>
      </c>
      <c r="F174" t="s">
        <v>4</v>
      </c>
      <c r="G174">
        <v>0</v>
      </c>
      <c r="H174">
        <v>0</v>
      </c>
      <c r="I174">
        <v>0</v>
      </c>
      <c r="J174">
        <v>0</v>
      </c>
      <c r="K174" s="1">
        <f>HYPERLINK("https://pubmed.ncbi.nlm.nih.gov/?term=19460580%2C23776354","2")</f>
        <v>0</v>
      </c>
      <c r="M174">
        <v>1</v>
      </c>
      <c r="N174" t="s">
        <v>1143</v>
      </c>
      <c r="O174" t="s">
        <v>1143</v>
      </c>
    </row>
    <row r="175" spans="1:15">
      <c r="A175" t="s">
        <v>806</v>
      </c>
      <c r="B175">
        <v>0.391</v>
      </c>
      <c r="C175">
        <v>60</v>
      </c>
      <c r="D175" t="s">
        <v>987</v>
      </c>
      <c r="F175" t="s">
        <v>4</v>
      </c>
      <c r="G175">
        <v>0</v>
      </c>
      <c r="H175">
        <v>0</v>
      </c>
      <c r="I175">
        <v>0</v>
      </c>
      <c r="J175">
        <v>0</v>
      </c>
      <c r="M175">
        <v>1</v>
      </c>
      <c r="N175" t="s">
        <v>1144</v>
      </c>
      <c r="O175" t="s">
        <v>1144</v>
      </c>
    </row>
    <row r="176" spans="1:15">
      <c r="A176" t="s">
        <v>807</v>
      </c>
      <c r="B176">
        <v>0.391</v>
      </c>
      <c r="C176">
        <v>59</v>
      </c>
      <c r="D176" t="s">
        <v>987</v>
      </c>
      <c r="F176" t="s">
        <v>4</v>
      </c>
      <c r="G176">
        <v>0</v>
      </c>
      <c r="H176">
        <v>0</v>
      </c>
      <c r="I176">
        <v>0</v>
      </c>
      <c r="J176">
        <v>0</v>
      </c>
      <c r="K176" s="1">
        <f>HYPERLINK("https://pubmed.ncbi.nlm.nih.gov/?term=15854673","1")</f>
        <v>0</v>
      </c>
      <c r="M176">
        <v>1</v>
      </c>
      <c r="N176" t="s">
        <v>1144</v>
      </c>
      <c r="O176" t="s">
        <v>1144</v>
      </c>
    </row>
    <row r="177" spans="1:15">
      <c r="A177" t="s">
        <v>808</v>
      </c>
      <c r="B177">
        <v>0.391</v>
      </c>
      <c r="C177">
        <v>50</v>
      </c>
      <c r="D177" t="s">
        <v>987</v>
      </c>
      <c r="F177" t="s">
        <v>4</v>
      </c>
      <c r="G177">
        <v>0</v>
      </c>
      <c r="H177">
        <v>0</v>
      </c>
      <c r="I177">
        <v>0</v>
      </c>
      <c r="J177">
        <v>0</v>
      </c>
      <c r="K177" s="1">
        <f>HYPERLINK("https://pubmed.ncbi.nlm.nih.gov/?term=20685833%2C17509385","3")</f>
        <v>0</v>
      </c>
      <c r="M177">
        <v>1</v>
      </c>
      <c r="N177" t="s">
        <v>1145</v>
      </c>
      <c r="O177" t="s">
        <v>1145</v>
      </c>
    </row>
    <row r="178" spans="1:15">
      <c r="A178" t="s">
        <v>809</v>
      </c>
      <c r="B178">
        <v>0.767</v>
      </c>
      <c r="C178">
        <v>144</v>
      </c>
      <c r="D178" t="s">
        <v>987</v>
      </c>
      <c r="F178" t="s">
        <v>1006</v>
      </c>
      <c r="G178">
        <v>0</v>
      </c>
      <c r="H178">
        <v>0</v>
      </c>
      <c r="I178">
        <v>0</v>
      </c>
      <c r="J178">
        <v>0</v>
      </c>
      <c r="K178" s="1">
        <f>HYPERLINK("https://pubmed.ncbi.nlm.nih.gov/?term=24348379%2C11807427%2C21081783%2C22934700","25")</f>
        <v>0</v>
      </c>
      <c r="M178">
        <v>2</v>
      </c>
      <c r="N178" t="s">
        <v>1146</v>
      </c>
      <c r="O178" t="s">
        <v>1145</v>
      </c>
    </row>
    <row r="179" spans="1:15">
      <c r="A179" t="s">
        <v>810</v>
      </c>
      <c r="B179">
        <v>0.323</v>
      </c>
      <c r="C179">
        <v>249</v>
      </c>
      <c r="D179" t="s">
        <v>987</v>
      </c>
      <c r="E179" t="s">
        <v>6</v>
      </c>
      <c r="F179" t="s">
        <v>990</v>
      </c>
      <c r="G179">
        <v>0</v>
      </c>
      <c r="H179">
        <v>0</v>
      </c>
      <c r="I179">
        <v>0</v>
      </c>
      <c r="J179">
        <v>0</v>
      </c>
      <c r="K179" s="1">
        <f>HYPERLINK("https://pubmed.ncbi.nlm.nih.gov/?term=33542868","1")</f>
        <v>0</v>
      </c>
      <c r="M179">
        <v>1</v>
      </c>
      <c r="N179" t="s">
        <v>1145</v>
      </c>
      <c r="O179" t="s">
        <v>1145</v>
      </c>
    </row>
    <row r="180" spans="1:15">
      <c r="A180" t="s">
        <v>811</v>
      </c>
      <c r="B180">
        <v>0.391</v>
      </c>
      <c r="C180">
        <v>47</v>
      </c>
      <c r="D180" t="s">
        <v>987</v>
      </c>
      <c r="F180" t="s">
        <v>4</v>
      </c>
      <c r="G180">
        <v>0</v>
      </c>
      <c r="H180">
        <v>0</v>
      </c>
      <c r="I180">
        <v>0</v>
      </c>
      <c r="J180">
        <v>0</v>
      </c>
      <c r="K180" s="1">
        <f>HYPERLINK("https://pubmed.ncbi.nlm.nih.gov/?term=21900385%2C28522647%2C20004940%2C28615245%2C15062272","64")</f>
        <v>0</v>
      </c>
      <c r="M180">
        <v>1</v>
      </c>
      <c r="N180" t="s">
        <v>1147</v>
      </c>
      <c r="O180" t="s">
        <v>1147</v>
      </c>
    </row>
    <row r="181" spans="1:15">
      <c r="A181" t="s">
        <v>812</v>
      </c>
      <c r="B181">
        <v>0.391</v>
      </c>
      <c r="C181">
        <v>46</v>
      </c>
      <c r="D181" t="s">
        <v>987</v>
      </c>
      <c r="F181" t="s">
        <v>4</v>
      </c>
      <c r="G181">
        <v>0</v>
      </c>
      <c r="H181">
        <v>0</v>
      </c>
      <c r="I181">
        <v>0</v>
      </c>
      <c r="J181">
        <v>0</v>
      </c>
      <c r="K181" s="1">
        <f>HYPERLINK("https://pubmed.ncbi.nlm.nih.gov/?term=32389269%2C28410949","2")</f>
        <v>0</v>
      </c>
      <c r="M181">
        <v>1</v>
      </c>
      <c r="N181" t="s">
        <v>1147</v>
      </c>
      <c r="O181" t="s">
        <v>1147</v>
      </c>
    </row>
    <row r="182" spans="1:15">
      <c r="A182" t="s">
        <v>813</v>
      </c>
      <c r="B182">
        <v>0.391</v>
      </c>
      <c r="C182">
        <v>42</v>
      </c>
      <c r="D182" t="s">
        <v>987</v>
      </c>
      <c r="F182" t="s">
        <v>4</v>
      </c>
      <c r="G182">
        <v>0</v>
      </c>
      <c r="H182">
        <v>0</v>
      </c>
      <c r="I182">
        <v>0</v>
      </c>
      <c r="J182">
        <v>0</v>
      </c>
      <c r="K182" s="1">
        <f>HYPERLINK("https://pubmed.ncbi.nlm.nih.gov/?term=31466598%2C29802835%2C22424282","4")</f>
        <v>0</v>
      </c>
      <c r="M182">
        <v>1</v>
      </c>
      <c r="N182" t="s">
        <v>1147</v>
      </c>
      <c r="O182" t="s">
        <v>1147</v>
      </c>
    </row>
    <row r="183" spans="1:15">
      <c r="A183" t="s">
        <v>814</v>
      </c>
      <c r="B183">
        <v>0.391</v>
      </c>
      <c r="C183">
        <v>41</v>
      </c>
      <c r="D183" t="s">
        <v>987</v>
      </c>
      <c r="F183" t="s">
        <v>4</v>
      </c>
      <c r="G183">
        <v>0</v>
      </c>
      <c r="H183">
        <v>0</v>
      </c>
      <c r="I183">
        <v>0</v>
      </c>
      <c r="J183">
        <v>0</v>
      </c>
      <c r="K183" s="1">
        <f>HYPERLINK("https://pubmed.ncbi.nlm.nih.gov/?term=21075289","1")</f>
        <v>0</v>
      </c>
      <c r="M183">
        <v>1</v>
      </c>
      <c r="N183" t="s">
        <v>1147</v>
      </c>
      <c r="O183" t="s">
        <v>1147</v>
      </c>
    </row>
    <row r="184" spans="1:15">
      <c r="A184" t="s">
        <v>815</v>
      </c>
      <c r="B184">
        <v>0.391</v>
      </c>
      <c r="C184">
        <v>39</v>
      </c>
      <c r="D184" t="s">
        <v>987</v>
      </c>
      <c r="F184" t="s">
        <v>4</v>
      </c>
      <c r="G184">
        <v>0</v>
      </c>
      <c r="H184">
        <v>0</v>
      </c>
      <c r="I184">
        <v>0</v>
      </c>
      <c r="J184">
        <v>0</v>
      </c>
      <c r="M184">
        <v>1</v>
      </c>
      <c r="N184" t="s">
        <v>1147</v>
      </c>
      <c r="O184" t="s">
        <v>1147</v>
      </c>
    </row>
    <row r="185" spans="1:15">
      <c r="A185" t="s">
        <v>816</v>
      </c>
      <c r="B185">
        <v>0.391</v>
      </c>
      <c r="C185">
        <v>36</v>
      </c>
      <c r="D185" t="s">
        <v>987</v>
      </c>
      <c r="F185" t="s">
        <v>4</v>
      </c>
      <c r="G185">
        <v>0</v>
      </c>
      <c r="H185">
        <v>0</v>
      </c>
      <c r="I185">
        <v>0</v>
      </c>
      <c r="J185">
        <v>0</v>
      </c>
      <c r="K185" s="1">
        <f>HYPERLINK("https://pubmed.ncbi.nlm.nih.gov/?term=29802835%2C29032440","5")</f>
        <v>0</v>
      </c>
      <c r="M185">
        <v>1</v>
      </c>
      <c r="N185" t="s">
        <v>1148</v>
      </c>
      <c r="O185" t="s">
        <v>1148</v>
      </c>
    </row>
    <row r="186" spans="1:15">
      <c r="A186" t="s">
        <v>817</v>
      </c>
      <c r="B186">
        <v>0.391</v>
      </c>
      <c r="C186">
        <v>36</v>
      </c>
      <c r="D186" t="s">
        <v>987</v>
      </c>
      <c r="F186" t="s">
        <v>4</v>
      </c>
      <c r="G186">
        <v>0</v>
      </c>
      <c r="H186">
        <v>0</v>
      </c>
      <c r="I186">
        <v>0</v>
      </c>
      <c r="J186">
        <v>0</v>
      </c>
      <c r="K186" s="1">
        <f>HYPERLINK("https://pubmed.ncbi.nlm.nih.gov/?term=18261212%2C18701323%2C29070651%2C24314388","6")</f>
        <v>0</v>
      </c>
      <c r="M186">
        <v>1</v>
      </c>
      <c r="N186" t="s">
        <v>1148</v>
      </c>
      <c r="O186" t="s">
        <v>1148</v>
      </c>
    </row>
    <row r="187" spans="1:15">
      <c r="A187" t="s">
        <v>818</v>
      </c>
      <c r="B187">
        <v>0.391</v>
      </c>
      <c r="C187">
        <v>35</v>
      </c>
      <c r="D187" t="s">
        <v>987</v>
      </c>
      <c r="F187" t="s">
        <v>4</v>
      </c>
      <c r="G187">
        <v>0</v>
      </c>
      <c r="H187">
        <v>0</v>
      </c>
      <c r="I187">
        <v>0</v>
      </c>
      <c r="J187">
        <v>0</v>
      </c>
      <c r="K187" s="1">
        <f>HYPERLINK("https://pubmed.ncbi.nlm.nih.gov/?term=26405036%2C21900385%2C29264456%2C28615245%2C27015136","76")</f>
        <v>0</v>
      </c>
      <c r="M187">
        <v>1</v>
      </c>
      <c r="N187" t="s">
        <v>1148</v>
      </c>
      <c r="O187" t="s">
        <v>1148</v>
      </c>
    </row>
    <row r="188" spans="1:15">
      <c r="A188" t="s">
        <v>819</v>
      </c>
      <c r="B188">
        <v>0.365</v>
      </c>
      <c r="C188">
        <v>110</v>
      </c>
      <c r="D188" t="s">
        <v>987</v>
      </c>
      <c r="F188" t="s">
        <v>1003</v>
      </c>
      <c r="G188">
        <v>0</v>
      </c>
      <c r="H188">
        <v>0</v>
      </c>
      <c r="I188">
        <v>0</v>
      </c>
      <c r="J188">
        <v>0</v>
      </c>
      <c r="K188" s="1">
        <f>HYPERLINK("https://pubmed.ncbi.nlm.nih.gov/?term=31039394","1")</f>
        <v>0</v>
      </c>
      <c r="M188">
        <v>1</v>
      </c>
      <c r="N188" t="s">
        <v>1148</v>
      </c>
      <c r="O188" t="s">
        <v>1148</v>
      </c>
    </row>
    <row r="189" spans="1:15">
      <c r="A189" t="s">
        <v>820</v>
      </c>
      <c r="B189">
        <v>0.391</v>
      </c>
      <c r="C189">
        <v>29</v>
      </c>
      <c r="D189" t="s">
        <v>987</v>
      </c>
      <c r="F189" t="s">
        <v>4</v>
      </c>
      <c r="G189">
        <v>0</v>
      </c>
      <c r="H189">
        <v>0</v>
      </c>
      <c r="I189">
        <v>0</v>
      </c>
      <c r="J189">
        <v>0</v>
      </c>
      <c r="K189" s="1">
        <f>HYPERLINK("https://pubmed.ncbi.nlm.nih.gov/?term=21167385%2C23771922%2C22052063","13")</f>
        <v>0</v>
      </c>
      <c r="M189">
        <v>1</v>
      </c>
      <c r="N189" t="s">
        <v>1149</v>
      </c>
      <c r="O189" t="s">
        <v>1149</v>
      </c>
    </row>
    <row r="190" spans="1:15">
      <c r="A190" t="s">
        <v>821</v>
      </c>
      <c r="B190">
        <v>0.398</v>
      </c>
      <c r="C190">
        <v>7</v>
      </c>
      <c r="D190" t="s">
        <v>987</v>
      </c>
      <c r="E190" t="s">
        <v>6</v>
      </c>
      <c r="G190">
        <v>0</v>
      </c>
      <c r="H190">
        <v>0</v>
      </c>
      <c r="I190">
        <v>0</v>
      </c>
      <c r="J190">
        <v>0</v>
      </c>
      <c r="M190">
        <v>1</v>
      </c>
      <c r="N190" t="s">
        <v>1149</v>
      </c>
      <c r="O190" t="s">
        <v>1149</v>
      </c>
    </row>
    <row r="191" spans="1:15">
      <c r="A191" t="s">
        <v>822</v>
      </c>
      <c r="B191">
        <v>0.391</v>
      </c>
      <c r="C191">
        <v>27</v>
      </c>
      <c r="D191" t="s">
        <v>987</v>
      </c>
      <c r="F191" t="s">
        <v>4</v>
      </c>
      <c r="G191">
        <v>0</v>
      </c>
      <c r="H191">
        <v>0</v>
      </c>
      <c r="I191">
        <v>0</v>
      </c>
      <c r="J191">
        <v>0</v>
      </c>
      <c r="M191">
        <v>1</v>
      </c>
      <c r="N191" t="s">
        <v>1149</v>
      </c>
      <c r="O191" t="s">
        <v>1149</v>
      </c>
    </row>
    <row r="192" spans="1:15">
      <c r="A192" t="s">
        <v>823</v>
      </c>
      <c r="B192">
        <v>0.391</v>
      </c>
      <c r="C192">
        <v>26</v>
      </c>
      <c r="D192" t="s">
        <v>987</v>
      </c>
      <c r="F192" t="s">
        <v>4</v>
      </c>
      <c r="G192">
        <v>0</v>
      </c>
      <c r="H192">
        <v>0</v>
      </c>
      <c r="I192">
        <v>0</v>
      </c>
      <c r="J192">
        <v>0</v>
      </c>
      <c r="M192">
        <v>1</v>
      </c>
      <c r="N192" t="s">
        <v>1149</v>
      </c>
      <c r="O192" t="s">
        <v>1149</v>
      </c>
    </row>
    <row r="193" spans="1:15">
      <c r="A193" t="s">
        <v>824</v>
      </c>
      <c r="B193">
        <v>0.391</v>
      </c>
      <c r="C193">
        <v>25</v>
      </c>
      <c r="D193" t="s">
        <v>987</v>
      </c>
      <c r="F193" t="s">
        <v>4</v>
      </c>
      <c r="G193">
        <v>0</v>
      </c>
      <c r="H193">
        <v>0</v>
      </c>
      <c r="I193">
        <v>0</v>
      </c>
      <c r="J193">
        <v>0</v>
      </c>
      <c r="K193" s="1">
        <f>HYPERLINK("https://pubmed.ncbi.nlm.nih.gov/?term=31056241%2C28410949","2")</f>
        <v>0</v>
      </c>
      <c r="M193">
        <v>1</v>
      </c>
      <c r="N193" t="s">
        <v>1149</v>
      </c>
      <c r="O193" t="s">
        <v>1149</v>
      </c>
    </row>
    <row r="194" spans="1:15">
      <c r="A194" t="s">
        <v>825</v>
      </c>
      <c r="B194">
        <v>0.391</v>
      </c>
      <c r="C194">
        <v>25</v>
      </c>
      <c r="D194" t="s">
        <v>987</v>
      </c>
      <c r="F194" t="s">
        <v>4</v>
      </c>
      <c r="G194">
        <v>0</v>
      </c>
      <c r="H194">
        <v>0</v>
      </c>
      <c r="I194">
        <v>0</v>
      </c>
      <c r="J194">
        <v>0</v>
      </c>
      <c r="M194">
        <v>1</v>
      </c>
      <c r="N194" t="s">
        <v>1149</v>
      </c>
      <c r="O194" t="s">
        <v>1149</v>
      </c>
    </row>
    <row r="195" spans="1:15">
      <c r="A195" t="s">
        <v>826</v>
      </c>
      <c r="B195">
        <v>0.391</v>
      </c>
      <c r="C195">
        <v>25</v>
      </c>
      <c r="D195" t="s">
        <v>987</v>
      </c>
      <c r="F195" t="s">
        <v>4</v>
      </c>
      <c r="G195">
        <v>0</v>
      </c>
      <c r="H195">
        <v>0</v>
      </c>
      <c r="I195">
        <v>0</v>
      </c>
      <c r="J195">
        <v>0</v>
      </c>
      <c r="M195">
        <v>1</v>
      </c>
      <c r="N195" t="s">
        <v>1149</v>
      </c>
      <c r="O195" t="s">
        <v>1149</v>
      </c>
    </row>
    <row r="196" spans="1:15">
      <c r="A196" t="s">
        <v>827</v>
      </c>
      <c r="B196">
        <v>0.391</v>
      </c>
      <c r="C196">
        <v>25</v>
      </c>
      <c r="D196" t="s">
        <v>987</v>
      </c>
      <c r="F196" t="s">
        <v>4</v>
      </c>
      <c r="G196">
        <v>0</v>
      </c>
      <c r="H196">
        <v>0</v>
      </c>
      <c r="I196">
        <v>0</v>
      </c>
      <c r="J196">
        <v>0</v>
      </c>
      <c r="K196" s="1">
        <f>HYPERLINK("https://pubmed.ncbi.nlm.nih.gov/?term=24484970","2")</f>
        <v>0</v>
      </c>
      <c r="L196" s="1">
        <f>HYPERLINK("http://dx.doi.org/10.1053/S0016-5085(04)02016-5","10.1053/S0016-5085(04)02016-5")</f>
        <v>0</v>
      </c>
      <c r="M196">
        <v>1</v>
      </c>
      <c r="N196" t="s">
        <v>1149</v>
      </c>
      <c r="O196" t="s">
        <v>1149</v>
      </c>
    </row>
    <row r="197" spans="1:15">
      <c r="A197" t="s">
        <v>828</v>
      </c>
      <c r="B197">
        <v>0.391</v>
      </c>
      <c r="C197">
        <v>24</v>
      </c>
      <c r="D197" t="s">
        <v>987</v>
      </c>
      <c r="F197" t="s">
        <v>4</v>
      </c>
      <c r="G197">
        <v>0</v>
      </c>
      <c r="H197">
        <v>0</v>
      </c>
      <c r="I197">
        <v>0</v>
      </c>
      <c r="J197">
        <v>0</v>
      </c>
      <c r="L197" s="1">
        <f>HYPERLINK("http://dx.doi.org/10.1016/S1062-1458(02)00520-2","10.1016/S1062-1458(02)00520-2")</f>
        <v>0</v>
      </c>
      <c r="M197">
        <v>1</v>
      </c>
      <c r="N197" t="s">
        <v>1149</v>
      </c>
      <c r="O197" t="s">
        <v>1149</v>
      </c>
    </row>
    <row r="198" spans="1:15">
      <c r="A198" t="s">
        <v>829</v>
      </c>
      <c r="B198">
        <v>0.391</v>
      </c>
      <c r="C198">
        <v>18</v>
      </c>
      <c r="D198" t="s">
        <v>987</v>
      </c>
      <c r="F198" t="s">
        <v>4</v>
      </c>
      <c r="G198">
        <v>0</v>
      </c>
      <c r="H198">
        <v>0</v>
      </c>
      <c r="I198">
        <v>0</v>
      </c>
      <c r="J198">
        <v>0</v>
      </c>
      <c r="M198">
        <v>1</v>
      </c>
      <c r="N198" t="s">
        <v>1150</v>
      </c>
      <c r="O198" t="s">
        <v>1150</v>
      </c>
    </row>
    <row r="199" spans="1:15">
      <c r="A199" t="s">
        <v>830</v>
      </c>
      <c r="B199">
        <v>0.391</v>
      </c>
      <c r="C199">
        <v>17</v>
      </c>
      <c r="D199" t="s">
        <v>987</v>
      </c>
      <c r="F199" t="s">
        <v>4</v>
      </c>
      <c r="G199">
        <v>0</v>
      </c>
      <c r="H199">
        <v>0</v>
      </c>
      <c r="I199">
        <v>0</v>
      </c>
      <c r="J199">
        <v>0</v>
      </c>
      <c r="M199">
        <v>1</v>
      </c>
      <c r="N199" t="s">
        <v>1150</v>
      </c>
      <c r="O199" t="s">
        <v>1150</v>
      </c>
    </row>
    <row r="200" spans="1:15">
      <c r="A200" t="s">
        <v>831</v>
      </c>
      <c r="B200">
        <v>0.391</v>
      </c>
      <c r="C200">
        <v>16</v>
      </c>
      <c r="D200" t="s">
        <v>987</v>
      </c>
      <c r="F200" t="s">
        <v>4</v>
      </c>
      <c r="G200">
        <v>0</v>
      </c>
      <c r="H200">
        <v>0</v>
      </c>
      <c r="I200">
        <v>0</v>
      </c>
      <c r="J200">
        <v>0</v>
      </c>
      <c r="M200">
        <v>1</v>
      </c>
      <c r="N200" t="s">
        <v>1150</v>
      </c>
      <c r="O200" t="s">
        <v>1150</v>
      </c>
    </row>
    <row r="201" spans="1:15">
      <c r="A201" t="s">
        <v>832</v>
      </c>
      <c r="B201">
        <v>0.391</v>
      </c>
      <c r="C201">
        <v>16</v>
      </c>
      <c r="D201" t="s">
        <v>987</v>
      </c>
      <c r="F201" t="s">
        <v>4</v>
      </c>
      <c r="G201">
        <v>0</v>
      </c>
      <c r="H201">
        <v>0</v>
      </c>
      <c r="I201">
        <v>0</v>
      </c>
      <c r="J201">
        <v>0</v>
      </c>
      <c r="K201" s="1">
        <f>HYPERLINK("https://pubmed.ncbi.nlm.nih.gov/?term=32063487","3")</f>
        <v>0</v>
      </c>
      <c r="L201" s="1">
        <f>HYPERLINK("http://dx.doi.org/10.1016/j.aace.2020.11.038","10.1016/j.aace.2020.11.038;10.1016/S1079-2104(03)70027-4")</f>
        <v>0</v>
      </c>
      <c r="M201">
        <v>1</v>
      </c>
      <c r="N201" t="s">
        <v>1150</v>
      </c>
      <c r="O201" t="s">
        <v>1150</v>
      </c>
    </row>
    <row r="202" spans="1:15">
      <c r="A202" t="s">
        <v>833</v>
      </c>
      <c r="B202">
        <v>0.391</v>
      </c>
      <c r="C202">
        <v>14</v>
      </c>
      <c r="D202" t="s">
        <v>987</v>
      </c>
      <c r="F202" t="s">
        <v>4</v>
      </c>
      <c r="G202">
        <v>0</v>
      </c>
      <c r="H202">
        <v>0</v>
      </c>
      <c r="I202">
        <v>0</v>
      </c>
      <c r="J202">
        <v>0</v>
      </c>
      <c r="M202">
        <v>1</v>
      </c>
      <c r="N202" t="s">
        <v>1150</v>
      </c>
      <c r="O202" t="s">
        <v>1150</v>
      </c>
    </row>
    <row r="203" spans="1:15">
      <c r="A203" t="s">
        <v>834</v>
      </c>
      <c r="B203">
        <v>0.391</v>
      </c>
      <c r="C203">
        <v>13</v>
      </c>
      <c r="D203" t="s">
        <v>987</v>
      </c>
      <c r="F203" t="s">
        <v>4</v>
      </c>
      <c r="G203">
        <v>0</v>
      </c>
      <c r="H203">
        <v>0</v>
      </c>
      <c r="I203">
        <v>0</v>
      </c>
      <c r="J203">
        <v>0</v>
      </c>
      <c r="K203" s="1">
        <f>HYPERLINK("https://pubmed.ncbi.nlm.nih.gov/?term=34440460","1")</f>
        <v>0</v>
      </c>
      <c r="M203">
        <v>1</v>
      </c>
      <c r="N203" t="s">
        <v>1150</v>
      </c>
      <c r="O203" t="s">
        <v>1150</v>
      </c>
    </row>
    <row r="204" spans="1:15">
      <c r="A204" t="s">
        <v>835</v>
      </c>
      <c r="B204">
        <v>0.391</v>
      </c>
      <c r="C204">
        <v>13</v>
      </c>
      <c r="D204" t="s">
        <v>987</v>
      </c>
      <c r="F204" t="s">
        <v>4</v>
      </c>
      <c r="G204">
        <v>0</v>
      </c>
      <c r="H204">
        <v>0</v>
      </c>
      <c r="I204">
        <v>0</v>
      </c>
      <c r="J204">
        <v>0</v>
      </c>
      <c r="M204">
        <v>1</v>
      </c>
      <c r="N204" t="s">
        <v>1150</v>
      </c>
      <c r="O204" t="s">
        <v>1150</v>
      </c>
    </row>
    <row r="205" spans="1:15">
      <c r="A205" t="s">
        <v>836</v>
      </c>
      <c r="B205">
        <v>0.391</v>
      </c>
      <c r="C205">
        <v>11</v>
      </c>
      <c r="D205" t="s">
        <v>987</v>
      </c>
      <c r="F205" t="s">
        <v>4</v>
      </c>
      <c r="G205">
        <v>0</v>
      </c>
      <c r="H205">
        <v>0</v>
      </c>
      <c r="I205">
        <v>0</v>
      </c>
      <c r="J205">
        <v>0</v>
      </c>
      <c r="K205" s="1">
        <f>HYPERLINK("https://pubmed.ncbi.nlm.nih.gov/?term=22661970","1")</f>
        <v>0</v>
      </c>
      <c r="M205">
        <v>1</v>
      </c>
      <c r="N205" t="s">
        <v>1150</v>
      </c>
      <c r="O205" t="s">
        <v>1150</v>
      </c>
    </row>
    <row r="206" spans="1:15">
      <c r="A206" t="s">
        <v>837</v>
      </c>
      <c r="B206">
        <v>0.391</v>
      </c>
      <c r="C206">
        <v>11</v>
      </c>
      <c r="D206" t="s">
        <v>987</v>
      </c>
      <c r="F206" t="s">
        <v>4</v>
      </c>
      <c r="G206">
        <v>0</v>
      </c>
      <c r="H206">
        <v>0</v>
      </c>
      <c r="I206">
        <v>0</v>
      </c>
      <c r="J206">
        <v>0</v>
      </c>
      <c r="K206" s="1">
        <f>HYPERLINK("https://pubmed.ncbi.nlm.nih.gov/?term=21854357","1")</f>
        <v>0</v>
      </c>
      <c r="M206">
        <v>1</v>
      </c>
      <c r="N206" t="s">
        <v>1150</v>
      </c>
      <c r="O206" t="s">
        <v>1150</v>
      </c>
    </row>
    <row r="207" spans="1:15">
      <c r="A207" t="s">
        <v>838</v>
      </c>
      <c r="B207">
        <v>0.391</v>
      </c>
      <c r="C207">
        <v>10</v>
      </c>
      <c r="D207" t="s">
        <v>987</v>
      </c>
      <c r="F207" t="s">
        <v>4</v>
      </c>
      <c r="G207">
        <v>0</v>
      </c>
      <c r="H207">
        <v>0</v>
      </c>
      <c r="I207">
        <v>0</v>
      </c>
      <c r="J207">
        <v>0</v>
      </c>
      <c r="K207" s="1">
        <f>HYPERLINK("https://pubmed.ncbi.nlm.nih.gov/?term=30228864","1")</f>
        <v>0</v>
      </c>
      <c r="M207">
        <v>1</v>
      </c>
      <c r="N207" t="s">
        <v>1150</v>
      </c>
      <c r="O207" t="s">
        <v>1150</v>
      </c>
    </row>
    <row r="208" spans="1:15">
      <c r="A208" t="s">
        <v>839</v>
      </c>
      <c r="B208">
        <v>0.391</v>
      </c>
      <c r="C208">
        <v>9</v>
      </c>
      <c r="D208" t="s">
        <v>987</v>
      </c>
      <c r="F208" t="s">
        <v>4</v>
      </c>
      <c r="G208">
        <v>0</v>
      </c>
      <c r="H208">
        <v>0</v>
      </c>
      <c r="I208">
        <v>0</v>
      </c>
      <c r="J208">
        <v>0</v>
      </c>
      <c r="M208">
        <v>1</v>
      </c>
      <c r="N208" t="s">
        <v>1151</v>
      </c>
      <c r="O208" t="s">
        <v>1151</v>
      </c>
    </row>
    <row r="209" spans="1:15">
      <c r="A209" t="s">
        <v>840</v>
      </c>
      <c r="B209">
        <v>0.391</v>
      </c>
      <c r="C209">
        <v>8</v>
      </c>
      <c r="D209" t="s">
        <v>987</v>
      </c>
      <c r="F209" t="s">
        <v>4</v>
      </c>
      <c r="G209">
        <v>0</v>
      </c>
      <c r="H209">
        <v>0</v>
      </c>
      <c r="I209">
        <v>0</v>
      </c>
      <c r="J209">
        <v>0</v>
      </c>
      <c r="M209">
        <v>1</v>
      </c>
      <c r="N209" t="s">
        <v>1151</v>
      </c>
      <c r="O209" t="s">
        <v>1151</v>
      </c>
    </row>
    <row r="210" spans="1:15">
      <c r="A210" t="s">
        <v>841</v>
      </c>
      <c r="B210">
        <v>0.391</v>
      </c>
      <c r="C210">
        <v>6</v>
      </c>
      <c r="D210" t="s">
        <v>987</v>
      </c>
      <c r="F210" t="s">
        <v>4</v>
      </c>
      <c r="G210">
        <v>0</v>
      </c>
      <c r="H210">
        <v>0</v>
      </c>
      <c r="I210">
        <v>0</v>
      </c>
      <c r="J210">
        <v>0</v>
      </c>
      <c r="M210">
        <v>1</v>
      </c>
      <c r="N210" t="s">
        <v>1151</v>
      </c>
      <c r="O210" t="s">
        <v>1151</v>
      </c>
    </row>
    <row r="211" spans="1:15">
      <c r="A211" t="s">
        <v>842</v>
      </c>
      <c r="B211">
        <v>0.391</v>
      </c>
      <c r="C211">
        <v>5</v>
      </c>
      <c r="D211" t="s">
        <v>987</v>
      </c>
      <c r="F211" t="s">
        <v>4</v>
      </c>
      <c r="G211">
        <v>0</v>
      </c>
      <c r="H211">
        <v>0</v>
      </c>
      <c r="I211">
        <v>0</v>
      </c>
      <c r="J211">
        <v>0</v>
      </c>
      <c r="M211">
        <v>1</v>
      </c>
      <c r="N211" t="s">
        <v>1151</v>
      </c>
      <c r="O211" t="s">
        <v>1151</v>
      </c>
    </row>
    <row r="212" spans="1:15">
      <c r="A212" t="s">
        <v>843</v>
      </c>
      <c r="B212">
        <v>0.391</v>
      </c>
      <c r="C212">
        <v>5</v>
      </c>
      <c r="D212" t="s">
        <v>987</v>
      </c>
      <c r="F212" t="s">
        <v>4</v>
      </c>
      <c r="G212">
        <v>0</v>
      </c>
      <c r="H212">
        <v>0</v>
      </c>
      <c r="I212">
        <v>0</v>
      </c>
      <c r="J212">
        <v>0</v>
      </c>
      <c r="K212" s="1">
        <f>HYPERLINK("https://pubmed.ncbi.nlm.nih.gov/?term=23717541%2C24662820%2C24892279%2C33338547%2C23065993","48")</f>
        <v>0</v>
      </c>
      <c r="M212">
        <v>1</v>
      </c>
      <c r="N212" t="s">
        <v>1151</v>
      </c>
      <c r="O212" t="s">
        <v>1151</v>
      </c>
    </row>
    <row r="213" spans="1:15">
      <c r="A213" t="s">
        <v>844</v>
      </c>
      <c r="B213">
        <v>0.391</v>
      </c>
      <c r="C213">
        <v>4</v>
      </c>
      <c r="D213" t="s">
        <v>987</v>
      </c>
      <c r="F213" t="s">
        <v>4</v>
      </c>
      <c r="G213">
        <v>0</v>
      </c>
      <c r="H213">
        <v>0</v>
      </c>
      <c r="I213">
        <v>0</v>
      </c>
      <c r="J213">
        <v>0</v>
      </c>
      <c r="M213">
        <v>1</v>
      </c>
      <c r="N213" t="s">
        <v>1151</v>
      </c>
      <c r="O213" t="s">
        <v>1151</v>
      </c>
    </row>
    <row r="214" spans="1:15">
      <c r="A214" t="s">
        <v>845</v>
      </c>
      <c r="B214">
        <v>0.391</v>
      </c>
      <c r="C214">
        <v>4</v>
      </c>
      <c r="D214" t="s">
        <v>987</v>
      </c>
      <c r="F214" t="s">
        <v>4</v>
      </c>
      <c r="G214">
        <v>0</v>
      </c>
      <c r="H214">
        <v>0</v>
      </c>
      <c r="I214">
        <v>0</v>
      </c>
      <c r="J214">
        <v>0</v>
      </c>
      <c r="K214" s="1">
        <f>HYPERLINK("https://pubmed.ncbi.nlm.nih.gov/?term=25446387%2C27254269","2")</f>
        <v>0</v>
      </c>
      <c r="M214">
        <v>1</v>
      </c>
      <c r="N214" t="s">
        <v>1151</v>
      </c>
      <c r="O214" t="s">
        <v>1151</v>
      </c>
    </row>
    <row r="215" spans="1:15">
      <c r="A215" t="s">
        <v>846</v>
      </c>
      <c r="B215">
        <v>0.391</v>
      </c>
      <c r="C215">
        <v>3</v>
      </c>
      <c r="D215" t="s">
        <v>987</v>
      </c>
      <c r="F215" t="s">
        <v>4</v>
      </c>
      <c r="G215">
        <v>0</v>
      </c>
      <c r="H215">
        <v>0</v>
      </c>
      <c r="I215">
        <v>0</v>
      </c>
      <c r="J215">
        <v>0</v>
      </c>
      <c r="M215">
        <v>1</v>
      </c>
      <c r="N215" t="s">
        <v>1151</v>
      </c>
      <c r="O215" t="s">
        <v>1151</v>
      </c>
    </row>
    <row r="216" spans="1:15">
      <c r="A216" t="s">
        <v>847</v>
      </c>
      <c r="B216">
        <v>0.391</v>
      </c>
      <c r="C216">
        <v>3</v>
      </c>
      <c r="D216" t="s">
        <v>987</v>
      </c>
      <c r="F216" t="s">
        <v>4</v>
      </c>
      <c r="G216">
        <v>0</v>
      </c>
      <c r="H216">
        <v>0</v>
      </c>
      <c r="I216">
        <v>0</v>
      </c>
      <c r="J216">
        <v>0</v>
      </c>
      <c r="K216" s="1">
        <f>HYPERLINK("https://pubmed.ncbi.nlm.nih.gov/?term=24314388","1")</f>
        <v>0</v>
      </c>
      <c r="M216">
        <v>1</v>
      </c>
      <c r="N216" t="s">
        <v>1151</v>
      </c>
      <c r="O216" t="s">
        <v>1151</v>
      </c>
    </row>
    <row r="217" spans="1:15">
      <c r="A217" t="s">
        <v>848</v>
      </c>
      <c r="B217">
        <v>0.391</v>
      </c>
      <c r="C217">
        <v>2</v>
      </c>
      <c r="D217" t="s">
        <v>987</v>
      </c>
      <c r="F217" t="s">
        <v>4</v>
      </c>
      <c r="G217">
        <v>0</v>
      </c>
      <c r="H217">
        <v>0</v>
      </c>
      <c r="I217">
        <v>0</v>
      </c>
      <c r="J217">
        <v>0</v>
      </c>
      <c r="K217" s="1">
        <f>HYPERLINK("https://pubmed.ncbi.nlm.nih.gov/?term=3871185","1")</f>
        <v>0</v>
      </c>
      <c r="M217">
        <v>1</v>
      </c>
      <c r="N217" t="s">
        <v>1151</v>
      </c>
      <c r="O217" t="s">
        <v>1151</v>
      </c>
    </row>
    <row r="218" spans="1:15">
      <c r="A218" t="s">
        <v>849</v>
      </c>
      <c r="B218">
        <v>0.391</v>
      </c>
      <c r="C218">
        <v>2</v>
      </c>
      <c r="D218" t="s">
        <v>987</v>
      </c>
      <c r="F218" t="s">
        <v>4</v>
      </c>
      <c r="G218">
        <v>0</v>
      </c>
      <c r="H218">
        <v>0</v>
      </c>
      <c r="I218">
        <v>0</v>
      </c>
      <c r="J218">
        <v>0</v>
      </c>
      <c r="M218">
        <v>1</v>
      </c>
      <c r="N218" t="s">
        <v>1151</v>
      </c>
      <c r="O218" t="s">
        <v>1151</v>
      </c>
    </row>
    <row r="219" spans="1:15">
      <c r="A219" t="s">
        <v>850</v>
      </c>
      <c r="B219">
        <v>0.391</v>
      </c>
      <c r="C219">
        <v>2</v>
      </c>
      <c r="D219" t="s">
        <v>987</v>
      </c>
      <c r="F219" t="s">
        <v>4</v>
      </c>
      <c r="G219">
        <v>0</v>
      </c>
      <c r="H219">
        <v>0</v>
      </c>
      <c r="I219">
        <v>0</v>
      </c>
      <c r="J219">
        <v>0</v>
      </c>
      <c r="M219">
        <v>1</v>
      </c>
      <c r="N219" t="s">
        <v>1151</v>
      </c>
      <c r="O219" t="s">
        <v>1151</v>
      </c>
    </row>
    <row r="220" spans="1:15">
      <c r="A220" t="s">
        <v>851</v>
      </c>
      <c r="B220">
        <v>0.391</v>
      </c>
      <c r="C220">
        <v>1</v>
      </c>
      <c r="D220" t="s">
        <v>987</v>
      </c>
      <c r="F220" t="s">
        <v>4</v>
      </c>
      <c r="G220">
        <v>0</v>
      </c>
      <c r="H220">
        <v>0</v>
      </c>
      <c r="I220">
        <v>0</v>
      </c>
      <c r="J220">
        <v>0</v>
      </c>
      <c r="M220">
        <v>1</v>
      </c>
      <c r="N220" t="s">
        <v>1151</v>
      </c>
      <c r="O220" t="s">
        <v>1151</v>
      </c>
    </row>
    <row r="221" spans="1:15">
      <c r="A221" t="s">
        <v>852</v>
      </c>
      <c r="B221">
        <v>0.391</v>
      </c>
      <c r="C221">
        <v>1</v>
      </c>
      <c r="D221" t="s">
        <v>987</v>
      </c>
      <c r="F221" t="s">
        <v>4</v>
      </c>
      <c r="G221">
        <v>0</v>
      </c>
      <c r="H221">
        <v>0</v>
      </c>
      <c r="I221">
        <v>0</v>
      </c>
      <c r="J221">
        <v>0</v>
      </c>
      <c r="M221">
        <v>1</v>
      </c>
      <c r="N221" t="s">
        <v>1151</v>
      </c>
      <c r="O221" t="s">
        <v>1151</v>
      </c>
    </row>
    <row r="222" spans="1:15">
      <c r="A222" t="s">
        <v>853</v>
      </c>
      <c r="B222">
        <v>0.391</v>
      </c>
      <c r="C222">
        <v>1</v>
      </c>
      <c r="D222" t="s">
        <v>987</v>
      </c>
      <c r="F222" t="s">
        <v>4</v>
      </c>
      <c r="G222">
        <v>0</v>
      </c>
      <c r="H222">
        <v>0</v>
      </c>
      <c r="I222">
        <v>0</v>
      </c>
      <c r="J222">
        <v>0</v>
      </c>
      <c r="M222">
        <v>1</v>
      </c>
      <c r="N222" t="s">
        <v>1151</v>
      </c>
      <c r="O222" t="s">
        <v>1151</v>
      </c>
    </row>
    <row r="223" spans="1:15">
      <c r="A223" t="s">
        <v>854</v>
      </c>
      <c r="B223">
        <v>0.391</v>
      </c>
      <c r="C223">
        <v>1</v>
      </c>
      <c r="D223" t="s">
        <v>987</v>
      </c>
      <c r="F223" t="s">
        <v>4</v>
      </c>
      <c r="G223">
        <v>0</v>
      </c>
      <c r="H223">
        <v>0</v>
      </c>
      <c r="I223">
        <v>0</v>
      </c>
      <c r="J223">
        <v>0</v>
      </c>
      <c r="K223" s="1">
        <f>HYPERLINK("https://pubmed.ncbi.nlm.nih.gov/?term=14561967","2")</f>
        <v>0</v>
      </c>
      <c r="L223" s="1">
        <f>HYPERLINK("http://dx.doi.org/10.1016/S1079-2104(03)70027-4","10.1016/S1079-2104(03)70027-4")</f>
        <v>0</v>
      </c>
      <c r="M223">
        <v>1</v>
      </c>
      <c r="N223" t="s">
        <v>1151</v>
      </c>
      <c r="O223" t="s">
        <v>1151</v>
      </c>
    </row>
    <row r="224" spans="1:15">
      <c r="A224" t="s">
        <v>855</v>
      </c>
      <c r="B224">
        <v>0.391</v>
      </c>
      <c r="C224">
        <v>0</v>
      </c>
      <c r="D224" t="s">
        <v>987</v>
      </c>
      <c r="F224" t="s">
        <v>4</v>
      </c>
      <c r="G224">
        <v>0</v>
      </c>
      <c r="H224">
        <v>0</v>
      </c>
      <c r="I224">
        <v>0</v>
      </c>
      <c r="J224">
        <v>0</v>
      </c>
      <c r="M224">
        <v>1</v>
      </c>
      <c r="N224" t="s">
        <v>1152</v>
      </c>
      <c r="O224" t="s">
        <v>1152</v>
      </c>
    </row>
    <row r="225" spans="1:15">
      <c r="A225" t="s">
        <v>856</v>
      </c>
      <c r="B225">
        <v>0.391</v>
      </c>
      <c r="C225">
        <v>0</v>
      </c>
      <c r="D225" t="s">
        <v>987</v>
      </c>
      <c r="F225" t="s">
        <v>4</v>
      </c>
      <c r="G225">
        <v>0</v>
      </c>
      <c r="H225">
        <v>0</v>
      </c>
      <c r="I225">
        <v>0</v>
      </c>
      <c r="J225">
        <v>0</v>
      </c>
      <c r="M225">
        <v>1</v>
      </c>
      <c r="N225" t="s">
        <v>1152</v>
      </c>
      <c r="O225" t="s">
        <v>1152</v>
      </c>
    </row>
    <row r="226" spans="1:15">
      <c r="A226" t="s">
        <v>857</v>
      </c>
      <c r="B226">
        <v>0.391</v>
      </c>
      <c r="C226">
        <v>0</v>
      </c>
      <c r="D226" t="s">
        <v>987</v>
      </c>
      <c r="F226" t="s">
        <v>4</v>
      </c>
      <c r="G226">
        <v>0</v>
      </c>
      <c r="H226">
        <v>0</v>
      </c>
      <c r="I226">
        <v>0</v>
      </c>
      <c r="J226">
        <v>0</v>
      </c>
      <c r="K226" s="1">
        <f>HYPERLINK("https://pubmed.ncbi.nlm.nih.gov/?term=20188338","1")</f>
        <v>0</v>
      </c>
      <c r="M226">
        <v>1</v>
      </c>
      <c r="N226" t="s">
        <v>1152</v>
      </c>
      <c r="O226" t="s">
        <v>1152</v>
      </c>
    </row>
    <row r="227" spans="1:15">
      <c r="A227" t="s">
        <v>858</v>
      </c>
      <c r="B227">
        <v>0.6899999999999999</v>
      </c>
      <c r="C227">
        <v>256</v>
      </c>
      <c r="D227" t="s">
        <v>987</v>
      </c>
      <c r="E227" t="s">
        <v>6</v>
      </c>
      <c r="F227" t="s">
        <v>4</v>
      </c>
      <c r="G227">
        <v>0</v>
      </c>
      <c r="H227">
        <v>0</v>
      </c>
      <c r="I227">
        <v>0</v>
      </c>
      <c r="J227">
        <v>0</v>
      </c>
      <c r="K227" s="1">
        <f>HYPERLINK("https://pubmed.ncbi.nlm.nih.gov/?term=24342289%2C25871963%2C27321957","16")</f>
        <v>0</v>
      </c>
      <c r="L227" s="1">
        <f>HYPERLINK("http://dx.doi.org/10.1016/j.mpdhp.2017.08.004","10.1016/j.mpdhp.2017.08.004")</f>
        <v>0</v>
      </c>
      <c r="M227">
        <v>2</v>
      </c>
      <c r="N227" t="s">
        <v>1153</v>
      </c>
      <c r="O227" t="s">
        <v>1152</v>
      </c>
    </row>
    <row r="228" spans="1:15">
      <c r="A228" t="s">
        <v>859</v>
      </c>
      <c r="B228">
        <v>0.614</v>
      </c>
      <c r="C228">
        <v>435</v>
      </c>
      <c r="D228" t="s">
        <v>987</v>
      </c>
      <c r="F228" t="s">
        <v>1</v>
      </c>
      <c r="G228">
        <v>0</v>
      </c>
      <c r="H228">
        <v>0</v>
      </c>
      <c r="I228">
        <v>0</v>
      </c>
      <c r="J228">
        <v>0</v>
      </c>
      <c r="K228" s="1">
        <f>HYPERLINK("https://pubmed.ncbi.nlm.nih.gov/?term=23730622%2C32326947%2C21753790","42")</f>
        <v>0</v>
      </c>
      <c r="M228">
        <v>2</v>
      </c>
      <c r="N228" t="s">
        <v>1154</v>
      </c>
      <c r="O228" t="s">
        <v>1212</v>
      </c>
    </row>
    <row r="229" spans="1:15">
      <c r="A229" t="s">
        <v>860</v>
      </c>
      <c r="B229">
        <v>0.751</v>
      </c>
      <c r="C229">
        <v>15</v>
      </c>
      <c r="D229" t="s">
        <v>987</v>
      </c>
      <c r="E229" t="s">
        <v>6</v>
      </c>
      <c r="F229" t="s">
        <v>9</v>
      </c>
      <c r="G229">
        <v>0</v>
      </c>
      <c r="H229">
        <v>0</v>
      </c>
      <c r="I229">
        <v>0</v>
      </c>
      <c r="J229">
        <v>0</v>
      </c>
      <c r="M229">
        <v>2</v>
      </c>
      <c r="N229" t="s">
        <v>29</v>
      </c>
      <c r="O229" t="s">
        <v>1155</v>
      </c>
    </row>
    <row r="230" spans="1:15">
      <c r="A230" t="s">
        <v>861</v>
      </c>
      <c r="B230">
        <v>0.325</v>
      </c>
      <c r="C230">
        <v>155</v>
      </c>
      <c r="D230" t="s">
        <v>987</v>
      </c>
      <c r="F230" t="s">
        <v>1</v>
      </c>
      <c r="G230">
        <v>0</v>
      </c>
      <c r="H230">
        <v>0</v>
      </c>
      <c r="I230">
        <v>0</v>
      </c>
      <c r="J230">
        <v>0</v>
      </c>
      <c r="K230" s="1">
        <f>HYPERLINK("https://pubmed.ncbi.nlm.nih.gov/?term=23626551%2C16291174%2C12149713%2C31827999","4")</f>
        <v>0</v>
      </c>
      <c r="M230">
        <v>1</v>
      </c>
      <c r="N230" t="s">
        <v>1155</v>
      </c>
      <c r="O230" t="s">
        <v>1155</v>
      </c>
    </row>
    <row r="231" spans="1:15">
      <c r="A231" t="s">
        <v>862</v>
      </c>
      <c r="B231">
        <v>0.299</v>
      </c>
      <c r="C231">
        <v>222</v>
      </c>
      <c r="D231" t="s">
        <v>987</v>
      </c>
      <c r="F231" t="s">
        <v>6</v>
      </c>
      <c r="G231">
        <v>0</v>
      </c>
      <c r="H231">
        <v>0</v>
      </c>
      <c r="I231">
        <v>0</v>
      </c>
      <c r="J231">
        <v>0</v>
      </c>
      <c r="K231" s="1">
        <f>HYPERLINK("https://pubmed.ncbi.nlm.nih.gov/?term=30205144%2C19460580%2C21080807","18")</f>
        <v>0</v>
      </c>
      <c r="M231">
        <v>1</v>
      </c>
      <c r="N231" t="s">
        <v>1156</v>
      </c>
      <c r="O231" t="s">
        <v>1156</v>
      </c>
    </row>
    <row r="232" spans="1:15">
      <c r="A232" t="s">
        <v>863</v>
      </c>
      <c r="B232">
        <v>0.68</v>
      </c>
      <c r="C232">
        <v>102</v>
      </c>
      <c r="D232" t="s">
        <v>987</v>
      </c>
      <c r="F232" t="s">
        <v>2</v>
      </c>
      <c r="G232">
        <v>0</v>
      </c>
      <c r="H232">
        <v>0</v>
      </c>
      <c r="I232">
        <v>0</v>
      </c>
      <c r="J232">
        <v>0</v>
      </c>
      <c r="K232" s="1">
        <f>HYPERLINK("https://pubmed.ncbi.nlm.nih.gov/?term=32972602%2C31466598%2C33732213%2C21054707%2C22823951","10")</f>
        <v>0</v>
      </c>
      <c r="M232">
        <v>2</v>
      </c>
      <c r="N232" t="s">
        <v>1157</v>
      </c>
      <c r="O232" t="s">
        <v>71</v>
      </c>
    </row>
    <row r="233" spans="1:15">
      <c r="A233" t="s">
        <v>864</v>
      </c>
      <c r="B233">
        <v>0.68</v>
      </c>
      <c r="C233">
        <v>15</v>
      </c>
      <c r="D233" t="s">
        <v>987</v>
      </c>
      <c r="F233" t="s">
        <v>2</v>
      </c>
      <c r="G233">
        <v>0</v>
      </c>
      <c r="H233">
        <v>0</v>
      </c>
      <c r="I233">
        <v>0</v>
      </c>
      <c r="J233">
        <v>0</v>
      </c>
      <c r="L233" s="1">
        <f>HYPERLINK("http://dx.doi.org/10.1016/j.beem.2021.101486","10.1016/j.beem.2021.101486")</f>
        <v>0</v>
      </c>
      <c r="M233">
        <v>2</v>
      </c>
      <c r="N233" t="s">
        <v>1111</v>
      </c>
      <c r="O233" t="s">
        <v>1213</v>
      </c>
    </row>
    <row r="234" spans="1:15">
      <c r="A234" t="s">
        <v>865</v>
      </c>
      <c r="B234">
        <v>0.68</v>
      </c>
      <c r="C234">
        <v>7</v>
      </c>
      <c r="D234" t="s">
        <v>987</v>
      </c>
      <c r="F234" t="s">
        <v>2</v>
      </c>
      <c r="G234">
        <v>0</v>
      </c>
      <c r="H234">
        <v>0</v>
      </c>
      <c r="I234">
        <v>0</v>
      </c>
      <c r="J234">
        <v>0</v>
      </c>
      <c r="K234" s="1">
        <f>HYPERLINK("https://pubmed.ncbi.nlm.nih.gov/?term=22018302%2C30167009%2C21349411","5")</f>
        <v>0</v>
      </c>
      <c r="L234" s="1">
        <f>HYPERLINK("http://dx.doi.org/10.1016/S1062-1458(02)00520-2","10.1016/S1062-1458(02)00520-2")</f>
        <v>0</v>
      </c>
      <c r="M234">
        <v>2</v>
      </c>
      <c r="N234" t="s">
        <v>1112</v>
      </c>
      <c r="O234" t="s">
        <v>1158</v>
      </c>
    </row>
    <row r="235" spans="1:15">
      <c r="A235" t="s">
        <v>866</v>
      </c>
      <c r="B235">
        <v>0.325</v>
      </c>
      <c r="C235">
        <v>47</v>
      </c>
      <c r="D235" t="s">
        <v>987</v>
      </c>
      <c r="F235" t="s">
        <v>1</v>
      </c>
      <c r="G235">
        <v>0</v>
      </c>
      <c r="H235">
        <v>0</v>
      </c>
      <c r="I235">
        <v>0</v>
      </c>
      <c r="J235">
        <v>0</v>
      </c>
      <c r="K235" s="1">
        <f>HYPERLINK("https://pubmed.ncbi.nlm.nih.gov/?term=32212257%2C28615245%2C21852354%2C24223358","18")</f>
        <v>0</v>
      </c>
      <c r="L235" s="1">
        <f>HYPERLINK("http://dx.doi.org/10.1016/j.cels.2019.01.004","10.1016/j.cels.2019.01.004")</f>
        <v>0</v>
      </c>
      <c r="M235">
        <v>1</v>
      </c>
      <c r="N235" t="s">
        <v>1158</v>
      </c>
      <c r="O235" t="s">
        <v>1158</v>
      </c>
    </row>
    <row r="236" spans="1:15">
      <c r="A236" t="s">
        <v>867</v>
      </c>
      <c r="B236">
        <v>0.325</v>
      </c>
      <c r="C236">
        <v>944</v>
      </c>
      <c r="D236" t="s">
        <v>987</v>
      </c>
      <c r="F236" t="s">
        <v>992</v>
      </c>
      <c r="G236">
        <v>0</v>
      </c>
      <c r="H236">
        <v>0</v>
      </c>
      <c r="I236">
        <v>0</v>
      </c>
      <c r="J236">
        <v>0</v>
      </c>
      <c r="K236" s="1">
        <f>HYPERLINK("https://pubmed.ncbi.nlm.nih.gov/?term=27591490%2C23776354","2")</f>
        <v>0</v>
      </c>
      <c r="M236">
        <v>2</v>
      </c>
      <c r="N236" t="s">
        <v>1159</v>
      </c>
      <c r="O236" t="s">
        <v>1214</v>
      </c>
    </row>
    <row r="237" spans="1:15">
      <c r="A237" t="s">
        <v>868</v>
      </c>
      <c r="B237">
        <v>0.299</v>
      </c>
      <c r="C237">
        <v>53</v>
      </c>
      <c r="D237" t="s">
        <v>987</v>
      </c>
      <c r="F237" t="s">
        <v>1010</v>
      </c>
      <c r="G237">
        <v>0</v>
      </c>
      <c r="H237">
        <v>0</v>
      </c>
      <c r="I237">
        <v>0</v>
      </c>
      <c r="J237">
        <v>0</v>
      </c>
      <c r="K237" s="1">
        <f>HYPERLINK("https://pubmed.ncbi.nlm.nih.gov/?term=11807427%2C12622280%2C16698415%2C26045561%2C22069173","32")</f>
        <v>0</v>
      </c>
      <c r="M237">
        <v>1</v>
      </c>
      <c r="N237" t="s">
        <v>1160</v>
      </c>
      <c r="O237" t="s">
        <v>1160</v>
      </c>
    </row>
    <row r="238" spans="1:15">
      <c r="A238" t="s">
        <v>869</v>
      </c>
      <c r="B238">
        <v>0.299</v>
      </c>
      <c r="C238">
        <v>52</v>
      </c>
      <c r="D238" t="s">
        <v>987</v>
      </c>
      <c r="F238" t="s">
        <v>6</v>
      </c>
      <c r="G238">
        <v>0</v>
      </c>
      <c r="H238">
        <v>0</v>
      </c>
      <c r="I238">
        <v>0</v>
      </c>
      <c r="J238">
        <v>0</v>
      </c>
      <c r="K238" s="1">
        <f>HYPERLINK("https://pubmed.ncbi.nlm.nih.gov/?term=28410949%2C11134853%2C26538887","4")</f>
        <v>0</v>
      </c>
      <c r="M238">
        <v>1</v>
      </c>
      <c r="N238" t="s">
        <v>1160</v>
      </c>
      <c r="O238" t="s">
        <v>1160</v>
      </c>
    </row>
    <row r="239" spans="1:15">
      <c r="A239" t="s">
        <v>870</v>
      </c>
      <c r="B239">
        <v>0.299</v>
      </c>
      <c r="C239">
        <v>42</v>
      </c>
      <c r="D239" t="s">
        <v>987</v>
      </c>
      <c r="F239" t="s">
        <v>6</v>
      </c>
      <c r="G239">
        <v>0</v>
      </c>
      <c r="H239">
        <v>0</v>
      </c>
      <c r="I239">
        <v>0</v>
      </c>
      <c r="J239">
        <v>0</v>
      </c>
      <c r="K239" s="1">
        <f>HYPERLINK("https://pubmed.ncbi.nlm.nih.gov/?term=29032440","3")</f>
        <v>0</v>
      </c>
      <c r="L239" s="1">
        <f>HYPERLINK("http://dx.doi.org/10.2106/JBJS.CC.L.00012","10.2106/JBJS.CC.L.00012")</f>
        <v>0</v>
      </c>
      <c r="M239">
        <v>1</v>
      </c>
      <c r="N239" t="s">
        <v>1161</v>
      </c>
      <c r="O239" t="s">
        <v>1161</v>
      </c>
    </row>
    <row r="240" spans="1:15">
      <c r="A240" t="s">
        <v>871</v>
      </c>
      <c r="B240">
        <v>0.598</v>
      </c>
      <c r="C240">
        <v>31</v>
      </c>
      <c r="D240" t="s">
        <v>987</v>
      </c>
      <c r="E240" t="s">
        <v>6</v>
      </c>
      <c r="G240">
        <v>0</v>
      </c>
      <c r="H240">
        <v>0</v>
      </c>
      <c r="I240">
        <v>0</v>
      </c>
      <c r="J240">
        <v>0</v>
      </c>
      <c r="K240" s="1">
        <f>HYPERLINK("https://pubmed.ncbi.nlm.nih.gov/?term=30052520","1")</f>
        <v>0</v>
      </c>
      <c r="M240">
        <v>2</v>
      </c>
      <c r="N240" t="s">
        <v>1162</v>
      </c>
      <c r="O240" t="s">
        <v>1215</v>
      </c>
    </row>
    <row r="241" spans="1:15">
      <c r="A241" t="s">
        <v>872</v>
      </c>
      <c r="B241">
        <v>0.299</v>
      </c>
      <c r="C241">
        <v>11</v>
      </c>
      <c r="D241" t="s">
        <v>987</v>
      </c>
      <c r="F241" t="s">
        <v>6</v>
      </c>
      <c r="G241">
        <v>0</v>
      </c>
      <c r="H241">
        <v>0</v>
      </c>
      <c r="I241">
        <v>0</v>
      </c>
      <c r="J241">
        <v>0</v>
      </c>
      <c r="K241" s="1">
        <f>HYPERLINK("https://pubmed.ncbi.nlm.nih.gov/?term=25614825%2C20188338%2C27631333%2C23104629%2C34206592","5")</f>
        <v>0</v>
      </c>
      <c r="M241">
        <v>1</v>
      </c>
      <c r="N241" t="s">
        <v>1163</v>
      </c>
      <c r="O241" t="s">
        <v>1163</v>
      </c>
    </row>
    <row r="242" spans="1:15">
      <c r="A242" t="s">
        <v>873</v>
      </c>
      <c r="B242">
        <v>0.299</v>
      </c>
      <c r="C242">
        <v>4</v>
      </c>
      <c r="D242" t="s">
        <v>987</v>
      </c>
      <c r="F242" t="s">
        <v>6</v>
      </c>
      <c r="G242">
        <v>0</v>
      </c>
      <c r="H242">
        <v>0</v>
      </c>
      <c r="I242">
        <v>0</v>
      </c>
      <c r="J242">
        <v>0</v>
      </c>
      <c r="K242" s="1">
        <f>HYPERLINK("https://pubmed.ncbi.nlm.nih.gov/?term=32476794%2C20188338","2")</f>
        <v>0</v>
      </c>
      <c r="M242">
        <v>1</v>
      </c>
      <c r="N242" t="s">
        <v>1163</v>
      </c>
      <c r="O242" t="s">
        <v>1163</v>
      </c>
    </row>
    <row r="243" spans="1:15">
      <c r="A243" t="s">
        <v>874</v>
      </c>
      <c r="B243">
        <v>0.299</v>
      </c>
      <c r="C243">
        <v>3</v>
      </c>
      <c r="D243" t="s">
        <v>987</v>
      </c>
      <c r="F243" t="s">
        <v>6</v>
      </c>
      <c r="G243">
        <v>0</v>
      </c>
      <c r="H243">
        <v>0</v>
      </c>
      <c r="I243">
        <v>0</v>
      </c>
      <c r="J243">
        <v>0</v>
      </c>
      <c r="M243">
        <v>1</v>
      </c>
      <c r="N243" t="s">
        <v>1164</v>
      </c>
      <c r="O243" t="s">
        <v>1164</v>
      </c>
    </row>
    <row r="244" spans="1:15">
      <c r="A244" t="s">
        <v>875</v>
      </c>
      <c r="B244">
        <v>0.299</v>
      </c>
      <c r="C244">
        <v>2</v>
      </c>
      <c r="D244" t="s">
        <v>987</v>
      </c>
      <c r="F244" t="s">
        <v>6</v>
      </c>
      <c r="G244">
        <v>0</v>
      </c>
      <c r="H244">
        <v>0</v>
      </c>
      <c r="I244">
        <v>0</v>
      </c>
      <c r="J244">
        <v>0</v>
      </c>
      <c r="M244">
        <v>1</v>
      </c>
      <c r="N244" t="s">
        <v>1164</v>
      </c>
      <c r="O244" t="s">
        <v>1164</v>
      </c>
    </row>
    <row r="245" spans="1:15">
      <c r="A245" t="s">
        <v>876</v>
      </c>
      <c r="B245">
        <v>0.299</v>
      </c>
      <c r="C245">
        <v>2</v>
      </c>
      <c r="D245" t="s">
        <v>987</v>
      </c>
      <c r="F245" t="s">
        <v>6</v>
      </c>
      <c r="G245">
        <v>0</v>
      </c>
      <c r="H245">
        <v>0</v>
      </c>
      <c r="I245">
        <v>0</v>
      </c>
      <c r="J245">
        <v>0</v>
      </c>
      <c r="M245">
        <v>1</v>
      </c>
      <c r="N245" t="s">
        <v>1164</v>
      </c>
      <c r="O245" t="s">
        <v>1164</v>
      </c>
    </row>
    <row r="246" spans="1:15">
      <c r="A246" t="s">
        <v>877</v>
      </c>
      <c r="B246">
        <v>0.299</v>
      </c>
      <c r="C246">
        <v>2</v>
      </c>
      <c r="D246" t="s">
        <v>987</v>
      </c>
      <c r="F246" t="s">
        <v>6</v>
      </c>
      <c r="G246">
        <v>0</v>
      </c>
      <c r="H246">
        <v>0</v>
      </c>
      <c r="I246">
        <v>0</v>
      </c>
      <c r="J246">
        <v>0</v>
      </c>
      <c r="M246">
        <v>1</v>
      </c>
      <c r="N246" t="s">
        <v>1164</v>
      </c>
      <c r="O246" t="s">
        <v>1164</v>
      </c>
    </row>
    <row r="247" spans="1:15">
      <c r="A247" t="s">
        <v>878</v>
      </c>
      <c r="B247">
        <v>0.299</v>
      </c>
      <c r="C247">
        <v>2</v>
      </c>
      <c r="D247" t="s">
        <v>987</v>
      </c>
      <c r="F247" t="s">
        <v>6</v>
      </c>
      <c r="G247">
        <v>0</v>
      </c>
      <c r="H247">
        <v>0</v>
      </c>
      <c r="I247">
        <v>0</v>
      </c>
      <c r="J247">
        <v>0</v>
      </c>
      <c r="M247">
        <v>1</v>
      </c>
      <c r="N247" t="s">
        <v>1164</v>
      </c>
      <c r="O247" t="s">
        <v>1164</v>
      </c>
    </row>
    <row r="248" spans="1:15">
      <c r="A248" t="s">
        <v>879</v>
      </c>
      <c r="B248">
        <v>0.299</v>
      </c>
      <c r="C248">
        <v>1</v>
      </c>
      <c r="D248" t="s">
        <v>987</v>
      </c>
      <c r="F248" t="s">
        <v>6</v>
      </c>
      <c r="G248">
        <v>0</v>
      </c>
      <c r="H248">
        <v>0</v>
      </c>
      <c r="I248">
        <v>0</v>
      </c>
      <c r="J248">
        <v>0</v>
      </c>
      <c r="M248">
        <v>1</v>
      </c>
      <c r="N248" t="s">
        <v>1164</v>
      </c>
      <c r="O248" t="s">
        <v>1164</v>
      </c>
    </row>
    <row r="249" spans="1:15">
      <c r="A249" t="s">
        <v>880</v>
      </c>
      <c r="B249">
        <v>0.299</v>
      </c>
      <c r="C249">
        <v>1</v>
      </c>
      <c r="D249" t="s">
        <v>987</v>
      </c>
      <c r="F249" t="s">
        <v>6</v>
      </c>
      <c r="G249">
        <v>0</v>
      </c>
      <c r="H249">
        <v>0</v>
      </c>
      <c r="I249">
        <v>0</v>
      </c>
      <c r="J249">
        <v>0</v>
      </c>
      <c r="M249">
        <v>1</v>
      </c>
      <c r="N249" t="s">
        <v>1164</v>
      </c>
      <c r="O249" t="s">
        <v>1164</v>
      </c>
    </row>
    <row r="250" spans="1:15">
      <c r="A250" t="s">
        <v>881</v>
      </c>
      <c r="B250">
        <v>0.299</v>
      </c>
      <c r="C250">
        <v>0</v>
      </c>
      <c r="D250" t="s">
        <v>987</v>
      </c>
      <c r="F250" t="s">
        <v>6</v>
      </c>
      <c r="G250">
        <v>0</v>
      </c>
      <c r="H250">
        <v>0</v>
      </c>
      <c r="I250">
        <v>0</v>
      </c>
      <c r="J250">
        <v>0</v>
      </c>
      <c r="M250">
        <v>1</v>
      </c>
      <c r="N250" t="s">
        <v>1164</v>
      </c>
      <c r="O250" t="s">
        <v>1164</v>
      </c>
    </row>
    <row r="251" spans="1:15">
      <c r="A251" t="s">
        <v>882</v>
      </c>
      <c r="B251">
        <v>0.544</v>
      </c>
      <c r="C251">
        <v>99</v>
      </c>
      <c r="D251" t="s">
        <v>987</v>
      </c>
      <c r="F251" t="s">
        <v>1008</v>
      </c>
      <c r="G251">
        <v>0</v>
      </c>
      <c r="H251">
        <v>0</v>
      </c>
      <c r="I251">
        <v>0</v>
      </c>
      <c r="J251">
        <v>0</v>
      </c>
      <c r="K251" s="1">
        <f>HYPERLINK("https://pubmed.ncbi.nlm.nih.gov/?term=22174597%2C28410949%2C21883840","3")</f>
        <v>0</v>
      </c>
      <c r="M251">
        <v>2</v>
      </c>
      <c r="N251" t="s">
        <v>1165</v>
      </c>
      <c r="O251" t="s">
        <v>1216</v>
      </c>
    </row>
    <row r="252" spans="1:15">
      <c r="A252" t="s">
        <v>883</v>
      </c>
      <c r="B252">
        <v>0.544</v>
      </c>
      <c r="C252">
        <v>56</v>
      </c>
      <c r="D252" t="s">
        <v>987</v>
      </c>
      <c r="F252" t="s">
        <v>1008</v>
      </c>
      <c r="G252">
        <v>0</v>
      </c>
      <c r="H252">
        <v>0</v>
      </c>
      <c r="I252">
        <v>0</v>
      </c>
      <c r="J252">
        <v>0</v>
      </c>
      <c r="M252">
        <v>2</v>
      </c>
      <c r="N252" t="s">
        <v>1166</v>
      </c>
      <c r="O252" t="s">
        <v>1217</v>
      </c>
    </row>
    <row r="253" spans="1:15">
      <c r="A253" t="s">
        <v>884</v>
      </c>
      <c r="B253">
        <v>0.553</v>
      </c>
      <c r="C253">
        <v>11</v>
      </c>
      <c r="D253" t="s">
        <v>987</v>
      </c>
      <c r="F253" t="s">
        <v>1</v>
      </c>
      <c r="G253">
        <v>0</v>
      </c>
      <c r="H253">
        <v>0</v>
      </c>
      <c r="I253">
        <v>0</v>
      </c>
      <c r="J253">
        <v>0</v>
      </c>
      <c r="K253" s="1">
        <f>HYPERLINK("https://pubmed.ncbi.nlm.nih.gov/?term=12973710","1")</f>
        <v>0</v>
      </c>
      <c r="M253">
        <v>2</v>
      </c>
      <c r="N253" t="s">
        <v>1123</v>
      </c>
      <c r="O253" t="s">
        <v>1218</v>
      </c>
    </row>
    <row r="254" spans="1:15">
      <c r="A254" t="s">
        <v>885</v>
      </c>
      <c r="B254">
        <v>0.238</v>
      </c>
      <c r="C254">
        <v>103</v>
      </c>
      <c r="D254" t="s">
        <v>987</v>
      </c>
      <c r="F254" t="s">
        <v>4</v>
      </c>
      <c r="G254">
        <v>0</v>
      </c>
      <c r="H254">
        <v>0</v>
      </c>
      <c r="I254">
        <v>0</v>
      </c>
      <c r="J254">
        <v>0</v>
      </c>
      <c r="K254" s="1">
        <f>HYPERLINK("https://pubmed.ncbi.nlm.nih.gov/?term=30120907","1")</f>
        <v>0</v>
      </c>
      <c r="M254">
        <v>1</v>
      </c>
      <c r="N254" t="s">
        <v>1167</v>
      </c>
      <c r="O254" t="s">
        <v>1167</v>
      </c>
    </row>
    <row r="255" spans="1:15">
      <c r="A255" t="s">
        <v>886</v>
      </c>
      <c r="B255">
        <v>0.238</v>
      </c>
      <c r="C255">
        <v>50</v>
      </c>
      <c r="D255" t="s">
        <v>987</v>
      </c>
      <c r="F255" t="s">
        <v>4</v>
      </c>
      <c r="G255">
        <v>0</v>
      </c>
      <c r="H255">
        <v>0</v>
      </c>
      <c r="I255">
        <v>0</v>
      </c>
      <c r="J255">
        <v>0</v>
      </c>
      <c r="K255" s="1">
        <f>HYPERLINK("https://pubmed.ncbi.nlm.nih.gov/?term=16828412%2C28614036%2C20129193%2C32754750%2C22871612","7")</f>
        <v>0</v>
      </c>
      <c r="M255">
        <v>1</v>
      </c>
      <c r="N255" t="s">
        <v>1168</v>
      </c>
      <c r="O255" t="s">
        <v>1168</v>
      </c>
    </row>
    <row r="256" spans="1:15">
      <c r="A256" t="s">
        <v>887</v>
      </c>
      <c r="B256">
        <v>0.238</v>
      </c>
      <c r="C256">
        <v>38</v>
      </c>
      <c r="D256" t="s">
        <v>987</v>
      </c>
      <c r="F256" t="s">
        <v>4</v>
      </c>
      <c r="G256">
        <v>0</v>
      </c>
      <c r="H256">
        <v>0</v>
      </c>
      <c r="I256">
        <v>0</v>
      </c>
      <c r="J256">
        <v>0</v>
      </c>
      <c r="K256" s="1">
        <f>HYPERLINK("https://pubmed.ncbi.nlm.nih.gov/?term=34243855%2C32531271%2C20188338%2C22424282","4")</f>
        <v>0</v>
      </c>
      <c r="M256">
        <v>1</v>
      </c>
      <c r="N256" t="s">
        <v>1169</v>
      </c>
      <c r="O256" t="s">
        <v>1169</v>
      </c>
    </row>
    <row r="257" spans="1:15">
      <c r="A257" t="s">
        <v>888</v>
      </c>
      <c r="B257">
        <v>0.238</v>
      </c>
      <c r="C257">
        <v>23</v>
      </c>
      <c r="D257" t="s">
        <v>987</v>
      </c>
      <c r="F257" t="s">
        <v>4</v>
      </c>
      <c r="G257">
        <v>0</v>
      </c>
      <c r="H257">
        <v>0</v>
      </c>
      <c r="I257">
        <v>0</v>
      </c>
      <c r="J257">
        <v>0</v>
      </c>
      <c r="M257">
        <v>1</v>
      </c>
      <c r="N257" t="s">
        <v>1170</v>
      </c>
      <c r="O257" t="s">
        <v>1170</v>
      </c>
    </row>
    <row r="258" spans="1:15">
      <c r="A258" t="s">
        <v>889</v>
      </c>
      <c r="B258">
        <v>0.238</v>
      </c>
      <c r="C258">
        <v>22</v>
      </c>
      <c r="D258" t="s">
        <v>987</v>
      </c>
      <c r="F258" t="s">
        <v>4</v>
      </c>
      <c r="G258">
        <v>0</v>
      </c>
      <c r="H258">
        <v>0</v>
      </c>
      <c r="I258">
        <v>0</v>
      </c>
      <c r="J258">
        <v>0</v>
      </c>
      <c r="M258">
        <v>1</v>
      </c>
      <c r="N258" t="s">
        <v>1170</v>
      </c>
      <c r="O258" t="s">
        <v>1170</v>
      </c>
    </row>
    <row r="259" spans="1:15">
      <c r="A259" t="s">
        <v>890</v>
      </c>
      <c r="B259">
        <v>0.238</v>
      </c>
      <c r="C259">
        <v>14</v>
      </c>
      <c r="D259" t="s">
        <v>987</v>
      </c>
      <c r="F259" t="s">
        <v>4</v>
      </c>
      <c r="G259">
        <v>0</v>
      </c>
      <c r="H259">
        <v>0</v>
      </c>
      <c r="I259">
        <v>0</v>
      </c>
      <c r="J259">
        <v>0</v>
      </c>
      <c r="K259" s="1">
        <f>HYPERLINK("https://pubmed.ncbi.nlm.nih.gov/?term=34687915%2C31847209%2C23983960","4")</f>
        <v>0</v>
      </c>
      <c r="M259">
        <v>1</v>
      </c>
      <c r="N259" t="s">
        <v>1171</v>
      </c>
      <c r="O259" t="s">
        <v>1171</v>
      </c>
    </row>
    <row r="260" spans="1:15">
      <c r="A260" t="s">
        <v>891</v>
      </c>
      <c r="B260">
        <v>0.68</v>
      </c>
      <c r="C260">
        <v>121</v>
      </c>
      <c r="D260" t="s">
        <v>987</v>
      </c>
      <c r="F260" t="s">
        <v>1009</v>
      </c>
      <c r="G260">
        <v>0</v>
      </c>
      <c r="H260">
        <v>0</v>
      </c>
      <c r="I260">
        <v>0</v>
      </c>
      <c r="J260">
        <v>0</v>
      </c>
      <c r="K260" s="1">
        <f>HYPERLINK("https://pubmed.ncbi.nlm.nih.gov/?term=25955958%2C23362408%2C24472290","4")</f>
        <v>0</v>
      </c>
      <c r="M260">
        <v>3</v>
      </c>
      <c r="N260" t="s">
        <v>1172</v>
      </c>
      <c r="O260" t="s">
        <v>1173</v>
      </c>
    </row>
    <row r="261" spans="1:15">
      <c r="A261" t="s">
        <v>892</v>
      </c>
      <c r="B261">
        <v>0.233</v>
      </c>
      <c r="C261">
        <v>21</v>
      </c>
      <c r="D261" t="s">
        <v>987</v>
      </c>
      <c r="F261" t="s">
        <v>8</v>
      </c>
      <c r="G261">
        <v>0</v>
      </c>
      <c r="H261">
        <v>0</v>
      </c>
      <c r="I261">
        <v>0</v>
      </c>
      <c r="J261">
        <v>0</v>
      </c>
      <c r="K261" s="1">
        <f>HYPERLINK("https://pubmed.ncbi.nlm.nih.gov/?term=24314388","1")</f>
        <v>0</v>
      </c>
      <c r="M261">
        <v>1</v>
      </c>
      <c r="N261" t="s">
        <v>1173</v>
      </c>
      <c r="O261" t="s">
        <v>1173</v>
      </c>
    </row>
    <row r="262" spans="1:15">
      <c r="A262" t="s">
        <v>893</v>
      </c>
      <c r="B262">
        <v>0.391</v>
      </c>
      <c r="C262">
        <v>225</v>
      </c>
      <c r="D262" t="s">
        <v>987</v>
      </c>
      <c r="F262" t="s">
        <v>4</v>
      </c>
      <c r="G262">
        <v>0</v>
      </c>
      <c r="H262">
        <v>0</v>
      </c>
      <c r="I262">
        <v>0</v>
      </c>
      <c r="J262">
        <v>0</v>
      </c>
      <c r="K262" s="1">
        <f>HYPERLINK("https://pubmed.ncbi.nlm.nih.gov/?term=31827999","1")</f>
        <v>0</v>
      </c>
      <c r="M262">
        <v>2</v>
      </c>
      <c r="N262" t="s">
        <v>1174</v>
      </c>
      <c r="O262" t="s">
        <v>1219</v>
      </c>
    </row>
    <row r="263" spans="1:15">
      <c r="A263" t="s">
        <v>894</v>
      </c>
      <c r="B263">
        <v>0.391</v>
      </c>
      <c r="C263">
        <v>157</v>
      </c>
      <c r="D263" t="s">
        <v>987</v>
      </c>
      <c r="F263" t="s">
        <v>4</v>
      </c>
      <c r="G263">
        <v>0</v>
      </c>
      <c r="H263">
        <v>0</v>
      </c>
      <c r="I263">
        <v>0</v>
      </c>
      <c r="J263">
        <v>0</v>
      </c>
      <c r="K263" s="1">
        <f>HYPERLINK("https://pubmed.ncbi.nlm.nih.gov/?term=24342289%2C19913465%2C27083401%2C24782993","11")</f>
        <v>0</v>
      </c>
      <c r="M263">
        <v>2</v>
      </c>
      <c r="N263" t="s">
        <v>1136</v>
      </c>
      <c r="O263" t="s">
        <v>1220</v>
      </c>
    </row>
    <row r="264" spans="1:15">
      <c r="A264" t="s">
        <v>895</v>
      </c>
      <c r="B264">
        <v>0.153</v>
      </c>
      <c r="C264">
        <v>188</v>
      </c>
      <c r="D264" t="s">
        <v>987</v>
      </c>
      <c r="F264" t="s">
        <v>9</v>
      </c>
      <c r="G264">
        <v>0</v>
      </c>
      <c r="H264">
        <v>0</v>
      </c>
      <c r="I264">
        <v>0</v>
      </c>
      <c r="J264">
        <v>0</v>
      </c>
      <c r="K264" s="1">
        <f>HYPERLINK("https://pubmed.ncbi.nlm.nih.gov/?term=32257493","1")</f>
        <v>0</v>
      </c>
      <c r="M264">
        <v>1</v>
      </c>
      <c r="N264" t="s">
        <v>1175</v>
      </c>
      <c r="O264" t="s">
        <v>1175</v>
      </c>
    </row>
    <row r="265" spans="1:15">
      <c r="A265" t="s">
        <v>896</v>
      </c>
      <c r="B265">
        <v>0.153</v>
      </c>
      <c r="C265">
        <v>159</v>
      </c>
      <c r="D265" t="s">
        <v>987</v>
      </c>
      <c r="F265" t="s">
        <v>1008</v>
      </c>
      <c r="G265">
        <v>0</v>
      </c>
      <c r="H265">
        <v>0</v>
      </c>
      <c r="I265">
        <v>0</v>
      </c>
      <c r="J265">
        <v>0</v>
      </c>
      <c r="K265" s="1">
        <f>HYPERLINK("https://pubmed.ncbi.nlm.nih.gov/?term=24636754","1")</f>
        <v>0</v>
      </c>
      <c r="M265">
        <v>1</v>
      </c>
      <c r="N265" t="s">
        <v>1176</v>
      </c>
      <c r="O265" t="s">
        <v>1176</v>
      </c>
    </row>
    <row r="266" spans="1:15">
      <c r="A266" t="s">
        <v>897</v>
      </c>
      <c r="B266">
        <v>0.826</v>
      </c>
      <c r="C266">
        <v>4</v>
      </c>
      <c r="D266" t="s">
        <v>987</v>
      </c>
      <c r="F266" t="s">
        <v>1011</v>
      </c>
      <c r="G266">
        <v>0</v>
      </c>
      <c r="H266">
        <v>0</v>
      </c>
      <c r="I266">
        <v>0</v>
      </c>
      <c r="J266">
        <v>0</v>
      </c>
      <c r="K266" s="1">
        <f>HYPERLINK("https://pubmed.ncbi.nlm.nih.gov/?term=31847209%2C20188338","2")</f>
        <v>0</v>
      </c>
      <c r="M266">
        <v>4</v>
      </c>
      <c r="N266" t="s">
        <v>1177</v>
      </c>
      <c r="O266" t="s">
        <v>1176</v>
      </c>
    </row>
    <row r="267" spans="1:15">
      <c r="A267" t="s">
        <v>898</v>
      </c>
      <c r="B267">
        <v>0.153</v>
      </c>
      <c r="C267">
        <v>141</v>
      </c>
      <c r="D267" t="s">
        <v>987</v>
      </c>
      <c r="F267" t="s">
        <v>9</v>
      </c>
      <c r="G267">
        <v>0</v>
      </c>
      <c r="H267">
        <v>0</v>
      </c>
      <c r="I267">
        <v>0</v>
      </c>
      <c r="J267">
        <v>0</v>
      </c>
      <c r="K267" s="1">
        <f>HYPERLINK("https://pubmed.ncbi.nlm.nih.gov/?term=15667040%2C22902045%2C19048732","4")</f>
        <v>0</v>
      </c>
      <c r="M267">
        <v>1</v>
      </c>
      <c r="N267" t="s">
        <v>1178</v>
      </c>
      <c r="O267" t="s">
        <v>1178</v>
      </c>
    </row>
    <row r="268" spans="1:15">
      <c r="A268" t="s">
        <v>899</v>
      </c>
      <c r="B268">
        <v>0.391</v>
      </c>
      <c r="C268">
        <v>17</v>
      </c>
      <c r="D268" t="s">
        <v>987</v>
      </c>
      <c r="F268" t="s">
        <v>4</v>
      </c>
      <c r="G268">
        <v>0</v>
      </c>
      <c r="H268">
        <v>0</v>
      </c>
      <c r="I268">
        <v>0</v>
      </c>
      <c r="J268">
        <v>0</v>
      </c>
      <c r="M268">
        <v>2</v>
      </c>
      <c r="N268" t="s">
        <v>1150</v>
      </c>
      <c r="O268" t="s">
        <v>1221</v>
      </c>
    </row>
    <row r="269" spans="1:15">
      <c r="A269" t="s">
        <v>900</v>
      </c>
      <c r="B269">
        <v>0.391</v>
      </c>
      <c r="C269">
        <v>3</v>
      </c>
      <c r="D269" t="s">
        <v>987</v>
      </c>
      <c r="F269" t="s">
        <v>4</v>
      </c>
      <c r="G269">
        <v>0</v>
      </c>
      <c r="H269">
        <v>0</v>
      </c>
      <c r="I269">
        <v>0</v>
      </c>
      <c r="J269">
        <v>0</v>
      </c>
      <c r="M269">
        <v>2</v>
      </c>
      <c r="N269" t="s">
        <v>1151</v>
      </c>
      <c r="O269" t="s">
        <v>1222</v>
      </c>
    </row>
    <row r="270" spans="1:15">
      <c r="A270" t="s">
        <v>901</v>
      </c>
      <c r="B270">
        <v>0.391</v>
      </c>
      <c r="C270">
        <v>1</v>
      </c>
      <c r="D270" t="s">
        <v>987</v>
      </c>
      <c r="F270" t="s">
        <v>4</v>
      </c>
      <c r="G270">
        <v>0</v>
      </c>
      <c r="H270">
        <v>0</v>
      </c>
      <c r="I270">
        <v>0</v>
      </c>
      <c r="J270">
        <v>0</v>
      </c>
      <c r="M270">
        <v>2</v>
      </c>
      <c r="N270" t="s">
        <v>1151</v>
      </c>
      <c r="O270" t="s">
        <v>1222</v>
      </c>
    </row>
    <row r="271" spans="1:15">
      <c r="A271" t="s">
        <v>902</v>
      </c>
      <c r="B271">
        <v>0.153</v>
      </c>
      <c r="C271">
        <v>114</v>
      </c>
      <c r="D271" t="s">
        <v>987</v>
      </c>
      <c r="F271" t="s">
        <v>9</v>
      </c>
      <c r="G271">
        <v>0</v>
      </c>
      <c r="H271">
        <v>0</v>
      </c>
      <c r="I271">
        <v>0</v>
      </c>
      <c r="J271">
        <v>0</v>
      </c>
      <c r="M271">
        <v>1</v>
      </c>
      <c r="N271" t="s">
        <v>1179</v>
      </c>
      <c r="O271" t="s">
        <v>1179</v>
      </c>
    </row>
    <row r="272" spans="1:15">
      <c r="A272" t="s">
        <v>903</v>
      </c>
      <c r="B272">
        <v>0.125</v>
      </c>
      <c r="C272">
        <v>193</v>
      </c>
      <c r="D272" t="s">
        <v>987</v>
      </c>
      <c r="F272" t="s">
        <v>996</v>
      </c>
      <c r="G272">
        <v>0</v>
      </c>
      <c r="H272">
        <v>0</v>
      </c>
      <c r="I272">
        <v>0</v>
      </c>
      <c r="J272">
        <v>0</v>
      </c>
      <c r="K272" s="1">
        <f>HYPERLINK("https://pubmed.ncbi.nlm.nih.gov/?term=12763000%2C30261014%2C21807171%2C32553750%2C25392569","6")</f>
        <v>0</v>
      </c>
      <c r="M272">
        <v>1</v>
      </c>
      <c r="N272" t="s">
        <v>1179</v>
      </c>
      <c r="O272" t="s">
        <v>1179</v>
      </c>
    </row>
    <row r="273" spans="1:15">
      <c r="A273" t="s">
        <v>904</v>
      </c>
      <c r="B273">
        <v>0.179</v>
      </c>
      <c r="C273">
        <v>3</v>
      </c>
      <c r="D273" t="s">
        <v>987</v>
      </c>
      <c r="F273" t="s">
        <v>1006</v>
      </c>
      <c r="G273">
        <v>0</v>
      </c>
      <c r="H273">
        <v>0</v>
      </c>
      <c r="I273">
        <v>0</v>
      </c>
      <c r="J273">
        <v>0</v>
      </c>
      <c r="K273" s="1">
        <f>HYPERLINK("https://pubmed.ncbi.nlm.nih.gov/?term=33542868","3")</f>
        <v>0</v>
      </c>
      <c r="M273">
        <v>1</v>
      </c>
      <c r="N273" t="s">
        <v>72</v>
      </c>
      <c r="O273" t="s">
        <v>72</v>
      </c>
    </row>
    <row r="274" spans="1:15">
      <c r="A274" t="s">
        <v>905</v>
      </c>
      <c r="B274">
        <v>0.153</v>
      </c>
      <c r="C274">
        <v>73</v>
      </c>
      <c r="D274" t="s">
        <v>987</v>
      </c>
      <c r="F274" t="s">
        <v>9</v>
      </c>
      <c r="G274">
        <v>0</v>
      </c>
      <c r="H274">
        <v>0</v>
      </c>
      <c r="I274">
        <v>0</v>
      </c>
      <c r="J274">
        <v>0</v>
      </c>
      <c r="M274">
        <v>1</v>
      </c>
      <c r="N274" t="s">
        <v>72</v>
      </c>
      <c r="O274" t="s">
        <v>72</v>
      </c>
    </row>
    <row r="275" spans="1:15">
      <c r="A275" t="s">
        <v>906</v>
      </c>
      <c r="B275">
        <v>0.171</v>
      </c>
      <c r="C275">
        <v>19</v>
      </c>
      <c r="D275" t="s">
        <v>987</v>
      </c>
      <c r="F275" t="s">
        <v>991</v>
      </c>
      <c r="G275">
        <v>0</v>
      </c>
      <c r="H275">
        <v>0</v>
      </c>
      <c r="I275">
        <v>0</v>
      </c>
      <c r="J275">
        <v>0</v>
      </c>
      <c r="K275" s="1">
        <f>HYPERLINK("https://pubmed.ncbi.nlm.nih.gov/?term=22047791%2C28779712%2C29574203%2C22424282","5")</f>
        <v>0</v>
      </c>
      <c r="M275">
        <v>1</v>
      </c>
      <c r="N275" t="s">
        <v>72</v>
      </c>
      <c r="O275" t="s">
        <v>72</v>
      </c>
    </row>
    <row r="276" spans="1:15">
      <c r="A276" t="s">
        <v>907</v>
      </c>
      <c r="B276">
        <v>0.527</v>
      </c>
      <c r="C276">
        <v>1</v>
      </c>
      <c r="D276" t="s">
        <v>987</v>
      </c>
      <c r="F276" t="s">
        <v>2</v>
      </c>
      <c r="G276">
        <v>0</v>
      </c>
      <c r="H276">
        <v>0</v>
      </c>
      <c r="I276">
        <v>0</v>
      </c>
      <c r="J276">
        <v>0</v>
      </c>
      <c r="M276">
        <v>3</v>
      </c>
      <c r="N276" t="s">
        <v>1128</v>
      </c>
      <c r="O276" t="s">
        <v>1180</v>
      </c>
    </row>
    <row r="277" spans="1:15">
      <c r="A277" t="s">
        <v>908</v>
      </c>
      <c r="B277">
        <v>0.172</v>
      </c>
      <c r="C277">
        <v>10</v>
      </c>
      <c r="D277" t="s">
        <v>987</v>
      </c>
      <c r="F277" t="s">
        <v>1</v>
      </c>
      <c r="G277">
        <v>0</v>
      </c>
      <c r="H277">
        <v>0</v>
      </c>
      <c r="I277">
        <v>0</v>
      </c>
      <c r="J277">
        <v>0</v>
      </c>
      <c r="L277" s="1">
        <f>HYPERLINK("http://dx.doi.org/10.1016/j.chest.2021.07.1498","10.1016/j.chest.2021.07.1498")</f>
        <v>0</v>
      </c>
      <c r="M277">
        <v>1</v>
      </c>
      <c r="N277" t="s">
        <v>1180</v>
      </c>
      <c r="O277" t="s">
        <v>1180</v>
      </c>
    </row>
    <row r="278" spans="1:15">
      <c r="A278" t="s">
        <v>909</v>
      </c>
      <c r="B278">
        <v>0.153</v>
      </c>
      <c r="C278">
        <v>55</v>
      </c>
      <c r="D278" t="s">
        <v>987</v>
      </c>
      <c r="F278" t="s">
        <v>9</v>
      </c>
      <c r="G278">
        <v>0</v>
      </c>
      <c r="H278">
        <v>0</v>
      </c>
      <c r="I278">
        <v>0</v>
      </c>
      <c r="J278">
        <v>0</v>
      </c>
      <c r="M278">
        <v>1</v>
      </c>
      <c r="N278" t="s">
        <v>1181</v>
      </c>
      <c r="O278" t="s">
        <v>1181</v>
      </c>
    </row>
    <row r="279" spans="1:15">
      <c r="A279" t="s">
        <v>910</v>
      </c>
      <c r="B279">
        <v>0.153</v>
      </c>
      <c r="C279">
        <v>55</v>
      </c>
      <c r="D279" t="s">
        <v>987</v>
      </c>
      <c r="F279" t="s">
        <v>9</v>
      </c>
      <c r="G279">
        <v>0</v>
      </c>
      <c r="H279">
        <v>0</v>
      </c>
      <c r="I279">
        <v>0</v>
      </c>
      <c r="J279">
        <v>0</v>
      </c>
      <c r="K279" s="1">
        <f>HYPERLINK("https://pubmed.ncbi.nlm.nih.gov/?term=29678284%2C11253984","2")</f>
        <v>0</v>
      </c>
      <c r="M279">
        <v>1</v>
      </c>
      <c r="N279" t="s">
        <v>1181</v>
      </c>
      <c r="O279" t="s">
        <v>1181</v>
      </c>
    </row>
    <row r="280" spans="1:15">
      <c r="A280" t="s">
        <v>911</v>
      </c>
      <c r="B280">
        <v>0.153</v>
      </c>
      <c r="C280">
        <v>54</v>
      </c>
      <c r="D280" t="s">
        <v>987</v>
      </c>
      <c r="F280" t="s">
        <v>9</v>
      </c>
      <c r="G280">
        <v>0</v>
      </c>
      <c r="H280">
        <v>0</v>
      </c>
      <c r="I280">
        <v>0</v>
      </c>
      <c r="J280">
        <v>0</v>
      </c>
      <c r="K280" s="1">
        <f>HYPERLINK("https://pubmed.ncbi.nlm.nih.gov/?term=15712189%2C20529155%2C31896402%2C30135075%2C32884006","7")</f>
        <v>0</v>
      </c>
      <c r="M280">
        <v>1</v>
      </c>
      <c r="N280" t="s">
        <v>1181</v>
      </c>
      <c r="O280" t="s">
        <v>1181</v>
      </c>
    </row>
    <row r="281" spans="1:15">
      <c r="A281" t="s">
        <v>912</v>
      </c>
      <c r="B281">
        <v>0.299</v>
      </c>
      <c r="C281">
        <v>123</v>
      </c>
      <c r="D281" t="s">
        <v>987</v>
      </c>
      <c r="F281" t="s">
        <v>6</v>
      </c>
      <c r="G281">
        <v>0</v>
      </c>
      <c r="H281">
        <v>0</v>
      </c>
      <c r="I281">
        <v>0</v>
      </c>
      <c r="J281">
        <v>0</v>
      </c>
      <c r="M281">
        <v>2</v>
      </c>
      <c r="N281" t="s">
        <v>1158</v>
      </c>
      <c r="O281" t="s">
        <v>1223</v>
      </c>
    </row>
    <row r="282" spans="1:15">
      <c r="A282" t="s">
        <v>913</v>
      </c>
      <c r="B282">
        <v>0.153</v>
      </c>
      <c r="C282">
        <v>38</v>
      </c>
      <c r="D282" t="s">
        <v>987</v>
      </c>
      <c r="F282" t="s">
        <v>9</v>
      </c>
      <c r="G282">
        <v>0</v>
      </c>
      <c r="H282">
        <v>0</v>
      </c>
      <c r="I282">
        <v>0</v>
      </c>
      <c r="J282">
        <v>0</v>
      </c>
      <c r="K282" s="1">
        <f>HYPERLINK("https://pubmed.ncbi.nlm.nih.gov/?term=11427876%2C31606507","2")</f>
        <v>0</v>
      </c>
      <c r="M282">
        <v>1</v>
      </c>
      <c r="N282" t="s">
        <v>1182</v>
      </c>
      <c r="O282" t="s">
        <v>1182</v>
      </c>
    </row>
    <row r="283" spans="1:15">
      <c r="A283" t="s">
        <v>914</v>
      </c>
      <c r="B283">
        <v>0.153</v>
      </c>
      <c r="C283">
        <v>38</v>
      </c>
      <c r="D283" t="s">
        <v>987</v>
      </c>
      <c r="F283" t="s">
        <v>9</v>
      </c>
      <c r="G283">
        <v>0</v>
      </c>
      <c r="H283">
        <v>0</v>
      </c>
      <c r="I283">
        <v>0</v>
      </c>
      <c r="J283">
        <v>0</v>
      </c>
      <c r="K283" s="1">
        <f>HYPERLINK("https://pubmed.ncbi.nlm.nih.gov/?term=27825928%2C29471062%2C26678830","33")</f>
        <v>0</v>
      </c>
      <c r="M283">
        <v>1</v>
      </c>
      <c r="N283" t="s">
        <v>1182</v>
      </c>
      <c r="O283" t="s">
        <v>1182</v>
      </c>
    </row>
    <row r="284" spans="1:15">
      <c r="A284" t="s">
        <v>915</v>
      </c>
      <c r="B284">
        <v>0.153</v>
      </c>
      <c r="C284">
        <v>37</v>
      </c>
      <c r="D284" t="s">
        <v>987</v>
      </c>
      <c r="F284" t="s">
        <v>9</v>
      </c>
      <c r="G284">
        <v>0</v>
      </c>
      <c r="H284">
        <v>0</v>
      </c>
      <c r="I284">
        <v>0</v>
      </c>
      <c r="J284">
        <v>0</v>
      </c>
      <c r="M284">
        <v>1</v>
      </c>
      <c r="N284" t="s">
        <v>1182</v>
      </c>
      <c r="O284" t="s">
        <v>1182</v>
      </c>
    </row>
    <row r="285" spans="1:15">
      <c r="A285" t="s">
        <v>916</v>
      </c>
      <c r="B285">
        <v>0.136</v>
      </c>
      <c r="C285">
        <v>77</v>
      </c>
      <c r="D285" t="s">
        <v>987</v>
      </c>
      <c r="F285" t="s">
        <v>2</v>
      </c>
      <c r="G285">
        <v>0</v>
      </c>
      <c r="H285">
        <v>0</v>
      </c>
      <c r="I285">
        <v>0</v>
      </c>
      <c r="J285">
        <v>0</v>
      </c>
      <c r="K285" s="1">
        <f>HYPERLINK("https://pubmed.ncbi.nlm.nih.gov/?term=28752085%2C28879274","2")</f>
        <v>0</v>
      </c>
      <c r="M285">
        <v>1</v>
      </c>
      <c r="N285" t="s">
        <v>1183</v>
      </c>
      <c r="O285" t="s">
        <v>1183</v>
      </c>
    </row>
    <row r="286" spans="1:15">
      <c r="A286" t="s">
        <v>917</v>
      </c>
      <c r="B286">
        <v>0.153</v>
      </c>
      <c r="C286">
        <v>24</v>
      </c>
      <c r="D286" t="s">
        <v>987</v>
      </c>
      <c r="F286" t="s">
        <v>9</v>
      </c>
      <c r="G286">
        <v>0</v>
      </c>
      <c r="H286">
        <v>0</v>
      </c>
      <c r="I286">
        <v>0</v>
      </c>
      <c r="J286">
        <v>0</v>
      </c>
      <c r="K286" s="1">
        <f>HYPERLINK("https://pubmed.ncbi.nlm.nih.gov/?term=8184189","1")</f>
        <v>0</v>
      </c>
      <c r="M286">
        <v>1</v>
      </c>
      <c r="N286" t="s">
        <v>1183</v>
      </c>
      <c r="O286" t="s">
        <v>1183</v>
      </c>
    </row>
    <row r="287" spans="1:15">
      <c r="A287" t="s">
        <v>918</v>
      </c>
      <c r="B287">
        <v>0.153</v>
      </c>
      <c r="C287">
        <v>22</v>
      </c>
      <c r="D287" t="s">
        <v>987</v>
      </c>
      <c r="F287" t="s">
        <v>9</v>
      </c>
      <c r="G287">
        <v>0</v>
      </c>
      <c r="H287">
        <v>0</v>
      </c>
      <c r="I287">
        <v>0</v>
      </c>
      <c r="J287">
        <v>0</v>
      </c>
      <c r="K287" s="1">
        <f>HYPERLINK("https://pubmed.ncbi.nlm.nih.gov/?term=12149713","1")</f>
        <v>0</v>
      </c>
      <c r="M287">
        <v>1</v>
      </c>
      <c r="N287" t="s">
        <v>1184</v>
      </c>
      <c r="O287" t="s">
        <v>1184</v>
      </c>
    </row>
    <row r="288" spans="1:15">
      <c r="A288" t="s">
        <v>919</v>
      </c>
      <c r="B288">
        <v>0.153</v>
      </c>
      <c r="C288">
        <v>21</v>
      </c>
      <c r="D288" t="s">
        <v>987</v>
      </c>
      <c r="F288" t="s">
        <v>9</v>
      </c>
      <c r="G288">
        <v>0</v>
      </c>
      <c r="H288">
        <v>0</v>
      </c>
      <c r="I288">
        <v>0</v>
      </c>
      <c r="J288">
        <v>0</v>
      </c>
      <c r="K288" s="1">
        <f>HYPERLINK("https://pubmed.ncbi.nlm.nih.gov/?term=24981185","1")</f>
        <v>0</v>
      </c>
      <c r="M288">
        <v>1</v>
      </c>
      <c r="N288" t="s">
        <v>1184</v>
      </c>
      <c r="O288" t="s">
        <v>1184</v>
      </c>
    </row>
    <row r="289" spans="1:15">
      <c r="A289" t="s">
        <v>920</v>
      </c>
      <c r="B289">
        <v>0.153</v>
      </c>
      <c r="C289">
        <v>20</v>
      </c>
      <c r="D289" t="s">
        <v>987</v>
      </c>
      <c r="F289" t="s">
        <v>9</v>
      </c>
      <c r="G289">
        <v>0</v>
      </c>
      <c r="H289">
        <v>0</v>
      </c>
      <c r="I289">
        <v>0</v>
      </c>
      <c r="J289">
        <v>0</v>
      </c>
      <c r="K289" s="1">
        <f>HYPERLINK("https://pubmed.ncbi.nlm.nih.gov/?term=22715817","1")</f>
        <v>0</v>
      </c>
      <c r="M289">
        <v>1</v>
      </c>
      <c r="N289" t="s">
        <v>1184</v>
      </c>
      <c r="O289" t="s">
        <v>1184</v>
      </c>
    </row>
    <row r="290" spans="1:15">
      <c r="A290" t="s">
        <v>921</v>
      </c>
      <c r="B290">
        <v>0.153</v>
      </c>
      <c r="C290">
        <v>20</v>
      </c>
      <c r="D290" t="s">
        <v>987</v>
      </c>
      <c r="F290" t="s">
        <v>9</v>
      </c>
      <c r="G290">
        <v>0</v>
      </c>
      <c r="H290">
        <v>0</v>
      </c>
      <c r="I290">
        <v>0</v>
      </c>
      <c r="J290">
        <v>0</v>
      </c>
      <c r="K290" s="1">
        <f>HYPERLINK("https://pubmed.ncbi.nlm.nih.gov/?term=24636754%2C22052063%2C22633086","3")</f>
        <v>0</v>
      </c>
      <c r="M290">
        <v>1</v>
      </c>
      <c r="N290" t="s">
        <v>1184</v>
      </c>
      <c r="O290" t="s">
        <v>1184</v>
      </c>
    </row>
    <row r="291" spans="1:15">
      <c r="A291" t="s">
        <v>922</v>
      </c>
      <c r="B291">
        <v>0.153</v>
      </c>
      <c r="C291">
        <v>17</v>
      </c>
      <c r="D291" t="s">
        <v>987</v>
      </c>
      <c r="F291" t="s">
        <v>9</v>
      </c>
      <c r="G291">
        <v>0</v>
      </c>
      <c r="H291">
        <v>0</v>
      </c>
      <c r="I291">
        <v>0</v>
      </c>
      <c r="J291">
        <v>0</v>
      </c>
      <c r="K291" s="1">
        <f>HYPERLINK("https://pubmed.ncbi.nlm.nih.gov/?term=11253984%2C18226734%2C18640526%2C29678284%2C21301487","5")</f>
        <v>0</v>
      </c>
      <c r="M291">
        <v>1</v>
      </c>
      <c r="N291" t="s">
        <v>1184</v>
      </c>
      <c r="O291" t="s">
        <v>1184</v>
      </c>
    </row>
    <row r="292" spans="1:15">
      <c r="A292" t="s">
        <v>923</v>
      </c>
      <c r="B292">
        <v>0.153</v>
      </c>
      <c r="C292">
        <v>15</v>
      </c>
      <c r="D292" t="s">
        <v>987</v>
      </c>
      <c r="F292" t="s">
        <v>9</v>
      </c>
      <c r="G292">
        <v>0</v>
      </c>
      <c r="H292">
        <v>0</v>
      </c>
      <c r="I292">
        <v>0</v>
      </c>
      <c r="J292">
        <v>0</v>
      </c>
      <c r="M292">
        <v>1</v>
      </c>
      <c r="N292" t="s">
        <v>1184</v>
      </c>
      <c r="O292" t="s">
        <v>1184</v>
      </c>
    </row>
    <row r="293" spans="1:15">
      <c r="A293" t="s">
        <v>924</v>
      </c>
      <c r="B293">
        <v>0.153</v>
      </c>
      <c r="C293">
        <v>11</v>
      </c>
      <c r="D293" t="s">
        <v>987</v>
      </c>
      <c r="F293" t="s">
        <v>9</v>
      </c>
      <c r="G293">
        <v>0</v>
      </c>
      <c r="H293">
        <v>0</v>
      </c>
      <c r="I293">
        <v>0</v>
      </c>
      <c r="J293">
        <v>0</v>
      </c>
      <c r="M293">
        <v>1</v>
      </c>
      <c r="N293" t="s">
        <v>1185</v>
      </c>
      <c r="O293" t="s">
        <v>1185</v>
      </c>
    </row>
    <row r="294" spans="1:15">
      <c r="A294" t="s">
        <v>925</v>
      </c>
      <c r="B294">
        <v>0.153</v>
      </c>
      <c r="C294">
        <v>7</v>
      </c>
      <c r="D294" t="s">
        <v>987</v>
      </c>
      <c r="F294" t="s">
        <v>9</v>
      </c>
      <c r="G294">
        <v>0</v>
      </c>
      <c r="H294">
        <v>0</v>
      </c>
      <c r="I294">
        <v>0</v>
      </c>
      <c r="J294">
        <v>0</v>
      </c>
      <c r="K294" s="1">
        <f>HYPERLINK("https://pubmed.ncbi.nlm.nih.gov/?term=22715817","1")</f>
        <v>0</v>
      </c>
      <c r="M294">
        <v>1</v>
      </c>
      <c r="N294" t="s">
        <v>1185</v>
      </c>
      <c r="O294" t="s">
        <v>1185</v>
      </c>
    </row>
    <row r="295" spans="1:15">
      <c r="A295" t="s">
        <v>926</v>
      </c>
      <c r="B295">
        <v>0.153</v>
      </c>
      <c r="C295">
        <v>5</v>
      </c>
      <c r="D295" t="s">
        <v>987</v>
      </c>
      <c r="F295" t="s">
        <v>9</v>
      </c>
      <c r="G295">
        <v>0</v>
      </c>
      <c r="H295">
        <v>0</v>
      </c>
      <c r="I295">
        <v>0</v>
      </c>
      <c r="J295">
        <v>0</v>
      </c>
      <c r="K295" s="1">
        <f>HYPERLINK("https://pubmed.ncbi.nlm.nih.gov/?term=24821639","1")</f>
        <v>0</v>
      </c>
      <c r="M295">
        <v>1</v>
      </c>
      <c r="N295" t="s">
        <v>1185</v>
      </c>
      <c r="O295" t="s">
        <v>1185</v>
      </c>
    </row>
    <row r="296" spans="1:15">
      <c r="A296" t="s">
        <v>927</v>
      </c>
      <c r="B296">
        <v>0.153</v>
      </c>
      <c r="C296">
        <v>5</v>
      </c>
      <c r="D296" t="s">
        <v>987</v>
      </c>
      <c r="F296" t="s">
        <v>9</v>
      </c>
      <c r="G296">
        <v>0</v>
      </c>
      <c r="H296">
        <v>0</v>
      </c>
      <c r="I296">
        <v>0</v>
      </c>
      <c r="J296">
        <v>0</v>
      </c>
      <c r="K296" s="1">
        <f>HYPERLINK("https://pubmed.ncbi.nlm.nih.gov/?term=29220298","1")</f>
        <v>0</v>
      </c>
      <c r="M296">
        <v>1</v>
      </c>
      <c r="N296" t="s">
        <v>1185</v>
      </c>
      <c r="O296" t="s">
        <v>1185</v>
      </c>
    </row>
    <row r="297" spans="1:15">
      <c r="A297" t="s">
        <v>928</v>
      </c>
      <c r="B297">
        <v>0.153</v>
      </c>
      <c r="C297">
        <v>4</v>
      </c>
      <c r="D297" t="s">
        <v>987</v>
      </c>
      <c r="F297" t="s">
        <v>9</v>
      </c>
      <c r="G297">
        <v>0</v>
      </c>
      <c r="H297">
        <v>0</v>
      </c>
      <c r="I297">
        <v>0</v>
      </c>
      <c r="J297">
        <v>0</v>
      </c>
      <c r="M297">
        <v>1</v>
      </c>
      <c r="N297" t="s">
        <v>1185</v>
      </c>
      <c r="O297" t="s">
        <v>1185</v>
      </c>
    </row>
    <row r="298" spans="1:15">
      <c r="A298" t="s">
        <v>929</v>
      </c>
      <c r="B298">
        <v>0.153</v>
      </c>
      <c r="C298">
        <v>4</v>
      </c>
      <c r="D298" t="s">
        <v>987</v>
      </c>
      <c r="F298" t="s">
        <v>9</v>
      </c>
      <c r="G298">
        <v>0</v>
      </c>
      <c r="H298">
        <v>0</v>
      </c>
      <c r="I298">
        <v>0</v>
      </c>
      <c r="J298">
        <v>0</v>
      </c>
      <c r="K298" s="1">
        <f>HYPERLINK("https://pubmed.ncbi.nlm.nih.gov/?term=15850852%2C15380809%2C29678284","3")</f>
        <v>0</v>
      </c>
      <c r="M298">
        <v>1</v>
      </c>
      <c r="N298" t="s">
        <v>1185</v>
      </c>
      <c r="O298" t="s">
        <v>1185</v>
      </c>
    </row>
    <row r="299" spans="1:15">
      <c r="A299" t="s">
        <v>930</v>
      </c>
      <c r="B299">
        <v>0.153</v>
      </c>
      <c r="C299">
        <v>4</v>
      </c>
      <c r="D299" t="s">
        <v>987</v>
      </c>
      <c r="F299" t="s">
        <v>9</v>
      </c>
      <c r="G299">
        <v>0</v>
      </c>
      <c r="H299">
        <v>0</v>
      </c>
      <c r="I299">
        <v>0</v>
      </c>
      <c r="J299">
        <v>0</v>
      </c>
      <c r="K299" s="1">
        <f>HYPERLINK("https://pubmed.ncbi.nlm.nih.gov/?term=20188338%2C32063487","2")</f>
        <v>0</v>
      </c>
      <c r="M299">
        <v>1</v>
      </c>
      <c r="N299" t="s">
        <v>1185</v>
      </c>
      <c r="O299" t="s">
        <v>1185</v>
      </c>
    </row>
    <row r="300" spans="1:15">
      <c r="A300" t="s">
        <v>931</v>
      </c>
      <c r="B300">
        <v>0.153</v>
      </c>
      <c r="C300">
        <v>4</v>
      </c>
      <c r="D300" t="s">
        <v>987</v>
      </c>
      <c r="F300" t="s">
        <v>9</v>
      </c>
      <c r="G300">
        <v>0</v>
      </c>
      <c r="H300">
        <v>0</v>
      </c>
      <c r="I300">
        <v>0</v>
      </c>
      <c r="J300">
        <v>0</v>
      </c>
      <c r="K300" s="1">
        <f>HYPERLINK("https://pubmed.ncbi.nlm.nih.gov/?term=18728705","1")</f>
        <v>0</v>
      </c>
      <c r="M300">
        <v>1</v>
      </c>
      <c r="N300" t="s">
        <v>1185</v>
      </c>
      <c r="O300" t="s">
        <v>1185</v>
      </c>
    </row>
    <row r="301" spans="1:15">
      <c r="A301" t="s">
        <v>932</v>
      </c>
      <c r="B301">
        <v>0.153</v>
      </c>
      <c r="C301">
        <v>3</v>
      </c>
      <c r="D301" t="s">
        <v>987</v>
      </c>
      <c r="F301" t="s">
        <v>9</v>
      </c>
      <c r="G301">
        <v>0</v>
      </c>
      <c r="H301">
        <v>0</v>
      </c>
      <c r="I301">
        <v>0</v>
      </c>
      <c r="J301">
        <v>0</v>
      </c>
      <c r="K301" s="1">
        <f>HYPERLINK("https://pubmed.ncbi.nlm.nih.gov/?term=18226731","1")</f>
        <v>0</v>
      </c>
      <c r="M301">
        <v>1</v>
      </c>
      <c r="N301" t="s">
        <v>31</v>
      </c>
      <c r="O301" t="s">
        <v>31</v>
      </c>
    </row>
    <row r="302" spans="1:15">
      <c r="A302" t="s">
        <v>933</v>
      </c>
      <c r="B302">
        <v>0.153</v>
      </c>
      <c r="C302">
        <v>2</v>
      </c>
      <c r="D302" t="s">
        <v>987</v>
      </c>
      <c r="F302" t="s">
        <v>9</v>
      </c>
      <c r="G302">
        <v>0</v>
      </c>
      <c r="H302">
        <v>0</v>
      </c>
      <c r="I302">
        <v>0</v>
      </c>
      <c r="J302">
        <v>0</v>
      </c>
      <c r="K302" s="1">
        <f>HYPERLINK("https://pubmed.ncbi.nlm.nih.gov/?term=18226731","1")</f>
        <v>0</v>
      </c>
      <c r="M302">
        <v>1</v>
      </c>
      <c r="N302" t="s">
        <v>31</v>
      </c>
      <c r="O302" t="s">
        <v>31</v>
      </c>
    </row>
    <row r="303" spans="1:15">
      <c r="A303" t="s">
        <v>934</v>
      </c>
      <c r="B303">
        <v>0.153</v>
      </c>
      <c r="C303">
        <v>2</v>
      </c>
      <c r="D303" t="s">
        <v>987</v>
      </c>
      <c r="F303" t="s">
        <v>9</v>
      </c>
      <c r="G303">
        <v>0</v>
      </c>
      <c r="H303">
        <v>0</v>
      </c>
      <c r="I303">
        <v>0</v>
      </c>
      <c r="J303">
        <v>0</v>
      </c>
      <c r="K303" s="1">
        <f>HYPERLINK("https://pubmed.ncbi.nlm.nih.gov/?term=11253984","1")</f>
        <v>0</v>
      </c>
      <c r="M303">
        <v>1</v>
      </c>
      <c r="N303" t="s">
        <v>31</v>
      </c>
      <c r="O303" t="s">
        <v>31</v>
      </c>
    </row>
    <row r="304" spans="1:15">
      <c r="A304" t="s">
        <v>935</v>
      </c>
      <c r="B304">
        <v>0.153</v>
      </c>
      <c r="C304">
        <v>2</v>
      </c>
      <c r="D304" t="s">
        <v>987</v>
      </c>
      <c r="F304" t="s">
        <v>9</v>
      </c>
      <c r="G304">
        <v>0</v>
      </c>
      <c r="H304">
        <v>0</v>
      </c>
      <c r="I304">
        <v>0</v>
      </c>
      <c r="J304">
        <v>0</v>
      </c>
      <c r="K304" s="1">
        <f>HYPERLINK("https://pubmed.ncbi.nlm.nih.gov/?term=18261212%2C24314388","2")</f>
        <v>0</v>
      </c>
      <c r="M304">
        <v>1</v>
      </c>
      <c r="N304" t="s">
        <v>31</v>
      </c>
      <c r="O304" t="s">
        <v>31</v>
      </c>
    </row>
    <row r="305" spans="1:15">
      <c r="A305" t="s">
        <v>936</v>
      </c>
      <c r="B305">
        <v>0.153</v>
      </c>
      <c r="C305">
        <v>2</v>
      </c>
      <c r="D305" t="s">
        <v>987</v>
      </c>
      <c r="F305" t="s">
        <v>9</v>
      </c>
      <c r="G305">
        <v>0</v>
      </c>
      <c r="H305">
        <v>0</v>
      </c>
      <c r="I305">
        <v>0</v>
      </c>
      <c r="J305">
        <v>0</v>
      </c>
      <c r="L305" s="1">
        <f>HYPERLINK("http://dx.doi.org/10.1016/j.adengl.2020.12.024","10.1016/j.adengl.2020.12.024")</f>
        <v>0</v>
      </c>
      <c r="M305">
        <v>1</v>
      </c>
      <c r="N305" t="s">
        <v>31</v>
      </c>
      <c r="O305" t="s">
        <v>31</v>
      </c>
    </row>
    <row r="306" spans="1:15">
      <c r="A306" t="s">
        <v>937</v>
      </c>
      <c r="B306">
        <v>0.153</v>
      </c>
      <c r="C306">
        <v>1</v>
      </c>
      <c r="D306" t="s">
        <v>987</v>
      </c>
      <c r="F306" t="s">
        <v>9</v>
      </c>
      <c r="G306">
        <v>0</v>
      </c>
      <c r="H306">
        <v>0</v>
      </c>
      <c r="I306">
        <v>0</v>
      </c>
      <c r="J306">
        <v>0</v>
      </c>
      <c r="M306">
        <v>1</v>
      </c>
      <c r="N306" t="s">
        <v>31</v>
      </c>
      <c r="O306" t="s">
        <v>31</v>
      </c>
    </row>
    <row r="307" spans="1:15">
      <c r="A307" t="s">
        <v>938</v>
      </c>
      <c r="B307">
        <v>0.153</v>
      </c>
      <c r="C307">
        <v>1</v>
      </c>
      <c r="D307" t="s">
        <v>987</v>
      </c>
      <c r="F307" t="s">
        <v>9</v>
      </c>
      <c r="G307">
        <v>0</v>
      </c>
      <c r="H307">
        <v>0</v>
      </c>
      <c r="I307">
        <v>0</v>
      </c>
      <c r="J307">
        <v>0</v>
      </c>
      <c r="M307">
        <v>1</v>
      </c>
      <c r="N307" t="s">
        <v>31</v>
      </c>
      <c r="O307" t="s">
        <v>31</v>
      </c>
    </row>
    <row r="308" spans="1:15">
      <c r="A308" t="s">
        <v>939</v>
      </c>
      <c r="B308">
        <v>0.153</v>
      </c>
      <c r="C308">
        <v>1</v>
      </c>
      <c r="D308" t="s">
        <v>987</v>
      </c>
      <c r="F308" t="s">
        <v>9</v>
      </c>
      <c r="G308">
        <v>0</v>
      </c>
      <c r="H308">
        <v>0</v>
      </c>
      <c r="I308">
        <v>0</v>
      </c>
      <c r="J308">
        <v>0</v>
      </c>
      <c r="M308">
        <v>1</v>
      </c>
      <c r="N308" t="s">
        <v>31</v>
      </c>
      <c r="O308" t="s">
        <v>31</v>
      </c>
    </row>
    <row r="309" spans="1:15">
      <c r="A309" t="s">
        <v>940</v>
      </c>
      <c r="B309">
        <v>0.153</v>
      </c>
      <c r="C309">
        <v>1</v>
      </c>
      <c r="D309" t="s">
        <v>987</v>
      </c>
      <c r="F309" t="s">
        <v>9</v>
      </c>
      <c r="G309">
        <v>0</v>
      </c>
      <c r="H309">
        <v>0</v>
      </c>
      <c r="I309">
        <v>0</v>
      </c>
      <c r="J309">
        <v>0</v>
      </c>
      <c r="M309">
        <v>1</v>
      </c>
      <c r="N309" t="s">
        <v>31</v>
      </c>
      <c r="O309" t="s">
        <v>31</v>
      </c>
    </row>
    <row r="310" spans="1:15">
      <c r="A310" t="s">
        <v>941</v>
      </c>
      <c r="B310">
        <v>0.153</v>
      </c>
      <c r="C310">
        <v>1</v>
      </c>
      <c r="D310" t="s">
        <v>987</v>
      </c>
      <c r="F310" t="s">
        <v>9</v>
      </c>
      <c r="G310">
        <v>0</v>
      </c>
      <c r="H310">
        <v>0</v>
      </c>
      <c r="I310">
        <v>0</v>
      </c>
      <c r="J310">
        <v>0</v>
      </c>
      <c r="M310">
        <v>1</v>
      </c>
      <c r="N310" t="s">
        <v>31</v>
      </c>
      <c r="O310" t="s">
        <v>31</v>
      </c>
    </row>
    <row r="311" spans="1:15">
      <c r="A311" t="s">
        <v>942</v>
      </c>
      <c r="B311">
        <v>0.153</v>
      </c>
      <c r="C311">
        <v>1</v>
      </c>
      <c r="D311" t="s">
        <v>987</v>
      </c>
      <c r="F311" t="s">
        <v>9</v>
      </c>
      <c r="G311">
        <v>0</v>
      </c>
      <c r="H311">
        <v>0</v>
      </c>
      <c r="I311">
        <v>0</v>
      </c>
      <c r="J311">
        <v>0</v>
      </c>
      <c r="M311">
        <v>1</v>
      </c>
      <c r="N311" t="s">
        <v>31</v>
      </c>
      <c r="O311" t="s">
        <v>31</v>
      </c>
    </row>
    <row r="312" spans="1:15">
      <c r="A312" t="s">
        <v>943</v>
      </c>
      <c r="B312">
        <v>0.153</v>
      </c>
      <c r="C312">
        <v>0</v>
      </c>
      <c r="D312" t="s">
        <v>987</v>
      </c>
      <c r="F312" t="s">
        <v>9</v>
      </c>
      <c r="G312">
        <v>0</v>
      </c>
      <c r="H312">
        <v>0</v>
      </c>
      <c r="I312">
        <v>0</v>
      </c>
      <c r="J312">
        <v>0</v>
      </c>
      <c r="M312">
        <v>1</v>
      </c>
      <c r="N312" t="s">
        <v>31</v>
      </c>
      <c r="O312" t="s">
        <v>31</v>
      </c>
    </row>
    <row r="313" spans="1:15">
      <c r="A313" t="s">
        <v>944</v>
      </c>
      <c r="B313">
        <v>0.153</v>
      </c>
      <c r="C313">
        <v>0</v>
      </c>
      <c r="D313" t="s">
        <v>987</v>
      </c>
      <c r="F313" t="s">
        <v>9</v>
      </c>
      <c r="G313">
        <v>0</v>
      </c>
      <c r="H313">
        <v>0</v>
      </c>
      <c r="I313">
        <v>0</v>
      </c>
      <c r="J313">
        <v>0</v>
      </c>
      <c r="M313">
        <v>1</v>
      </c>
      <c r="N313" t="s">
        <v>31</v>
      </c>
      <c r="O313" t="s">
        <v>31</v>
      </c>
    </row>
    <row r="314" spans="1:15">
      <c r="A314" t="s">
        <v>945</v>
      </c>
      <c r="B314">
        <v>0.153</v>
      </c>
      <c r="C314">
        <v>0</v>
      </c>
      <c r="D314" t="s">
        <v>987</v>
      </c>
      <c r="F314" t="s">
        <v>9</v>
      </c>
      <c r="G314">
        <v>0</v>
      </c>
      <c r="H314">
        <v>0</v>
      </c>
      <c r="I314">
        <v>0</v>
      </c>
      <c r="J314">
        <v>0</v>
      </c>
      <c r="M314">
        <v>1</v>
      </c>
      <c r="N314" t="s">
        <v>31</v>
      </c>
      <c r="O314" t="s">
        <v>31</v>
      </c>
    </row>
    <row r="315" spans="1:15">
      <c r="A315" t="s">
        <v>946</v>
      </c>
      <c r="B315">
        <v>0.153</v>
      </c>
      <c r="C315">
        <v>0</v>
      </c>
      <c r="D315" t="s">
        <v>987</v>
      </c>
      <c r="F315" t="s">
        <v>9</v>
      </c>
      <c r="G315">
        <v>0</v>
      </c>
      <c r="H315">
        <v>0</v>
      </c>
      <c r="I315">
        <v>0</v>
      </c>
      <c r="J315">
        <v>0</v>
      </c>
      <c r="K315" s="1">
        <f>HYPERLINK("https://pubmed.ncbi.nlm.nih.gov/?term=29032440","1")</f>
        <v>0</v>
      </c>
      <c r="M315">
        <v>1</v>
      </c>
      <c r="N315" t="s">
        <v>31</v>
      </c>
      <c r="O315" t="s">
        <v>31</v>
      </c>
    </row>
    <row r="316" spans="1:15">
      <c r="A316" t="s">
        <v>947</v>
      </c>
      <c r="B316">
        <v>0.153</v>
      </c>
      <c r="C316">
        <v>0</v>
      </c>
      <c r="D316" t="s">
        <v>987</v>
      </c>
      <c r="F316" t="s">
        <v>9</v>
      </c>
      <c r="G316">
        <v>0</v>
      </c>
      <c r="H316">
        <v>0</v>
      </c>
      <c r="I316">
        <v>0</v>
      </c>
      <c r="J316">
        <v>0</v>
      </c>
      <c r="M316">
        <v>1</v>
      </c>
      <c r="N316" t="s">
        <v>31</v>
      </c>
      <c r="O316" t="s">
        <v>31</v>
      </c>
    </row>
    <row r="317" spans="1:15">
      <c r="A317" t="s">
        <v>948</v>
      </c>
      <c r="B317">
        <v>0.153</v>
      </c>
      <c r="C317">
        <v>0</v>
      </c>
      <c r="D317" t="s">
        <v>987</v>
      </c>
      <c r="F317" t="s">
        <v>9</v>
      </c>
      <c r="G317">
        <v>0</v>
      </c>
      <c r="H317">
        <v>0</v>
      </c>
      <c r="I317">
        <v>0</v>
      </c>
      <c r="J317">
        <v>0</v>
      </c>
      <c r="K317" s="1">
        <f>HYPERLINK("https://pubmed.ncbi.nlm.nih.gov/?term=16828412","1")</f>
        <v>0</v>
      </c>
      <c r="M317">
        <v>1</v>
      </c>
      <c r="N317" t="s">
        <v>31</v>
      </c>
      <c r="O317" t="s">
        <v>31</v>
      </c>
    </row>
    <row r="318" spans="1:15">
      <c r="A318" t="s">
        <v>949</v>
      </c>
      <c r="B318">
        <v>0.153</v>
      </c>
      <c r="C318">
        <v>0</v>
      </c>
      <c r="D318" t="s">
        <v>987</v>
      </c>
      <c r="F318" t="s">
        <v>9</v>
      </c>
      <c r="G318">
        <v>0</v>
      </c>
      <c r="H318">
        <v>0</v>
      </c>
      <c r="I318">
        <v>0</v>
      </c>
      <c r="J318">
        <v>0</v>
      </c>
      <c r="M318">
        <v>1</v>
      </c>
      <c r="N318" t="s">
        <v>31</v>
      </c>
      <c r="O318" t="s">
        <v>31</v>
      </c>
    </row>
    <row r="319" spans="1:15">
      <c r="A319" t="s">
        <v>950</v>
      </c>
      <c r="B319">
        <v>0.153</v>
      </c>
      <c r="C319">
        <v>0</v>
      </c>
      <c r="D319" t="s">
        <v>987</v>
      </c>
      <c r="F319" t="s">
        <v>9</v>
      </c>
      <c r="G319">
        <v>0</v>
      </c>
      <c r="H319">
        <v>0</v>
      </c>
      <c r="I319">
        <v>0</v>
      </c>
      <c r="J319">
        <v>0</v>
      </c>
      <c r="M319">
        <v>1</v>
      </c>
      <c r="N319" t="s">
        <v>31</v>
      </c>
      <c r="O319" t="s">
        <v>31</v>
      </c>
    </row>
    <row r="320" spans="1:15">
      <c r="A320" t="s">
        <v>951</v>
      </c>
      <c r="B320">
        <v>0.136</v>
      </c>
      <c r="C320">
        <v>47</v>
      </c>
      <c r="D320" t="s">
        <v>987</v>
      </c>
      <c r="F320" t="s">
        <v>2</v>
      </c>
      <c r="G320">
        <v>0</v>
      </c>
      <c r="H320">
        <v>0</v>
      </c>
      <c r="I320">
        <v>0</v>
      </c>
      <c r="J320">
        <v>0</v>
      </c>
      <c r="K320" s="1">
        <f>HYPERLINK("https://pubmed.ncbi.nlm.nih.gov/?term=23255978%2C20188338%2C24472290%2C26957701%2C29802835","5")</f>
        <v>0</v>
      </c>
      <c r="M320">
        <v>1</v>
      </c>
      <c r="N320" t="s">
        <v>31</v>
      </c>
      <c r="O320" t="s">
        <v>31</v>
      </c>
    </row>
    <row r="321" spans="1:15">
      <c r="A321" t="s">
        <v>952</v>
      </c>
      <c r="B321">
        <v>0.299</v>
      </c>
      <c r="C321">
        <v>5</v>
      </c>
      <c r="D321" t="s">
        <v>987</v>
      </c>
      <c r="F321" t="s">
        <v>6</v>
      </c>
      <c r="G321">
        <v>0</v>
      </c>
      <c r="H321">
        <v>0</v>
      </c>
      <c r="I321">
        <v>0</v>
      </c>
      <c r="J321">
        <v>0</v>
      </c>
      <c r="K321" s="1">
        <f>HYPERLINK("https://pubmed.ncbi.nlm.nih.gov/?term=20188338","1")</f>
        <v>0</v>
      </c>
      <c r="M321">
        <v>2</v>
      </c>
      <c r="N321" t="s">
        <v>1163</v>
      </c>
      <c r="O321" t="s">
        <v>1224</v>
      </c>
    </row>
    <row r="322" spans="1:15">
      <c r="A322" t="s">
        <v>953</v>
      </c>
      <c r="B322">
        <v>0.299</v>
      </c>
      <c r="C322">
        <v>1</v>
      </c>
      <c r="D322" t="s">
        <v>987</v>
      </c>
      <c r="F322" t="s">
        <v>6</v>
      </c>
      <c r="G322">
        <v>0</v>
      </c>
      <c r="H322">
        <v>0</v>
      </c>
      <c r="I322">
        <v>0</v>
      </c>
      <c r="J322">
        <v>0</v>
      </c>
      <c r="K322" s="1">
        <f>HYPERLINK("https://pubmed.ncbi.nlm.nih.gov/?term=22153789","1")</f>
        <v>0</v>
      </c>
      <c r="M322">
        <v>2</v>
      </c>
      <c r="N322" t="s">
        <v>1164</v>
      </c>
      <c r="O322" t="s">
        <v>1224</v>
      </c>
    </row>
    <row r="323" spans="1:15">
      <c r="A323" t="s">
        <v>954</v>
      </c>
      <c r="B323">
        <v>0.146</v>
      </c>
      <c r="C323">
        <v>1</v>
      </c>
      <c r="D323" t="s">
        <v>987</v>
      </c>
      <c r="F323" t="s">
        <v>6</v>
      </c>
      <c r="G323">
        <v>0</v>
      </c>
      <c r="H323">
        <v>0</v>
      </c>
      <c r="I323">
        <v>0</v>
      </c>
      <c r="J323">
        <v>0</v>
      </c>
      <c r="M323">
        <v>1</v>
      </c>
      <c r="N323" t="s">
        <v>1186</v>
      </c>
      <c r="O323" t="s">
        <v>1186</v>
      </c>
    </row>
    <row r="324" spans="1:15">
      <c r="A324" t="s">
        <v>955</v>
      </c>
      <c r="B324">
        <v>0.325</v>
      </c>
      <c r="C324">
        <v>231</v>
      </c>
      <c r="D324" t="s">
        <v>987</v>
      </c>
      <c r="F324" t="s">
        <v>992</v>
      </c>
      <c r="G324">
        <v>0</v>
      </c>
      <c r="H324">
        <v>0</v>
      </c>
      <c r="I324">
        <v>0</v>
      </c>
      <c r="J324">
        <v>0</v>
      </c>
      <c r="K324" s="1">
        <f>HYPERLINK("https://pubmed.ncbi.nlm.nih.gov/?term=24342289","11")</f>
        <v>0</v>
      </c>
      <c r="L324" s="1">
        <f>HYPERLINK("http://dx.doi.org/10.1016/j.livres.2017.12.011","10.1016/j.livres.2017.12.011;10.1016/j.livres.2017.12.003")</f>
        <v>0</v>
      </c>
      <c r="M324">
        <v>3</v>
      </c>
      <c r="N324" t="s">
        <v>1148</v>
      </c>
      <c r="O324" t="s">
        <v>1225</v>
      </c>
    </row>
    <row r="325" spans="1:15">
      <c r="A325" t="s">
        <v>956</v>
      </c>
      <c r="B325">
        <v>1.314</v>
      </c>
      <c r="C325">
        <v>427</v>
      </c>
      <c r="D325" t="s">
        <v>987</v>
      </c>
      <c r="E325" t="s">
        <v>6</v>
      </c>
      <c r="F325" t="s">
        <v>992</v>
      </c>
      <c r="G325">
        <v>0</v>
      </c>
      <c r="H325">
        <v>0</v>
      </c>
      <c r="I325">
        <v>0</v>
      </c>
      <c r="J325">
        <v>0</v>
      </c>
      <c r="K325" s="1">
        <f>HYPERLINK("https://pubmed.ncbi.nlm.nih.gov/?term=19345328","1")</f>
        <v>0</v>
      </c>
      <c r="M325">
        <v>11</v>
      </c>
      <c r="N325" t="s">
        <v>1046</v>
      </c>
      <c r="O325" t="s">
        <v>1225</v>
      </c>
    </row>
    <row r="326" spans="1:15">
      <c r="A326" t="s">
        <v>957</v>
      </c>
      <c r="B326">
        <v>0.391</v>
      </c>
      <c r="C326">
        <v>11</v>
      </c>
      <c r="D326" t="s">
        <v>987</v>
      </c>
      <c r="F326" t="s">
        <v>4</v>
      </c>
      <c r="G326">
        <v>0</v>
      </c>
      <c r="H326">
        <v>0</v>
      </c>
      <c r="I326">
        <v>0</v>
      </c>
      <c r="J326">
        <v>0</v>
      </c>
      <c r="K326" s="1">
        <f>HYPERLINK("https://pubmed.ncbi.nlm.nih.gov/?term=24892279%2C20707247%2C20129193%2C28410949%2C23018211","5")</f>
        <v>0</v>
      </c>
      <c r="M326">
        <v>3</v>
      </c>
      <c r="N326" t="s">
        <v>1150</v>
      </c>
      <c r="O326" t="s">
        <v>1225</v>
      </c>
    </row>
    <row r="327" spans="1:15">
      <c r="A327" t="s">
        <v>958</v>
      </c>
      <c r="B327">
        <v>0.325</v>
      </c>
      <c r="C327">
        <v>47</v>
      </c>
      <c r="D327" t="s">
        <v>987</v>
      </c>
      <c r="F327" t="s">
        <v>1</v>
      </c>
      <c r="G327">
        <v>0</v>
      </c>
      <c r="H327">
        <v>0</v>
      </c>
      <c r="I327">
        <v>0</v>
      </c>
      <c r="J327">
        <v>0</v>
      </c>
      <c r="K327" s="1">
        <f>HYPERLINK("https://pubmed.ncbi.nlm.nih.gov/?term=20868400","1")</f>
        <v>0</v>
      </c>
      <c r="M327">
        <v>3</v>
      </c>
      <c r="N327" t="s">
        <v>1158</v>
      </c>
      <c r="O327" t="s">
        <v>1187</v>
      </c>
    </row>
    <row r="328" spans="1:15">
      <c r="A328" t="s">
        <v>959</v>
      </c>
      <c r="B328">
        <v>0</v>
      </c>
      <c r="C328">
        <v>335</v>
      </c>
      <c r="D328" t="s">
        <v>987</v>
      </c>
      <c r="F328" t="s">
        <v>4</v>
      </c>
      <c r="G328">
        <v>0</v>
      </c>
      <c r="H328">
        <v>0</v>
      </c>
      <c r="I328">
        <v>0</v>
      </c>
      <c r="J328">
        <v>0</v>
      </c>
      <c r="K328" s="1">
        <f>HYPERLINK("https://pubmed.ncbi.nlm.nih.gov/?term=33260476%2C33205035","30")</f>
        <v>0</v>
      </c>
      <c r="L328" s="1">
        <f>HYPERLINK("http://dx.doi.org/10.1016/j.livres.2017.12.011","10.1016/j.livres.2017.12.011;10.1016/j.livres.2017.12.003")</f>
        <v>0</v>
      </c>
      <c r="M328">
        <v>1</v>
      </c>
      <c r="N328" t="s">
        <v>1187</v>
      </c>
      <c r="O328" t="s">
        <v>1187</v>
      </c>
    </row>
    <row r="329" spans="1:15">
      <c r="A329" t="s">
        <v>960</v>
      </c>
      <c r="B329">
        <v>0.299</v>
      </c>
      <c r="C329">
        <v>11</v>
      </c>
      <c r="D329" t="s">
        <v>987</v>
      </c>
      <c r="F329" t="s">
        <v>6</v>
      </c>
      <c r="G329">
        <v>0</v>
      </c>
      <c r="H329">
        <v>0</v>
      </c>
      <c r="I329">
        <v>0</v>
      </c>
      <c r="J329">
        <v>0</v>
      </c>
      <c r="M329">
        <v>3</v>
      </c>
      <c r="N329" t="s">
        <v>1163</v>
      </c>
      <c r="O329" t="s">
        <v>1188</v>
      </c>
    </row>
    <row r="330" spans="1:15">
      <c r="A330" t="s">
        <v>961</v>
      </c>
      <c r="B330">
        <v>0.092</v>
      </c>
      <c r="C330">
        <v>22</v>
      </c>
      <c r="D330" t="s">
        <v>987</v>
      </c>
      <c r="F330" t="s">
        <v>4</v>
      </c>
      <c r="G330">
        <v>0</v>
      </c>
      <c r="H330">
        <v>0</v>
      </c>
      <c r="I330">
        <v>0</v>
      </c>
      <c r="J330">
        <v>0</v>
      </c>
      <c r="K330" s="1">
        <f>HYPERLINK("https://pubmed.ncbi.nlm.nih.gov/?term=32972602%2C24314388","3")</f>
        <v>0</v>
      </c>
      <c r="L330" s="1">
        <f>HYPERLINK("http://dx.doi.org/10.1016/S0190-9622(00)70202-7","10.1016/S0190-9622(00)70202-7")</f>
        <v>0</v>
      </c>
      <c r="M330">
        <v>1</v>
      </c>
      <c r="N330" t="s">
        <v>1188</v>
      </c>
      <c r="O330" t="s">
        <v>1188</v>
      </c>
    </row>
    <row r="331" spans="1:15">
      <c r="A331" t="s">
        <v>962</v>
      </c>
      <c r="B331">
        <v>0.08</v>
      </c>
      <c r="C331">
        <v>23</v>
      </c>
      <c r="D331" t="s">
        <v>987</v>
      </c>
      <c r="F331" t="s">
        <v>996</v>
      </c>
      <c r="G331">
        <v>0</v>
      </c>
      <c r="H331">
        <v>0</v>
      </c>
      <c r="I331">
        <v>0</v>
      </c>
      <c r="J331">
        <v>0</v>
      </c>
      <c r="K331" s="1">
        <f>HYPERLINK("https://pubmed.ncbi.nlm.nih.gov/?term=32335259","2")</f>
        <v>0</v>
      </c>
      <c r="M331">
        <v>1</v>
      </c>
      <c r="N331" t="s">
        <v>1189</v>
      </c>
      <c r="O331" t="s">
        <v>1189</v>
      </c>
    </row>
    <row r="332" spans="1:15">
      <c r="A332" t="s">
        <v>963</v>
      </c>
      <c r="B332">
        <v>0.079</v>
      </c>
      <c r="C332">
        <v>17</v>
      </c>
      <c r="D332" t="s">
        <v>987</v>
      </c>
      <c r="F332" t="s">
        <v>6</v>
      </c>
      <c r="G332">
        <v>0</v>
      </c>
      <c r="H332">
        <v>0</v>
      </c>
      <c r="I332">
        <v>0</v>
      </c>
      <c r="J332">
        <v>0</v>
      </c>
      <c r="K332" s="1">
        <f>HYPERLINK("https://pubmed.ncbi.nlm.nih.gov/?term=22047791%2C28779712%2C29574203","3")</f>
        <v>0</v>
      </c>
      <c r="M332">
        <v>1</v>
      </c>
      <c r="N332" t="s">
        <v>1190</v>
      </c>
      <c r="O332" t="s">
        <v>1190</v>
      </c>
    </row>
    <row r="333" spans="1:15">
      <c r="A333" t="s">
        <v>964</v>
      </c>
      <c r="B333">
        <v>0.233</v>
      </c>
      <c r="C333">
        <v>50</v>
      </c>
      <c r="D333" t="s">
        <v>987</v>
      </c>
      <c r="F333" t="s">
        <v>1021</v>
      </c>
      <c r="G333">
        <v>0</v>
      </c>
      <c r="H333">
        <v>0</v>
      </c>
      <c r="I333">
        <v>0</v>
      </c>
      <c r="J333">
        <v>0</v>
      </c>
      <c r="K333" s="1">
        <f>HYPERLINK("https://pubmed.ncbi.nlm.nih.gov/?term=22153789%2C32754750%2C33112274","3")</f>
        <v>0</v>
      </c>
      <c r="M333">
        <v>3</v>
      </c>
      <c r="N333" t="s">
        <v>1169</v>
      </c>
      <c r="O333" t="s">
        <v>1190</v>
      </c>
    </row>
    <row r="334" spans="1:15">
      <c r="A334" t="s">
        <v>965</v>
      </c>
      <c r="B334">
        <v>0.07099999999999999</v>
      </c>
      <c r="C334">
        <v>23</v>
      </c>
      <c r="D334" t="s">
        <v>987</v>
      </c>
      <c r="E334" t="s">
        <v>6</v>
      </c>
      <c r="F334" t="s">
        <v>9</v>
      </c>
      <c r="G334">
        <v>0</v>
      </c>
      <c r="H334">
        <v>0</v>
      </c>
      <c r="I334">
        <v>0</v>
      </c>
      <c r="J334">
        <v>0</v>
      </c>
      <c r="M334">
        <v>1</v>
      </c>
      <c r="N334" t="s">
        <v>1191</v>
      </c>
      <c r="O334" t="s">
        <v>1191</v>
      </c>
    </row>
    <row r="335" spans="1:15">
      <c r="A335" t="s">
        <v>966</v>
      </c>
      <c r="B335">
        <v>0.153</v>
      </c>
      <c r="C335">
        <v>7</v>
      </c>
      <c r="D335" t="s">
        <v>987</v>
      </c>
      <c r="F335" t="s">
        <v>9</v>
      </c>
      <c r="G335">
        <v>0</v>
      </c>
      <c r="H335">
        <v>0</v>
      </c>
      <c r="I335">
        <v>0</v>
      </c>
      <c r="J335">
        <v>0</v>
      </c>
      <c r="K335" s="1">
        <f>HYPERLINK("https://pubmed.ncbi.nlm.nih.gov/?term=18226731%2C31266132","2")</f>
        <v>0</v>
      </c>
      <c r="M335">
        <v>2</v>
      </c>
      <c r="N335" t="s">
        <v>1185</v>
      </c>
      <c r="O335" t="s">
        <v>1191</v>
      </c>
    </row>
    <row r="336" spans="1:15">
      <c r="A336" t="s">
        <v>967</v>
      </c>
      <c r="B336">
        <v>0.153</v>
      </c>
      <c r="C336">
        <v>2</v>
      </c>
      <c r="D336" t="s">
        <v>987</v>
      </c>
      <c r="F336" t="s">
        <v>9</v>
      </c>
      <c r="G336">
        <v>0</v>
      </c>
      <c r="H336">
        <v>0</v>
      </c>
      <c r="I336">
        <v>0</v>
      </c>
      <c r="J336">
        <v>0</v>
      </c>
      <c r="K336" s="1">
        <f>HYPERLINK("https://pubmed.ncbi.nlm.nih.gov/?term=22052063%2C22014497","2")</f>
        <v>0</v>
      </c>
      <c r="M336">
        <v>2</v>
      </c>
      <c r="N336" t="s">
        <v>31</v>
      </c>
      <c r="O336" t="s">
        <v>1191</v>
      </c>
    </row>
    <row r="337" spans="1:15">
      <c r="A337" t="s">
        <v>968</v>
      </c>
      <c r="B337">
        <v>0.153</v>
      </c>
      <c r="C337">
        <v>1</v>
      </c>
      <c r="D337" t="s">
        <v>987</v>
      </c>
      <c r="F337" t="s">
        <v>9</v>
      </c>
      <c r="G337">
        <v>0</v>
      </c>
      <c r="H337">
        <v>0</v>
      </c>
      <c r="I337">
        <v>0</v>
      </c>
      <c r="J337">
        <v>0</v>
      </c>
      <c r="M337">
        <v>2</v>
      </c>
      <c r="N337" t="s">
        <v>31</v>
      </c>
      <c r="O337" t="s">
        <v>1191</v>
      </c>
    </row>
    <row r="338" spans="1:15">
      <c r="A338" t="s">
        <v>969</v>
      </c>
      <c r="B338">
        <v>0.153</v>
      </c>
      <c r="C338">
        <v>1</v>
      </c>
      <c r="D338" t="s">
        <v>987</v>
      </c>
      <c r="F338" t="s">
        <v>9</v>
      </c>
      <c r="G338">
        <v>0</v>
      </c>
      <c r="H338">
        <v>0</v>
      </c>
      <c r="I338">
        <v>0</v>
      </c>
      <c r="J338">
        <v>0</v>
      </c>
      <c r="M338">
        <v>2</v>
      </c>
      <c r="N338" t="s">
        <v>31</v>
      </c>
      <c r="O338" t="s">
        <v>1191</v>
      </c>
    </row>
    <row r="339" spans="1:15">
      <c r="A339" t="s">
        <v>970</v>
      </c>
      <c r="B339">
        <v>0.153</v>
      </c>
      <c r="C339">
        <v>0</v>
      </c>
      <c r="D339" t="s">
        <v>987</v>
      </c>
      <c r="F339" t="s">
        <v>9</v>
      </c>
      <c r="G339">
        <v>0</v>
      </c>
      <c r="H339">
        <v>0</v>
      </c>
      <c r="I339">
        <v>0</v>
      </c>
      <c r="J339">
        <v>0</v>
      </c>
      <c r="M339">
        <v>2</v>
      </c>
      <c r="N339" t="s">
        <v>31</v>
      </c>
      <c r="O339" t="s">
        <v>1191</v>
      </c>
    </row>
    <row r="340" spans="1:15">
      <c r="A340" t="s">
        <v>971</v>
      </c>
      <c r="B340">
        <v>0.852</v>
      </c>
      <c r="C340">
        <v>206</v>
      </c>
      <c r="D340" t="s">
        <v>987</v>
      </c>
      <c r="F340" t="s">
        <v>1</v>
      </c>
      <c r="G340">
        <v>0</v>
      </c>
      <c r="H340">
        <v>0</v>
      </c>
      <c r="I340">
        <v>0</v>
      </c>
      <c r="J340">
        <v>0</v>
      </c>
      <c r="K340" s="1">
        <f>HYPERLINK("https://pubmed.ncbi.nlm.nih.gov/?term=12163131%2C9144890","2")</f>
        <v>0</v>
      </c>
      <c r="M340">
        <v>15</v>
      </c>
      <c r="N340" t="s">
        <v>1192</v>
      </c>
      <c r="O340" t="s">
        <v>1226</v>
      </c>
    </row>
    <row r="341" spans="1:15">
      <c r="A341" t="s">
        <v>972</v>
      </c>
      <c r="B341">
        <v>0.153</v>
      </c>
      <c r="C341">
        <v>11</v>
      </c>
      <c r="D341" t="s">
        <v>987</v>
      </c>
      <c r="F341" t="s">
        <v>9</v>
      </c>
      <c r="G341">
        <v>0</v>
      </c>
      <c r="H341">
        <v>0</v>
      </c>
      <c r="I341">
        <v>0</v>
      </c>
      <c r="J341">
        <v>0</v>
      </c>
      <c r="K341" s="1">
        <f>HYPERLINK("https://pubmed.ncbi.nlm.nih.gov/?term=30167009%2C18226732","4")</f>
        <v>0</v>
      </c>
      <c r="L341" s="1">
        <f>HYPERLINK("http://dx.doi.org/10.1016/S1062-1458(02)00520-2","10.1016/S1062-1458(02)00520-2")</f>
        <v>0</v>
      </c>
      <c r="M341">
        <v>3</v>
      </c>
      <c r="N341" t="s">
        <v>1185</v>
      </c>
      <c r="O341" t="s">
        <v>1227</v>
      </c>
    </row>
    <row r="342" spans="1:15">
      <c r="A342" t="s">
        <v>973</v>
      </c>
      <c r="B342">
        <v>0.153</v>
      </c>
      <c r="C342">
        <v>3</v>
      </c>
      <c r="D342" t="s">
        <v>987</v>
      </c>
      <c r="F342" t="s">
        <v>9</v>
      </c>
      <c r="G342">
        <v>0</v>
      </c>
      <c r="H342">
        <v>0</v>
      </c>
      <c r="I342">
        <v>0</v>
      </c>
      <c r="J342">
        <v>0</v>
      </c>
      <c r="M342">
        <v>3</v>
      </c>
      <c r="N342" t="s">
        <v>31</v>
      </c>
      <c r="O342" t="s">
        <v>1227</v>
      </c>
    </row>
    <row r="343" spans="1:15">
      <c r="A343" t="s">
        <v>974</v>
      </c>
      <c r="B343">
        <v>0.047</v>
      </c>
      <c r="C343">
        <v>6</v>
      </c>
      <c r="D343" t="s">
        <v>987</v>
      </c>
      <c r="F343" t="s">
        <v>10</v>
      </c>
      <c r="G343">
        <v>0</v>
      </c>
      <c r="H343">
        <v>0</v>
      </c>
      <c r="I343">
        <v>0</v>
      </c>
      <c r="J343">
        <v>0</v>
      </c>
      <c r="M343">
        <v>1</v>
      </c>
      <c r="N343" t="s">
        <v>1193</v>
      </c>
      <c r="O343" t="s">
        <v>1193</v>
      </c>
    </row>
    <row r="344" spans="1:15">
      <c r="A344" t="s">
        <v>975</v>
      </c>
      <c r="B344">
        <v>1.005</v>
      </c>
      <c r="C344">
        <v>914</v>
      </c>
      <c r="D344" t="s">
        <v>987</v>
      </c>
      <c r="F344" t="s">
        <v>1</v>
      </c>
      <c r="G344">
        <v>0</v>
      </c>
      <c r="H344">
        <v>0</v>
      </c>
      <c r="I344">
        <v>0</v>
      </c>
      <c r="J344">
        <v>0</v>
      </c>
      <c r="K344" s="1">
        <f>HYPERLINK("https://pubmed.ncbi.nlm.nih.gov/?term=25041951","2")</f>
        <v>0</v>
      </c>
      <c r="L344" s="1">
        <f>HYPERLINK("http://dx.doi.org/10.1016/j.pedn.2011.04.029","10.1016/j.pedn.2011.04.029")</f>
        <v>0</v>
      </c>
      <c r="M344">
        <v>31</v>
      </c>
      <c r="N344" t="s">
        <v>1055</v>
      </c>
      <c r="O344" t="s">
        <v>1228</v>
      </c>
    </row>
    <row r="345" spans="1:15">
      <c r="A345" t="s">
        <v>976</v>
      </c>
      <c r="B345">
        <v>0</v>
      </c>
      <c r="C345">
        <v>95</v>
      </c>
      <c r="D345" t="s">
        <v>987</v>
      </c>
      <c r="F345" t="s">
        <v>4</v>
      </c>
      <c r="G345">
        <v>0</v>
      </c>
      <c r="H345">
        <v>0</v>
      </c>
      <c r="I345">
        <v>0</v>
      </c>
      <c r="J345">
        <v>0</v>
      </c>
      <c r="K345" s="1">
        <f>HYPERLINK("https://pubmed.ncbi.nlm.nih.gov/?term=31205633%2C31896402%2C12430621%2C16632375","5")</f>
        <v>0</v>
      </c>
      <c r="L345" s="1">
        <f>HYPERLINK("http://dx.doi.org/10.1016/S0190-9622(00)70202-7","10.1016/S0190-9622(00)70202-7")</f>
        <v>0</v>
      </c>
      <c r="M345">
        <v>1</v>
      </c>
      <c r="N345" t="s">
        <v>1194</v>
      </c>
      <c r="O345" t="s">
        <v>1194</v>
      </c>
    </row>
    <row r="346" spans="1:15">
      <c r="A346" t="s">
        <v>977</v>
      </c>
      <c r="B346">
        <v>0</v>
      </c>
      <c r="C346">
        <v>73</v>
      </c>
      <c r="D346" t="s">
        <v>987</v>
      </c>
      <c r="F346" t="s">
        <v>4</v>
      </c>
      <c r="G346">
        <v>0</v>
      </c>
      <c r="H346">
        <v>0</v>
      </c>
      <c r="I346">
        <v>0</v>
      </c>
      <c r="J346">
        <v>0</v>
      </c>
      <c r="M346">
        <v>1</v>
      </c>
      <c r="N346" t="s">
        <v>1195</v>
      </c>
      <c r="O346" t="s">
        <v>1195</v>
      </c>
    </row>
    <row r="347" spans="1:15">
      <c r="A347" t="s">
        <v>978</v>
      </c>
      <c r="B347">
        <v>0.005</v>
      </c>
      <c r="C347">
        <v>95</v>
      </c>
      <c r="D347" t="s">
        <v>987</v>
      </c>
      <c r="F347" t="s">
        <v>4</v>
      </c>
      <c r="G347">
        <v>0</v>
      </c>
      <c r="H347">
        <v>0</v>
      </c>
      <c r="I347">
        <v>0</v>
      </c>
      <c r="J347">
        <v>0</v>
      </c>
      <c r="M347">
        <v>3</v>
      </c>
      <c r="N347" t="s">
        <v>1196</v>
      </c>
      <c r="O347" t="s">
        <v>1229</v>
      </c>
    </row>
    <row r="348" spans="1:15">
      <c r="A348" t="s">
        <v>979</v>
      </c>
      <c r="B348">
        <v>0.68</v>
      </c>
      <c r="C348">
        <v>1450</v>
      </c>
      <c r="D348" t="s">
        <v>987</v>
      </c>
      <c r="F348" t="s">
        <v>2</v>
      </c>
      <c r="G348">
        <v>0</v>
      </c>
      <c r="H348">
        <v>0</v>
      </c>
      <c r="I348">
        <v>0</v>
      </c>
      <c r="J348">
        <v>0</v>
      </c>
      <c r="K348" s="1">
        <f>HYPERLINK("https://pubmed.ncbi.nlm.nih.gov/?term=23362408%2C21054707%2C28127217%2C33040851","47")</f>
        <v>0</v>
      </c>
      <c r="M348">
        <v>109</v>
      </c>
      <c r="N348" t="s">
        <v>1197</v>
      </c>
      <c r="O348" t="s">
        <v>1198</v>
      </c>
    </row>
    <row r="349" spans="1:15">
      <c r="A349" t="s">
        <v>980</v>
      </c>
      <c r="B349">
        <v>0</v>
      </c>
      <c r="C349">
        <v>25</v>
      </c>
      <c r="D349" t="s">
        <v>987</v>
      </c>
      <c r="F349" t="s">
        <v>9</v>
      </c>
      <c r="G349">
        <v>0</v>
      </c>
      <c r="H349">
        <v>0</v>
      </c>
      <c r="I349">
        <v>0</v>
      </c>
      <c r="J349">
        <v>0</v>
      </c>
      <c r="M349">
        <v>1</v>
      </c>
      <c r="N349" t="s">
        <v>1198</v>
      </c>
      <c r="O349" t="s">
        <v>1198</v>
      </c>
    </row>
    <row r="350" spans="1:15">
      <c r="A350" t="s">
        <v>981</v>
      </c>
      <c r="B350">
        <v>1.831</v>
      </c>
      <c r="C350">
        <v>3076</v>
      </c>
      <c r="D350" t="s">
        <v>987</v>
      </c>
      <c r="F350" t="s">
        <v>1022</v>
      </c>
      <c r="G350">
        <v>0</v>
      </c>
      <c r="H350">
        <v>0</v>
      </c>
      <c r="I350">
        <v>0</v>
      </c>
      <c r="J350">
        <v>0</v>
      </c>
      <c r="K350" s="1">
        <f>HYPERLINK("https://pubmed.ncbi.nlm.nih.gov/?term=30442879%2C23471215%2C34680514%2C30428497%2C30897549","9")</f>
        <v>0</v>
      </c>
      <c r="M350">
        <v>371</v>
      </c>
      <c r="N350" t="s">
        <v>1199</v>
      </c>
      <c r="O350" t="s">
        <v>1230</v>
      </c>
    </row>
    <row r="351" spans="1:15">
      <c r="A351" t="s">
        <v>982</v>
      </c>
      <c r="B351">
        <v>0.391</v>
      </c>
      <c r="C351">
        <v>4786</v>
      </c>
      <c r="D351" t="s">
        <v>987</v>
      </c>
      <c r="F351" t="s">
        <v>4</v>
      </c>
      <c r="G351">
        <v>0</v>
      </c>
      <c r="H351">
        <v>0</v>
      </c>
      <c r="I351">
        <v>0</v>
      </c>
      <c r="J351">
        <v>0</v>
      </c>
      <c r="K351" s="1">
        <f>HYPERLINK("https://pubmed.ncbi.nlm.nih.gov/?term=30582034%2C25622899%2C14693104%2C22442551%2C33542868","7")</f>
        <v>0</v>
      </c>
      <c r="M351">
        <v>329</v>
      </c>
      <c r="N351" t="s">
        <v>1200</v>
      </c>
      <c r="O351" t="s">
        <v>1230</v>
      </c>
    </row>
    <row r="352" spans="1:15">
      <c r="A352" t="s">
        <v>983</v>
      </c>
      <c r="B352">
        <v>0.391</v>
      </c>
      <c r="C352">
        <v>421</v>
      </c>
      <c r="D352" t="s">
        <v>987</v>
      </c>
      <c r="F352" t="s">
        <v>4</v>
      </c>
      <c r="G352">
        <v>0</v>
      </c>
      <c r="H352">
        <v>0</v>
      </c>
      <c r="I352">
        <v>0</v>
      </c>
      <c r="J352">
        <v>0</v>
      </c>
      <c r="K352" s="1">
        <f>HYPERLINK("https://pubmed.ncbi.nlm.nih.gov/?term=26390100%2C27825928%2C25004313%2C29471062","45")</f>
        <v>0</v>
      </c>
      <c r="M352">
        <v>97</v>
      </c>
      <c r="N352" t="s">
        <v>1201</v>
      </c>
      <c r="O352" t="s">
        <v>1230</v>
      </c>
    </row>
    <row r="353" spans="1:15">
      <c r="A353" t="s">
        <v>984</v>
      </c>
      <c r="B353">
        <v>0.153</v>
      </c>
      <c r="C353">
        <v>2041</v>
      </c>
      <c r="D353" t="s">
        <v>987</v>
      </c>
      <c r="F353" t="s">
        <v>9</v>
      </c>
      <c r="G353">
        <v>0</v>
      </c>
      <c r="H353">
        <v>0</v>
      </c>
      <c r="I353">
        <v>0</v>
      </c>
      <c r="J353">
        <v>0</v>
      </c>
      <c r="K353" s="1">
        <f>HYPERLINK("https://pubmed.ncbi.nlm.nih.gov/?term=16698415%2C22153789","76")</f>
        <v>0</v>
      </c>
      <c r="M353">
        <v>287</v>
      </c>
      <c r="N353" t="s">
        <v>1202</v>
      </c>
      <c r="O353" t="s">
        <v>1203</v>
      </c>
    </row>
    <row r="354" spans="1:15">
      <c r="A354" t="s">
        <v>985</v>
      </c>
      <c r="B354">
        <v>0</v>
      </c>
      <c r="C354">
        <v>6</v>
      </c>
      <c r="D354" t="s">
        <v>987</v>
      </c>
      <c r="F354" t="s">
        <v>4</v>
      </c>
      <c r="G354">
        <v>0</v>
      </c>
      <c r="H354">
        <v>0</v>
      </c>
      <c r="I354">
        <v>0</v>
      </c>
      <c r="J354">
        <v>0</v>
      </c>
      <c r="K354" s="1">
        <f>HYPERLINK("https://pubmed.ncbi.nlm.nih.gov/?term=26405036%2C30905674%2C24316401%2C9858768%2C27825928","51")</f>
        <v>0</v>
      </c>
      <c r="M354">
        <v>1</v>
      </c>
      <c r="N354" t="s">
        <v>1203</v>
      </c>
      <c r="O354" t="s">
        <v>1203</v>
      </c>
    </row>
    <row r="355" spans="1:15">
      <c r="A355" t="s">
        <v>986</v>
      </c>
      <c r="B355">
        <v>0</v>
      </c>
      <c r="C355">
        <v>12</v>
      </c>
      <c r="D355" t="s">
        <v>987</v>
      </c>
      <c r="F355" t="s">
        <v>9</v>
      </c>
      <c r="G355">
        <v>0</v>
      </c>
      <c r="H355">
        <v>0</v>
      </c>
      <c r="I355">
        <v>0</v>
      </c>
      <c r="J355">
        <v>0</v>
      </c>
      <c r="M355">
        <v>3</v>
      </c>
      <c r="N355" t="s">
        <v>1203</v>
      </c>
      <c r="O355" t="s">
        <v>1231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targets4inhibitors</vt:lpstr>
      <vt:lpstr>targets4agonists</vt:lpstr>
      <vt:lpstr>unknown_state_targets</vt:lpstr>
      <vt:lpstr>PS bibliography</vt:lpstr>
      <vt:lpstr>etm bibliography</vt:lpstr>
      <vt:lpstr>Drugs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2022-10-05T23:48:03Z</dcterms:created>
  <dcterms:modified xsi:type="dcterms:W3CDTF">2022-10-05T23:48:03Z</dcterms:modified>
</cp:coreProperties>
</file>