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thomas/Downloads/ChemE_HW/"/>
    </mc:Choice>
  </mc:AlternateContent>
  <xr:revisionPtr revIDLastSave="0" documentId="8_{E6391E99-4BD1-8B4F-AED7-DD4394E68CD8}" xr6:coauthVersionLast="45" xr6:coauthVersionMax="45" xr10:uidLastSave="{00000000-0000-0000-0000-000000000000}"/>
  <bookViews>
    <workbookView xWindow="0" yWindow="460" windowWidth="15420" windowHeight="16320" xr2:uid="{87E065DE-10C3-744E-B15B-2F71DD641259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3" i="1"/>
  <c r="V3" i="1"/>
  <c r="V7" i="1"/>
  <c r="V4" i="1"/>
  <c r="V5" i="1"/>
  <c r="V6" i="1"/>
  <c r="R7" i="1"/>
  <c r="R6" i="1"/>
  <c r="R5" i="1"/>
  <c r="R3" i="1"/>
  <c r="R4" i="1"/>
  <c r="T5" i="1"/>
  <c r="T4" i="1"/>
  <c r="T3" i="1"/>
  <c r="T2" i="1"/>
  <c r="Q4" i="1"/>
  <c r="Q5" i="1"/>
  <c r="Q6" i="1"/>
  <c r="Q7" i="1"/>
  <c r="Q3" i="1"/>
  <c r="N18" i="1"/>
  <c r="N19" i="1"/>
  <c r="N20" i="1"/>
  <c r="N24" i="1"/>
  <c r="N25" i="1"/>
  <c r="N26" i="1"/>
  <c r="N27" i="1"/>
  <c r="N28" i="1"/>
  <c r="N12" i="1"/>
  <c r="N13" i="1"/>
  <c r="N14" i="1"/>
  <c r="N11" i="1"/>
  <c r="N4" i="1"/>
  <c r="N5" i="1"/>
  <c r="N6" i="1"/>
  <c r="N7" i="1"/>
  <c r="N3" i="1"/>
  <c r="G12" i="1"/>
  <c r="G13" i="1"/>
  <c r="G14" i="1"/>
  <c r="G11" i="1"/>
  <c r="G4" i="1"/>
  <c r="G5" i="1"/>
  <c r="G6" i="1"/>
  <c r="G7" i="1"/>
  <c r="G3" i="1"/>
  <c r="H26" i="1"/>
  <c r="I28" i="1"/>
  <c r="I25" i="1"/>
  <c r="I24" i="1"/>
  <c r="I19" i="1"/>
  <c r="I18" i="1"/>
  <c r="I13" i="1"/>
  <c r="I12" i="1"/>
  <c r="I11" i="1"/>
  <c r="I6" i="1"/>
  <c r="I5" i="1"/>
  <c r="I4" i="1"/>
  <c r="I3" i="1"/>
</calcChain>
</file>

<file path=xl/sharedStrings.xml><?xml version="1.0" encoding="utf-8"?>
<sst xmlns="http://schemas.openxmlformats.org/spreadsheetml/2006/main" count="75" uniqueCount="35">
  <si>
    <t>T= 300 K</t>
  </si>
  <si>
    <t>P</t>
  </si>
  <si>
    <t>conversion C</t>
  </si>
  <si>
    <t>C in</t>
  </si>
  <si>
    <t>Q</t>
  </si>
  <si>
    <t>mass</t>
  </si>
  <si>
    <t>C steam 13</t>
  </si>
  <si>
    <t>PDIPD-14</t>
  </si>
  <si>
    <t>Fuel gas-9</t>
  </si>
  <si>
    <t>C kmol/hr-8B</t>
  </si>
  <si>
    <t>cum13</t>
  </si>
  <si>
    <t>T= 350K</t>
  </si>
  <si>
    <t>T= 370 K</t>
  </si>
  <si>
    <t>T = 320 K</t>
  </si>
  <si>
    <t>q heater</t>
  </si>
  <si>
    <t>Q heater</t>
  </si>
  <si>
    <t>Qheater</t>
  </si>
  <si>
    <t>total in</t>
  </si>
  <si>
    <t>purity outlet</t>
  </si>
  <si>
    <t>Q price H</t>
  </si>
  <si>
    <t>Q util R</t>
  </si>
  <si>
    <t>Q R</t>
  </si>
  <si>
    <t>CAPCOST UTILITIES</t>
  </si>
  <si>
    <t xml:space="preserve">mass </t>
  </si>
  <si>
    <t>BENZE-01</t>
  </si>
  <si>
    <t>PROPY-01</t>
  </si>
  <si>
    <t>PROPA-01</t>
  </si>
  <si>
    <t>CUMEN-01</t>
  </si>
  <si>
    <t>P-DII-01</t>
  </si>
  <si>
    <t>total costU</t>
  </si>
  <si>
    <t>inlet cost =</t>
  </si>
  <si>
    <t>Annual Mat</t>
  </si>
  <si>
    <t>material</t>
  </si>
  <si>
    <t>custom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</si>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</sst>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T=300K P v conversion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Sheet1!$G$3:$G$7</c:f>
              <c:numCache>
                <c:formatCode>General</c:formatCode>
                <c:ptCount val="5"/>
                <c:pt idx="0">
                  <c:v>0.28123274652667785</c:v>
                </c:pt>
                <c:pt idx="1">
                  <c:v>0.28125169706806974</c:v>
                </c:pt>
                <c:pt idx="2">
                  <c:v>0.28126187990658996</c:v>
                </c:pt>
                <c:pt idx="3">
                  <c:v>0.28124302308040428</c:v>
                </c:pt>
                <c:pt idx="4">
                  <c:v>0.28123750935290004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B5-1F45-804B-BD2BA3517280}"/>
            </c:ext>
          </c:extLst>
        </c:ser>
        <c:ser>
          <c:idx val="1"/>
          <c:order val="1"/>
          <c:tx>
            <c:v>T=350K P v conversion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Sheet1!$A$11:$A$14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</c:numCache>
            </c:numRef>
          </c:xVal>
          <c:yVal>
            <c:numRef>
              <c:f>Sheet1!$G$11:$G$14</c:f>
              <c:numCache>
                <c:formatCode>General</c:formatCode>
                <c:ptCount val="4"/>
                <c:pt idx="0">
                  <c:v>0.27355839383185315</c:v>
                </c:pt>
                <c:pt idx="1">
                  <c:v>0.27391474266474264</c:v>
                </c:pt>
                <c:pt idx="2">
                  <c:v>0.27392021933819749</c:v>
                </c:pt>
                <c:pt idx="3">
                  <c:v>0.27390873015873018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B5-1F45-804B-BD2BA3517280}"/>
            </c:ext>
          </c:extLst>
        </c:ser>
        <c:ser>
          <c:idx val="2"/>
          <c:order val="2"/>
          <c:tx>
            <c:v>T=370K P v conversion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Sheet1!$A$18:$A$20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xVal>
          <c:yVal>
            <c:numRef>
              <c:f>Sheet1!$G$18:$G$20</c:f>
              <c:numCache>
                <c:formatCode>General</c:formatCode>
                <c:ptCount val="3"/>
                <c:pt idx="0">
                  <c:v>0.28123751000000002</c:v>
                </c:pt>
                <c:pt idx="1">
                  <c:v>0.28123751000000002</c:v>
                </c:pt>
                <c:pt idx="2">
                  <c:v>0.28123751000000002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DB5-1F45-804B-BD2BA3517280}"/>
            </c:ext>
          </c:extLst>
        </c:ser>
        <c:ser>
          <c:idx val="3"/>
          <c:order val="3"/>
          <c:tx>
            <c:v>T=320K P v conversion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Sheet1!$A$24:$A$28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25</c:v>
                </c:pt>
                <c:pt idx="4">
                  <c:v>35</c:v>
                </c:pt>
              </c:numCache>
            </c:numRef>
          </c:xVal>
          <c:yVal>
            <c:numRef>
              <c:f>Sheet1!$G$24:$G$28</c:f>
              <c:numCache>
                <c:formatCode>General</c:formatCode>
                <c:ptCount val="5"/>
                <c:pt idx="0">
                  <c:v>0.28123751000000002</c:v>
                </c:pt>
                <c:pt idx="1">
                  <c:v>0.28123751000000002</c:v>
                </c:pt>
                <c:pt idx="2">
                  <c:v>0.28123751000000002</c:v>
                </c:pt>
                <c:pt idx="3">
                  <c:v>0.28123751000000002</c:v>
                </c:pt>
                <c:pt idx="4">
                  <c:v>0.28123751000000002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DB5-1F45-804B-BD2BA3517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864799"/>
        <c:axId val="1398911439"/>
      </c:scatterChart>
      <c:valAx>
        <c:axId val="139886479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911439"/>
        <c:crosses val="autoZero"/>
        <c:crossBetween val="midCat"/>
      </c:valAx>
      <c:valAx>
        <c:axId val="1398911439"/>
        <c:scaling>
          <c:orientation val="minMax"/>
          <c:min val="0.271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Conversiom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86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300K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0.99185182796392446</c:v>
                </c:pt>
                <c:pt idx="1">
                  <c:v>0.99185182796392446</c:v>
                </c:pt>
                <c:pt idx="2">
                  <c:v>0.99189500048372026</c:v>
                </c:pt>
                <c:pt idx="3">
                  <c:v>0.99186266500408471</c:v>
                </c:pt>
                <c:pt idx="4">
                  <c:v>0.99185182796392446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A9-0A4C-A7F2-887BD847A83B}"/>
            </c:ext>
          </c:extLst>
        </c:ser>
        <c:ser>
          <c:idx val="1"/>
          <c:order val="1"/>
          <c:tx>
            <c:v>T = 350K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Sheet1!$A$11:$A$14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</c:numCache>
            </c:numRef>
          </c:xVal>
          <c:yVal>
            <c:numRef>
              <c:f>Sheet1!$N$11:$N$14</c:f>
              <c:numCache>
                <c:formatCode>General</c:formatCode>
                <c:ptCount val="4"/>
                <c:pt idx="0">
                  <c:v>0.97947370135864542</c:v>
                </c:pt>
                <c:pt idx="1">
                  <c:v>0.97948478463911026</c:v>
                </c:pt>
                <c:pt idx="2">
                  <c:v>0.97948478463911026</c:v>
                </c:pt>
                <c:pt idx="3">
                  <c:v>0.97947370135864542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A9-0A4C-A7F2-887BD847A83B}"/>
            </c:ext>
          </c:extLst>
        </c:ser>
        <c:ser>
          <c:idx val="2"/>
          <c:order val="2"/>
          <c:tx>
            <c:v>T = 370K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Sheet1!$A$18:$A$20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xVal>
          <c:yVal>
            <c:numRef>
              <c:f>Sheet1!$N$18:$N$20</c:f>
              <c:numCache>
                <c:formatCode>General</c:formatCode>
                <c:ptCount val="3"/>
                <c:pt idx="0">
                  <c:v>0.97234479444274546</c:v>
                </c:pt>
                <c:pt idx="1">
                  <c:v>0.97233356998525478</c:v>
                </c:pt>
                <c:pt idx="2">
                  <c:v>0.97234449238162846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A9-0A4C-A7F2-887BD847A83B}"/>
            </c:ext>
          </c:extLst>
        </c:ser>
        <c:ser>
          <c:idx val="3"/>
          <c:order val="3"/>
          <c:tx>
            <c:v>T = 320K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Sheet1!$A$24:$A$28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25</c:v>
                </c:pt>
                <c:pt idx="4">
                  <c:v>35</c:v>
                </c:pt>
              </c:numCache>
            </c:numRef>
          </c:xVal>
          <c:yVal>
            <c:numRef>
              <c:f>Sheet1!$N$24:$N$28</c:f>
              <c:numCache>
                <c:formatCode>General</c:formatCode>
                <c:ptCount val="5"/>
                <c:pt idx="0">
                  <c:v>0.98776751812219532</c:v>
                </c:pt>
                <c:pt idx="1">
                  <c:v>0.98790840155756177</c:v>
                </c:pt>
                <c:pt idx="2">
                  <c:v>0.98778935559726444</c:v>
                </c:pt>
                <c:pt idx="3">
                  <c:v>0.98783276524140307</c:v>
                </c:pt>
                <c:pt idx="4">
                  <c:v>0.98790853198144757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DA9-0A4C-A7F2-887BD847A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56319"/>
        <c:axId val="1519574671"/>
      </c:scatterChart>
      <c:valAx>
        <c:axId val="152015631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4671"/>
        <c:crosses val="autoZero"/>
        <c:crossBetween val="midCat"/>
      </c:valAx>
      <c:valAx>
        <c:axId val="15195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5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 = 300K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11157.859</c:v>
                </c:pt>
                <c:pt idx="1">
                  <c:v>11157.846</c:v>
                </c:pt>
                <c:pt idx="2">
                  <c:v>11158.195</c:v>
                </c:pt>
                <c:pt idx="3">
                  <c:v>11157.999</c:v>
                </c:pt>
                <c:pt idx="4">
                  <c:v>11157.941999999999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F6-DF4D-A6AC-79BA36D1088D}"/>
            </c:ext>
          </c:extLst>
        </c:ser>
        <c:ser>
          <c:idx val="1"/>
          <c:order val="1"/>
          <c:tx>
            <c:v>T = 350K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Sheet1!$A$11:$A$14</c:f>
              <c:numCache>
                <c:formatCode>General</c:formatCode>
                <c:ptCount val="4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</c:numCache>
            </c:numRef>
          </c:xVal>
          <c:yVal>
            <c:numRef>
              <c:f>Sheet1!$K$11:$K$14</c:f>
              <c:numCache>
                <c:formatCode>General</c:formatCode>
                <c:ptCount val="4"/>
                <c:pt idx="0">
                  <c:v>11026.97</c:v>
                </c:pt>
                <c:pt idx="1">
                  <c:v>11027.073</c:v>
                </c:pt>
                <c:pt idx="2">
                  <c:v>11027.114</c:v>
                </c:pt>
                <c:pt idx="3">
                  <c:v>11026.934999999999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F6-DF4D-A6AC-79BA36D1088D}"/>
            </c:ext>
          </c:extLst>
        </c:ser>
        <c:ser>
          <c:idx val="2"/>
          <c:order val="2"/>
          <c:tx>
            <c:v>T = 370K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Sheet1!$A$18:$A$20</c:f>
              <c:numCache>
                <c:formatCode>General</c:formatCode>
                <c:ptCount val="3"/>
                <c:pt idx="0">
                  <c:v>50</c:v>
                </c:pt>
                <c:pt idx="1">
                  <c:v>40</c:v>
                </c:pt>
                <c:pt idx="2">
                  <c:v>30</c:v>
                </c:pt>
              </c:numCache>
            </c:numRef>
          </c:xVal>
          <c:yVal>
            <c:numRef>
              <c:f>Sheet1!$K$18:$K$20</c:f>
              <c:numCache>
                <c:formatCode>General</c:formatCode>
                <c:ptCount val="3"/>
                <c:pt idx="0">
                  <c:v>10951.776</c:v>
                </c:pt>
                <c:pt idx="1">
                  <c:v>10951.718000000001</c:v>
                </c:pt>
                <c:pt idx="2">
                  <c:v>10951.745000000001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F6-DF4D-A6AC-79BA36D1088D}"/>
            </c:ext>
          </c:extLst>
        </c:ser>
        <c:ser>
          <c:idx val="3"/>
          <c:order val="3"/>
          <c:tx>
            <c:v>T = 320K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Sheet1!$A$24:$A$28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25</c:v>
                </c:pt>
                <c:pt idx="4">
                  <c:v>35</c:v>
                </c:pt>
              </c:numCache>
            </c:numRef>
          </c:xVal>
          <c:yVal>
            <c:numRef>
              <c:f>Sheet1!$K$24:$K$28</c:f>
              <c:numCache>
                <c:formatCode>General</c:formatCode>
                <c:ptCount val="5"/>
                <c:pt idx="0">
                  <c:v>11115.063</c:v>
                </c:pt>
                <c:pt idx="1">
                  <c:v>11116.245000000001</c:v>
                </c:pt>
                <c:pt idx="2">
                  <c:v>11115.222</c:v>
                </c:pt>
                <c:pt idx="3">
                  <c:v>11115.847</c:v>
                </c:pt>
                <c:pt idx="4">
                  <c:v>11116.38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F6-DF4D-A6AC-79BA36D10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156319"/>
        <c:axId val="1519574671"/>
      </c:scatterChart>
      <c:valAx>
        <c:axId val="152015631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574671"/>
        <c:crosses val="autoZero"/>
        <c:crossBetween val="midCat"/>
      </c:valAx>
      <c:valAx>
        <c:axId val="15195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Cumene out:</a:t>
                </a:r>
                <a:r>
                  <a:rPr lang="en-US" baseline="0"/>
                  <a:t> Kg/hr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15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$ v pressure inlet</a:t>
            </a:r>
            <a:r>
              <a:rPr lang="en-US" baseline="0"/>
              <a:t>, 300K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45</c:v>
                </c:pt>
                <c:pt idx="3">
                  <c:v>30</c:v>
                </c:pt>
                <c:pt idx="4">
                  <c:v>25</c:v>
                </c:pt>
              </c:numCache>
            </c:numRef>
          </c:xVal>
          <c:yVal>
            <c:numRef>
              <c:f>Sheet1!$U$3:$U$7</c:f>
              <c:numCache>
                <c:formatCode>General</c:formatCode>
                <c:ptCount val="5"/>
                <c:pt idx="0">
                  <c:v>35515676</c:v>
                </c:pt>
                <c:pt idx="1">
                  <c:v>35483089</c:v>
                </c:pt>
                <c:pt idx="2">
                  <c:v>35505671</c:v>
                </c:pt>
                <c:pt idx="3">
                  <c:v>35487697</c:v>
                </c:pt>
                <c:pt idx="4">
                  <c:v>35484240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EE-D845-B7F8-51D3359F0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344959"/>
        <c:axId val="1475630319"/>
      </c:scatterChart>
      <c:valAx>
        <c:axId val="1524344959"/>
        <c:scaling>
          <c:orientation val="minMax"/>
          <c:max val="51"/>
          <c:min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630319"/>
        <c:crosses val="autoZero"/>
        <c:crossBetween val="midCat"/>
      </c:valAx>
      <c:valAx>
        <c:axId val="14756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Sale profit - Utility Cost</a:t>
                </a:r>
                <a:r>
                  <a:rPr lang="en-US" sz="1000" b="0" i="0" u="none" strike="noStrike" baseline="0"/>
                  <a:t>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4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31</xdr:row>
      <xdr:rowOff>42335</xdr:rowOff>
    </xdr:from>
    <xdr:to>
      <xdr:col>6</xdr:col>
      <xdr:colOff>355600</xdr:colOff>
      <xdr:row>45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D336AA-6EC0-5741-A3E4-5CA1CD822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67734</xdr:colOff>
      <xdr:row>31</xdr:row>
      <xdr:rowOff>93132</xdr:rowOff>
    </xdr:from>
    <xdr:to>
      <xdr:col>13</xdr:col>
      <xdr:colOff>194734</xdr:colOff>
      <xdr:row>45</xdr:row>
      <xdr:rowOff>50799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6BA84-5625-FC4F-BB1B-8EB95C1B3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220133</xdr:colOff>
      <xdr:row>31</xdr:row>
      <xdr:rowOff>101600</xdr:rowOff>
    </xdr:from>
    <xdr:to>
      <xdr:col>21</xdr:col>
      <xdr:colOff>347133</xdr:colOff>
      <xdr:row>45</xdr:row>
      <xdr:rowOff>59267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124458B-274C-F040-BD83-6BBA01A78F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719667</xdr:colOff>
      <xdr:row>14</xdr:row>
      <xdr:rowOff>110067</xdr:rowOff>
    </xdr:from>
    <xdr:to>
      <xdr:col>21</xdr:col>
      <xdr:colOff>313267</xdr:colOff>
      <xdr:row>28</xdr:row>
      <xdr:rowOff>8467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AC3B81-F66A-7C43-BD82-5496C4DC0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DBEAE-D41A-F94B-A0C1-1869387B8773}">
  <dimension ref="A1:W28"/>
  <sheetViews>
    <sheetView tabSelected="1" topLeftCell="H1" zoomScale="75" workbookViewId="0">
      <selection activeCell="AB5" sqref="AB5"/>
    </sheetView>
  </sheetViews>
  <sheetFormatPr baseColWidth="10" defaultRowHeight="16" x14ac:dyDescent="0.2"/>
  <cols>
    <col min="22" max="22" width="11.83203125" bestFit="1" customWidth="1"/>
  </cols>
  <sheetData>
    <row r="1" spans="1:23" x14ac:dyDescent="0.2">
      <c r="A1" t="s">
        <v>0</v>
      </c>
      <c r="O1" t="s">
        <v>22</v>
      </c>
      <c r="S1" t="s">
        <v>30</v>
      </c>
      <c r="T1">
        <v>103444876</v>
      </c>
    </row>
    <row r="2" spans="1:23" x14ac:dyDescent="0.2">
      <c r="A2" t="s">
        <v>1</v>
      </c>
      <c r="B2" t="s">
        <v>9</v>
      </c>
      <c r="C2" t="s">
        <v>23</v>
      </c>
      <c r="D2" t="s">
        <v>7</v>
      </c>
      <c r="E2" t="s">
        <v>8</v>
      </c>
      <c r="F2" t="s">
        <v>3</v>
      </c>
      <c r="G2" t="s">
        <v>2</v>
      </c>
      <c r="H2" t="s">
        <v>14</v>
      </c>
      <c r="I2" t="s">
        <v>21</v>
      </c>
      <c r="J2" t="s">
        <v>6</v>
      </c>
      <c r="K2" t="s">
        <v>6</v>
      </c>
      <c r="L2" t="s">
        <v>10</v>
      </c>
      <c r="M2" t="s">
        <v>17</v>
      </c>
      <c r="N2" t="s">
        <v>18</v>
      </c>
      <c r="O2" t="s">
        <v>19</v>
      </c>
      <c r="P2" t="s">
        <v>20</v>
      </c>
      <c r="Q2" t="s">
        <v>29</v>
      </c>
      <c r="R2" t="s">
        <v>31</v>
      </c>
      <c r="S2" t="s">
        <v>24</v>
      </c>
      <c r="T2">
        <f>218.283*78.11</f>
        <v>17050.085129999999</v>
      </c>
      <c r="U2" t="s">
        <v>34</v>
      </c>
      <c r="V2" s="2" t="s">
        <v>34</v>
      </c>
      <c r="W2" t="s">
        <v>32</v>
      </c>
    </row>
    <row r="3" spans="1:23" x14ac:dyDescent="0.2">
      <c r="A3">
        <v>50</v>
      </c>
      <c r="B3">
        <v>94.388000000000005</v>
      </c>
      <c r="D3">
        <v>149.08000000000001</v>
      </c>
      <c r="E3">
        <v>1557.473</v>
      </c>
      <c r="F3">
        <v>1.1719999999999999</v>
      </c>
      <c r="G3">
        <f>(B3-F3)/M3</f>
        <v>0.28123274652667785</v>
      </c>
      <c r="H3">
        <v>3960.94647200687</v>
      </c>
      <c r="I3">
        <f>-10159.0747203-8.0282592</f>
        <v>-10167.102979499999</v>
      </c>
      <c r="J3">
        <v>93.027000000000001</v>
      </c>
      <c r="K3">
        <v>11157.859</v>
      </c>
      <c r="L3">
        <v>92.269000000000005</v>
      </c>
      <c r="M3">
        <v>331.45499999999998</v>
      </c>
      <c r="N3">
        <f>L3/J3</f>
        <v>0.99185182796392446</v>
      </c>
      <c r="O3" s="2">
        <v>195198</v>
      </c>
      <c r="P3">
        <v>460400</v>
      </c>
      <c r="Q3">
        <f>SUM(O3:P3)</f>
        <v>655598</v>
      </c>
      <c r="R3">
        <f>139616150-103444876</f>
        <v>36171274</v>
      </c>
      <c r="S3" t="s">
        <v>25</v>
      </c>
      <c r="T3">
        <f>101.334*42.079</f>
        <v>4264.0333860000001</v>
      </c>
      <c r="U3">
        <f>R3-Q3</f>
        <v>35515676</v>
      </c>
      <c r="V3" s="2">
        <f>R3-Q3</f>
        <v>35515676</v>
      </c>
      <c r="W3" t="s">
        <v>33</v>
      </c>
    </row>
    <row r="4" spans="1:23" x14ac:dyDescent="0.2">
      <c r="A4">
        <v>40</v>
      </c>
      <c r="B4">
        <v>94.399000000000001</v>
      </c>
      <c r="D4">
        <v>149.09100000000001</v>
      </c>
      <c r="E4">
        <v>1557.4739999999999</v>
      </c>
      <c r="F4">
        <v>1.177</v>
      </c>
      <c r="G4">
        <f t="shared" ref="G4:G7" si="0">(B4-F4)/M4</f>
        <v>0.28125169706806974</v>
      </c>
      <c r="H4">
        <v>4355.6344031400004</v>
      </c>
      <c r="I4">
        <f>-10457.6435712-4.0065984</f>
        <v>-10461.6501696</v>
      </c>
      <c r="J4">
        <v>93.027000000000001</v>
      </c>
      <c r="K4">
        <v>11157.846</v>
      </c>
      <c r="L4">
        <v>92.269000000000005</v>
      </c>
      <c r="M4">
        <v>331.45400000000001</v>
      </c>
      <c r="N4">
        <f t="shared" ref="N4:N7" si="1">L4/J4</f>
        <v>0.99185182796392446</v>
      </c>
      <c r="O4" s="2">
        <v>214617</v>
      </c>
      <c r="P4">
        <v>473700</v>
      </c>
      <c r="Q4">
        <f t="shared" ref="Q4:Q7" si="2">SUM(O4:P4)</f>
        <v>688317</v>
      </c>
      <c r="R4">
        <f>139616282-103444876</f>
        <v>36171406</v>
      </c>
      <c r="S4" t="s">
        <v>26</v>
      </c>
      <c r="T4">
        <f>16.746*44.1</f>
        <v>738.49860000000001</v>
      </c>
      <c r="U4">
        <f t="shared" ref="U4:U7" si="3">R4-Q4</f>
        <v>35483089</v>
      </c>
      <c r="V4" s="2">
        <f t="shared" ref="V4:V6" si="4">R4-Q4</f>
        <v>35483089</v>
      </c>
    </row>
    <row r="5" spans="1:23" x14ac:dyDescent="0.2">
      <c r="A5">
        <v>45</v>
      </c>
      <c r="B5">
        <v>94.399000000000001</v>
      </c>
      <c r="D5">
        <v>149.19999999999999</v>
      </c>
      <c r="E5">
        <v>1557.268</v>
      </c>
      <c r="F5">
        <v>1.177</v>
      </c>
      <c r="G5">
        <f t="shared" si="0"/>
        <v>0.28126187990658996</v>
      </c>
      <c r="H5">
        <v>4163.0118617799999</v>
      </c>
      <c r="I5">
        <f>-5.7387744-10323.3020256</f>
        <v>-10329.040800000001</v>
      </c>
      <c r="J5">
        <v>93.028999999999996</v>
      </c>
      <c r="K5">
        <v>11158.195</v>
      </c>
      <c r="L5">
        <v>92.275000000000006</v>
      </c>
      <c r="M5">
        <v>331.44200000000001</v>
      </c>
      <c r="N5">
        <f t="shared" si="1"/>
        <v>0.99189500048372026</v>
      </c>
      <c r="O5" s="2">
        <v>205156</v>
      </c>
      <c r="P5">
        <v>467700</v>
      </c>
      <c r="Q5">
        <f t="shared" si="2"/>
        <v>672856</v>
      </c>
      <c r="R5">
        <f>139623403-T1</f>
        <v>36178527</v>
      </c>
      <c r="S5" t="s">
        <v>27</v>
      </c>
      <c r="T5">
        <f>1.172*120.9</f>
        <v>141.69479999999999</v>
      </c>
      <c r="U5">
        <f t="shared" si="3"/>
        <v>35505671</v>
      </c>
      <c r="V5" s="2">
        <f t="shared" si="4"/>
        <v>35505671</v>
      </c>
    </row>
    <row r="6" spans="1:23" x14ac:dyDescent="0.2">
      <c r="A6">
        <v>30</v>
      </c>
      <c r="B6">
        <v>94.391999999999996</v>
      </c>
      <c r="D6">
        <v>149.095</v>
      </c>
      <c r="E6">
        <v>1557.3989999999999</v>
      </c>
      <c r="F6">
        <v>1.1739999999999999</v>
      </c>
      <c r="G6">
        <f t="shared" si="0"/>
        <v>0.28124302308040428</v>
      </c>
      <c r="H6">
        <v>4715.3438108107102</v>
      </c>
      <c r="I6">
        <f>-10008.4074912-1.7623008</f>
        <v>-10010.169791999999</v>
      </c>
      <c r="J6">
        <v>93.028000000000006</v>
      </c>
      <c r="K6">
        <v>11157.999</v>
      </c>
      <c r="L6">
        <v>92.271000000000001</v>
      </c>
      <c r="M6">
        <v>331.45</v>
      </c>
      <c r="N6">
        <f t="shared" si="1"/>
        <v>0.99186266500408471</v>
      </c>
      <c r="O6" s="2">
        <v>232375</v>
      </c>
      <c r="P6">
        <v>453300</v>
      </c>
      <c r="Q6">
        <f t="shared" si="2"/>
        <v>685675</v>
      </c>
      <c r="R6">
        <f>139618248-T1</f>
        <v>36173372</v>
      </c>
      <c r="S6" t="s">
        <v>28</v>
      </c>
      <c r="T6">
        <v>0</v>
      </c>
      <c r="U6">
        <f t="shared" si="3"/>
        <v>35487697</v>
      </c>
      <c r="V6" s="2">
        <f t="shared" si="4"/>
        <v>35487697</v>
      </c>
    </row>
    <row r="7" spans="1:23" x14ac:dyDescent="0.2">
      <c r="A7">
        <v>25</v>
      </c>
      <c r="B7">
        <v>94.389610000000005</v>
      </c>
      <c r="D7">
        <v>148.85</v>
      </c>
      <c r="E7">
        <v>1557.434</v>
      </c>
      <c r="F7">
        <v>1.1739999999999999</v>
      </c>
      <c r="G7">
        <f t="shared" si="0"/>
        <v>0.28123750935290004</v>
      </c>
      <c r="H7">
        <v>4883.6750761483099</v>
      </c>
      <c r="I7">
        <v>-9745.1846555619995</v>
      </c>
      <c r="J7">
        <v>93.027000000000001</v>
      </c>
      <c r="K7">
        <v>11157.941999999999</v>
      </c>
      <c r="L7">
        <v>92.269000000000005</v>
      </c>
      <c r="M7">
        <v>331.44799999999998</v>
      </c>
      <c r="N7">
        <f t="shared" si="1"/>
        <v>0.99185182796392446</v>
      </c>
      <c r="O7" s="2">
        <v>240671</v>
      </c>
      <c r="P7">
        <v>441300</v>
      </c>
      <c r="Q7">
        <f t="shared" si="2"/>
        <v>681971</v>
      </c>
      <c r="R7">
        <f>139611087-T1</f>
        <v>36166211</v>
      </c>
      <c r="U7">
        <f t="shared" si="3"/>
        <v>35484240</v>
      </c>
      <c r="V7" s="2">
        <f>R7-Q7</f>
        <v>35484240</v>
      </c>
    </row>
    <row r="9" spans="1:23" x14ac:dyDescent="0.2">
      <c r="A9" t="s">
        <v>11</v>
      </c>
    </row>
    <row r="10" spans="1:23" x14ac:dyDescent="0.2">
      <c r="A10" t="s">
        <v>1</v>
      </c>
      <c r="B10" t="s">
        <v>9</v>
      </c>
      <c r="C10" t="s">
        <v>5</v>
      </c>
      <c r="D10" t="s">
        <v>7</v>
      </c>
      <c r="E10" t="s">
        <v>8</v>
      </c>
      <c r="F10" t="s">
        <v>3</v>
      </c>
      <c r="G10" t="s">
        <v>2</v>
      </c>
      <c r="H10" t="s">
        <v>15</v>
      </c>
      <c r="I10" t="s">
        <v>4</v>
      </c>
      <c r="J10" t="s">
        <v>6</v>
      </c>
      <c r="K10" t="s">
        <v>6</v>
      </c>
      <c r="L10" t="s">
        <v>10</v>
      </c>
      <c r="M10" t="s">
        <v>17</v>
      </c>
      <c r="N10" t="s">
        <v>18</v>
      </c>
    </row>
    <row r="11" spans="1:23" x14ac:dyDescent="0.2">
      <c r="A11">
        <v>50</v>
      </c>
      <c r="B11">
        <v>91.814999999999998</v>
      </c>
      <c r="D11">
        <v>259.02300000000002</v>
      </c>
      <c r="E11">
        <v>1578.412</v>
      </c>
      <c r="F11">
        <v>0.70199999999999996</v>
      </c>
      <c r="G11">
        <f>(B11-F11)/M11</f>
        <v>0.27355839383185315</v>
      </c>
      <c r="H11">
        <v>6705.1399559000001</v>
      </c>
      <c r="I11">
        <f>-10479.514176-3.3589152</f>
        <v>-10482.873091200001</v>
      </c>
      <c r="J11">
        <v>92.076999999999998</v>
      </c>
      <c r="K11">
        <v>11026.97</v>
      </c>
      <c r="L11">
        <v>90.186999999999998</v>
      </c>
      <c r="M11">
        <v>333.06599999999997</v>
      </c>
      <c r="N11">
        <f t="shared" ref="N11:N28" si="5">L11/J11</f>
        <v>0.97947370135864542</v>
      </c>
    </row>
    <row r="12" spans="1:23" x14ac:dyDescent="0.2">
      <c r="A12">
        <v>40</v>
      </c>
      <c r="B12">
        <v>91.816999999999993</v>
      </c>
      <c r="D12">
        <v>259.04399999999998</v>
      </c>
      <c r="E12">
        <v>1578.367</v>
      </c>
      <c r="F12">
        <v>0.70199999999999996</v>
      </c>
      <c r="G12">
        <f t="shared" ref="G12:G14" si="6">(B12-F12)/M12</f>
        <v>0.27391474266474264</v>
      </c>
      <c r="H12">
        <v>6990.8515054</v>
      </c>
      <c r="I12">
        <f>-1.9129248+-9968.522256</f>
        <v>-9970.435180800001</v>
      </c>
      <c r="J12">
        <v>92.078000000000003</v>
      </c>
      <c r="K12">
        <v>11027.073</v>
      </c>
      <c r="L12">
        <v>90.188999999999993</v>
      </c>
      <c r="M12">
        <v>332.64</v>
      </c>
      <c r="N12">
        <f t="shared" si="5"/>
        <v>0.97948478463911026</v>
      </c>
    </row>
    <row r="13" spans="1:23" x14ac:dyDescent="0.2">
      <c r="A13">
        <v>45</v>
      </c>
      <c r="B13">
        <v>91.817999999999998</v>
      </c>
      <c r="D13">
        <v>259.07100000000003</v>
      </c>
      <c r="E13">
        <v>1578.355</v>
      </c>
      <c r="F13">
        <v>0.70199999999999996</v>
      </c>
      <c r="G13">
        <f t="shared" si="6"/>
        <v>0.27392021933819749</v>
      </c>
      <c r="H13">
        <v>6849.14066</v>
      </c>
      <c r="I13">
        <f>-10192.1386464+-2.5756704</f>
        <v>-10194.7143168</v>
      </c>
      <c r="J13">
        <v>92.078000000000003</v>
      </c>
      <c r="K13">
        <v>11027.114</v>
      </c>
      <c r="L13">
        <v>90.188999999999993</v>
      </c>
      <c r="M13">
        <v>332.637</v>
      </c>
      <c r="N13">
        <f t="shared" si="5"/>
        <v>0.97948478463911026</v>
      </c>
    </row>
    <row r="14" spans="1:23" x14ac:dyDescent="0.2">
      <c r="A14">
        <v>30</v>
      </c>
      <c r="B14">
        <v>91.814999999999998</v>
      </c>
      <c r="D14">
        <v>259.06299999999999</v>
      </c>
      <c r="E14">
        <v>1578.414</v>
      </c>
      <c r="F14">
        <v>0.70199999999999996</v>
      </c>
      <c r="G14">
        <f t="shared" si="6"/>
        <v>0.27390873015873018</v>
      </c>
      <c r="H14">
        <v>7399.8644571000004</v>
      </c>
      <c r="I14">
        <v>-9663.9304032</v>
      </c>
      <c r="J14">
        <v>92.076999999999998</v>
      </c>
      <c r="K14">
        <v>11026.934999999999</v>
      </c>
      <c r="L14">
        <v>90.186999999999998</v>
      </c>
      <c r="M14">
        <v>332.64</v>
      </c>
      <c r="N14">
        <f t="shared" si="5"/>
        <v>0.97947370135864542</v>
      </c>
    </row>
    <row r="16" spans="1:23" x14ac:dyDescent="0.2">
      <c r="A16" t="s">
        <v>12</v>
      </c>
    </row>
    <row r="17" spans="1:14" x14ac:dyDescent="0.2">
      <c r="A17" t="s">
        <v>1</v>
      </c>
      <c r="B17" t="s">
        <v>9</v>
      </c>
      <c r="C17" t="s">
        <v>5</v>
      </c>
      <c r="D17" t="s">
        <v>7</v>
      </c>
      <c r="E17" t="s">
        <v>8</v>
      </c>
      <c r="F17" t="s">
        <v>3</v>
      </c>
      <c r="G17" t="s">
        <v>2</v>
      </c>
      <c r="H17" t="s">
        <v>16</v>
      </c>
      <c r="I17" t="s">
        <v>4</v>
      </c>
      <c r="J17" t="s">
        <v>6</v>
      </c>
      <c r="K17" t="s">
        <v>6</v>
      </c>
      <c r="L17" t="s">
        <v>10</v>
      </c>
      <c r="M17" t="s">
        <v>17</v>
      </c>
      <c r="N17" t="s">
        <v>18</v>
      </c>
    </row>
    <row r="18" spans="1:14" x14ac:dyDescent="0.2">
      <c r="A18">
        <v>50</v>
      </c>
      <c r="B18">
        <v>90.549000000000007</v>
      </c>
      <c r="D18">
        <v>325.97199999999998</v>
      </c>
      <c r="E18">
        <v>1586.751</v>
      </c>
      <c r="F18">
        <v>0.60799999999999998</v>
      </c>
      <c r="G18" s="1">
        <v>0.28123751000000002</v>
      </c>
      <c r="H18">
        <v>7819.3999895699999</v>
      </c>
      <c r="I18">
        <f>-9594.824112-0.7380576</f>
        <v>-9595.5621695999998</v>
      </c>
      <c r="J18">
        <v>91.555999999999997</v>
      </c>
      <c r="K18">
        <v>10951.776</v>
      </c>
      <c r="L18">
        <v>89.024000000000001</v>
      </c>
      <c r="M18">
        <v>333.06799999999998</v>
      </c>
      <c r="N18">
        <f t="shared" si="5"/>
        <v>0.97234479444274546</v>
      </c>
    </row>
    <row r="19" spans="1:14" x14ac:dyDescent="0.2">
      <c r="A19">
        <v>40</v>
      </c>
      <c r="B19">
        <v>90.546999999999997</v>
      </c>
      <c r="D19">
        <v>325.93400000000003</v>
      </c>
      <c r="E19">
        <v>1586.7819999999999</v>
      </c>
      <c r="F19">
        <v>0.60799999999999998</v>
      </c>
      <c r="G19" s="1">
        <v>0.28123751000000002</v>
      </c>
      <c r="H19">
        <v>8077.6941402000002</v>
      </c>
      <c r="I19">
        <f>-1.4761152-9816.6782016</f>
        <v>-9818.1543167999989</v>
      </c>
      <c r="J19">
        <v>91.555000000000007</v>
      </c>
      <c r="K19">
        <v>10951.718000000001</v>
      </c>
      <c r="L19">
        <v>89.022000000000006</v>
      </c>
      <c r="M19">
        <v>333.06799999999998</v>
      </c>
      <c r="N19">
        <f t="shared" si="5"/>
        <v>0.97233356998525478</v>
      </c>
    </row>
    <row r="20" spans="1:14" x14ac:dyDescent="0.2">
      <c r="A20">
        <v>30</v>
      </c>
      <c r="B20">
        <v>90.548000000000002</v>
      </c>
      <c r="D20">
        <v>325.92399999999998</v>
      </c>
      <c r="E20">
        <v>1586.769</v>
      </c>
      <c r="F20">
        <v>0.60799999999999998</v>
      </c>
      <c r="G20" s="1">
        <v>0.28123751000000002</v>
      </c>
      <c r="H20">
        <v>8329.64077</v>
      </c>
      <c r="I20">
        <v>-9594.7789248000008</v>
      </c>
      <c r="J20">
        <v>91.555000000000007</v>
      </c>
      <c r="K20">
        <v>10951.745000000001</v>
      </c>
      <c r="L20">
        <v>89.022999999999996</v>
      </c>
      <c r="M20">
        <v>333.06799999999998</v>
      </c>
      <c r="N20">
        <f t="shared" si="5"/>
        <v>0.97234449238162846</v>
      </c>
    </row>
    <row r="22" spans="1:14" x14ac:dyDescent="0.2">
      <c r="A22" t="s">
        <v>13</v>
      </c>
    </row>
    <row r="23" spans="1:14" x14ac:dyDescent="0.2">
      <c r="A23" t="s">
        <v>1</v>
      </c>
      <c r="B23" t="s">
        <v>9</v>
      </c>
      <c r="C23" t="s">
        <v>5</v>
      </c>
      <c r="D23" t="s">
        <v>7</v>
      </c>
      <c r="E23" t="s">
        <v>8</v>
      </c>
      <c r="F23" t="s">
        <v>3</v>
      </c>
      <c r="G23" t="s">
        <v>2</v>
      </c>
      <c r="H23" t="s">
        <v>15</v>
      </c>
      <c r="I23" t="s">
        <v>4</v>
      </c>
      <c r="J23" t="s">
        <v>6</v>
      </c>
      <c r="K23" t="s">
        <v>6</v>
      </c>
      <c r="L23" t="s">
        <v>10</v>
      </c>
      <c r="M23" t="s">
        <v>17</v>
      </c>
      <c r="N23" t="s">
        <v>18</v>
      </c>
    </row>
    <row r="24" spans="1:14" x14ac:dyDescent="0.2">
      <c r="A24">
        <v>50</v>
      </c>
      <c r="B24">
        <v>93.436000000000007</v>
      </c>
      <c r="D24">
        <v>183.39400000000001</v>
      </c>
      <c r="E24">
        <v>1566.145</v>
      </c>
      <c r="F24">
        <v>0.92700000000000005</v>
      </c>
      <c r="G24" s="1">
        <v>0.28123751000000002</v>
      </c>
      <c r="H24">
        <v>5055.0961900000002</v>
      </c>
      <c r="I24">
        <f>-10570.0392-5.457633242947</f>
        <v>-10575.496833242947</v>
      </c>
      <c r="J24">
        <v>92.703999999999994</v>
      </c>
      <c r="K24">
        <v>11115.063</v>
      </c>
      <c r="L24">
        <v>91.57</v>
      </c>
      <c r="M24">
        <v>331.9658</v>
      </c>
      <c r="N24">
        <f t="shared" si="5"/>
        <v>0.98776751812219532</v>
      </c>
    </row>
    <row r="25" spans="1:14" x14ac:dyDescent="0.2">
      <c r="A25">
        <v>40</v>
      </c>
      <c r="B25">
        <v>93.463999999999999</v>
      </c>
      <c r="D25">
        <v>183.52500000000001</v>
      </c>
      <c r="E25">
        <v>1565.63</v>
      </c>
      <c r="F25">
        <v>0.93600000000000005</v>
      </c>
      <c r="G25" s="1">
        <v>0.28123751000000002</v>
      </c>
      <c r="H25">
        <v>5396.3714200000004</v>
      </c>
      <c r="I25">
        <f>-2.915146771-10560.851136</f>
        <v>-10563.766282770999</v>
      </c>
      <c r="J25">
        <v>92.709000000000003</v>
      </c>
      <c r="K25">
        <v>11116.245000000001</v>
      </c>
      <c r="L25">
        <v>91.587999999999994</v>
      </c>
      <c r="M25">
        <v>331.93599999999998</v>
      </c>
      <c r="N25">
        <f t="shared" si="5"/>
        <v>0.98790840155756177</v>
      </c>
    </row>
    <row r="26" spans="1:14" x14ac:dyDescent="0.2">
      <c r="A26">
        <v>45</v>
      </c>
      <c r="B26">
        <v>93.44</v>
      </c>
      <c r="D26">
        <v>183.76900000000001</v>
      </c>
      <c r="E26">
        <v>1566.056</v>
      </c>
      <c r="F26">
        <v>0.92700000000000005</v>
      </c>
      <c r="G26" s="1">
        <v>0.28123751000000002</v>
      </c>
      <c r="H26">
        <f>5224.9356864</f>
        <v>5224.9356864000001</v>
      </c>
      <c r="I26">
        <v>-10713.74296</v>
      </c>
      <c r="J26">
        <v>92.706000000000003</v>
      </c>
      <c r="K26">
        <v>11115.222</v>
      </c>
      <c r="L26">
        <v>91.573999999999998</v>
      </c>
      <c r="M26">
        <v>331.96499999999997</v>
      </c>
      <c r="N26">
        <f t="shared" si="5"/>
        <v>0.98778935559726444</v>
      </c>
    </row>
    <row r="27" spans="1:14" x14ac:dyDescent="0.2">
      <c r="A27">
        <v>25</v>
      </c>
      <c r="B27">
        <v>93.451999999999998</v>
      </c>
      <c r="D27">
        <v>183.36199999999999</v>
      </c>
      <c r="E27">
        <v>1565.85</v>
      </c>
      <c r="F27">
        <v>0.93200000000000005</v>
      </c>
      <c r="G27" s="1">
        <v>0.28123751000000002</v>
      </c>
      <c r="H27">
        <v>5869.0459300000002</v>
      </c>
      <c r="I27">
        <v>-9653.2963488000005</v>
      </c>
      <c r="J27">
        <v>92.707999999999998</v>
      </c>
      <c r="K27">
        <v>11115.847</v>
      </c>
      <c r="L27">
        <v>91.58</v>
      </c>
      <c r="M27">
        <v>331.94900000000001</v>
      </c>
      <c r="N27">
        <f t="shared" si="5"/>
        <v>0.98783276524140307</v>
      </c>
    </row>
    <row r="28" spans="1:14" x14ac:dyDescent="0.2">
      <c r="A28">
        <v>35</v>
      </c>
      <c r="B28">
        <v>93.465000000000003</v>
      </c>
      <c r="D28">
        <v>183.45</v>
      </c>
      <c r="E28">
        <v>1565.6130000000001</v>
      </c>
      <c r="F28">
        <v>0.93600000000000005</v>
      </c>
      <c r="G28" s="1">
        <v>0.28123751000000002</v>
      </c>
      <c r="H28">
        <v>5559.0987999999998</v>
      </c>
      <c r="I28">
        <f>-2.033680061-10071.0821376</f>
        <v>-10073.115817661001</v>
      </c>
      <c r="J28">
        <v>92.71</v>
      </c>
      <c r="K28">
        <v>11116.38</v>
      </c>
      <c r="L28">
        <v>91.588999999999999</v>
      </c>
      <c r="M28">
        <v>331.93400000000003</v>
      </c>
      <c r="N28">
        <f t="shared" si="5"/>
        <v>0.98790853198144757</v>
      </c>
    </row>
  </sheetData>
  <conditionalFormatting sqref="N3:N28">
    <cfRule type="cellIs" dxfId="0" priority="1" operator="lessThan">
      <formula>0.99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9000-DB45-0E4C-99BC-4DE4EA98A16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M. Thomas</dc:creator>
  <cp:lastModifiedBy>Emily M. Thomas</cp:lastModifiedBy>
  <dcterms:created xsi:type="dcterms:W3CDTF">2020-03-17T02:21:00Z</dcterms:created>
  <dcterms:modified xsi:type="dcterms:W3CDTF">2020-03-17T08:44:04Z</dcterms:modified>
</cp:coreProperties>
</file>