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liverables" sheetId="1" r:id="rId4"/>
    <sheet state="visible" name="Tab 1 - Measure drop-offs" sheetId="2" r:id="rId5"/>
    <sheet state="visible" name="Tab 2 - Signup Experiments" sheetId="3" r:id="rId6"/>
    <sheet state="visible" name="Tab 3 - Activation Hypothesis" sheetId="4" r:id="rId7"/>
    <sheet state="visible" name="Tab 4 - Habit Moment and Metric" sheetId="5" r:id="rId8"/>
    <sheet state="visible" name="Tab 5 - Aha Moment and Metric A" sheetId="6" r:id="rId9"/>
    <sheet state="visible" name="Tab 6 - Setup Moment and Metric" sheetId="7" r:id="rId10"/>
    <sheet state="visible" name="Tab 7 - Activation Funnel" sheetId="8" r:id="rId11"/>
    <sheet state="visible" name="Tab 8 - Segment Analys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G28">
      <text>
        <t xml:space="preserve">Password was asked on the step 5. Is this spreadsheet outdated?
	-Antonina Savka</t>
      </text>
    </comment>
  </commentList>
</comments>
</file>

<file path=xl/sharedStrings.xml><?xml version="1.0" encoding="utf-8"?>
<sst xmlns="http://schemas.openxmlformats.org/spreadsheetml/2006/main" count="719" uniqueCount="482">
  <si>
    <t>Activation Analysis</t>
  </si>
  <si>
    <r>
      <rPr>
        <rFont val="Arial"/>
        <b/>
        <color theme="1"/>
      </rPr>
      <t>Instructions:</t>
    </r>
    <r>
      <rPr>
        <rFont val="Arial"/>
        <color theme="1"/>
      </rPr>
      <t xml:space="preserve"> In Course 1, you learned how to acquire a customer. Now you have driven your prospect to the point of signup, this prospect is handed off from the Growth PM focused on acquisition to Growth PM focused on activation, YOU. </t>
    </r>
  </si>
  <si>
    <t xml:space="preserve">These tasks will help you understand how to decrease time-to-value and remove friction for users when signing up. After signing up, it's important to activate customers so they experience your value proposition as early as possible, so we must activate users quickly. 
</t>
  </si>
  <si>
    <t>Step 2: Complete Tabs 3 - 8 in order by signing up for Slack: https://slack.com/get-started. These tasks will help you understand how to apply activation theories to guide users from 1-stage to another (signup to engagement) in the Activation model and how to segment audiences and use levers to increase engagement. You are using two different companies (Slack and Productboard) in the project because it will allow you to apply the frameworks, theories, and methods in the classroom to multiple examples, seeing how a GPM at a large and a small scale company address signup flow and activation.</t>
  </si>
  <si>
    <t xml:space="preserve">These tasks will help you understand how to apply activation theories to guide users from 1-stage to another (signup to engagement) in the Activation flow, how to segment audiences and use levers to increase engagement. </t>
  </si>
  <si>
    <t>You are using two different companies (Slack and Productboard) in the project because it will allow you to apply the frameworks, theories, and methods in the classroom to multiple contexts. You will get a feeling for how a GPM at a large and a small scale company address signup flow and activation.</t>
  </si>
  <si>
    <r>
      <rPr>
        <rFont val="Arial"/>
        <b/>
        <color theme="1"/>
      </rPr>
      <t>Note:</t>
    </r>
    <r>
      <rPr>
        <rFont val="Arial"/>
        <color theme="1"/>
      </rPr>
      <t xml:space="preserve"> If you are unable to or have not used Slack before, imagine a product that is the equivalent to SMS, Messenger, or Whatsapp, but for business use-case. Think of the tools mentioned above as an equivalent if you are unable to think of the moments for Slack.</t>
    </r>
  </si>
  <si>
    <t>Mark a task completed on Column B after completing each Tab. To help you keep track of what you have completed.</t>
  </si>
  <si>
    <t>Tab</t>
  </si>
  <si>
    <t>Completed?</t>
  </si>
  <si>
    <t>Tasks</t>
  </si>
  <si>
    <t>Signup Flow</t>
  </si>
  <si>
    <t>Measure drop-offs</t>
  </si>
  <si>
    <t>Signup Experiments</t>
  </si>
  <si>
    <t>Understand Product</t>
  </si>
  <si>
    <t>Activation Hypothesis</t>
  </si>
  <si>
    <t>Funnel Analysis</t>
  </si>
  <si>
    <t>Habit Moment and Metric Analysis</t>
  </si>
  <si>
    <t>Aha Moment and Metric Analysis</t>
  </si>
  <si>
    <t>Setup Moment and Metric Analysis</t>
  </si>
  <si>
    <t>Activation Funnel</t>
  </si>
  <si>
    <t>Activation by Segment</t>
  </si>
  <si>
    <t>Segment Analysis</t>
  </si>
  <si>
    <r>
      <rPr>
        <rFont val="Arial"/>
        <b/>
        <color theme="1"/>
      </rPr>
      <t xml:space="preserve">Scenario: </t>
    </r>
    <r>
      <rPr>
        <rFont val="Arial"/>
        <b val="0"/>
        <color theme="1"/>
      </rPr>
      <t xml:space="preserve">You have been brought onto a project at Productboard to help the company optimize the signup flow. 
 </t>
    </r>
  </si>
  <si>
    <t>Your task is to analyze each step in the sign up flow that a user would go through.</t>
  </si>
  <si>
    <t>Qualitatively, understand what each step is asking and if it creates any bad friction.</t>
  </si>
  <si>
    <t>Quantitatively, measure the amount of input (click and fields) it takes for the user to complete each step and what the drop-off rates are.</t>
  </si>
  <si>
    <t>Once you understand the existing flow, suggest experiments to reduce drop-offs %. Doing so, you will increase the amount of leads to the top of the funnel.</t>
  </si>
  <si>
    <r>
      <rPr>
        <rFont val="Arial"/>
        <b/>
        <color theme="1"/>
      </rPr>
      <t xml:space="preserve">Skill: </t>
    </r>
    <r>
      <rPr>
        <rFont val="Arial"/>
        <b val="0"/>
        <color theme="1"/>
      </rPr>
      <t>You should:
(1) Calculate drop-offs at each step of sign up flow
(2) Analyze how to reduce drop-offs (increase the signup completion rate) in the flow
(3) Think on how to get users through the activation funnel
(4) Create experiments using the [ACTION], [OUTCOME], and [THEORY] framework.</t>
    </r>
  </si>
  <si>
    <r>
      <rPr>
        <rFont val="Arial"/>
        <b/>
        <color theme="1"/>
      </rPr>
      <t xml:space="preserve">Instructions: </t>
    </r>
    <r>
      <rPr>
        <rFont val="Arial"/>
        <b val="0"/>
        <color theme="1"/>
      </rPr>
      <t xml:space="preserve">Sign Up for the free trial of productboard (https://app.productboard.com/register) to complete in-order, a row-at-a-time, the 9 sign-up steps in Column A. Each screen in the sign up on productboard will equal a row in this sheet. Pause at each screen on signup to complete the analysis on each row in this sheet by filling in the questions in the columns for that step before continuing with your sign up on productboard. Along the way, address the questions and calculations in Row 20 to explain your understanding of friction in each step and suggest experiments to address any frictions. Complete the task 1-row at a time from Row 22 - 29. </t>
    </r>
  </si>
  <si>
    <r>
      <rPr>
        <rFont val="Arial"/>
        <b/>
        <color theme="1"/>
      </rPr>
      <t xml:space="preserve">1. </t>
    </r>
    <r>
      <rPr>
        <rFont val="Arial"/>
        <b val="0"/>
        <color theme="1"/>
      </rPr>
      <t>Take the Click Through # and calculate the fields on Column D, E, and F.</t>
    </r>
  </si>
  <si>
    <r>
      <rPr>
        <rFont val="Arial"/>
        <b/>
        <color theme="1"/>
      </rPr>
      <t xml:space="preserve">2. </t>
    </r>
    <r>
      <rPr>
        <rFont val="Arial"/>
        <b val="0"/>
        <color theme="1"/>
      </rPr>
      <t>Fill in the # of clicks and fields in Column G and H as you go through each step of the sign up flow.</t>
    </r>
  </si>
  <si>
    <t>3. In Column M and N, take the CTA directly from the sign-up flow and document the CTA and an explanation of the information that is being asked</t>
  </si>
  <si>
    <r>
      <rPr>
        <rFont val="Arial"/>
        <b/>
        <color theme="1"/>
      </rPr>
      <t xml:space="preserve">4. </t>
    </r>
    <r>
      <rPr>
        <rFont val="Arial"/>
        <b val="0"/>
        <color theme="1"/>
      </rPr>
      <t>In Column O explain your understanding of the value extracted from the information collected.</t>
    </r>
  </si>
  <si>
    <r>
      <rPr>
        <rFont val="Arial"/>
        <b/>
        <color theme="1"/>
      </rPr>
      <t xml:space="preserve">5. </t>
    </r>
    <r>
      <rPr>
        <rFont val="Arial"/>
        <b val="0"/>
        <color theme="1"/>
      </rPr>
      <t>In Column P, Q, and R, reply with a binary yes/no; If no, then explain your reasoning.</t>
    </r>
  </si>
  <si>
    <r>
      <rPr>
        <rFont val="Arial"/>
        <b/>
        <color theme="1"/>
      </rPr>
      <t xml:space="preserve">6. </t>
    </r>
    <r>
      <rPr>
        <rFont val="Arial"/>
        <b val="0"/>
        <color theme="1"/>
      </rPr>
      <t>Demonstrate your understanding of good and bad friction in Columns S to V by applying the concept of friction to this specific sign up flow.</t>
    </r>
  </si>
  <si>
    <r>
      <rPr>
        <rFont val="Arial"/>
        <b/>
        <color theme="1"/>
      </rPr>
      <t xml:space="preserve">7. </t>
    </r>
    <r>
      <rPr>
        <rFont val="Arial"/>
        <b val="0"/>
        <color theme="1"/>
      </rPr>
      <t xml:space="preserve">In Column W, create a experiment brief using the [ACTION], [OUTCOME], and [THEORY] framework. </t>
    </r>
  </si>
  <si>
    <t>Cells in Orange have been completed for you as an example. The formulas have been removed.</t>
  </si>
  <si>
    <t>A</t>
  </si>
  <si>
    <t>B</t>
  </si>
  <si>
    <t xml:space="preserve">C </t>
  </si>
  <si>
    <t>D</t>
  </si>
  <si>
    <t>E</t>
  </si>
  <si>
    <t>F</t>
  </si>
  <si>
    <t>G</t>
  </si>
  <si>
    <t xml:space="preserve">H </t>
  </si>
  <si>
    <t>I</t>
  </si>
  <si>
    <t>J</t>
  </si>
  <si>
    <t>K</t>
  </si>
  <si>
    <t>L</t>
  </si>
  <si>
    <t>M</t>
  </si>
  <si>
    <t>N</t>
  </si>
  <si>
    <t>O</t>
  </si>
  <si>
    <t>P</t>
  </si>
  <si>
    <t>Q</t>
  </si>
  <si>
    <t>R</t>
  </si>
  <si>
    <t>S</t>
  </si>
  <si>
    <t>T</t>
  </si>
  <si>
    <t>U</t>
  </si>
  <si>
    <t>V</t>
  </si>
  <si>
    <t>W</t>
  </si>
  <si>
    <t>Step</t>
  </si>
  <si>
    <t>Name</t>
  </si>
  <si>
    <t>Click-through #</t>
  </si>
  <si>
    <t>Click-through %</t>
  </si>
  <si>
    <t>Drop-off % at each step</t>
  </si>
  <si>
    <r>
      <rPr>
        <rFont val="Arial"/>
        <b/>
        <color theme="1"/>
      </rPr>
      <t xml:space="preserve">Drop-off % through funnel </t>
    </r>
    <r>
      <rPr>
        <rFont val="Arial"/>
        <b val="0"/>
        <color theme="1"/>
      </rPr>
      <t>(starting signup)</t>
    </r>
  </si>
  <si>
    <r>
      <rPr>
        <rFont val="Arial"/>
        <b/>
        <color theme="1"/>
      </rPr>
      <t>How many total clicks to get to next step?</t>
    </r>
    <r>
      <rPr>
        <rFont val="Arial"/>
        <b val="0"/>
        <color theme="1"/>
      </rPr>
      <t xml:space="preserve"> (including optional fields)</t>
    </r>
  </si>
  <si>
    <r>
      <rPr>
        <rFont val="Arial"/>
        <b/>
        <color theme="1"/>
      </rPr>
      <t xml:space="preserve">How many fields to fill out? </t>
    </r>
    <r>
      <rPr>
        <rFont val="Arial"/>
        <b val="0"/>
        <color theme="1"/>
      </rPr>
      <t>(including optional fields)</t>
    </r>
  </si>
  <si>
    <t>Observations (Personal Notes)</t>
  </si>
  <si>
    <t>What is the Call-To-Action (CTA)?</t>
  </si>
  <si>
    <t>What information is being asked on this step?</t>
  </si>
  <si>
    <t>What do you think this information is used for?</t>
  </si>
  <si>
    <t>Is the action clear? (If not, explain)</t>
  </si>
  <si>
    <t>Do you think this step is located in the correct (most natural) order of the flow? (If not, explain)</t>
  </si>
  <si>
    <t>Is this step necessary? (If not, explain)</t>
  </si>
  <si>
    <t>Is this good friction or bad friction?</t>
  </si>
  <si>
    <t>If bad friction, how can it be addressed?</t>
  </si>
  <si>
    <t>Why might you not want to remove this bad friction?</t>
  </si>
  <si>
    <t>Can the amount of clicks be reduced? If so, how?</t>
  </si>
  <si>
    <t>Experiment Brief</t>
  </si>
  <si>
    <t>Home Page</t>
  </si>
  <si>
    <t>0%%</t>
  </si>
  <si>
    <t>Just a simple home page with 2 call-to-actions (CTAs) above the fold.</t>
  </si>
  <si>
    <t>[Try Now] and [TRY NOW]</t>
  </si>
  <si>
    <t>To start the free trial by clicking the CTA</t>
  </si>
  <si>
    <t>To start the free trial</t>
  </si>
  <si>
    <t>Yes</t>
  </si>
  <si>
    <t>Good</t>
  </si>
  <si>
    <t>--</t>
  </si>
  <si>
    <t>[ACTION] If we run an a/b experiment by changing the copy from "try now" to "start free trial", or "start 14-day trial" [OUTCOME] we can evaluate if there is more click-throughs to the sign-up page [Theory] because the copy will better present that the trial is offered for free, is for 14-days, and does not require a credit card.</t>
  </si>
  <si>
    <t>Free Trial Sign Up</t>
  </si>
  <si>
    <t>A simple page with one text field to enter email and a check box to confirm agreement. Minimal friction + the ProductBoard have an email from the very first step of sing up process to reach out to the dropped users.</t>
  </si>
  <si>
    <t>Read [Master Subscription agreement], read [Privacy Policy] and [Sign up with work email]</t>
  </si>
  <si>
    <t>Email and accept the agreement</t>
  </si>
  <si>
    <t>Email: to reach out to the drop-off leads.
Agreement check box: to have a confirmation from the lead about accepting the Master Subscription Agreement and Privacy Policy</t>
  </si>
  <si>
    <t>Bad</t>
  </si>
  <si>
    <t xml:space="preserve">The agreement could be added at the end of the sign-up flow. There is no need to get an agreement before knowing that the user is going to finish the flow. </t>
  </si>
  <si>
    <t>Reduce the number of clicks, therefore simplifies the flow and gets the user to the next step quicker</t>
  </si>
  <si>
    <t>Yes, the check box about the agreement can be a part of the CTA [Sign up with work email]. The message "by clicking on Sing up I agree with ..." can be placed just above the [Sign up...] CTA.</t>
  </si>
  <si>
    <t>[ACTION] If we run an a/b experiment by replacing the agreement check box with the text "by signing up I agree..." [OUTCOME] we can evaluate if there are more click-throughs to the next sign-up stage [Theory] because the reduced amount of the fields on that sign-up page may reduce friction.
[ACTION] If we run an a/b experiment by adding the clear message that the email will be used as a login to the product and won't be shared with the 3rd party organisations [OUTCOME] we can evaluate if this change will lead to more sign-ups at this step of funnel [Theory] because we increase trust on our product."</t>
  </si>
  <si>
    <t>Verification Email</t>
  </si>
  <si>
    <t>A page with the most popular emails managment providers where each of mentioned emails is a CTA.</t>
  </si>
  <si>
    <t>[Open Gmail], [Open Outlook] and [Open Yahoo]</t>
  </si>
  <si>
    <t>Select the email provider</t>
  </si>
  <si>
    <t>To help the lead to get to the verification email as soon as possible. This also creates the impression of seamless flow despite the user actaull is switching from the ProductBoard to another application.</t>
  </si>
  <si>
    <t>No. This may be confusing for the users of other email providers.</t>
  </si>
  <si>
    <t xml:space="preserve">The system may detect the email ending and for some popular email providers launch the email provider page without asking a user doing this. E.g. if the email is @gmail.com, then instead of this page the gmail page could be lauched. </t>
  </si>
  <si>
    <t>[ACTION] If we run an a/b experiment by replacing the email verification step with confirm email field [OUTCOME] we can evaluate whether there is a better conversion rate on this step [Theory] because the sign-up flow becomes seamless as the lead remains in ProductBoard without making them switch between the pages/applications.</t>
  </si>
  <si>
    <t>Activate account in email</t>
  </si>
  <si>
    <t>A greeting email with a clearly visible (easy to find) CTA</t>
  </si>
  <si>
    <t>[Activate account]</t>
  </si>
  <si>
    <t>To activate the account</t>
  </si>
  <si>
    <t>To ensure that the lead provided the correct email which can be used for the follow-up communication and as the user name for the system.</t>
  </si>
  <si>
    <t>No</t>
  </si>
  <si>
    <t>[ACTION] If we run an a/b experiment by changing the CTA  text from "Activate account" to "Lets set up your ProductBoard" [OUTCOME] we can evaluate if there are more click-throughs to the activation of the account [Theory] because the text will create a better association with the product and part "your" will make a better emotional connection.</t>
  </si>
  <si>
    <t>Submit personal info</t>
  </si>
  <si>
    <t>A simple form with a phone as an optional field reduces friction for the leads who do not wish to share their phone numbers due to the possibility of receiving unwanted calls. A CTA on this page creates an understanding that this is the first step of the process and will be followed up by the next page.</t>
  </si>
  <si>
    <t>[Continue]</t>
  </si>
  <si>
    <t>The lead full name, password, phone number and subscription to the news and offer emails.</t>
  </si>
  <si>
    <t>The name is used for personalised communication with the potential user and personalisation of the product, e.g. providing a greeting in the system. The password is used to let the future user access the product and protect the data under the user's account. The phone number can be used for surveying the customer and reaching out to them with commercial needs. The news and offers check box is used to know who of the potential users do not mind being reached out to.</t>
  </si>
  <si>
    <t xml:space="preserve">No. The password and the name could be collected before verification the email address. In this case, we would have the user's name which would help us to make the follow-up emails more personalised if we want to reach out to drop-off leads. Also providing the email at the beginning is a more natural process with means that the account is created. Postponing the password entry to this step creates friction that may be difficult to process: the user first activates the account, then creates it - not a logical flow. </t>
  </si>
  <si>
    <t>No. This information can be filled in by the user after they sign up via the account settings in the ProductBoard. Omitting this step we could bring the user sooner to the ProductBoard and Aha! moment.</t>
  </si>
  <si>
    <t>Yes, a phone number is not necessary information and can be asked after signing up or be set via the account settings in the ProductBoard. It is optional anyway.</t>
  </si>
  <si>
    <t>[ACTION] If we run an a/b experiment by adding the text that explains how the phone number will be used and that it won't be shared with any 3rd party companies [OUTCOME] we can evaluate whether there will be more leads willing to provide their phone number [Theory] because they will feel more trust on how their personal data will be used.
[ACTION] If we run an a/b experiment by introducing the smart" phone field that adds the special symbols like +, () and - automatically when the leads type the numbers [OUTCOME] we can evaluate whether the simplified phone field causes more users to be willing to fill it [Theory] because the leads do not need to switch between the numbers and symbols to follow the complicated format and just add the numbers only therefor reducing the friction and user errors."</t>
  </si>
  <si>
    <t>Name your workspace</t>
  </si>
  <si>
    <t>The page suggests the leads pick their WorkSpace URL but simplifies this process by auto-filling it using provided Company Name. At the same time, the user can modify the workspace URL after it was "predicted". The system verifies the workspace URL on uniqueness on a "flight" providing the lead immediate feedback.</t>
  </si>
  <si>
    <t>Company name and Workspace URL</t>
  </si>
  <si>
    <t>The company name helps to pre-define/suggest the proper workspace URL. The workspace URL is used as a unique identifier to the Product board associated with this company, so a few users can be associated with it, access and collaborate.</t>
  </si>
  <si>
    <t>No. This step should be done significantly earlier. It has more value to the user than providing personal information and can potentially bring the Aha! effect sooner as the leads understand that they will have their own "workspace".</t>
  </si>
  <si>
    <t>Yes, the company name is a helpful field but not a necessary one</t>
  </si>
  <si>
    <t>[ACTION] If we run an a/b experiment by swapping the Personal information and Create your Workspace steps with each other [OUPCOME] we can evaluate whether there are more sign-ups to the ProductBoard [Theory] because a lead will be introduced to one of the features and therefore will get to the one of Aha! points sooner.</t>
  </si>
  <si>
    <t>Invite Team</t>
  </si>
  <si>
    <t>The potential user can add up to 3 team members straight away while signing up for the account.</t>
  </si>
  <si>
    <t>[Invite] and [Skip this]</t>
  </si>
  <si>
    <t>The emails of the team-mates</t>
  </si>
  <si>
    <t>To invite more users to the ProductBoard and introduce the current potential user to the collaboration capability of the product. These emails also can be used later with commercial intent even if the current lead drops the sign-up process.</t>
  </si>
  <si>
    <t>No. It can be done later.</t>
  </si>
  <si>
    <t>No. This is nice to have information at this point in time. The user then most likely still not getting to the Aha! point yet and don't see the value of adding/inviting others to join their still empty ProductBoard</t>
  </si>
  <si>
    <t>This step can be done after the user is introduced to the key ProductBoard features like a final step. After taking the tutorial and filling the ProductBoard with the first items and data, it will make much more sense to suggest the user invite the teammates.</t>
  </si>
  <si>
    <t>This friction postpones the Aha! moment and does not yet reveal its value.</t>
  </si>
  <si>
    <t>[ACTION] If we run an a/b experiment by introducing the step of inviting the teammates after a user sets up the initial values in the ProductBoard through a guided tour instead of asking the user to do this before the sign-up is done [OUTCOME] we can evaluate whether there are more users signed up and more users retained [Theory] because these users were introduced to the key product features earlier and therefore reached Aha! point sooner.</t>
  </si>
  <si>
    <t>Password</t>
  </si>
  <si>
    <t>Password was asked on the step 5. Is this spreadsheet outdated? Or am I experiancing the real a/b testing set up by ProductBoard?</t>
  </si>
  <si>
    <t>Survey</t>
  </si>
  <si>
    <t>The page reveals a short, at first sight, survey formed in the story style. This appeals to the Product Managers especially. After the story is completed, the page reveals 3 more questions to personalise the user's experience with the product.</t>
  </si>
  <si>
    <t>[Show me how it works]</t>
  </si>
  <si>
    <t>The user's role, the size of the company, the circle of the users who will collaborate in the set up workspace, type of the product and the sense of importans of the key ProductBoard features.</t>
  </si>
  <si>
    <t>To personalise the user training/tutorial, maybe expose some features while hiding others.</t>
  </si>
  <si>
    <t>No. It is not clear the set-up is finally done and the user is getting closer to the Aha! point.</t>
  </si>
  <si>
    <t>[ACTION] If we run an a/b experiment by introducing the ProductBoard templates based on the customer survey answers [OUTCOME] we can evaluate whether we can get better retention [Theory] because through the examples the users can get to the Aha! point sooner.</t>
  </si>
  <si>
    <t>User in-product</t>
  </si>
  <si>
    <t>Average</t>
  </si>
  <si>
    <t>Sum</t>
  </si>
  <si>
    <r>
      <rPr>
        <rFont val="Arial"/>
        <b/>
        <color theme="1"/>
      </rPr>
      <t>Scenario:</t>
    </r>
    <r>
      <rPr>
        <rFont val="Arial"/>
        <b val="0"/>
        <color theme="1"/>
      </rPr>
      <t xml:space="preserve"> The director of PM at Productboard has looked at your analysis of experiments in Tab 1 and wants to better understand how you will implement these experiments, your hypothesis on the impacts, how you will prioritize them, and how you will measure success. Not every experiment needs to be expanded on, so he asks to choose your top 5.</t>
    </r>
  </si>
  <si>
    <r>
      <rPr>
        <rFont val="Arial"/>
        <b/>
        <color theme="1"/>
      </rPr>
      <t xml:space="preserve">Skill: </t>
    </r>
    <r>
      <rPr>
        <rFont val="Arial"/>
        <b val="0"/>
        <color theme="1"/>
      </rPr>
      <t>You will implement the ICE framework to prioritize your experiments by giving them a growth score. Note: Further analysis and input from engineering and design does occur in the wild, which is removed from the scope of this exercise.</t>
    </r>
  </si>
  <si>
    <r>
      <rPr>
        <rFont val="Arial"/>
        <b/>
        <color theme="1"/>
      </rPr>
      <t xml:space="preserve">Instructions: </t>
    </r>
    <r>
      <rPr>
        <rFont val="Arial"/>
        <b val="0"/>
        <color theme="1"/>
      </rPr>
      <t>Complete the task with 1 row (experiment) at a time.</t>
    </r>
  </si>
  <si>
    <t xml:space="preserve">1. Use 5 experiments from Tab 1 - Column W and place them into Tab 2 - Column B. </t>
  </si>
  <si>
    <t>2. In column D, elaborate on what is being tested</t>
  </si>
  <si>
    <t>3. In column E, provide a qualitative and quantitative hypothesis of what will happen</t>
  </si>
  <si>
    <t>4. In column F, describe the rationale of why you chose this experiment from any social proof, previous experience, or from any research.</t>
  </si>
  <si>
    <t>5 In column G, provide a list of stakeholders who would need to be involved to release this experiment and why</t>
  </si>
  <si>
    <t>6. In column H, document what more information is needed for you to execute on this experiment and document what assumptions you are making</t>
  </si>
  <si>
    <t>7. In column I, provide a list of metrics that need to be measured in this experiment that would verify if the experiment failed or passed</t>
  </si>
  <si>
    <t>8. In column J, provide a time-frame the experiment should be run for</t>
  </si>
  <si>
    <t>9 In column K, provide a % of users you would want to experiment with</t>
  </si>
  <si>
    <t>10. In column M - P, apply the ICE framework to your experiments</t>
  </si>
  <si>
    <t xml:space="preserve">B </t>
  </si>
  <si>
    <t>C</t>
  </si>
  <si>
    <r>
      <rPr>
        <rFont val="Arial"/>
        <b/>
        <color theme="1"/>
      </rPr>
      <t xml:space="preserve">Experiment Brief </t>
    </r>
    <r>
      <rPr>
        <rFont val="Arial"/>
        <b/>
        <color theme="1"/>
      </rPr>
      <t>(from Tab 1)</t>
    </r>
  </si>
  <si>
    <t>Which Step of Funnel (name and #) does this experiment impact?</t>
  </si>
  <si>
    <t>Describe what in the experiment is being tested?</t>
  </si>
  <si>
    <t>Hypothesis (What do you think will happen qualitatively and quantitatively?)</t>
  </si>
  <si>
    <t>Rationale (Why do you want to try this experiment?)</t>
  </si>
  <si>
    <t>Stakeholders (What other titles in the company needs to be involved? and why?)</t>
  </si>
  <si>
    <t>What more info do you need to decide this is an experiment you want to run? What assumptions are we making?</t>
  </si>
  <si>
    <t>What metrics should be measured?</t>
  </si>
  <si>
    <t>Length of time to run the experiment?</t>
  </si>
  <si>
    <t>What % of sign up users would you want to experiment with?</t>
  </si>
  <si>
    <t>What Friction is being removed?</t>
  </si>
  <si>
    <t>ICE - Impact? (be quantitative)</t>
  </si>
  <si>
    <t>ICE- Confidence</t>
  </si>
  <si>
    <t>ICE- Ease</t>
  </si>
  <si>
    <t>ICE - Growth Score</t>
  </si>
  <si>
    <t>[ACTION] we can remove the top 50% of the step (role, team size, team use) [OUTCOME] so that we can inc the step completion rate from 92% [THEORY] because we would be decreasing 67% of the clicks on this step.</t>
  </si>
  <si>
    <t>9 - survey</t>
  </si>
  <si>
    <t>We would remove the top portion of this step and only include the button. The screen would then only ask the user for bottom step that starts with "what are you hoping productboard will help you do?" The other steps we removed, we can look into tools like Clearbit that will help us collect the same data.</t>
  </si>
  <si>
    <t>We would remove 67% of the clicks and 4 fields from this step. At the moment the conversion on this step is 92%, but I think we can inc it to 95% as a result of this step.</t>
  </si>
  <si>
    <t>We are asking for too many fields at this step and the user is likely exhausted from going through 9 steps. We need to trim the sign up process to only the bare minimum items we need to get the user to the time-to-value as fast as possible.</t>
  </si>
  <si>
    <t>Sales team to determine how they use the survey data. Marketing team to determine how they use the survey data. Design team to create mockups of the new last step. Engineering team to unmap those fields and remove them from the back end, while keeping historical data.</t>
  </si>
  <si>
    <t>How sales uses this data? Is this data used for marketing engagement and onboarding?</t>
  </si>
  <si>
    <t xml:space="preserve">Higher step 9 conversions and higher total conversions of the funnel. </t>
  </si>
  <si>
    <t>2-weeks</t>
  </si>
  <si>
    <t>Collecting additional data that can be obtained for 3rd party resources. Asking for too much data</t>
  </si>
  <si>
    <t>[ACTION] If we run an a/b experiment by swapping the Personal information and Name your Workspace steps with each other [OUPCOME] we can increase the sign-ups to the ProductBoard up from 90% [Theory] because a lead will be introduced to one of the features and therefore will get to the one of Aha! points sooner.</t>
  </si>
  <si>
    <t>6 - Name your workspace</t>
  </si>
  <si>
    <t>We would introduce the potential users to the product specific feature - Workspace - sooner, in this way bringing them to aha point quicker as well. The sing-up workflow will be updated then to more logical siquence as after activation of account the user will actaully set up the product.</t>
  </si>
  <si>
    <t>We introduce the product feature sooner in the sign up flow and this brings the users logically to the Aha moment sooner. This potentially should increase the conversion rate from 90 to 92%.</t>
  </si>
  <si>
    <t>With current sign-up workflow we are asking the user to name their workspace "out of blue". There is not intuitial connection between providing personal data on the previous step and settign up the workspace on the current step.</t>
  </si>
  <si>
    <t>Desing team to improve the signup flow to make it more logical and each step connected. Engineering team to impelent changes. Marketing and sales team to determin how they will be impacted if the lead drops before providing the personal data.</t>
  </si>
  <si>
    <t xml:space="preserve">Why personal details may be considered important to gather before creating the workspace? </t>
  </si>
  <si>
    <t>Higher total conversion of the funnel and the follow up retention.</t>
  </si>
  <si>
    <t>Cognitive overload due to large number of steps and missing logical connection between them</t>
  </si>
  <si>
    <t>[ACTION] we can remove the Invite Team step from the signup workflow [OUTCOME] so that we can increase the total sign-up percentage by up to 1%  [Theory] because we would decrease the number of steps in the sign-up workflow as well as the number of clicks performed by the lead.</t>
  </si>
  <si>
    <t>7 - Invite Team</t>
  </si>
  <si>
    <t>We would remove the Invite Team step and maybe include it later into the product onboarding tutorial after the user is signed up.</t>
  </si>
  <si>
    <t>As we remove the whole step, this automatically means we decrease the number of clicks performed by the lead during sign-up flow: at least 1 click if the user skips this step or 4 if the user fills the fields. This also reduces the time the lead spends on sign-up workflow and can be brought to the Aha! moments sooner. I would expect an increase in total conversion of up to 1%.</t>
  </si>
  <si>
    <t>We introduce too many steps to the sign-up workflow, delaying the user from getting to the Aha moment. This information is not critical for signing up and can be asked later when the user actually has what to share with the teammates.</t>
  </si>
  <si>
    <t>Sales team to determine whether they use these emails to contact the members of the same team. Marketing team to determine whether they use these emails with promotional engagement. Design team to understand the potential impact on the leads from a UX perspective and how we can include these steps in the onboarding tutorial. Engineering team to remove this step from the signup flow and how much effort will it take to include these steps into the onboarding tutorial.</t>
  </si>
  <si>
    <t xml:space="preserve">How sales and marketing using these emails? </t>
  </si>
  <si>
    <t>Higher total conversion of the funnel.</t>
  </si>
  <si>
    <t>1-month</t>
  </si>
  <si>
    <t xml:space="preserve">By cutting "fat" and reducing steps to get your customers to their goal as fast as possible, we remove cognitive overload friction </t>
  </si>
  <si>
    <t>[ACTION] we can add a clear message that the email will be used as a login to the product and won't be shared with the 3rd party organisations [OUTCOME] so that we can increase the step completion rate from 93% [Theory] because we increase trust on our product.</t>
  </si>
  <si>
    <t>2 - Free Trial Sign Up</t>
  </si>
  <si>
    <t>We will add a text above or below the email field with the explanation that the email will be used first of all as the account name.</t>
  </si>
  <si>
    <t>By clarifying the use of the information provided by users, we reduce uncertainty and increase trust in the product. I would expect an increased click-through rate from 93% to 95% as a result of this step.</t>
  </si>
  <si>
    <t>Many leads do not like to provide their emails as they fear being targeted by spammers. Reinsuring them that the information won't be used inappropriately and the main purpose of asking the email, will increase the understanding among the leads and encourage them to pass this step.</t>
  </si>
  <si>
    <t>Designer team to evaluate the approach and come up with the proper design for this change. Legal team to ensure that wording won't cause legal troubles in case of an email leak. Sales team to understand the intended use of the provided email. Marketing team to understand the intended use of the provided email. Engineering team to evaluate the complexity of implementation.</t>
  </si>
  <si>
    <t>Does sales or marketing teams use the emails in a way that can discourage the leads to sing up if we share this information with them? Is there any legal problem related to the wording of the message?</t>
  </si>
  <si>
    <t xml:space="preserve">Higher step 2 conversions and higher total conversions of the funnel. </t>
  </si>
  <si>
    <t>1-week</t>
  </si>
  <si>
    <t>Removing uncertainty</t>
  </si>
  <si>
    <t xml:space="preserve">[ACTION] we can remove the agreement check box and provide the text "by signing up I agree..." instead [OUTCOME] so we can increase the click-through at this step from 93% [Theory] because we would be decreasing the number of clicks by 20% </t>
  </si>
  <si>
    <t>5 - Submit personal info</t>
  </si>
  <si>
    <t>We will remove the agreement check box and place the text instead that notifies the lead that by clicking on the Sing up button they accept the agreement and privacy policy.</t>
  </si>
  <si>
    <t>We would remove 20% of the clicks by removing a single field from this step. We also replace this check box with the explanation text that by clicking on the sign-up button the lead agrees with the agreement and policy, so the page keeps its legal element. I expect this gives us an increasment in the clicks through from 93% to 94%.</t>
  </si>
  <si>
    <t>By simplifying the step, we can get the lead to the product quicker.</t>
  </si>
  <si>
    <t>The legal team to confirm the new text, so the agreement is still valid. Design team to create a mockup of the new Sign-up step. Engineering team to remap the agreement from a check box to the sign-up button.</t>
  </si>
  <si>
    <t>Is there any legal problem related to replacing the check box with the text and mapping the agreement to the sign-up button? Are there any technical difficulties that may prevent mapping the agreement to the sign-up button?</t>
  </si>
  <si>
    <t>Extra clicks that slows down the user</t>
  </si>
  <si>
    <r>
      <rPr>
        <rFont val="Arial"/>
        <b/>
        <color theme="1"/>
      </rPr>
      <t xml:space="preserve">Scenario: </t>
    </r>
    <r>
      <rPr>
        <rFont val="Arial"/>
        <b val="0"/>
        <color theme="1"/>
      </rPr>
      <t>After doing such an amazing job for Productboard with signup, you have now been brought onto a project at Slack. Slack's revenues have been decreasing by 5% and leadership believes it's an activation problem due to not understanding what we should be guiding our users to-do in our product when the user is signing up.</t>
    </r>
  </si>
  <si>
    <t>You've been tasked to define a more robust activation funnel to achieve shorter time-to-value, product usage, and revenue. You will 
(1) be able to tell Marketing and the Growth PM focusing on acquisition which segment of our users are performing these actions best and 
(2) determine what moments and metrics we should be driving our users towards. NOTE: The rest of the project relates entirely to Slack or a realtime messaging service like Slack.</t>
  </si>
  <si>
    <r>
      <rPr>
        <rFont val="Arial"/>
        <color rgb="FF000000"/>
      </rPr>
      <t xml:space="preserve">You will 
(1) be able to tell Marketing and Growth PM focusing on acquisition which segment of our users are performing these actions best
(2) determine what moments and metrics we should be driving our users towards. 
</t>
    </r>
    <r>
      <rPr>
        <rFont val="Arial"/>
        <b/>
        <color rgb="FF000000"/>
      </rPr>
      <t>NOTE</t>
    </r>
    <r>
      <rPr>
        <rFont val="Arial"/>
        <color rgb="FF000000"/>
      </rPr>
      <t>: The rest of the project relates entirely to Slack or a realtime messaging service like Slack.</t>
    </r>
  </si>
  <si>
    <r>
      <rPr>
        <rFont val="Arial"/>
        <b/>
        <color theme="1"/>
      </rPr>
      <t xml:space="preserve">Skill: </t>
    </r>
    <r>
      <rPr>
        <rFont val="Arial"/>
        <b val="0"/>
        <color theme="1"/>
      </rPr>
      <t xml:space="preserve">Before doing any analysis, you want to start off with a hypothesis. Before you quantitatively measure the activation funnel, define your understanding of the product by creating a hypothesis of what the Habit, Aha, and Setup moments are for Slack. </t>
    </r>
  </si>
  <si>
    <t xml:space="preserve">After signing up for Slack, determine what actions in the product and marketing messages the user is driven to. From the actions you are driven to as a new user, determine which actions are leading you to an aha moment to see value of the product or setup moment that are leading you to properly setup your account. </t>
  </si>
  <si>
    <t xml:space="preserve">An example of an Setup Moment is that they market themselves as a replacement of Email on their marketing website, so when you start using the product, they likely get you to take action via Slack what you would normally do via email. </t>
  </si>
  <si>
    <t>An example of Aha Moment is that they get you to engage with the Slackbot or your college, so you can engaging with others, weather that is a human, bots, or other 3rd party services to see value of the tool.</t>
  </si>
  <si>
    <t>Create a hypothesis of what the habit, aha, and setup moments should be for Slack. (Note: this is only for data-dump and for critical thinking.)</t>
  </si>
  <si>
    <t>The answers here are hypothesis based on your experience of starting to use Slack. In addition to creating a new account on Slack, browse through their features page to spark ideas of potential aha moments: https://slack.com/features.</t>
  </si>
  <si>
    <r>
      <rPr>
        <rFont val="Arial"/>
        <color theme="1"/>
      </rPr>
      <t xml:space="preserve">1. List 4 in-product moments you think that if done often would lead a </t>
    </r>
    <r>
      <rPr>
        <rFont val="Arial"/>
        <b/>
        <color rgb="FF4285F4"/>
      </rPr>
      <t>Slack</t>
    </r>
    <r>
      <rPr>
        <rFont val="Arial"/>
        <color theme="1"/>
      </rPr>
      <t xml:space="preserve"> user to build a habit in Row 18-21</t>
    </r>
  </si>
  <si>
    <r>
      <rPr>
        <rFont val="Arial"/>
        <color theme="1"/>
      </rPr>
      <t xml:space="preserve">2. List 4 aha moments in-product that you think if reached, seen, or experienced would get a user to understand the value provided by </t>
    </r>
    <r>
      <rPr>
        <rFont val="Arial"/>
        <b/>
        <color rgb="FF4285F4"/>
      </rPr>
      <t>Slack</t>
    </r>
    <r>
      <rPr>
        <rFont val="Arial"/>
        <color theme="1"/>
      </rPr>
      <t xml:space="preserve"> in Row 15-19</t>
    </r>
  </si>
  <si>
    <r>
      <rPr>
        <rFont val="Arial"/>
        <color theme="1"/>
      </rPr>
      <t xml:space="preserve">2. List 4 aha moments in-product that you think if reached, seen, or experienced would get a user to understand the value provided by </t>
    </r>
    <r>
      <rPr>
        <rFont val="Arial"/>
        <b/>
        <color rgb="FF4285F4"/>
      </rPr>
      <t>Slack</t>
    </r>
    <r>
      <rPr>
        <rFont val="Arial"/>
        <color theme="1"/>
      </rPr>
      <t xml:space="preserve"> in Row 31-34.</t>
    </r>
  </si>
  <si>
    <t>Moment that lead to Habit:</t>
  </si>
  <si>
    <t>Only use Slack, not email, for internal messages</t>
  </si>
  <si>
    <t>Use Slack for video calls with the members (e.g. stand up meetings)</t>
  </si>
  <si>
    <t>Leave notes for yourself, e.g. todo list</t>
  </si>
  <si>
    <t>Send private or group messages on a daily basis</t>
  </si>
  <si>
    <t>Join other channels under the workspace</t>
  </si>
  <si>
    <t>Moment that lead to Aha:</t>
  </si>
  <si>
    <t>Getting notifications from team on a group channel</t>
  </si>
  <si>
    <t>Direct messages to a few selected members at the same time</t>
  </si>
  <si>
    <t>Leave voice messages</t>
  </si>
  <si>
    <t>Create private groups</t>
  </si>
  <si>
    <t>Integrate Slack with the 3rd party apps to receive important updates and notifications (e.g. JIRA)</t>
  </si>
  <si>
    <t>Moment that lead to Setup:</t>
  </si>
  <si>
    <t>Engage in a frequency faster than email while being mobile</t>
  </si>
  <si>
    <t>Set up reminders</t>
  </si>
  <si>
    <t>Configure profile: picture, timezone, role</t>
  </si>
  <si>
    <t>Schedule "not disturb" time</t>
  </si>
  <si>
    <t>Invite friends/teammates</t>
  </si>
  <si>
    <r>
      <rPr>
        <rFont val="Arial"/>
        <b/>
        <color theme="1"/>
      </rPr>
      <t xml:space="preserve">Scenario: </t>
    </r>
    <r>
      <rPr>
        <rFont val="Arial"/>
        <b val="0"/>
        <color theme="1"/>
      </rPr>
      <t xml:space="preserve">The VP of Product took your team's hypothesis and narrowed down them down to 3 moments and 3 metrics each fro Habit, Aha, and Setup analysis. The ones provided could include your hypothesis from Tab 3, but if they do not, that does not mean yours hypothesis is not valid. With the VP's experience, he is simply able to narrow down the list for us. </t>
    </r>
  </si>
  <si>
    <r>
      <rPr>
        <rFont val="Arial"/>
        <color rgb="FF000000"/>
      </rPr>
      <t>You need to conduct an analysis on what habit moments and metrics drive users to long-term activation.</t>
    </r>
    <r>
      <rPr>
        <rFont val="Arial"/>
        <b/>
        <color rgb="FF000000"/>
      </rPr>
      <t xml:space="preserve"> 
Remember: </t>
    </r>
    <r>
      <rPr>
        <rFont val="Arial"/>
        <color rgb="FF000000"/>
      </rPr>
      <t xml:space="preserve">Long-term activation would be defined by the metric with the highest % overlap curve. </t>
    </r>
  </si>
  <si>
    <r>
      <rPr>
        <rFont val="Arial"/>
        <color rgb="FF000000"/>
      </rPr>
      <t>The habit, aha, and setup moments will be shared across</t>
    </r>
    <r>
      <rPr>
        <rFont val="Arial"/>
        <b/>
        <color rgb="FF000000"/>
      </rPr>
      <t xml:space="preserve"> next three tabs one for each moment</t>
    </r>
    <r>
      <rPr>
        <rFont val="Arial"/>
        <color rgb="FF000000"/>
      </rPr>
      <t>. 
In this tab, you will analyze just habit moments/metrics and determine whether each of these 3 habit moments affect activation. This is important to know because then we can tailor our product to include the features that allow our users to achieve activation faster. 3 Habit Moments and 3 Habit Metrics are pre-selected for you along with users who completed actions and retained for each of the 3 moments.</t>
    </r>
  </si>
  <si>
    <t>Habit 1 analysis is on row 18-20, habit 2 analysis is on row 30-36, and habit 3 analysis is on row 42-48.</t>
  </si>
  <si>
    <r>
      <rPr>
        <rFont val="Arial"/>
        <b/>
        <color theme="1"/>
      </rPr>
      <t xml:space="preserve">Skills: 
</t>
    </r>
    <r>
      <rPr>
        <rFont val="Arial"/>
        <b val="0"/>
        <color theme="1"/>
      </rPr>
      <t>(1) calculate % overlap to measure the relationship of % overlap to habit metric
(2) create line charts to visualize the relationship of the metric
(3) analyze which are the primary habit moments and metric that lead to long-term activation.</t>
    </r>
  </si>
  <si>
    <r>
      <rPr>
        <rFont val="Arial"/>
        <b/>
        <color theme="1"/>
      </rPr>
      <t xml:space="preserve">Instructions: </t>
    </r>
    <r>
      <rPr>
        <rFont val="Arial"/>
        <b val="0"/>
        <color theme="1"/>
      </rPr>
      <t>Place any notes, thoughts, comments in the "Observations (Personal Notes)" box in column M -O for yourself as you may want them in the future</t>
    </r>
  </si>
  <si>
    <r>
      <rPr>
        <rFont val="Arial"/>
        <b/>
        <color theme="1"/>
      </rPr>
      <t xml:space="preserve">1. </t>
    </r>
    <r>
      <rPr>
        <rFont val="Arial"/>
        <b val="0"/>
        <color theme="1"/>
      </rPr>
      <t xml:space="preserve">Calculate the % overlap for each moment in Column F, </t>
    </r>
  </si>
  <si>
    <r>
      <rPr>
        <rFont val="Arial"/>
        <b/>
        <color theme="1"/>
      </rPr>
      <t xml:space="preserve">2. </t>
    </r>
    <r>
      <rPr>
        <rFont val="Arial"/>
        <b val="0"/>
        <color theme="1"/>
      </rPr>
      <t xml:space="preserve">Create a line-graph for each moment in Column H-K to visualize the % Overlap from Column F vs Habit Metric from column A, </t>
    </r>
  </si>
  <si>
    <r>
      <rPr>
        <rFont val="Arial"/>
        <b/>
        <color theme="1"/>
      </rPr>
      <t xml:space="preserve">3. </t>
    </r>
    <r>
      <rPr>
        <rFont val="Arial"/>
        <b val="0"/>
        <color theme="1"/>
      </rPr>
      <t>Analyze the data for each moment to determine if based on your analysis, this moment leads to long-term activation or not, and share your reasoning in Column Q - S</t>
    </r>
  </si>
  <si>
    <r>
      <rPr>
        <rFont val="Arial"/>
        <b/>
        <color theme="1"/>
      </rPr>
      <t xml:space="preserve">4. </t>
    </r>
    <r>
      <rPr>
        <rFont val="Arial"/>
        <b val="0"/>
        <color theme="1"/>
      </rPr>
      <t>Once Steps 1 - 3 are completed, determine which of the 3 options would the Primary Habit Moment and Metric and explain why in the 2 boxes on the bottom right of this Tab in Row  51.</t>
    </r>
  </si>
  <si>
    <r>
      <rPr>
        <rFont val="Arial"/>
        <b/>
        <color theme="1"/>
      </rPr>
      <t xml:space="preserve">Habit Moment 1: </t>
    </r>
    <r>
      <rPr>
        <rFont val="Arial"/>
        <b val="0"/>
        <color theme="1"/>
      </rPr>
      <t xml:space="preserve">look for a communication tool outside of email to engage with teammates   </t>
    </r>
    <r>
      <rPr>
        <rFont val="Arial"/>
        <b/>
        <color theme="1"/>
      </rPr>
      <t xml:space="preserve">                                     </t>
    </r>
  </si>
  <si>
    <r>
      <rPr>
        <rFont val="Arial"/>
        <b/>
        <color theme="1"/>
      </rPr>
      <t xml:space="preserve">Habit Metric 1: </t>
    </r>
    <r>
      <rPr>
        <rFont val="Arial"/>
        <b val="0"/>
        <color theme="1"/>
      </rPr>
      <t># of Team Slack Messages Sent in 7-days</t>
    </r>
  </si>
  <si>
    <r>
      <rPr>
        <rFont val="Arial"/>
        <b/>
        <color theme="1"/>
      </rPr>
      <t xml:space="preserve">Observations (Personal Notes): </t>
    </r>
    <r>
      <rPr>
        <rFont val="Arial"/>
        <b val="0"/>
        <color theme="1"/>
      </rPr>
      <t>The line show the tendency to grow, however, the only significant jamp is between the users who sent 1000 and 2000 messages. Then the overlapping growth gradually, showing us that with an increasing number of sent messages more and more users reach the habit point.</t>
    </r>
  </si>
  <si>
    <t>Does doing this Habit Metric affect activation? If yes, what is the ideal metric?</t>
  </si>
  <si>
    <t>Yes. The ideal metric is 2000+ messages</t>
  </si>
  <si>
    <t># of</t>
  </si>
  <si>
    <t>User</t>
  </si>
  <si>
    <t>Messages Sent</t>
  </si>
  <si>
    <t>Action Completed</t>
  </si>
  <si>
    <t>Retained + Action NOT completed</t>
  </si>
  <si>
    <t>Retained + Action completed</t>
  </si>
  <si>
    <t>Total Users</t>
  </si>
  <si>
    <t>% Overlap</t>
  </si>
  <si>
    <t>Why?</t>
  </si>
  <si>
    <t>From the graph, we can see that with an increasing number of sent messages the habit gets stronger and we achieve better overlap, better activation. The activation begins to show up with 2000+ and gets steady grow.</t>
  </si>
  <si>
    <r>
      <rPr>
        <rFont val="Arial"/>
        <b/>
        <color theme="1"/>
      </rPr>
      <t xml:space="preserve">Habit Moment 2: </t>
    </r>
    <r>
      <rPr>
        <rFont val="Arial"/>
        <b val="0"/>
        <color theme="1"/>
      </rPr>
      <t xml:space="preserve">Only use Slack for internal messages, not email   </t>
    </r>
    <r>
      <rPr>
        <rFont val="Arial"/>
        <b/>
        <color theme="1"/>
      </rPr>
      <t xml:space="preserve">                                     </t>
    </r>
  </si>
  <si>
    <r>
      <rPr>
        <rFont val="Arial"/>
        <b/>
        <color theme="1"/>
      </rPr>
      <t xml:space="preserve">Habit Metric 2: </t>
    </r>
    <r>
      <rPr>
        <rFont val="Arial"/>
        <b val="0"/>
        <color theme="1"/>
      </rPr>
      <t># of sessions (log-ins) per day</t>
    </r>
  </si>
  <si>
    <r>
      <rPr>
        <rFont val="Arial"/>
        <b/>
        <color theme="1"/>
      </rPr>
      <t>Observations (Personal Notes):</t>
    </r>
    <r>
      <rPr>
        <rFont val="Arial"/>
        <b val="0"/>
        <color theme="1"/>
      </rPr>
      <t xml:space="preserve"> The line shows us that the overlap increases till the point of 3+ sessions. After that, the overlap and the habit start slowly declining. This means that most users reach the habit moment on the 3rd session per week.</t>
    </r>
  </si>
  <si>
    <t xml:space="preserve">Yes. The ideal metric is 3+ sessions. </t>
  </si>
  <si>
    <t>Session</t>
  </si>
  <si>
    <t>(log-ins)</t>
  </si>
  <si>
    <t>1+</t>
  </si>
  <si>
    <t>2+</t>
  </si>
  <si>
    <t>From the graph, we can see that it takes 3+ sessions per 7 days to create a habit.</t>
  </si>
  <si>
    <t>3+</t>
  </si>
  <si>
    <t>4+</t>
  </si>
  <si>
    <t>5+</t>
  </si>
  <si>
    <t>6+</t>
  </si>
  <si>
    <t>7+</t>
  </si>
  <si>
    <r>
      <rPr>
        <rFont val="Arial"/>
        <b/>
        <color theme="1"/>
      </rPr>
      <t xml:space="preserve">Habit Moment 3: </t>
    </r>
    <r>
      <rPr>
        <rFont val="Arial"/>
        <b val="0"/>
        <color theme="1"/>
      </rPr>
      <t xml:space="preserve">Checking a notification when something is addressed to me                      </t>
    </r>
  </si>
  <si>
    <r>
      <rPr>
        <rFont val="Arial"/>
        <b/>
        <color theme="1"/>
      </rPr>
      <t xml:space="preserve">Habit Metric 3: </t>
    </r>
    <r>
      <rPr>
        <rFont val="Arial"/>
        <b val="0"/>
        <color theme="1"/>
      </rPr>
      <t># of messages they were linked to (with an @) that brought them back to Slack</t>
    </r>
  </si>
  <si>
    <r>
      <rPr>
        <rFont val="Arial"/>
        <b/>
        <color theme="1"/>
      </rPr>
      <t xml:space="preserve">Observations (Personal Notes): </t>
    </r>
    <r>
      <rPr>
        <rFont val="Arial"/>
        <b val="0"/>
        <color theme="1"/>
      </rPr>
      <t>The line shows the declining tendency.</t>
    </r>
  </si>
  <si>
    <t>Yes. The ideal metric is 1+ messages with mentioning (linking) a user.</t>
  </si>
  <si>
    <t>Messages</t>
  </si>
  <si>
    <t>From this graph, it looks like the users get to habit moment immediately after the 1st mentioning/linking (using @). The functionality is clear and increasing mentioning does not lead to more activations.</t>
  </si>
  <si>
    <t>Moment</t>
  </si>
  <si>
    <t>Metric</t>
  </si>
  <si>
    <r>
      <rPr>
        <rFont val="Arial"/>
        <b/>
        <color rgb="FF000000"/>
      </rPr>
      <t>What is the best Primary Habit Moment and Metric to select for Slack?</t>
    </r>
    <r>
      <rPr>
        <rFont val="Arial"/>
        <b val="0"/>
        <color rgb="FF000000"/>
      </rPr>
      <t xml:space="preserve"> (hint: what did you confirm as a Habit Action in this exercise and which action had the highest overlap - probability to positively affect activation)</t>
    </r>
  </si>
  <si>
    <t>Habit Moment 1: look for communication to outside of email to engage with teammates.</t>
  </si>
  <si>
    <t># of Team Slack Messages Sent in 7-days</t>
  </si>
  <si>
    <t>Without using the data analysis, why do you think that this Habit would be the best for Slack?</t>
  </si>
  <si>
    <t xml:space="preserve">Slack is first of all a communication tool. The ability to reach out to someone through messaging is the key functionality of the product. It is also the one that allows to build up a habit easily. More messages sent to more people build a network and therefore a habit. </t>
  </si>
  <si>
    <r>
      <rPr>
        <rFont val="Arial"/>
        <b/>
        <color theme="1"/>
      </rPr>
      <t xml:space="preserve">Scenario: </t>
    </r>
    <r>
      <rPr>
        <rFont val="Arial"/>
        <b val="0"/>
        <color theme="1"/>
      </rPr>
      <t xml:space="preserve">The VP of Product took your team's hypothesies and narrowed down them down to 3 moments and 3 metrics each fro Habit, Aha, and Setup analysis. The ones provided could include your hypothesis from Tab 3, but if they do not, that does not mean yours hypothesis is not valid. With the VP's experience, he is simply able to narrow down the list for us. </t>
    </r>
  </si>
  <si>
    <r>
      <rPr>
        <rFont val="Arial"/>
        <color rgb="FF000000"/>
      </rPr>
      <t>You need to conduct an analysis on what habit moments and metrics drive users to long-term activation.</t>
    </r>
    <r>
      <rPr>
        <rFont val="Arial"/>
        <b/>
        <color rgb="FF000000"/>
      </rPr>
      <t xml:space="preserve"> 
Remember: </t>
    </r>
    <r>
      <rPr>
        <rFont val="Arial"/>
        <color rgb="FF000000"/>
      </rPr>
      <t xml:space="preserve">Long-term activation would be defined by the metric with the highest % overlap curve. </t>
    </r>
  </si>
  <si>
    <r>
      <rPr>
        <rFont val="Arial"/>
        <color rgb="FF000000"/>
      </rPr>
      <t>The habit, aha, and setup moments will be shared across</t>
    </r>
    <r>
      <rPr>
        <rFont val="Arial"/>
        <b/>
        <color rgb="FF000000"/>
      </rPr>
      <t xml:space="preserve"> next three tabs one for each moment</t>
    </r>
    <r>
      <rPr>
        <rFont val="Arial"/>
        <color rgb="FF000000"/>
      </rPr>
      <t>. 
In this tab, you will analyze just Aha moments/metrics and determine whether each of these 3 habit moments affect activation. This is important to know because then we can tailor our product to include the features that allow our users to achieve activation faster. 3 Aha Moments and 3 Aha Metrics are pre-selected for you along with users who completed actions and retained for each of the 3 moments.</t>
    </r>
  </si>
  <si>
    <r>
      <rPr>
        <rFont val="Arial"/>
        <b/>
        <color theme="1"/>
      </rPr>
      <t xml:space="preserve">Skill: </t>
    </r>
    <r>
      <rPr>
        <rFont val="Arial"/>
        <b val="0"/>
        <color theme="1"/>
      </rPr>
      <t>From these tasks, you can apply your knowledge on how to (1) calculate % overlap to measure the relationship of % overlap to Aha metric, (2) create line charts to visualize the relationship of the metric and (3) analyze which are the primary Aha moments and metric that lead to long-term activation.</t>
    </r>
  </si>
  <si>
    <r>
      <rPr>
        <rFont val="Arial"/>
        <b/>
        <color theme="1"/>
      </rPr>
      <t xml:space="preserve">Instructions: </t>
    </r>
    <r>
      <rPr>
        <rFont val="Arial"/>
        <b val="0"/>
        <color theme="1"/>
      </rPr>
      <t>Place any notes, thoughts, comments in the "Observations (Personal Notes)" box in column M - O for yourself to view in the future.</t>
    </r>
  </si>
  <si>
    <r>
      <rPr>
        <rFont val="Arial"/>
        <b/>
        <color theme="1"/>
      </rPr>
      <t xml:space="preserve">1. </t>
    </r>
    <r>
      <rPr>
        <rFont val="Arial"/>
        <b val="0"/>
        <color theme="1"/>
      </rPr>
      <t xml:space="preserve">Calculate the % overlap for each moment in Column F, </t>
    </r>
  </si>
  <si>
    <r>
      <rPr>
        <rFont val="Arial"/>
        <b/>
        <color theme="1"/>
      </rPr>
      <t xml:space="preserve">2. </t>
    </r>
    <r>
      <rPr>
        <rFont val="Arial"/>
        <b val="0"/>
        <color theme="1"/>
      </rPr>
      <t xml:space="preserve">Create a line-graph for each moment in Column H-K to visualize the % Overlap from Column F vs aha Metric from column A, </t>
    </r>
  </si>
  <si>
    <r>
      <rPr>
        <rFont val="Arial"/>
        <b/>
        <color theme="1"/>
      </rPr>
      <t xml:space="preserve">3. </t>
    </r>
    <r>
      <rPr>
        <rFont val="Arial"/>
        <b val="0"/>
        <color theme="1"/>
      </rPr>
      <t>Analyze the data for each moment to determine if based on your analysis, this moment leads to long-term activation or not, and share your reasoning in Column Q - S</t>
    </r>
  </si>
  <si>
    <r>
      <rPr>
        <rFont val="Arial"/>
        <b/>
        <color theme="1"/>
      </rPr>
      <t xml:space="preserve">4. </t>
    </r>
    <r>
      <rPr>
        <rFont val="Arial"/>
        <b val="0"/>
        <color theme="1"/>
      </rPr>
      <t>Once Steps 1 - 3 are completed, determine which of the 3 options would the Primary aha Moment and Metric and explain why in the 2 boxes on the bottom right of this Tab in Row 50.</t>
    </r>
  </si>
  <si>
    <t>Aha Moment 1: Engaging with a message in a group channel</t>
  </si>
  <si>
    <r>
      <rPr>
        <rFont val="Arial"/>
        <b/>
        <color theme="1"/>
      </rPr>
      <t xml:space="preserve">Aha Metric 1: </t>
    </r>
    <r>
      <rPr>
        <rFont val="Arial"/>
        <b val="0"/>
        <color theme="1"/>
      </rPr>
      <t>Sending 1st message in a group channel within X days</t>
    </r>
  </si>
  <si>
    <r>
      <rPr>
        <rFont val="Arial"/>
        <b/>
        <color theme="1"/>
      </rPr>
      <t xml:space="preserve">Observations (Personal Notes): </t>
    </r>
    <r>
      <rPr>
        <rFont val="Arial"/>
        <b val="0"/>
        <color theme="1"/>
      </rPr>
      <t>The line shows us that most of the users get the Aha! moment if the group message was sent within 1 day of engagement. With every next day of delay, the fewer and fewer people get to the Aha! point. A sharp decrease of overlap is shown if the message was sent within 5 days.</t>
    </r>
  </si>
  <si>
    <t>Does doing this Aha Metric affect activation? If yes, what is the ideal metric?</t>
  </si>
  <si>
    <t>Yes. The ideal metric is 1+ day taken.</t>
  </si>
  <si>
    <t xml:space="preserve"># of </t>
  </si>
  <si>
    <t>Days Taken</t>
  </si>
  <si>
    <t>The data shows that the uses who do not sent the group message withing first 4 days more likely to drop. The group chat messaging is one of the key features of the product and serves its purpose.</t>
  </si>
  <si>
    <r>
      <rPr>
        <rFont val="Arial"/>
        <b/>
        <color theme="1"/>
      </rPr>
      <t xml:space="preserve">Aha Moment 2: </t>
    </r>
    <r>
      <rPr>
        <rFont val="Arial"/>
        <b val="0"/>
        <color theme="1"/>
      </rPr>
      <t>Messaging with a team member on a direct channel</t>
    </r>
  </si>
  <si>
    <r>
      <rPr>
        <rFont val="Arial"/>
        <b/>
        <color theme="1"/>
      </rPr>
      <t xml:space="preserve">Aha Metric 2: </t>
    </r>
    <r>
      <rPr>
        <rFont val="Arial"/>
        <b val="0"/>
        <color theme="1"/>
      </rPr>
      <t xml:space="preserve">sends 1st direct message within X days </t>
    </r>
  </si>
  <si>
    <r>
      <rPr>
        <rFont val="Arial"/>
        <b/>
        <color theme="1"/>
      </rPr>
      <t xml:space="preserve">Observations (Personal Notes): </t>
    </r>
    <r>
      <rPr>
        <rFont val="Arial"/>
        <b val="0"/>
        <color theme="1"/>
      </rPr>
      <t xml:space="preserve">The graph shows us that the more users delay with the 1st direct message, the more chances are that they will drop off. The line is declining with 2 sharp steps: on the delay of 5 days and 7 days. </t>
    </r>
  </si>
  <si>
    <t>Yes. The ideal metric is within 1 day.</t>
  </si>
  <si>
    <t>The data shows that most of the users get to the Aha! point if they send the direct messages within 1 day of usage. More the user delays, the less chance they will hit the Aha! moment and this may mean that they are not interested in messaging.</t>
  </si>
  <si>
    <r>
      <rPr>
        <rFont val="Arial"/>
        <b/>
        <color theme="1"/>
      </rPr>
      <t xml:space="preserve">Aha Moment 3: </t>
    </r>
    <r>
      <rPr>
        <rFont val="Arial"/>
        <b val="0"/>
        <color theme="1"/>
      </rPr>
      <t>Searching for old documents, links, and convos</t>
    </r>
  </si>
  <si>
    <t>Aha Metric 3: 1st search for a file or message within X days</t>
  </si>
  <si>
    <r>
      <rPr>
        <rFont val="Arial"/>
        <b/>
        <color theme="1"/>
      </rPr>
      <t xml:space="preserve">Observations (Personal Notes): </t>
    </r>
    <r>
      <rPr>
        <rFont val="Arial"/>
        <b val="0"/>
        <color theme="1"/>
      </rPr>
      <t xml:space="preserve">The line is more or less steady, with a slight tendency to decline. </t>
    </r>
  </si>
  <si>
    <t>Yes. The ideal metric 3+ days.</t>
  </si>
  <si>
    <t>Despite the overlap being less than 50%, 40+% still a good number of retained uses. The graph shows that the best metric is 3+ days which makes sense according to the nature of the feature</t>
  </si>
  <si>
    <r>
      <rPr>
        <rFont val="Arial"/>
        <b/>
        <color rgb="FF000000"/>
      </rPr>
      <t>What is the best Primary Aha Moment and Metric to select for Slack?</t>
    </r>
    <r>
      <rPr>
        <rFont val="Arial"/>
        <b val="0"/>
        <color rgb="FF000000"/>
      </rPr>
      <t xml:space="preserve"> (hint: what did you confirm as a Aha Action in this exercise and which action had the highest overlap - probability to positively affect activation)</t>
    </r>
  </si>
  <si>
    <t xml:space="preserve"> Sending 1st message in a group channel within X days</t>
  </si>
  <si>
    <t>Without using the data analysis, why do you think that this Aha would be the best for Slack?</t>
  </si>
  <si>
    <t>The group chat is one of the key purposes of the product that helps to keep communication within a group of people, company, departments. Sooner the users get to the features, the more they see value in the product.</t>
  </si>
  <si>
    <r>
      <rPr>
        <rFont val="Arial"/>
        <b/>
        <color theme="1"/>
      </rPr>
      <t xml:space="preserve">Scenario: </t>
    </r>
    <r>
      <rPr>
        <rFont val="Arial"/>
        <b val="0"/>
        <color theme="1"/>
      </rPr>
      <t xml:space="preserve">The VP of Product took your team's hypothesies and narrowed down them down to 3 moments and 3 metrics each fro Habit, Aha, and Setup analysis. The ones provided could include your hypothesis from Tab 3, but if they do not, that does not mean yours hypothesis is not valid. With the VP's experience, he is simply able to narrow down the list for us. </t>
    </r>
  </si>
  <si>
    <r>
      <rPr>
        <rFont val="Arial"/>
        <color rgb="FF000000"/>
      </rPr>
      <t>You need to conduct an analysis on what habit moments and metrics drive users to long-term activation.</t>
    </r>
    <r>
      <rPr>
        <rFont val="Arial"/>
        <b/>
        <color rgb="FF000000"/>
      </rPr>
      <t xml:space="preserve"> 
Remember: </t>
    </r>
    <r>
      <rPr>
        <rFont val="Arial"/>
        <color rgb="FF000000"/>
      </rPr>
      <t xml:space="preserve">Long-term activation would be defined by the metric with the highest % overlap curve. </t>
    </r>
  </si>
  <si>
    <t>The habit, Setup, and setup moments will be shared across next three tabs one for each moment. 
In this tab, you will analyze just Setup moments/metrics and determine whether each of these 3 habit moments affect activation. This is important to know because then we can tailor our product to include the features that allow our users to achieve activation faster. 3 Setup Moments and 3 Setup Metrics are pre-selected for you along with users who completed actions and retained for each of the 3 moments.</t>
  </si>
  <si>
    <r>
      <rPr>
        <rFont val="Arial"/>
        <b/>
        <color theme="1"/>
      </rPr>
      <t xml:space="preserve">Skill: </t>
    </r>
    <r>
      <rPr>
        <rFont val="Arial"/>
        <b val="0"/>
        <color theme="1"/>
      </rPr>
      <t>From these tasks, you can apply your knowledge on how to 
(1) calculate % overlap to measure the relationship of % overlap to setup metric
(2) create line charts to visualize the relationship of the metric
(3) analyze which are the primary setup moments and metric that lead to long-term activation.</t>
    </r>
  </si>
  <si>
    <r>
      <rPr>
        <rFont val="Arial"/>
        <b/>
        <color theme="1"/>
      </rPr>
      <t xml:space="preserve">Instructions: </t>
    </r>
    <r>
      <rPr>
        <rFont val="Arial"/>
        <b val="0"/>
        <color theme="1"/>
      </rPr>
      <t>Place any notes, thoughts, comments in the "Observations (Personal Notes)" box in column M - O for yourself to view in the future.</t>
    </r>
  </si>
  <si>
    <r>
      <rPr>
        <rFont val="Arial"/>
        <b/>
        <color theme="1"/>
      </rPr>
      <t xml:space="preserve">1. </t>
    </r>
    <r>
      <rPr>
        <rFont val="Arial"/>
        <b val="0"/>
        <color theme="1"/>
      </rPr>
      <t xml:space="preserve">Calculate the % overlap for each moment in Column F, </t>
    </r>
  </si>
  <si>
    <r>
      <rPr>
        <rFont val="Arial"/>
        <b/>
        <color theme="1"/>
      </rPr>
      <t xml:space="preserve">2. </t>
    </r>
    <r>
      <rPr>
        <rFont val="Arial"/>
        <b val="0"/>
        <color theme="1"/>
      </rPr>
      <t xml:space="preserve">Create a line-graph for each moment in Column H-K to visualize the % Overlap from Column F vs setup Metric from column A, </t>
    </r>
  </si>
  <si>
    <r>
      <rPr>
        <rFont val="Arial"/>
        <b/>
        <color theme="1"/>
      </rPr>
      <t xml:space="preserve">3. </t>
    </r>
    <r>
      <rPr>
        <rFont val="Arial"/>
        <b val="0"/>
        <color theme="1"/>
      </rPr>
      <t>Analyze the data for each moment to determine if based on your analysis, this moment leads to long-term activation or not, and share your reasoning in Column Q - S</t>
    </r>
  </si>
  <si>
    <r>
      <rPr>
        <rFont val="Arial"/>
        <b/>
        <color theme="1"/>
      </rPr>
      <t xml:space="preserve">4. </t>
    </r>
    <r>
      <rPr>
        <rFont val="Arial"/>
        <b val="0"/>
        <color theme="1"/>
      </rPr>
      <t>Once Steps 1 - 3 are completed, determine which of the 3 options would the Primary setup Moment and Metric and explain why in the 2 boxes on the bottom right of this Tab in Row 50.</t>
    </r>
  </si>
  <si>
    <r>
      <rPr>
        <rFont val="Arial"/>
        <b/>
        <color theme="1"/>
      </rPr>
      <t xml:space="preserve">Setup Moment 1: </t>
    </r>
    <r>
      <rPr>
        <rFont val="Arial"/>
        <b val="0"/>
        <color theme="1"/>
      </rPr>
      <t>Configure settings and profile</t>
    </r>
  </si>
  <si>
    <r>
      <rPr>
        <rFont val="Arial"/>
        <b/>
        <color theme="1"/>
      </rPr>
      <t xml:space="preserve">Setup Metric 1: </t>
    </r>
    <r>
      <rPr>
        <rFont val="Arial"/>
        <b val="0"/>
        <color theme="1"/>
      </rPr>
      <t>Setting up profile pic within X days</t>
    </r>
  </si>
  <si>
    <r>
      <rPr>
        <rFont val="Arial"/>
        <b/>
        <color theme="1"/>
      </rPr>
      <t xml:space="preserve">Observations (Personal Notes): </t>
    </r>
    <r>
      <rPr>
        <rFont val="Arial"/>
        <b val="0"/>
        <color theme="1"/>
      </rPr>
      <t>Overlap, in general, is less than 40% and shows a declining tendency with an increasing number of days taken to configure settings. The data show spike for the configuring settings within 3 days.</t>
    </r>
  </si>
  <si>
    <t>Does doing this Setup Metric affect activation? If yes, what is the ideal metric?</t>
  </si>
  <si>
    <t>No.</t>
  </si>
  <si>
    <t>The metric shows overlap less than 40% meaning this feature does not influence activation significantly.</t>
  </si>
  <si>
    <r>
      <rPr>
        <rFont val="Arial"/>
        <b/>
        <color theme="1"/>
      </rPr>
      <t xml:space="preserve">Setup Moment 2: </t>
    </r>
    <r>
      <rPr>
        <rFont val="Arial"/>
        <b val="0"/>
        <color theme="1"/>
      </rPr>
      <t>Integrate to a 3rd party Slack App</t>
    </r>
  </si>
  <si>
    <r>
      <rPr>
        <rFont val="Arial"/>
        <b/>
        <color theme="1"/>
      </rPr>
      <t xml:space="preserve">Setup Metric 2: </t>
    </r>
    <r>
      <rPr>
        <rFont val="Arial"/>
        <b val="0"/>
        <color theme="1"/>
      </rPr>
      <t>Integrate to a 3rd party app within 7-days</t>
    </r>
  </si>
  <si>
    <r>
      <rPr>
        <rFont val="Arial"/>
        <b/>
        <color theme="1"/>
      </rPr>
      <t xml:space="preserve">Observations (Personal Notes): </t>
    </r>
    <r>
      <rPr>
        <rFont val="Arial"/>
        <b val="0"/>
        <color theme="1"/>
      </rPr>
      <t xml:space="preserve">The line shows a declining tendency with a pick on the 1st day. This means that the setup moment happens the most for the users within the 1st day of the usage. </t>
    </r>
  </si>
  <si>
    <t>Yes. The ideal metric is the 1st day.</t>
  </si>
  <si>
    <t>The data shows overlap over 50% for this setup with the best result if the integration with the 3rd party apps happens within 1 day of the usages.</t>
  </si>
  <si>
    <r>
      <rPr>
        <rFont val="Arial"/>
        <b/>
        <color theme="1"/>
      </rPr>
      <t xml:space="preserve">Setup Moment 3: </t>
    </r>
    <r>
      <rPr>
        <rFont val="Arial"/>
        <b val="0"/>
        <color theme="1"/>
      </rPr>
      <t>Invite a team mate and had a back-and-forth direct convo</t>
    </r>
  </si>
  <si>
    <r>
      <rPr>
        <rFont val="Arial"/>
        <b/>
        <color theme="1"/>
      </rPr>
      <t xml:space="preserve">Setup Metric 3: </t>
    </r>
    <r>
      <rPr>
        <rFont val="Arial"/>
        <b val="0"/>
        <color theme="1"/>
      </rPr>
      <t># of users invited within 7-days</t>
    </r>
  </si>
  <si>
    <r>
      <rPr>
        <rFont val="Arial"/>
        <b/>
        <color theme="1"/>
      </rPr>
      <t xml:space="preserve">Observations (Personal Notes): </t>
    </r>
    <r>
      <rPr>
        <rFont val="Arial"/>
        <b val="0"/>
        <color theme="1"/>
      </rPr>
      <t xml:space="preserve">The data show strong overlap for this setup - up to 70%. The graph shows the declining tendency with a sharp fall if the setup happens within 5+ days. </t>
    </r>
  </si>
  <si>
    <t>Yes. The ideal metric is 1+ user invited.</t>
  </si>
  <si>
    <t>Users Invited</t>
  </si>
  <si>
    <t>The best overlap is shown for the users who invited  1+ users within 7 days. Overall this setup has the best overlap showing the best response among the users to the product feature.</t>
  </si>
  <si>
    <r>
      <rPr>
        <rFont val="Arial"/>
        <b/>
        <color rgb="FF000000"/>
      </rPr>
      <t>What is the best Primary Setup Moment and Metric to select for Slack?</t>
    </r>
    <r>
      <rPr>
        <rFont val="Arial"/>
        <b val="0"/>
        <color rgb="FF000000"/>
      </rPr>
      <t xml:space="preserve"> (hint: what did you confirm as a Aha Action in this exercise and which action had the highest overlap - probability to positively affect activation)</t>
    </r>
  </si>
  <si>
    <t>Setup Moment 3: Invite a team mate and had a back-and-forth direct convo</t>
  </si>
  <si>
    <t># of users invited within 7-days</t>
  </si>
  <si>
    <t>Without using the data analysis, why do you think that this Setup would be the best for Slack?</t>
  </si>
  <si>
    <t>The main purpose of this product is communication between the users, which makes sense only when there is more than 1 user involved. Inviting and initiating a back and forth chat with at least one user uncovers the key value of the product and shows that the users are properly setup.</t>
  </si>
  <si>
    <t>Suggested Experiments from Tab 3</t>
  </si>
  <si>
    <r>
      <rPr>
        <rFont val="Arial"/>
        <b/>
        <color theme="1"/>
      </rPr>
      <t xml:space="preserve">Scenario: </t>
    </r>
    <r>
      <rPr>
        <rFont val="Arial"/>
        <b val="0"/>
        <color theme="1"/>
      </rPr>
      <t xml:space="preserve">You have been brought onto a project at Slack to help define the activation funnel. </t>
    </r>
  </si>
  <si>
    <t>On this tab, you will be putting all the analysis you've done in previous 3 tabs together. From the 3 previous tabs, you should have identified the primary habit, aha, and signup moment that most influenced activation.</t>
  </si>
  <si>
    <r>
      <rPr>
        <rFont val="Arial"/>
        <b/>
        <color theme="1"/>
      </rPr>
      <t xml:space="preserve">Skill: </t>
    </r>
    <r>
      <rPr>
        <rFont val="Arial"/>
        <b val="0"/>
        <color theme="1"/>
      </rPr>
      <t xml:space="preserve">You have determined that many moments and metrics can lead users to activate, but there are only a few </t>
    </r>
    <r>
      <rPr>
        <rFont val="Arial"/>
        <b/>
        <color theme="1"/>
      </rPr>
      <t>Primary</t>
    </r>
    <r>
      <rPr>
        <rFont val="Arial"/>
        <b val="0"/>
        <color theme="1"/>
      </rPr>
      <t xml:space="preserve"> moments and metrics that we should drive users towards as they lead to long-term activation.</t>
    </r>
  </si>
  <si>
    <r>
      <rPr>
        <rFont val="Arial"/>
        <b/>
        <color theme="1"/>
      </rPr>
      <t xml:space="preserve">Instructions: </t>
    </r>
    <r>
      <rPr>
        <rFont val="Arial"/>
        <color theme="1"/>
      </rPr>
      <t>Compare your hypothesis from Tab 3- Activation Hyopthesis against the post-analysis activation funnel in Tab 7. Please add your thoughts Column C.</t>
    </r>
  </si>
  <si>
    <r>
      <rPr>
        <rFont val="Arial"/>
        <color theme="1"/>
      </rPr>
      <t xml:space="preserve">1. </t>
    </r>
    <r>
      <rPr>
        <rFont val="Arial"/>
        <color theme="1"/>
      </rPr>
      <t>Your Habit moments and metrics (They should appear here from the relevant tabs, if they do not, please copy them here) for your to reflect on are in A11 and B11</t>
    </r>
    <r>
      <rPr>
        <rFont val="Arial"/>
        <color theme="1"/>
      </rPr>
      <t xml:space="preserve">                                                </t>
    </r>
  </si>
  <si>
    <t>2. Your Aha moments and metrics (They should appear here from the relevant tabs, if they do not, please copy them here) for your to reflect on are in A11 and B12</t>
  </si>
  <si>
    <t>3. Your Setup moments and metrics (They should appear here from the relevant tabs, if they do not, please copy them here) for your to reflect on are in A11 and B13</t>
  </si>
  <si>
    <t>Cells  in orange have been done for you.</t>
  </si>
  <si>
    <t>Metrics that lead to Habit:</t>
  </si>
  <si>
    <t>Observations/Reflections on Hypothesis</t>
  </si>
  <si>
    <t>Sending instant messages is a strong replacement for emails especially when time is crucial. Getting the users to the habit point through allowing them to engage with the teammates instantly without the risks of "email hasn't arrived yet" and "it is probably in spam" uncovers the true value of the product. Easy way to communicate with a team without "forgetting" including someone into email chain as well as the format of the message - shorter than emails - speeds up a conversation. The data provided on the previous tags shows well that with increasing the number of the sent messages that habit grows proportionally.</t>
  </si>
  <si>
    <t>Metrics that lead to Aha:</t>
  </si>
  <si>
    <t>Compared to communication via emails, the conversion in the group chat is easier to follow up and easier to track the replies. The ability to create the thematic group channels and message there creates an Aha! moment and reflects the key value of the product. The data also shows that this particular moment is the most popular among the users with over 80% overlap.</t>
  </si>
  <si>
    <t>Moments that lead to Signup:</t>
  </si>
  <si>
    <t>Metrics that lead to Signup:</t>
  </si>
  <si>
    <t>The fact that the users invite their friends or teammates to Slack for continuous conversations means that they accepted the product as a primary source of communication and can be considered as fully set up users. The data shows that this metric has a strong overlap of up to 70%. This also echos the Habit and Aha! metrics and they complete each other in a loop.</t>
  </si>
  <si>
    <r>
      <rPr>
        <rFont val="Arial"/>
        <b/>
        <color theme="1"/>
      </rPr>
      <t xml:space="preserve">Scenario: </t>
    </r>
    <r>
      <rPr>
        <rFont val="Arial"/>
        <b val="0"/>
        <color theme="1"/>
      </rPr>
      <t xml:space="preserve">Now that you have determined one of Slack's Habit, Aha, and Setup moments, you have been asked by the VP of Product to segment our users through the activation funnel. He requests you share with marketing any findings on what users are performing well, not well, and what areas can be improved on. </t>
    </r>
  </si>
  <si>
    <t xml:space="preserve">The findings will help marketing team focus on Ideal Customer Profiles (ICPs), so they know where to invest for Acquisition. The activation funnel has already been applied to these segments and your goal is to see analyze delta between the funnel and how many users make it through the funnel. </t>
  </si>
  <si>
    <r>
      <rPr>
        <rFont val="Arial"/>
        <b/>
        <color rgb="FF000000"/>
      </rPr>
      <t>Remember</t>
    </r>
    <r>
      <rPr>
        <rFont val="Arial"/>
        <color rgb="FF000000"/>
      </rPr>
      <t xml:space="preserve">: The delta is the percentage of users that make it from one stage of the funnel to the next to ultimately tell us what percent of our acquired users go through all stages of funnel to achieve activation. </t>
    </r>
  </si>
  <si>
    <t>Once your conduct this analysis, you can then create experiments on how to convert more users through each step in the Setup, Aha, and Habit moments. The goal for Slack is to get more users through the funnel so we have more users and  a higer % of users that become activated.</t>
  </si>
  <si>
    <t xml:space="preserve">Skill: Analyze how different segments flow through the activation funnel by determining the # and % of users activated per segment. </t>
  </si>
  <si>
    <r>
      <rPr>
        <rFont val="Arial"/>
        <b/>
        <color theme="1"/>
      </rPr>
      <t>Instructions</t>
    </r>
    <r>
      <rPr>
        <rFont val="Arial"/>
        <color theme="1"/>
      </rPr>
      <t xml:space="preserve">: Conduct each segment analysis in order: 
Industry (Row 8 - 28)
Company Size (Row 30 -50)
Account Size (Row 52 - 71)
Source (Row 73 - 90). </t>
    </r>
  </si>
  <si>
    <t xml:space="preserve">Place any notes, thoughts, comments in the "Observations (Personal Notes)" box for yourself to view in the future - these will not be graded. </t>
  </si>
  <si>
    <t>In your text-based analysis, your goal is to increase the total average % you calculate in row 31, 53, 74, and 93 across each segment. To determine what is a good threshold of % of users activated that is good enough vs.needs more support, compare the % users activated for each segmen to the average for that segment.</t>
  </si>
  <si>
    <r>
      <rPr>
        <rFont val="Arial"/>
        <b/>
        <color theme="1"/>
      </rPr>
      <t xml:space="preserve">1. </t>
    </r>
    <r>
      <rPr>
        <rFont val="Arial"/>
        <b val="0"/>
        <color theme="1"/>
      </rPr>
      <t xml:space="preserve">Calculate the Delta (Setup to Aha) ratio in Column D     </t>
    </r>
    <r>
      <rPr>
        <rFont val="Arial"/>
        <b/>
        <color theme="1"/>
      </rPr>
      <t xml:space="preserve">                                              </t>
    </r>
  </si>
  <si>
    <r>
      <rPr>
        <rFont val="Arial"/>
        <b/>
        <color theme="1"/>
      </rPr>
      <t xml:space="preserve">2. </t>
    </r>
    <r>
      <rPr>
        <rFont val="Arial"/>
        <b val="0"/>
        <color theme="1"/>
      </rPr>
      <t xml:space="preserve">Calculate Delta (Aha to Habit) ratio in Column F,        </t>
    </r>
    <r>
      <rPr>
        <rFont val="Arial"/>
        <b/>
        <color theme="1"/>
      </rPr>
      <t xml:space="preserve">                                          </t>
    </r>
  </si>
  <si>
    <t xml:space="preserve">3. Calculate # of users activated in Column H,                                                       </t>
  </si>
  <si>
    <r>
      <rPr>
        <rFont val="Arial"/>
        <b/>
        <color theme="1"/>
      </rPr>
      <t xml:space="preserve">4. </t>
    </r>
    <r>
      <rPr>
        <rFont val="Arial"/>
        <b val="0"/>
        <color theme="1"/>
      </rPr>
      <t>% of Users Activated in Column I,</t>
    </r>
  </si>
  <si>
    <r>
      <rPr>
        <rFont val="Arial"/>
        <b/>
        <color theme="1"/>
      </rPr>
      <t xml:space="preserve">5. </t>
    </r>
    <r>
      <rPr>
        <rFont val="Arial"/>
        <b val="0"/>
        <color theme="1"/>
      </rPr>
      <t>Address questions (located below each segment) regarding what segment has the best/worst activation funnel and create an experiment l to focus effort on a specific segment funnel. Use the [Action], [Outcome], and [Theory] Framework.</t>
    </r>
  </si>
  <si>
    <t>Cells colored in Blue have ben completed as examples for you. The formulas have been removed.</t>
  </si>
  <si>
    <t>Segment Analysis by Industry for June 2019</t>
  </si>
  <si>
    <t>Industry</t>
  </si>
  <si>
    <t>New Users Acquired</t>
  </si>
  <si>
    <t># of Users activated</t>
  </si>
  <si>
    <t>% of Users Activated</t>
  </si>
  <si>
    <t>Total</t>
  </si>
  <si>
    <t>Setup Moment</t>
  </si>
  <si>
    <t>Delta (Setup to Aha)</t>
  </si>
  <si>
    <t>Aha Moment</t>
  </si>
  <si>
    <t>Delta (Aha to Habit)</t>
  </si>
  <si>
    <t>Habit Moment</t>
  </si>
  <si>
    <t>There is not much difference in delta (setup to aha) between the industries, however, the delta (aha to habit) varies. Overall the activation between different industries doesn't vary much, however, there 3 outstanding industries</t>
  </si>
  <si>
    <t>Technology</t>
  </si>
  <si>
    <t xml:space="preserve">Retail </t>
  </si>
  <si>
    <t>Healthcare</t>
  </si>
  <si>
    <t>Financial Services</t>
  </si>
  <si>
    <t>Manufacturing</t>
  </si>
  <si>
    <t>Consume Goods</t>
  </si>
  <si>
    <t>Transportation</t>
  </si>
  <si>
    <t>Oil and Gas</t>
  </si>
  <si>
    <t>What industry has the best activation Funnel? Why?</t>
  </si>
  <si>
    <t>What industry has the worst activation Funnel? Why?</t>
  </si>
  <si>
    <t>What would you want to report to Marketing?</t>
  </si>
  <si>
    <t>Experiment Brief using Action, Outcome, Theory  (Select 1 moments to improve)</t>
  </si>
  <si>
    <t>The industry with the best activation Funnel is the Technology industry. It has the best % of activated users compared to the other industries - 45%. It also brings the biggest number of activated users - 126 from presented data.</t>
  </si>
  <si>
    <t>The industry with the worst activation Funnel is Transportation. It has the lowest % of activated users - 22%. they also have a low amount of acquired users and the lowest delta for setup to aha moments</t>
  </si>
  <si>
    <t>Focus the marketing campaign on the technology industry. Technology also has the lowest Aha to Habit delta, however, they have the biggest number of new users. By improving this delta we can get more users from this industry.
Potentially I would recommend dropping promotion among Transportation industry and Oil and Gas industries as the worst performing."</t>
  </si>
  <si>
    <t>[ACTION] If we introduce the onboarding training for healthcare to show how they can engage with their customers using Slack and how it improves their ROI. [OUTCOME] By doing so we can increase conversion for the industries that average performance but who brings us a lot of new users [Theory] because by simplifying how their customers can reach out to them we uncover the Aha! moment.</t>
  </si>
  <si>
    <t>Segment Analysis by Company Size for June 2019</t>
  </si>
  <si>
    <t>Company Size</t>
  </si>
  <si>
    <t>New Users</t>
  </si>
  <si>
    <t>21-50 has the best % of activated users, however, 6-10 brings the best amount of the users. The worst performing are 1-5 and 500+ company size</t>
  </si>
  <si>
    <t>1-5</t>
  </si>
  <si>
    <t>6-10</t>
  </si>
  <si>
    <t>11-20</t>
  </si>
  <si>
    <t>21-50</t>
  </si>
  <si>
    <t>51-100</t>
  </si>
  <si>
    <t>101-250</t>
  </si>
  <si>
    <t>251-500</t>
  </si>
  <si>
    <t>501+</t>
  </si>
  <si>
    <t>What company size has the best activation Funnel? Why?</t>
  </si>
  <si>
    <t>What company size has the worst activation Funnel? Why?</t>
  </si>
  <si>
    <t>The company size with the best activation Funnel is 21-50. They have the highest % of activated users - 43% and both deltas are more equal to an average one.</t>
  </si>
  <si>
    <t>The company size with the worst activation Funnel is 1-5. Its % of activated users is 19% with aha to habit delta significantly lower than the average one.</t>
  </si>
  <si>
    <t>Focus on engagement with more users from small businesses. We also need to improve the percentage of the users who got through setup, aha and habit moments: despite the deltas between the moments being over 90% but the loss of the users on these moments are significant - up to 40%.</t>
  </si>
  <si>
    <t xml:space="preserve">[ACTION] If we introduce a concept of the teams within a workspace [OUTCOME] then we can increase the setup and Aha! moments for the companies of the size of 50-100 employees [Theory] because we simplify the set-up process and will show how the channels in Slack can replicate the logical organisational structure, therefore the products become more intuitive for this size of the company.  </t>
  </si>
  <si>
    <t>Segment Analysis by Account Size for June 2019</t>
  </si>
  <si>
    <t>Account Size</t>
  </si>
  <si>
    <t>The best performing are the customers with 50-100 account size, the worst performing are the customers with 1-2 account size.</t>
  </si>
  <si>
    <t>1 - 2</t>
  </si>
  <si>
    <t>2 - 5</t>
  </si>
  <si>
    <t>5 - 10</t>
  </si>
  <si>
    <t>10 - 20</t>
  </si>
  <si>
    <t>20 - 50</t>
  </si>
  <si>
    <t>50 - 100</t>
  </si>
  <si>
    <t>100+</t>
  </si>
  <si>
    <t>What account size has the best activation Funnel? Why?</t>
  </si>
  <si>
    <t>What account size has the worst activation Funnel? Why?</t>
  </si>
  <si>
    <t>The account size with the best activation Funnel is 50-100. The % of the activated users is 52% and both deltas are more equal to the average value.</t>
  </si>
  <si>
    <t>The account size with the worst activation Funnel is 1-2. Its % of activated users is the lowest - 16%, as well as the number of new users. The delta from Aha to Habit moment is lower than an average.</t>
  </si>
  <si>
    <t>The accounts with a size over 10 look promising. By boosting Aha to Habit delta we can activate more users.</t>
  </si>
  <si>
    <t>[ACTION] Introduce a saving plan which means that as more users join the account as cheaper their "seat" costs. [OUTCOME] By doing this we encourage companies to promote Slack among their employees and probably enrol it as a primary communication application [Theory] because this helps the companies replace more expansive alternatives and therefore positively impact their revenue.</t>
  </si>
  <si>
    <t>Segment Funnel by Sources for June 2019</t>
  </si>
  <si>
    <t>Source</t>
  </si>
  <si>
    <t>The best performing are the user who activated through team invitation. The worst performing source - blog page.</t>
  </si>
  <si>
    <t>Pricing Page</t>
  </si>
  <si>
    <t>Free Trial Page</t>
  </si>
  <si>
    <t>Referral link</t>
  </si>
  <si>
    <t>Team Invitation</t>
  </si>
  <si>
    <t>Blog Page</t>
  </si>
  <si>
    <t>What source has the best activation Funnel? Why?</t>
  </si>
  <si>
    <t>What source has the worst activation Funnel? Why?</t>
  </si>
  <si>
    <t>The best activation Funnel comes from Team Invitation. It has the biggest % of activated users - 46% and the strongest deltas. Also this source brings the most of out new users</t>
  </si>
  <si>
    <t>The worst activation Funnel is through the Blog Page. It has the lowest % of activated users - 27%. It also brings the lowest amount of new users.</t>
  </si>
  <si>
    <t>Our main source of newly activated users is our existing users. Improving retention will boost the number of new users overall. The Blog Page and Price pages both perform the worst. I would consider dropping support of the blog page.</t>
  </si>
  <si>
    <t xml:space="preserve">[ACTION] We can include video tutorials/demos on the Pricing page to show the leads the benefits of the paid subscription [OUTCOME] so we can increase the conversion rate [Theory] because in this way we justify the price on the page and bring the Aha! moment to the leads significantly earlier.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</si>
</sst>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mmm\-yy"/>
  </numFmts>
  <fonts count="21">
    <font>
      <sz val="10.0"/>
      <color rgb="FF000000"/>
      <name val="Arial"/>
    </font>
    <font>
      <sz val="31.0"/>
      <color rgb="FF000000"/>
      <name val="Arial"/>
    </font>
    <font/>
    <font>
      <color theme="1"/>
      <name val="Arial"/>
    </font>
    <font>
      <u/>
      <color rgb="FF0000FF"/>
    </font>
    <font>
      <color rgb="FF000000"/>
      <name val="Arial"/>
    </font>
    <font>
      <b/>
      <color rgb="FF000000"/>
      <name val="Arial"/>
    </font>
    <font>
      <b/>
      <color theme="1"/>
      <name val="Arial"/>
    </font>
    <font>
      <sz val="11.0"/>
      <color rgb="FF222222"/>
      <name val="&quot;Google Sans&quot;"/>
    </font>
    <font>
      <b/>
      <sz val="20.0"/>
      <color theme="1"/>
      <name val="Arial"/>
    </font>
    <font>
      <b/>
      <sz val="30.0"/>
      <color theme="1"/>
      <name val="Arial"/>
    </font>
    <font>
      <b/>
      <u/>
      <color rgb="FF0000FF"/>
      <name val="Arial"/>
    </font>
    <font>
      <b/>
      <color rgb="FFB7B7B7"/>
      <name val="Arial"/>
    </font>
    <font>
      <color rgb="FFB7B7B7"/>
      <name val="Arial"/>
    </font>
    <font>
      <sz val="11.0"/>
      <color rgb="FF000000"/>
      <name val="Arial"/>
    </font>
    <font>
      <b/>
      <sz val="18.0"/>
      <color theme="1"/>
      <name val="Arial"/>
    </font>
    <font>
      <sz val="10.0"/>
      <color theme="1"/>
      <name val="Arial"/>
    </font>
    <font>
      <b/>
      <sz val="10.0"/>
      <color rgb="FF000000"/>
      <name val="Open Sans"/>
    </font>
    <font>
      <b/>
      <sz val="10.0"/>
      <color theme="1"/>
      <name val="Arial"/>
    </font>
    <font>
      <sz val="10.0"/>
      <color rgb="FF000000"/>
      <name val="Open Sans"/>
    </font>
    <font>
      <b/>
      <sz val="10.0"/>
      <color theme="1"/>
      <name val="Open Sans"/>
    </font>
  </fonts>
  <fills count="25">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B6D7A8"/>
        <bgColor rgb="FFB6D7A8"/>
      </patternFill>
    </fill>
    <fill>
      <patternFill patternType="solid">
        <fgColor rgb="FFF6B26B"/>
        <bgColor rgb="FFF6B26B"/>
      </patternFill>
    </fill>
    <fill>
      <patternFill patternType="solid">
        <fgColor rgb="FFF3F3F3"/>
        <bgColor rgb="FFF3F3F3"/>
      </patternFill>
    </fill>
    <fill>
      <patternFill patternType="solid">
        <fgColor rgb="FFBDBDBD"/>
        <bgColor rgb="FFBDBDBD"/>
      </patternFill>
    </fill>
    <fill>
      <patternFill patternType="solid">
        <fgColor rgb="FFA4C2F4"/>
        <bgColor rgb="FFA4C2F4"/>
      </patternFill>
    </fill>
    <fill>
      <patternFill patternType="solid">
        <fgColor rgb="FFD8D8D8"/>
        <bgColor rgb="FFD8D8D8"/>
      </patternFill>
    </fill>
    <fill>
      <patternFill patternType="solid">
        <fgColor rgb="FFC0CE7B"/>
        <bgColor rgb="FFC0CE7B"/>
      </patternFill>
    </fill>
    <fill>
      <patternFill patternType="solid">
        <fgColor rgb="FFFBD584"/>
        <bgColor rgb="FFFBD584"/>
      </patternFill>
    </fill>
    <fill>
      <patternFill patternType="solid">
        <fgColor rgb="FFEF9E65"/>
        <bgColor rgb="FFEF9E65"/>
      </patternFill>
    </fill>
    <fill>
      <patternFill patternType="solid">
        <fgColor rgb="FFF9CA7E"/>
        <bgColor rgb="FFF9CA7E"/>
      </patternFill>
    </fill>
    <fill>
      <patternFill patternType="solid">
        <fgColor rgb="FFF0A468"/>
        <bgColor rgb="FFF0A468"/>
      </patternFill>
    </fill>
    <fill>
      <patternFill patternType="solid">
        <fgColor rgb="FFE98256"/>
        <bgColor rgb="FFE98256"/>
      </patternFill>
    </fill>
    <fill>
      <patternFill patternType="solid">
        <fgColor rgb="FFFEE18B"/>
        <bgColor rgb="FFFEE18B"/>
      </patternFill>
    </fill>
    <fill>
      <patternFill patternType="solid">
        <fgColor rgb="FFF1A96C"/>
        <bgColor rgb="FFF1A96C"/>
      </patternFill>
    </fill>
    <fill>
      <patternFill patternType="solid">
        <fgColor rgb="FFE5724D"/>
        <bgColor rgb="FFE5724D"/>
      </patternFill>
    </fill>
    <fill>
      <patternFill patternType="solid">
        <fgColor rgb="FFF7C57B"/>
        <bgColor rgb="FFF7C57B"/>
      </patternFill>
    </fill>
    <fill>
      <patternFill patternType="solid">
        <fgColor rgb="FFEC935F"/>
        <bgColor rgb="FFEC935F"/>
      </patternFill>
    </fill>
    <fill>
      <patternFill patternType="solid">
        <fgColor rgb="FFEC8F5D"/>
        <bgColor rgb="FFEC8F5D"/>
      </patternFill>
    </fill>
    <fill>
      <patternFill patternType="solid">
        <fgColor rgb="FFE26344"/>
        <bgColor rgb="FFE26344"/>
      </patternFill>
    </fill>
    <fill>
      <patternFill patternType="solid">
        <fgColor rgb="FFDF563D"/>
        <bgColor rgb="FFDF563D"/>
      </patternFill>
    </fill>
    <fill>
      <patternFill patternType="solid">
        <fgColor rgb="FFEA8859"/>
        <bgColor rgb="FFEA8859"/>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243">
    <xf borderId="0" fillId="0" fontId="0" numFmtId="0" xfId="0" applyAlignment="1" applyFont="1">
      <alignment readingOrder="0" shrinkToFit="0" vertical="bottom" wrapText="0"/>
    </xf>
    <xf borderId="1" fillId="2" fontId="1" numFmtId="0" xfId="0" applyAlignment="1" applyBorder="1" applyFill="1" applyFont="1">
      <alignment horizontal="right" readingOrder="0" vertical="bottom"/>
    </xf>
    <xf borderId="2" fillId="0" fontId="2" numFmtId="0" xfId="0" applyBorder="1" applyFont="1"/>
    <xf borderId="3" fillId="0" fontId="2" numFmtId="0" xfId="0" applyBorder="1" applyFont="1"/>
    <xf borderId="4" fillId="0" fontId="3" numFmtId="0" xfId="0" applyAlignment="1" applyBorder="1" applyFont="1">
      <alignment readingOrder="0" shrinkToFit="0" vertical="top" wrapText="1"/>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 fillId="0" fontId="4" numFmtId="0" xfId="0" applyAlignment="1" applyBorder="1" applyFont="1">
      <alignment readingOrder="0" shrinkToFit="0" vertical="top" wrapText="1"/>
    </xf>
    <xf borderId="8" fillId="3" fontId="5" numFmtId="0" xfId="0" applyAlignment="1" applyBorder="1" applyFill="1" applyFont="1">
      <alignment horizontal="left" readingOrder="0" shrinkToFit="0" wrapText="1"/>
    </xf>
    <xf borderId="1" fillId="0" fontId="3" numFmtId="0" xfId="0" applyAlignment="1" applyBorder="1" applyFont="1">
      <alignment readingOrder="0" shrinkToFit="0" vertical="top" wrapText="1"/>
    </xf>
    <xf borderId="1" fillId="3" fontId="6" numFmtId="0" xfId="0" applyAlignment="1" applyBorder="1" applyFont="1">
      <alignment horizontal="left" readingOrder="0" shrinkToFit="0" wrapText="1"/>
    </xf>
    <xf borderId="0" fillId="3" fontId="5" numFmtId="0" xfId="0" applyAlignment="1" applyFont="1">
      <alignment horizontal="left" readingOrder="0"/>
    </xf>
    <xf borderId="2" fillId="0" fontId="7" numFmtId="0" xfId="0" applyAlignment="1" applyBorder="1" applyFont="1">
      <alignment horizontal="center" vertical="bottom"/>
    </xf>
    <xf borderId="3" fillId="0" fontId="7" numFmtId="0" xfId="0" applyAlignment="1" applyBorder="1" applyFont="1">
      <alignment horizontal="center" vertical="bottom"/>
    </xf>
    <xf borderId="10" fillId="2" fontId="7" numFmtId="0" xfId="0" applyAlignment="1" applyBorder="1" applyFont="1">
      <alignment horizontal="center" vertical="bottom"/>
    </xf>
    <xf borderId="10" fillId="2" fontId="7" numFmtId="0" xfId="0" applyAlignment="1" applyBorder="1" applyFont="1">
      <alignment vertical="bottom"/>
    </xf>
    <xf borderId="10" fillId="2" fontId="3" numFmtId="0" xfId="0" applyAlignment="1" applyBorder="1" applyFont="1">
      <alignment vertical="bottom"/>
    </xf>
    <xf borderId="3" fillId="2" fontId="3" numFmtId="0" xfId="0" applyAlignment="1" applyBorder="1" applyFont="1">
      <alignment vertical="bottom"/>
    </xf>
    <xf borderId="10" fillId="2" fontId="7" numFmtId="0" xfId="0" applyAlignment="1" applyBorder="1" applyFont="1">
      <alignment horizontal="center" readingOrder="0" vertical="bottom"/>
    </xf>
    <xf borderId="11" fillId="0" fontId="3" numFmtId="0" xfId="0" applyAlignment="1" applyBorder="1" applyFont="1">
      <alignment horizontal="center" vertical="bottom"/>
    </xf>
    <xf borderId="10" fillId="4" fontId="3" numFmtId="0" xfId="0" applyAlignment="1" applyBorder="1" applyFill="1" applyFont="1">
      <alignment readingOrder="0"/>
    </xf>
    <xf borderId="10" fillId="0" fontId="3" numFmtId="0" xfId="0" applyAlignment="1" applyBorder="1" applyFont="1">
      <alignment vertical="bottom"/>
    </xf>
    <xf borderId="11" fillId="0" fontId="3" numFmtId="0" xfId="0" applyAlignment="1" applyBorder="1" applyFont="1">
      <alignment horizontal="center" readingOrder="0" vertical="bottom"/>
    </xf>
    <xf borderId="10" fillId="0" fontId="3" numFmtId="0" xfId="0" applyAlignment="1" applyBorder="1" applyFont="1">
      <alignment readingOrder="0" vertical="bottom"/>
    </xf>
    <xf borderId="10" fillId="0" fontId="3" numFmtId="0" xfId="0" applyAlignment="1" applyBorder="1" applyFont="1">
      <alignment horizontal="center" readingOrder="0"/>
    </xf>
    <xf borderId="10" fillId="2" fontId="3" numFmtId="0" xfId="0" applyAlignment="1" applyBorder="1" applyFont="1">
      <alignment horizontal="center" vertical="bottom"/>
    </xf>
    <xf borderId="10" fillId="3" fontId="8" numFmtId="0" xfId="0" applyAlignment="1" applyBorder="1" applyFont="1">
      <alignment readingOrder="0"/>
    </xf>
    <xf borderId="4" fillId="2" fontId="9" numFmtId="0" xfId="0" applyAlignment="1" applyBorder="1" applyFont="1">
      <alignment horizontal="center"/>
    </xf>
    <xf borderId="4" fillId="0" fontId="7" numFmtId="0" xfId="0" applyAlignment="1" applyBorder="1" applyFont="1">
      <alignment readingOrder="0" shrinkToFit="0" vertical="top" wrapText="1"/>
    </xf>
    <xf borderId="0" fillId="0" fontId="3" numFmtId="0" xfId="0" applyFont="1"/>
    <xf borderId="0" fillId="0" fontId="7" numFmtId="0" xfId="0" applyAlignment="1" applyFont="1">
      <alignment readingOrder="0" shrinkToFit="0" vertical="bottom" wrapText="1"/>
    </xf>
    <xf borderId="0" fillId="0" fontId="3" numFmtId="0" xfId="0" applyAlignment="1" applyFont="1">
      <alignment vertical="bottom"/>
    </xf>
    <xf borderId="1" fillId="0" fontId="7" numFmtId="0" xfId="0" applyAlignment="1" applyBorder="1" applyFont="1">
      <alignment readingOrder="0" shrinkToFit="0" vertical="top" wrapText="1"/>
    </xf>
    <xf borderId="12" fillId="0" fontId="7" numFmtId="0" xfId="0" applyAlignment="1" applyBorder="1" applyFont="1">
      <alignment horizontal="left" readingOrder="0" shrinkToFit="0" vertical="top" wrapText="1"/>
    </xf>
    <xf borderId="13" fillId="0" fontId="2" numFmtId="0" xfId="0" applyBorder="1" applyFont="1"/>
    <xf borderId="12" fillId="0" fontId="3" numFmtId="0" xfId="0" applyAlignment="1" applyBorder="1" applyFont="1">
      <alignment readingOrder="0" shrinkToFit="0" vertical="top" wrapText="1"/>
    </xf>
    <xf borderId="12" fillId="0" fontId="7" numFmtId="0" xfId="0" applyAlignment="1" applyBorder="1" applyFont="1">
      <alignment readingOrder="0" shrinkToFit="0" vertical="top" wrapText="1"/>
    </xf>
    <xf borderId="7" fillId="0" fontId="7" numFmtId="0" xfId="0" applyAlignment="1" applyBorder="1" applyFont="1">
      <alignment horizontal="left" readingOrder="0" shrinkToFit="0" vertical="top" wrapText="1"/>
    </xf>
    <xf borderId="0" fillId="5" fontId="6" numFmtId="0" xfId="0" applyAlignment="1" applyFill="1" applyFont="1">
      <alignment horizontal="left" readingOrder="0"/>
    </xf>
    <xf borderId="8" fillId="5" fontId="5" numFmtId="0" xfId="0" applyAlignment="1" applyBorder="1" applyFont="1">
      <alignment horizontal="left" readingOrder="0"/>
    </xf>
    <xf borderId="9" fillId="5" fontId="5" numFmtId="0" xfId="0" applyAlignment="1" applyBorder="1" applyFont="1">
      <alignment horizontal="left" readingOrder="0"/>
    </xf>
    <xf borderId="11" fillId="3" fontId="7" numFmtId="0" xfId="0" applyAlignment="1" applyBorder="1" applyFont="1">
      <alignment horizontal="center" readingOrder="0" shrinkToFit="0" vertical="center" wrapText="1"/>
    </xf>
    <xf borderId="10" fillId="3" fontId="7" numFmtId="0" xfId="0" applyAlignment="1" applyBorder="1" applyFont="1">
      <alignment horizontal="center" readingOrder="0" shrinkToFit="0" vertical="center" wrapText="1"/>
    </xf>
    <xf borderId="10" fillId="2" fontId="7" numFmtId="0" xfId="0" applyAlignment="1" applyBorder="1" applyFont="1">
      <alignment horizontal="center" shrinkToFit="0" vertical="center" wrapText="1"/>
    </xf>
    <xf borderId="10" fillId="2" fontId="7" numFmtId="0" xfId="0" applyAlignment="1" applyBorder="1" applyFont="1">
      <alignment horizontal="center" readingOrder="0" shrinkToFit="0" vertical="center" wrapText="1"/>
    </xf>
    <xf borderId="1" fillId="2" fontId="7" numFmtId="0" xfId="0" applyAlignment="1" applyBorder="1" applyFont="1">
      <alignment horizontal="center" shrinkToFit="0" vertical="center" wrapText="1"/>
    </xf>
    <xf borderId="10" fillId="3" fontId="3" numFmtId="0" xfId="0" applyAlignment="1" applyBorder="1" applyFont="1">
      <alignment horizontal="right" vertical="bottom"/>
    </xf>
    <xf borderId="10" fillId="3" fontId="3" numFmtId="0" xfId="0" applyAlignment="1" applyBorder="1" applyFont="1">
      <alignment vertical="bottom"/>
    </xf>
    <xf borderId="10" fillId="5" fontId="3" numFmtId="10" xfId="0" applyAlignment="1" applyBorder="1" applyFont="1" applyNumberFormat="1">
      <alignment horizontal="right" readingOrder="0" vertical="bottom"/>
    </xf>
    <xf borderId="10" fillId="5" fontId="3" numFmtId="0" xfId="0" applyAlignment="1" applyBorder="1" applyFont="1">
      <alignment horizontal="center" readingOrder="0" vertical="bottom"/>
    </xf>
    <xf borderId="10" fillId="5" fontId="3" numFmtId="0" xfId="0" applyAlignment="1" applyBorder="1" applyFont="1">
      <alignment horizontal="right" shrinkToFit="0" vertical="bottom" wrapText="1"/>
    </xf>
    <xf borderId="1" fillId="5" fontId="5" numFmtId="0" xfId="0" applyAlignment="1" applyBorder="1" applyFont="1">
      <alignment shrinkToFit="0" vertical="top" wrapText="1"/>
    </xf>
    <xf borderId="10" fillId="5" fontId="5" numFmtId="0" xfId="0" applyAlignment="1" applyBorder="1" applyFont="1">
      <alignment shrinkToFit="0" vertical="top" wrapText="1"/>
    </xf>
    <xf borderId="10" fillId="5" fontId="3" numFmtId="0" xfId="0" applyAlignment="1" applyBorder="1" applyFont="1">
      <alignment shrinkToFit="0" vertical="top" wrapText="1"/>
    </xf>
    <xf borderId="10" fillId="5" fontId="3" numFmtId="0" xfId="0" applyAlignment="1" applyBorder="1" applyFont="1">
      <alignment vertical="top"/>
    </xf>
    <xf borderId="10" fillId="5" fontId="5" numFmtId="0" xfId="0" applyAlignment="1" applyBorder="1" applyFont="1">
      <alignment shrinkToFit="0" vertical="bottom" wrapText="1"/>
    </xf>
    <xf borderId="10" fillId="5" fontId="3" numFmtId="0" xfId="0" applyAlignment="1" applyBorder="1" applyFont="1">
      <alignment shrinkToFit="0" vertical="bottom" wrapText="1"/>
    </xf>
    <xf borderId="10" fillId="5" fontId="3" numFmtId="0" xfId="0" applyAlignment="1" applyBorder="1" applyFont="1">
      <alignment vertical="bottom"/>
    </xf>
    <xf borderId="10" fillId="0" fontId="3" numFmtId="0" xfId="0" applyAlignment="1" applyBorder="1" applyFont="1">
      <alignment horizontal="right" vertical="bottom"/>
    </xf>
    <xf borderId="10" fillId="0" fontId="3" numFmtId="0" xfId="0" applyAlignment="1" applyBorder="1" applyFont="1">
      <alignment vertical="bottom"/>
    </xf>
    <xf borderId="10" fillId="4" fontId="3" numFmtId="10" xfId="0" applyAlignment="1" applyBorder="1" applyFont="1" applyNumberFormat="1">
      <alignment horizontal="right" vertical="bottom"/>
    </xf>
    <xf borderId="10" fillId="4" fontId="3" numFmtId="0" xfId="0" applyAlignment="1" applyBorder="1" applyFont="1">
      <alignment horizontal="right" readingOrder="0" shrinkToFit="0" vertical="bottom" wrapText="1"/>
    </xf>
    <xf borderId="1" fillId="4" fontId="3" numFmtId="0" xfId="0" applyAlignment="1" applyBorder="1" applyFont="1">
      <alignment readingOrder="0" shrinkToFit="0" vertical="top" wrapText="1"/>
    </xf>
    <xf borderId="11" fillId="4" fontId="3" numFmtId="0" xfId="0" applyAlignment="1" applyBorder="1" applyFont="1">
      <alignment readingOrder="0" shrinkToFit="0" vertical="top" wrapText="1"/>
    </xf>
    <xf borderId="10" fillId="4" fontId="3" numFmtId="0" xfId="0" applyAlignment="1" applyBorder="1" applyFont="1">
      <alignment readingOrder="0" vertical="top"/>
    </xf>
    <xf borderId="10" fillId="4" fontId="3" numFmtId="0" xfId="0" applyAlignment="1" applyBorder="1" applyFont="1">
      <alignment readingOrder="0" shrinkToFit="0" vertical="top" wrapText="1"/>
    </xf>
    <xf borderId="10" fillId="4" fontId="5" numFmtId="0" xfId="0" applyAlignment="1" applyBorder="1" applyFont="1">
      <alignment readingOrder="0" shrinkToFit="0" vertical="bottom" wrapText="1"/>
    </xf>
    <xf borderId="10" fillId="4" fontId="3" numFmtId="0" xfId="0" applyAlignment="1" applyBorder="1" applyFont="1">
      <alignment readingOrder="0" shrinkToFit="0" vertical="bottom" wrapText="1"/>
    </xf>
    <xf borderId="1" fillId="4" fontId="5" numFmtId="0" xfId="0" applyAlignment="1" applyBorder="1" applyFont="1">
      <alignment readingOrder="0" shrinkToFit="0" vertical="top" wrapText="1"/>
    </xf>
    <xf borderId="11" fillId="4" fontId="5" numFmtId="0" xfId="0" applyAlignment="1" applyBorder="1" applyFont="1">
      <alignment readingOrder="0" shrinkToFit="0" vertical="top" wrapText="1"/>
    </xf>
    <xf borderId="10" fillId="4" fontId="5" numFmtId="0" xfId="0" applyAlignment="1" applyBorder="1" applyFont="1">
      <alignment readingOrder="0" shrinkToFit="0" vertical="top" wrapText="1"/>
    </xf>
    <xf borderId="10" fillId="4" fontId="3" numFmtId="0" xfId="0" applyAlignment="1" applyBorder="1" applyFont="1">
      <alignment readingOrder="0" vertical="bottom"/>
    </xf>
    <xf borderId="8" fillId="0" fontId="3" numFmtId="0" xfId="0" applyAlignment="1" applyBorder="1" applyFont="1">
      <alignment readingOrder="0"/>
    </xf>
    <xf borderId="10" fillId="3" fontId="3" numFmtId="10" xfId="0" applyAlignment="1" applyBorder="1" applyFont="1" applyNumberFormat="1">
      <alignment horizontal="right" vertical="bottom"/>
    </xf>
    <xf borderId="10" fillId="6" fontId="3" numFmtId="10" xfId="0" applyAlignment="1" applyBorder="1" applyFill="1" applyFont="1" applyNumberFormat="1">
      <alignment horizontal="right" vertical="bottom"/>
    </xf>
    <xf borderId="11" fillId="0" fontId="3" numFmtId="0" xfId="0" applyAlignment="1" applyBorder="1" applyFont="1">
      <alignment horizontal="right" vertical="bottom"/>
    </xf>
    <xf borderId="9" fillId="0" fontId="3" numFmtId="0" xfId="0" applyAlignment="1" applyBorder="1" applyFont="1">
      <alignment vertical="bottom"/>
    </xf>
    <xf borderId="9" fillId="0" fontId="3" numFmtId="0" xfId="0" applyAlignment="1" applyBorder="1" applyFont="1">
      <alignment horizontal="right" vertical="bottom"/>
    </xf>
    <xf borderId="0" fillId="0" fontId="3" numFmtId="10" xfId="0" applyAlignment="1" applyFont="1" applyNumberFormat="1">
      <alignment vertical="bottom"/>
    </xf>
    <xf borderId="8" fillId="0" fontId="3" numFmtId="10" xfId="0" applyAlignment="1" applyBorder="1" applyFont="1" applyNumberFormat="1">
      <alignment vertical="bottom"/>
    </xf>
    <xf borderId="8" fillId="0" fontId="3" numFmtId="0" xfId="0" applyAlignment="1" applyBorder="1" applyFont="1">
      <alignment vertical="bottom"/>
    </xf>
    <xf borderId="13" fillId="0" fontId="3" numFmtId="0" xfId="0" applyAlignment="1" applyBorder="1" applyFont="1">
      <alignment vertical="bottom"/>
    </xf>
    <xf borderId="9" fillId="4" fontId="3" numFmtId="10" xfId="0" applyAlignment="1" applyBorder="1" applyFont="1" applyNumberFormat="1">
      <alignment horizontal="right" vertical="bottom"/>
    </xf>
    <xf borderId="9" fillId="4" fontId="3" numFmtId="0" xfId="0" applyAlignment="1" applyBorder="1" applyFont="1">
      <alignment horizontal="right" vertical="bottom"/>
    </xf>
    <xf borderId="4" fillId="0" fontId="7" numFmtId="0" xfId="0" applyAlignment="1" applyBorder="1" applyFont="1">
      <alignment horizontal="left" readingOrder="0" shrinkToFit="0" vertical="top" wrapText="1"/>
    </xf>
    <xf borderId="12" fillId="0" fontId="3" numFmtId="0" xfId="0" applyAlignment="1" applyBorder="1" applyFont="1">
      <alignment horizontal="left" readingOrder="0" vertical="top"/>
    </xf>
    <xf borderId="7" fillId="0" fontId="3" numFmtId="0" xfId="0" applyAlignment="1" applyBorder="1" applyFont="1">
      <alignment horizontal="left" readingOrder="0" vertical="top"/>
    </xf>
    <xf borderId="8" fillId="0" fontId="3" numFmtId="0" xfId="0" applyAlignment="1" applyBorder="1" applyFont="1">
      <alignment horizontal="left" readingOrder="0" vertical="top"/>
    </xf>
    <xf borderId="9" fillId="0" fontId="3" numFmtId="0" xfId="0" applyAlignment="1" applyBorder="1" applyFont="1">
      <alignment horizontal="left" readingOrder="0" vertical="top"/>
    </xf>
    <xf borderId="10" fillId="0" fontId="3" numFmtId="0" xfId="0" applyAlignment="1" applyBorder="1" applyFont="1">
      <alignment horizontal="left" readingOrder="0" vertical="top"/>
    </xf>
    <xf borderId="11" fillId="2" fontId="7" numFmtId="0" xfId="0" applyAlignment="1" applyBorder="1" applyFont="1">
      <alignment horizontal="center" shrinkToFit="0" vertical="center" wrapText="1"/>
    </xf>
    <xf borderId="9" fillId="2" fontId="7" numFmtId="0" xfId="0" applyAlignment="1" applyBorder="1" applyFont="1">
      <alignment horizontal="center" shrinkToFit="0" vertical="center" wrapText="1"/>
    </xf>
    <xf borderId="9" fillId="2" fontId="7" numFmtId="0" xfId="0" applyAlignment="1" applyBorder="1" applyFont="1">
      <alignment horizontal="center" readingOrder="0" shrinkToFit="0" vertical="center" wrapText="1"/>
    </xf>
    <xf borderId="11" fillId="5" fontId="3" numFmtId="0" xfId="0" applyAlignment="1" applyBorder="1" applyFont="1">
      <alignment horizontal="right" shrinkToFit="0" vertical="bottom" wrapText="1"/>
    </xf>
    <xf borderId="9" fillId="5" fontId="3" numFmtId="0" xfId="0" applyAlignment="1" applyBorder="1" applyFont="1">
      <alignment shrinkToFit="0" vertical="bottom" wrapText="1"/>
    </xf>
    <xf borderId="9" fillId="5" fontId="3" numFmtId="0" xfId="0" applyAlignment="1" applyBorder="1" applyFont="1">
      <alignment readingOrder="0" shrinkToFit="0" vertical="bottom" wrapText="1"/>
    </xf>
    <xf borderId="9" fillId="5" fontId="3" numFmtId="9" xfId="0" applyAlignment="1" applyBorder="1" applyFont="1" applyNumberFormat="1">
      <alignment horizontal="right" shrinkToFit="0" vertical="bottom" wrapText="1"/>
    </xf>
    <xf borderId="9" fillId="5" fontId="3" numFmtId="0" xfId="0" applyAlignment="1" applyBorder="1" applyFont="1">
      <alignment horizontal="right" shrinkToFit="0" vertical="bottom" wrapText="1"/>
    </xf>
    <xf borderId="9" fillId="5" fontId="3" numFmtId="2" xfId="0" applyAlignment="1" applyBorder="1" applyFont="1" applyNumberFormat="1">
      <alignment horizontal="right" shrinkToFit="0" vertical="bottom" wrapText="1"/>
    </xf>
    <xf borderId="11" fillId="4" fontId="3" numFmtId="0" xfId="0" applyAlignment="1" applyBorder="1" applyFont="1">
      <alignment horizontal="right" readingOrder="0" shrinkToFit="0" vertical="bottom" wrapText="1"/>
    </xf>
    <xf borderId="9" fillId="4" fontId="3" numFmtId="0" xfId="0" applyAlignment="1" applyBorder="1" applyFont="1">
      <alignment readingOrder="0" shrinkToFit="0" vertical="bottom" wrapText="1"/>
    </xf>
    <xf borderId="9" fillId="4" fontId="3" numFmtId="9" xfId="0" applyAlignment="1" applyBorder="1" applyFont="1" applyNumberFormat="1">
      <alignment horizontal="right" readingOrder="0" shrinkToFit="0" vertical="bottom" wrapText="1"/>
    </xf>
    <xf borderId="9" fillId="4" fontId="3" numFmtId="0" xfId="0" applyAlignment="1" applyBorder="1" applyFont="1">
      <alignment horizontal="right" readingOrder="0" shrinkToFit="0" vertical="bottom" wrapText="1"/>
    </xf>
    <xf borderId="9" fillId="4" fontId="3" numFmtId="2" xfId="0" applyAlignment="1" applyBorder="1" applyFont="1" applyNumberFormat="1">
      <alignment horizontal="right" shrinkToFit="0" vertical="bottom" wrapText="1"/>
    </xf>
    <xf borderId="1" fillId="2" fontId="10" numFmtId="0" xfId="0" applyAlignment="1" applyBorder="1" applyFont="1">
      <alignment horizontal="center" readingOrder="0"/>
    </xf>
    <xf borderId="1" fillId="0" fontId="7" numFmtId="0" xfId="0" applyAlignment="1" applyBorder="1" applyFont="1">
      <alignment horizontal="left" readingOrder="0" shrinkToFit="0" vertical="top" wrapText="1"/>
    </xf>
    <xf borderId="1" fillId="3" fontId="5" numFmtId="0" xfId="0" applyAlignment="1" applyBorder="1" applyFont="1">
      <alignment horizontal="left" readingOrder="0" shrinkToFit="0" wrapText="1"/>
    </xf>
    <xf borderId="4" fillId="0" fontId="11" numFmtId="0" xfId="0" applyAlignment="1" applyBorder="1" applyFont="1">
      <alignment horizontal="left" readingOrder="0" shrinkToFit="0" vertical="top" wrapText="1"/>
    </xf>
    <xf borderId="1" fillId="3" fontId="3" numFmtId="0" xfId="0" applyAlignment="1" applyBorder="1" applyFont="1">
      <alignment horizontal="left" readingOrder="0" shrinkToFit="0" wrapText="1"/>
    </xf>
    <xf borderId="0" fillId="3" fontId="5" numFmtId="0" xfId="0" applyAlignment="1" applyFont="1">
      <alignment horizontal="left" readingOrder="0" shrinkToFit="0" wrapText="1"/>
    </xf>
    <xf borderId="1" fillId="3" fontId="5" numFmtId="0" xfId="0" applyAlignment="1" applyBorder="1" applyFont="1">
      <alignment horizontal="left" readingOrder="0" shrinkToFit="0" wrapText="1"/>
    </xf>
    <xf borderId="12" fillId="3" fontId="3" numFmtId="0" xfId="0" applyAlignment="1" applyBorder="1" applyFont="1">
      <alignment horizontal="left" readingOrder="0" shrinkToFit="0" wrapText="1"/>
    </xf>
    <xf borderId="0" fillId="5" fontId="3" numFmtId="0" xfId="0" applyFont="1"/>
    <xf borderId="1" fillId="2" fontId="7" numFmtId="0" xfId="0" applyAlignment="1" applyBorder="1" applyFont="1">
      <alignment horizontal="center" readingOrder="0"/>
    </xf>
    <xf borderId="10" fillId="0" fontId="3" numFmtId="0" xfId="0" applyAlignment="1" applyBorder="1" applyFont="1">
      <alignment readingOrder="0"/>
    </xf>
    <xf borderId="10" fillId="5" fontId="3" numFmtId="0" xfId="0" applyAlignment="1" applyBorder="1" applyFont="1">
      <alignment readingOrder="0"/>
    </xf>
    <xf borderId="1" fillId="2" fontId="10" numFmtId="0" xfId="0" applyAlignment="1" applyBorder="1" applyFont="1">
      <alignment horizontal="center" readingOrder="0" vertical="bottom"/>
    </xf>
    <xf borderId="0" fillId="0" fontId="7" numFmtId="0" xfId="0" applyAlignment="1" applyFont="1">
      <alignment horizontal="left" readingOrder="0" shrinkToFit="0" vertical="top" wrapText="1"/>
    </xf>
    <xf borderId="0" fillId="3" fontId="6" numFmtId="0" xfId="0" applyAlignment="1" applyFont="1">
      <alignment horizontal="left" readingOrder="0" shrinkToFit="0" wrapText="1"/>
    </xf>
    <xf borderId="4" fillId="0" fontId="7" numFmtId="0" xfId="0" applyAlignment="1" applyBorder="1" applyFont="1">
      <alignment readingOrder="0" shrinkToFit="0" wrapText="1"/>
    </xf>
    <xf borderId="0" fillId="0" fontId="7" numFmtId="0" xfId="0" applyAlignment="1" applyFont="1">
      <alignment readingOrder="0" shrinkToFit="0" wrapText="1"/>
    </xf>
    <xf borderId="12" fillId="0" fontId="7" numFmtId="0" xfId="0" applyAlignment="1" applyBorder="1" applyFont="1">
      <alignment readingOrder="0" shrinkToFit="0" wrapText="1"/>
    </xf>
    <xf borderId="7" fillId="0" fontId="7" numFmtId="0" xfId="0" applyAlignment="1" applyBorder="1" applyFont="1">
      <alignment readingOrder="0" shrinkToFit="0" wrapText="1"/>
    </xf>
    <xf borderId="0" fillId="5" fontId="7" numFmtId="0" xfId="0" applyAlignment="1" applyFont="1">
      <alignment readingOrder="0" shrinkToFit="0" wrapText="1"/>
    </xf>
    <xf borderId="0" fillId="2" fontId="12" numFmtId="0" xfId="0" applyAlignment="1" applyFont="1">
      <alignment horizontal="center" readingOrder="0"/>
    </xf>
    <xf borderId="0" fillId="2" fontId="12" numFmtId="0" xfId="0" applyAlignment="1" applyFont="1">
      <alignment horizontal="left" readingOrder="0" shrinkToFit="0" vertical="top" wrapText="1"/>
    </xf>
    <xf borderId="0" fillId="2" fontId="13" numFmtId="0" xfId="0" applyFont="1"/>
    <xf borderId="0" fillId="2" fontId="12" numFmtId="0" xfId="0" applyAlignment="1" applyFont="1">
      <alignment horizontal="left" readingOrder="0" shrinkToFit="0" wrapText="1"/>
    </xf>
    <xf borderId="1" fillId="2" fontId="7" numFmtId="0" xfId="0" applyAlignment="1" applyBorder="1" applyFont="1">
      <alignment horizontal="center" readingOrder="0" vertical="bottom"/>
    </xf>
    <xf borderId="2" fillId="7" fontId="2" numFmtId="0" xfId="0" applyBorder="1" applyFill="1" applyFont="1"/>
    <xf borderId="3" fillId="7" fontId="2" numFmtId="0" xfId="0" applyBorder="1" applyFont="1"/>
    <xf borderId="0" fillId="0" fontId="7" numFmtId="0" xfId="0" applyAlignment="1" applyFont="1">
      <alignment horizontal="center" readingOrder="0"/>
    </xf>
    <xf borderId="4" fillId="0" fontId="7" numFmtId="0" xfId="0" applyAlignment="1" applyBorder="1" applyFont="1">
      <alignment horizontal="center" readingOrder="0"/>
    </xf>
    <xf borderId="1" fillId="3" fontId="7" numFmtId="0" xfId="0" applyAlignment="1" applyBorder="1" applyFont="1">
      <alignment horizontal="center" readingOrder="0" vertical="bottom"/>
    </xf>
    <xf borderId="2" fillId="3" fontId="2" numFmtId="0" xfId="0" applyBorder="1" applyFont="1"/>
    <xf borderId="3" fillId="3" fontId="2" numFmtId="0" xfId="0" applyBorder="1" applyFont="1"/>
    <xf borderId="12" fillId="0" fontId="2" numFmtId="0" xfId="0" applyBorder="1" applyFont="1"/>
    <xf borderId="4" fillId="4" fontId="7" numFmtId="0" xfId="0" applyAlignment="1" applyBorder="1" applyFont="1">
      <alignment horizontal="left" readingOrder="0" shrinkToFit="0" vertical="top" wrapText="1"/>
    </xf>
    <xf borderId="4" fillId="3" fontId="6" numFmtId="0" xfId="0" applyAlignment="1" applyBorder="1" applyFont="1">
      <alignment horizontal="left" readingOrder="0" shrinkToFit="0" wrapText="1"/>
    </xf>
    <xf borderId="14" fillId="4" fontId="3" numFmtId="0" xfId="0" applyAlignment="1" applyBorder="1" applyFont="1">
      <alignment readingOrder="0" shrinkToFit="0" wrapText="1"/>
    </xf>
    <xf borderId="10" fillId="6" fontId="7" numFmtId="0" xfId="0" applyAlignment="1" applyBorder="1" applyFont="1">
      <alignment horizontal="center" readingOrder="0" vertical="bottom"/>
    </xf>
    <xf borderId="1" fillId="6" fontId="7" numFmtId="0" xfId="0" applyAlignment="1" applyBorder="1" applyFont="1">
      <alignment horizontal="center" readingOrder="0" vertical="bottom"/>
    </xf>
    <xf borderId="2" fillId="6" fontId="2" numFmtId="0" xfId="0" applyBorder="1" applyFont="1"/>
    <xf borderId="3" fillId="6" fontId="2" numFmtId="0" xfId="0" applyBorder="1" applyFont="1"/>
    <xf borderId="0" fillId="0" fontId="7" numFmtId="0" xfId="0" applyAlignment="1" applyFont="1">
      <alignment readingOrder="0"/>
    </xf>
    <xf borderId="15" fillId="0" fontId="2" numFmtId="0" xfId="0" applyBorder="1" applyFont="1"/>
    <xf borderId="10" fillId="3" fontId="7" numFmtId="0" xfId="0" applyAlignment="1" applyBorder="1" applyFont="1">
      <alignment horizontal="center" readingOrder="0" shrinkToFit="0" vertical="bottom" wrapText="1"/>
    </xf>
    <xf borderId="10" fillId="3" fontId="7" numFmtId="0" xfId="0" applyAlignment="1" applyBorder="1" applyFont="1">
      <alignment readingOrder="0" shrinkToFit="0" vertical="bottom" wrapText="1"/>
    </xf>
    <xf borderId="11" fillId="0" fontId="2" numFmtId="0" xfId="0" applyBorder="1" applyFont="1"/>
    <xf borderId="10" fillId="6" fontId="7" numFmtId="0" xfId="0" applyAlignment="1" applyBorder="1" applyFont="1">
      <alignment horizontal="right" readingOrder="0" vertical="bottom"/>
    </xf>
    <xf borderId="10" fillId="6" fontId="3" numFmtId="0" xfId="0" applyAlignment="1" applyBorder="1" applyFont="1">
      <alignment horizontal="right" vertical="bottom"/>
    </xf>
    <xf borderId="10" fillId="6" fontId="14" numFmtId="0" xfId="0" applyAlignment="1" applyBorder="1" applyFont="1">
      <alignment horizontal="right" vertical="bottom"/>
    </xf>
    <xf borderId="10" fillId="6" fontId="3" numFmtId="3" xfId="0" applyAlignment="1" applyBorder="1" applyFont="1" applyNumberFormat="1">
      <alignment horizontal="right" vertical="bottom"/>
    </xf>
    <xf borderId="10" fillId="5" fontId="3" numFmtId="9" xfId="0" applyAlignment="1" applyBorder="1" applyFont="1" applyNumberFormat="1">
      <alignment horizontal="right" readingOrder="0" vertical="bottom"/>
    </xf>
    <xf borderId="0" fillId="3" fontId="14" numFmtId="0" xfId="0" applyAlignment="1" applyFont="1">
      <alignment horizontal="right" vertical="bottom"/>
    </xf>
    <xf borderId="12" fillId="3" fontId="6" numFmtId="0" xfId="0" applyAlignment="1" applyBorder="1" applyFont="1">
      <alignment horizontal="left" readingOrder="0" shrinkToFit="0" wrapText="1"/>
    </xf>
    <xf borderId="13" fillId="3" fontId="6" numFmtId="0" xfId="0" applyAlignment="1" applyBorder="1" applyFont="1">
      <alignment horizontal="left" readingOrder="0" shrinkToFit="0" wrapText="1"/>
    </xf>
    <xf borderId="10" fillId="3" fontId="7" numFmtId="0" xfId="0" applyAlignment="1" applyBorder="1" applyFont="1">
      <alignment horizontal="right" readingOrder="0" vertical="bottom"/>
    </xf>
    <xf borderId="10" fillId="3" fontId="3" numFmtId="3" xfId="0" applyAlignment="1" applyBorder="1" applyFont="1" applyNumberFormat="1">
      <alignment horizontal="right" vertical="bottom"/>
    </xf>
    <xf borderId="10" fillId="4" fontId="3" numFmtId="9" xfId="0" applyAlignment="1" applyBorder="1" applyFont="1" applyNumberFormat="1">
      <alignment horizontal="right" vertical="bottom"/>
    </xf>
    <xf borderId="0" fillId="0" fontId="3" numFmtId="0" xfId="0" applyAlignment="1" applyFont="1">
      <alignment horizontal="right" vertical="bottom"/>
    </xf>
    <xf borderId="14" fillId="3" fontId="6" numFmtId="0" xfId="0" applyAlignment="1" applyBorder="1" applyFont="1">
      <alignment horizontal="left" readingOrder="0" shrinkToFit="0" wrapText="1"/>
    </xf>
    <xf borderId="4" fillId="4" fontId="3" numFmtId="0" xfId="0" applyAlignment="1" applyBorder="1" applyFont="1">
      <alignment readingOrder="0" shrinkToFit="0" wrapText="1"/>
    </xf>
    <xf borderId="10" fillId="6" fontId="3" numFmtId="0" xfId="0" applyAlignment="1" applyBorder="1" applyFont="1">
      <alignment horizontal="right" readingOrder="0" vertical="bottom"/>
    </xf>
    <xf borderId="0" fillId="0" fontId="7" numFmtId="0" xfId="0" applyAlignment="1" applyFont="1">
      <alignment horizontal="right" readingOrder="0"/>
    </xf>
    <xf borderId="10" fillId="3" fontId="3" numFmtId="0" xfId="0" applyAlignment="1" applyBorder="1" applyFont="1">
      <alignment horizontal="right" readingOrder="0" vertical="bottom"/>
    </xf>
    <xf borderId="10" fillId="2" fontId="7" numFmtId="0" xfId="0" applyAlignment="1" applyBorder="1" applyFont="1">
      <alignment horizontal="center" readingOrder="0" shrinkToFit="0" vertical="bottom" wrapText="1"/>
    </xf>
    <xf borderId="10" fillId="2" fontId="7" numFmtId="0" xfId="0" applyAlignment="1" applyBorder="1" applyFont="1">
      <alignment readingOrder="0" shrinkToFit="0" vertical="bottom" wrapText="1"/>
    </xf>
    <xf borderId="10" fillId="0" fontId="7" numFmtId="0" xfId="0" applyAlignment="1" applyBorder="1" applyFont="1">
      <alignment horizontal="right" readingOrder="0" vertical="bottom"/>
    </xf>
    <xf borderId="10" fillId="3" fontId="14" numFmtId="0" xfId="0" applyAlignment="1" applyBorder="1" applyFont="1">
      <alignment horizontal="right" vertical="bottom"/>
    </xf>
    <xf borderId="10" fillId="0" fontId="3" numFmtId="3" xfId="0" applyAlignment="1" applyBorder="1" applyFont="1" applyNumberFormat="1">
      <alignment horizontal="right" vertical="bottom"/>
    </xf>
    <xf borderId="10" fillId="3" fontId="14" numFmtId="0" xfId="0" applyAlignment="1" applyBorder="1" applyFont="1">
      <alignment horizontal="right" readingOrder="0" vertical="bottom"/>
    </xf>
    <xf borderId="10" fillId="0" fontId="3" numFmtId="0" xfId="0" applyAlignment="1" applyBorder="1" applyFont="1">
      <alignment horizontal="right" readingOrder="0" vertical="bottom"/>
    </xf>
    <xf borderId="0" fillId="0" fontId="3" numFmtId="0" xfId="0" applyAlignment="1" applyFont="1">
      <alignment horizontal="right" readingOrder="0"/>
    </xf>
    <xf borderId="0" fillId="0" fontId="3" numFmtId="0" xfId="0" applyAlignment="1" applyFont="1">
      <alignment readingOrder="0"/>
    </xf>
    <xf borderId="14" fillId="4" fontId="3" numFmtId="0" xfId="0" applyAlignment="1" applyBorder="1" applyFont="1">
      <alignment horizontal="center" readingOrder="0" shrinkToFit="0" vertical="bottom" wrapText="1"/>
    </xf>
    <xf borderId="0" fillId="0" fontId="7" numFmtId="0" xfId="0" applyAlignment="1" applyFont="1">
      <alignment horizontal="center" readingOrder="0" shrinkToFit="0" wrapText="1"/>
    </xf>
    <xf borderId="1" fillId="0" fontId="7" numFmtId="0" xfId="0" applyAlignment="1" applyBorder="1" applyFont="1">
      <alignment readingOrder="0" shrinkToFit="0" wrapText="1"/>
    </xf>
    <xf borderId="0" fillId="0" fontId="3" numFmtId="0" xfId="0" applyAlignment="1" applyFont="1">
      <alignment shrinkToFit="0" wrapText="1"/>
    </xf>
    <xf borderId="10" fillId="5" fontId="7" numFmtId="9" xfId="0" applyAlignment="1" applyBorder="1" applyFont="1" applyNumberFormat="1">
      <alignment horizontal="right" readingOrder="0" vertical="bottom"/>
    </xf>
    <xf borderId="4" fillId="0" fontId="7" numFmtId="0" xfId="0" applyBorder="1" applyFont="1"/>
    <xf borderId="0" fillId="0" fontId="3" numFmtId="3" xfId="0" applyAlignment="1" applyFont="1" applyNumberFormat="1">
      <alignment horizontal="right" vertical="bottom"/>
    </xf>
    <xf borderId="0" fillId="0" fontId="3" numFmtId="9" xfId="0" applyAlignment="1" applyFont="1" applyNumberFormat="1">
      <alignment horizontal="right" vertical="bottom"/>
    </xf>
    <xf borderId="0" fillId="0" fontId="3" numFmtId="0" xfId="0" applyAlignment="1" applyFont="1">
      <alignment horizontal="right" readingOrder="0" vertical="bottom"/>
    </xf>
    <xf borderId="0" fillId="2" fontId="10" numFmtId="0" xfId="0" applyAlignment="1" applyFont="1">
      <alignment horizontal="center" readingOrder="0"/>
    </xf>
    <xf borderId="0" fillId="2" fontId="15" numFmtId="0" xfId="0" applyAlignment="1" applyFont="1">
      <alignment horizontal="center" readingOrder="0"/>
    </xf>
    <xf borderId="0" fillId="5" fontId="7" numFmtId="0" xfId="0" applyAlignment="1" applyFont="1">
      <alignment horizontal="left" readingOrder="0" shrinkToFit="0" vertical="top" wrapText="1"/>
    </xf>
    <xf borderId="0" fillId="5" fontId="5" numFmtId="0" xfId="0" applyAlignment="1" applyFont="1">
      <alignment horizontal="left" readingOrder="0" shrinkToFit="0" wrapText="1"/>
    </xf>
    <xf borderId="0" fillId="3" fontId="3" numFmtId="0" xfId="0" applyAlignment="1" applyFont="1">
      <alignment horizontal="left" readingOrder="0" shrinkToFit="0" wrapText="1"/>
    </xf>
    <xf borderId="1" fillId="0" fontId="3" numFmtId="0" xfId="0" applyAlignment="1" applyBorder="1" applyFont="1">
      <alignment readingOrder="0" shrinkToFit="0" wrapText="1"/>
    </xf>
    <xf borderId="0" fillId="5" fontId="7" numFmtId="0" xfId="0" applyAlignment="1" applyFont="1">
      <alignment horizontal="left" readingOrder="0"/>
    </xf>
    <xf borderId="0" fillId="2" fontId="7" numFmtId="0" xfId="0" applyAlignment="1" applyFont="1">
      <alignment horizontal="center" readingOrder="0"/>
    </xf>
    <xf borderId="0" fillId="5" fontId="3" numFmtId="0" xfId="0" applyAlignment="1" applyFont="1">
      <alignment horizontal="center" readingOrder="0" vertical="bottom"/>
    </xf>
    <xf borderId="0" fillId="4" fontId="3" numFmtId="0" xfId="0" applyAlignment="1" applyFont="1">
      <alignment horizontal="center" readingOrder="0" shrinkToFit="0" vertical="bottom" wrapText="1"/>
    </xf>
    <xf borderId="0" fillId="5" fontId="3" numFmtId="0" xfId="0" applyAlignment="1" applyFont="1">
      <alignment horizontal="center" readingOrder="0" shrinkToFit="0" vertical="bottom" wrapText="1"/>
    </xf>
    <xf borderId="0" fillId="5" fontId="6" numFmtId="0" xfId="0" applyAlignment="1" applyFont="1">
      <alignment horizontal="left" readingOrder="0" shrinkToFit="0" wrapText="1"/>
    </xf>
    <xf borderId="0" fillId="3" fontId="3" numFmtId="0" xfId="0" applyAlignment="1" applyFont="1">
      <alignment horizontal="center" readingOrder="0" shrinkToFit="0" vertical="bottom" wrapText="1"/>
    </xf>
    <xf borderId="0" fillId="0" fontId="16" numFmtId="0" xfId="0" applyFont="1"/>
    <xf borderId="0" fillId="8" fontId="7" numFmtId="0" xfId="0" applyAlignment="1" applyFill="1" applyFont="1">
      <alignment horizontal="left" readingOrder="0"/>
    </xf>
    <xf borderId="1" fillId="2" fontId="17" numFmtId="0" xfId="0" applyAlignment="1" applyBorder="1" applyFont="1">
      <alignment horizontal="center" readingOrder="0"/>
    </xf>
    <xf borderId="0" fillId="0" fontId="18" numFmtId="0" xfId="0" applyAlignment="1" applyFont="1">
      <alignment horizontal="center" readingOrder="0" vertical="center"/>
    </xf>
    <xf borderId="10" fillId="2" fontId="17" numFmtId="0" xfId="0" applyAlignment="1" applyBorder="1" applyFont="1">
      <alignment horizontal="center" readingOrder="0" shrinkToFit="0" vertical="bottom" wrapText="1"/>
    </xf>
    <xf borderId="1" fillId="2" fontId="17" numFmtId="0" xfId="0" applyAlignment="1" applyBorder="1" applyFont="1">
      <alignment horizontal="center" readingOrder="0" vertical="bottom"/>
    </xf>
    <xf borderId="14" fillId="2" fontId="18" numFmtId="0" xfId="0" applyAlignment="1" applyBorder="1" applyFont="1">
      <alignment horizontal="center" readingOrder="0" shrinkToFit="0" wrapText="1"/>
    </xf>
    <xf borderId="14" fillId="2" fontId="6" numFmtId="0" xfId="0" applyAlignment="1" applyBorder="1" applyFont="1">
      <alignment horizontal="center" readingOrder="0" shrinkToFit="0" wrapText="1"/>
    </xf>
    <xf borderId="10" fillId="9" fontId="17" numFmtId="0" xfId="0" applyAlignment="1" applyBorder="1" applyFill="1" applyFont="1">
      <alignment horizontal="center" vertical="bottom"/>
    </xf>
    <xf borderId="10" fillId="9" fontId="17" numFmtId="3" xfId="0" applyAlignment="1" applyBorder="1" applyFont="1" applyNumberFormat="1">
      <alignment horizontal="center" vertical="bottom"/>
    </xf>
    <xf borderId="10" fillId="9" fontId="17" numFmtId="1" xfId="0" applyAlignment="1" applyBorder="1" applyFont="1" applyNumberFormat="1">
      <alignment horizontal="center" vertical="bottom"/>
    </xf>
    <xf borderId="4" fillId="0" fontId="16" numFmtId="0" xfId="0" applyAlignment="1" applyBorder="1" applyFont="1">
      <alignment readingOrder="0" shrinkToFit="0" wrapText="1"/>
    </xf>
    <xf borderId="10" fillId="9" fontId="19" numFmtId="0" xfId="0" applyAlignment="1" applyBorder="1" applyFont="1">
      <alignment horizontal="center" vertical="bottom"/>
    </xf>
    <xf borderId="10" fillId="9" fontId="19" numFmtId="3" xfId="0" applyAlignment="1" applyBorder="1" applyFont="1" applyNumberFormat="1">
      <alignment horizontal="center" readingOrder="0" vertical="bottom"/>
    </xf>
    <xf borderId="10" fillId="10" fontId="19" numFmtId="9" xfId="0" applyAlignment="1" applyBorder="1" applyFill="1" applyFont="1" applyNumberFormat="1">
      <alignment horizontal="center" vertical="bottom"/>
    </xf>
    <xf borderId="10" fillId="8" fontId="19" numFmtId="9" xfId="0" applyAlignment="1" applyBorder="1" applyFont="1" applyNumberFormat="1">
      <alignment horizontal="center" readingOrder="0" vertical="bottom"/>
    </xf>
    <xf borderId="10" fillId="11" fontId="19" numFmtId="9" xfId="0" applyAlignment="1" applyBorder="1" applyFill="1" applyFont="1" applyNumberFormat="1">
      <alignment horizontal="center" vertical="bottom"/>
    </xf>
    <xf borderId="10" fillId="12" fontId="19" numFmtId="9" xfId="0" applyAlignment="1" applyBorder="1" applyFill="1" applyFont="1" applyNumberFormat="1">
      <alignment horizontal="center" vertical="bottom"/>
    </xf>
    <xf borderId="10" fillId="8" fontId="16" numFmtId="1" xfId="0" applyAlignment="1" applyBorder="1" applyFont="1" applyNumberFormat="1">
      <alignment horizontal="center" readingOrder="0"/>
    </xf>
    <xf borderId="10" fillId="8" fontId="16" numFmtId="9" xfId="0" applyAlignment="1" applyBorder="1" applyFont="1" applyNumberFormat="1">
      <alignment horizontal="center" readingOrder="0"/>
    </xf>
    <xf borderId="10" fillId="13" fontId="19" numFmtId="9" xfId="0" applyAlignment="1" applyBorder="1" applyFill="1" applyFont="1" applyNumberFormat="1">
      <alignment horizontal="center" vertical="bottom"/>
    </xf>
    <xf borderId="10" fillId="4" fontId="16" numFmtId="9" xfId="0" applyAlignment="1" applyBorder="1" applyFont="1" applyNumberFormat="1">
      <alignment horizontal="center"/>
    </xf>
    <xf borderId="10" fillId="14" fontId="19" numFmtId="9" xfId="0" applyAlignment="1" applyBorder="1" applyFill="1" applyFont="1" applyNumberFormat="1">
      <alignment horizontal="center" vertical="bottom"/>
    </xf>
    <xf borderId="10" fillId="15" fontId="19" numFmtId="9" xfId="0" applyAlignment="1" applyBorder="1" applyFill="1" applyFont="1" applyNumberFormat="1">
      <alignment horizontal="center" vertical="bottom"/>
    </xf>
    <xf borderId="10" fillId="4" fontId="16" numFmtId="1" xfId="0" applyAlignment="1" applyBorder="1" applyFont="1" applyNumberFormat="1">
      <alignment horizontal="center"/>
    </xf>
    <xf borderId="10" fillId="16" fontId="19" numFmtId="9" xfId="0" applyAlignment="1" applyBorder="1" applyFill="1" applyFont="1" applyNumberFormat="1">
      <alignment horizontal="center" vertical="bottom"/>
    </xf>
    <xf borderId="10" fillId="17" fontId="19" numFmtId="9" xfId="0" applyAlignment="1" applyBorder="1" applyFill="1" applyFont="1" applyNumberFormat="1">
      <alignment horizontal="center" vertical="bottom"/>
    </xf>
    <xf borderId="10" fillId="18" fontId="19" numFmtId="9" xfId="0" applyAlignment="1" applyBorder="1" applyFill="1" applyFont="1" applyNumberFormat="1">
      <alignment horizontal="center" vertical="bottom"/>
    </xf>
    <xf borderId="10" fillId="19" fontId="19" numFmtId="9" xfId="0" applyAlignment="1" applyBorder="1" applyFill="1" applyFont="1" applyNumberFormat="1">
      <alignment horizontal="center" vertical="bottom"/>
    </xf>
    <xf borderId="10" fillId="20" fontId="19" numFmtId="9" xfId="0" applyAlignment="1" applyBorder="1" applyFill="1" applyFont="1" applyNumberFormat="1">
      <alignment horizontal="center" vertical="bottom"/>
    </xf>
    <xf borderId="10" fillId="9" fontId="19" numFmtId="0" xfId="0" applyAlignment="1" applyBorder="1" applyFont="1">
      <alignment horizontal="center" readingOrder="0" vertical="bottom"/>
    </xf>
    <xf borderId="10" fillId="21" fontId="19" numFmtId="9" xfId="0" applyAlignment="1" applyBorder="1" applyFill="1" applyFont="1" applyNumberFormat="1">
      <alignment horizontal="center" vertical="bottom"/>
    </xf>
    <xf borderId="10" fillId="22" fontId="19" numFmtId="9" xfId="0" applyAlignment="1" applyBorder="1" applyFill="1" applyFont="1" applyNumberFormat="1">
      <alignment horizontal="center" vertical="bottom"/>
    </xf>
    <xf borderId="10" fillId="23" fontId="19" numFmtId="9" xfId="0" applyAlignment="1" applyBorder="1" applyFill="1" applyFont="1" applyNumberFormat="1">
      <alignment horizontal="center" vertical="bottom"/>
    </xf>
    <xf borderId="10" fillId="24" fontId="19" numFmtId="9" xfId="0" applyAlignment="1" applyBorder="1" applyFill="1" applyFont="1" applyNumberFormat="1">
      <alignment horizontal="center" vertical="bottom"/>
    </xf>
    <xf borderId="10" fillId="9" fontId="17" numFmtId="164" xfId="0" applyAlignment="1" applyBorder="1" applyFont="1" applyNumberFormat="1">
      <alignment horizontal="center" vertical="bottom"/>
    </xf>
    <xf borderId="10" fillId="9" fontId="20" numFmtId="3" xfId="0" applyAlignment="1" applyBorder="1" applyFont="1" applyNumberFormat="1">
      <alignment horizontal="center" vertical="bottom"/>
    </xf>
    <xf borderId="10" fillId="9" fontId="20" numFmtId="9" xfId="0" applyAlignment="1" applyBorder="1" applyFont="1" applyNumberFormat="1">
      <alignment horizontal="center" vertical="bottom"/>
    </xf>
    <xf borderId="4" fillId="2" fontId="7" numFmtId="0" xfId="0" applyAlignment="1" applyBorder="1" applyFont="1">
      <alignment horizontal="center" readingOrder="0" shrinkToFit="0" vertical="center" wrapText="1"/>
    </xf>
    <xf borderId="4" fillId="4" fontId="16" numFmtId="0" xfId="0" applyAlignment="1" applyBorder="1" applyFont="1">
      <alignment horizontal="left" readingOrder="0" shrinkToFit="0" vertical="top" wrapText="1"/>
    </xf>
    <xf borderId="10" fillId="2" fontId="17" numFmtId="0" xfId="0" applyAlignment="1" applyBorder="1" applyFont="1">
      <alignment horizontal="center" shrinkToFit="0" vertical="bottom" wrapText="1"/>
    </xf>
    <xf borderId="10" fillId="9" fontId="19" numFmtId="3" xfId="0" applyAlignment="1" applyBorder="1" applyFont="1" applyNumberFormat="1">
      <alignment horizontal="center" vertical="bottom"/>
    </xf>
    <xf borderId="10" fillId="9" fontId="17" numFmtId="0" xfId="0" applyAlignment="1" applyBorder="1" applyFont="1">
      <alignment horizontal="center" readingOrder="0" vertical="bottom"/>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2">
    <tableStyle count="3" pivot="0" name="Tab 8 - Segment Analysis-style">
      <tableStyleElement dxfId="1" type="headerRow"/>
      <tableStyleElement dxfId="2" type="firstRowStripe"/>
      <tableStyleElement dxfId="3" type="secondRowStripe"/>
    </tableStyle>
    <tableStyle count="3" pivot="0" name="Tab 8 - Segment Analysis-style 2">
      <tableStyleElement dxfId="1" type="headerRow"/>
      <tableStyleElement dxfId="2" type="firstRowStripe"/>
      <tableStyleElement dxfId="3" type="secondRowStripe"/>
    </tableStyle>
    <tableStyle count="3" pivot="0" name="Tab 8 - Segment Analysis-style 3">
      <tableStyleElement dxfId="1" type="headerRow"/>
      <tableStyleElement dxfId="2" type="firstRowStripe"/>
      <tableStyleElement dxfId="3" type="secondRowStripe"/>
    </tableStyle>
    <tableStyle count="3" pivot="0" name="Tab 8 - Segment Analysis-style 4">
      <tableStyleElement dxfId="1" type="headerRow"/>
      <tableStyleElement dxfId="2" type="firstRowStripe"/>
      <tableStyleElement dxfId="3" type="secondRowStripe"/>
    </tableStyle>
    <tableStyle count="3" pivot="0" name="Tab 8 - Segment Analysis-style 5">
      <tableStyleElement dxfId="1" type="headerRow"/>
      <tableStyleElement dxfId="2" type="firstRowStripe"/>
      <tableStyleElement dxfId="3" type="secondRowStripe"/>
    </tableStyle>
    <tableStyle count="3" pivot="0" name="Tab 8 - Segment Analysis-style 6">
      <tableStyleElement dxfId="1" type="headerRow"/>
      <tableStyleElement dxfId="2" type="firstRowStripe"/>
      <tableStyleElement dxfId="3" type="secondRowStripe"/>
    </tableStyle>
    <tableStyle count="3" pivot="0" name="Tab 8 - Segment Analysis-style 7">
      <tableStyleElement dxfId="1" type="headerRow"/>
      <tableStyleElement dxfId="2" type="firstRowStripe"/>
      <tableStyleElement dxfId="3" type="secondRowStripe"/>
    </tableStyle>
    <tableStyle count="3" pivot="0" name="Tab 8 - Segment Analysis-style 8">
      <tableStyleElement dxfId="1" type="headerRow"/>
      <tableStyleElement dxfId="2" type="firstRowStripe"/>
      <tableStyleElement dxfId="3" type="secondRowStripe"/>
    </tableStyle>
    <tableStyle count="3" pivot="0" name="Tab 8 - Segment Analysis-style 9">
      <tableStyleElement dxfId="1" type="headerRow"/>
      <tableStyleElement dxfId="2" type="firstRowStripe"/>
      <tableStyleElement dxfId="3" type="secondRowStripe"/>
    </tableStyle>
    <tableStyle count="3" pivot="0" name="Tab 8 - Segment Analysis-style 10">
      <tableStyleElement dxfId="1" type="headerRow"/>
      <tableStyleElement dxfId="2" type="firstRowStripe"/>
      <tableStyleElement dxfId="3" type="secondRowStripe"/>
    </tableStyle>
    <tableStyle count="3" pivot="0" name="Tab 8 - Segment Analysis-style 11">
      <tableStyleElement dxfId="1" type="headerRow"/>
      <tableStyleElement dxfId="2" type="firstRowStripe"/>
      <tableStyleElement dxfId="3" type="secondRowStripe"/>
    </tableStyle>
    <tableStyle count="3" pivot="0" name="Tab 8 - Segment Analysis-style 1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D63:D70" displayName="Table_1" id="1">
  <tableColumns count="1">
    <tableColumn name="Column1" id="1"/>
  </tableColumns>
  <tableStyleInfo name="Tab 8 - Segment Analysis-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H41:H49" displayName="Table_10" id="10">
  <tableColumns count="1">
    <tableColumn name="Column1" id="1"/>
  </tableColumns>
  <tableStyleInfo name="Tab 8 - Segment Analysis-style 10"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D41:D49" displayName="Table_11" id="11">
  <tableColumns count="1">
    <tableColumn name="Column1" id="1"/>
  </tableColumns>
  <tableStyleInfo name="Tab 8 - Segment Analysis-style 11"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I63:I70" displayName="Table_12" id="12">
  <tableColumns count="1">
    <tableColumn name="Column1" id="1"/>
  </tableColumns>
  <tableStyleInfo name="Tab 8 - Segment Analysis-style 12"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D84:D89" displayName="Table_2" id="2">
  <tableColumns count="1">
    <tableColumn name="Column1" id="1"/>
  </tableColumns>
  <tableStyleInfo name="Tab 8 - Segment Analysis-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I84:I89" displayName="Table_3" id="3">
  <tableColumns count="1">
    <tableColumn name="Column1" id="1"/>
  </tableColumns>
  <tableStyleInfo name="Tab 8 - Segment Analysis-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H84:H89" displayName="Table_4" id="4">
  <tableColumns count="1">
    <tableColumn name="Column1" id="1"/>
  </tableColumns>
  <tableStyleInfo name="Tab 8 - Segment Analysis-style 4"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F84:F89" displayName="Table_5" id="5">
  <tableColumns count="1">
    <tableColumn name="Column1" id="1"/>
  </tableColumns>
  <tableStyleInfo name="Tab 8 - Segment Analysis-style 5"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H63:H70" displayName="Table_6" id="6">
  <tableColumns count="1">
    <tableColumn name="Column1" id="1"/>
  </tableColumns>
  <tableStyleInfo name="Tab 8 - Segment Analysis-style 6"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I41:I49" displayName="Table_7" id="7">
  <tableColumns count="1">
    <tableColumn name="Column1" id="1"/>
  </tableColumns>
  <tableStyleInfo name="Tab 8 - Segment Analysis-style 7"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F41:F49" displayName="Table_8" id="8">
  <tableColumns count="1">
    <tableColumn name="Column1" id="1"/>
  </tableColumns>
  <tableStyleInfo name="Tab 8 - Segment Analysis-style 8"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F63:F70" displayName="Table_9" id="9">
  <tableColumns count="1">
    <tableColumn name="Column1" id="1"/>
  </tableColumns>
  <tableStyleInfo name="Tab 8 - Segment Analysis-style 9"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table" Target="../tables/table7.xml"/><Relationship Id="rId22" Type="http://schemas.openxmlformats.org/officeDocument/2006/relationships/table" Target="../tables/table9.xml"/><Relationship Id="rId21" Type="http://schemas.openxmlformats.org/officeDocument/2006/relationships/table" Target="../tables/table8.xml"/><Relationship Id="rId24" Type="http://schemas.openxmlformats.org/officeDocument/2006/relationships/table" Target="../tables/table11.xml"/><Relationship Id="rId23" Type="http://schemas.openxmlformats.org/officeDocument/2006/relationships/table" Target="../tables/table10.xml"/><Relationship Id="rId1" Type="http://schemas.openxmlformats.org/officeDocument/2006/relationships/drawing" Target="../drawings/drawing9.xml"/><Relationship Id="rId15" Type="http://schemas.openxmlformats.org/officeDocument/2006/relationships/table" Target="../tables/table2.xml"/><Relationship Id="rId14" Type="http://schemas.openxmlformats.org/officeDocument/2006/relationships/table" Target="../tables/table1.xml"/><Relationship Id="rId25" Type="http://schemas.openxmlformats.org/officeDocument/2006/relationships/table" Target="../tables/table12.xml"/><Relationship Id="rId17" Type="http://schemas.openxmlformats.org/officeDocument/2006/relationships/table" Target="../tables/table4.xml"/><Relationship Id="rId16" Type="http://schemas.openxmlformats.org/officeDocument/2006/relationships/table" Target="../tables/table3.xml"/><Relationship Id="rId19" Type="http://schemas.openxmlformats.org/officeDocument/2006/relationships/table" Target="../tables/table6.xml"/><Relationship Id="rId18"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2" width="12.43"/>
    <col customWidth="1" min="3" max="3" width="49.0"/>
  </cols>
  <sheetData>
    <row r="1">
      <c r="A1" s="1" t="s">
        <v>0</v>
      </c>
      <c r="B1" s="2"/>
      <c r="C1" s="3"/>
    </row>
    <row r="2">
      <c r="A2" s="4" t="s">
        <v>1</v>
      </c>
      <c r="B2" s="5"/>
      <c r="C2" s="6"/>
    </row>
    <row r="3" ht="30.75" customHeight="1">
      <c r="A3" s="7"/>
      <c r="B3" s="8"/>
      <c r="C3" s="9"/>
    </row>
    <row r="4" ht="30.75" customHeight="1">
      <c r="A4" s="10" t="str">
        <f>HYPERLINK("https://app.productboard.com/register","Step 1: Complete Tabs 1 - 2 in order by signing up for the free trial of productboard: https://app.productboard.com/register. 
")</f>
        <v>Step 1: Complete Tabs 1 - 2 in order by signing up for the free trial of productboard: https://app.productboard.com/register. 
</v>
      </c>
      <c r="B4" s="2"/>
      <c r="C4" s="3"/>
    </row>
    <row r="5" ht="54.75" customHeight="1">
      <c r="A5" s="11" t="s">
        <v>2</v>
      </c>
      <c r="B5" s="8"/>
      <c r="C5" s="9"/>
    </row>
    <row r="6" ht="99.75" customHeight="1">
      <c r="A6" s="11" t="s">
        <v>3</v>
      </c>
      <c r="B6" s="8"/>
      <c r="C6" s="9"/>
    </row>
    <row r="7" ht="45.75" customHeight="1">
      <c r="A7" s="11" t="s">
        <v>4</v>
      </c>
      <c r="B7" s="8"/>
      <c r="C7" s="9"/>
    </row>
    <row r="8" ht="56.25" customHeight="1">
      <c r="A8" s="11" t="s">
        <v>5</v>
      </c>
      <c r="B8" s="8"/>
      <c r="C8" s="9"/>
    </row>
    <row r="9">
      <c r="A9" s="12" t="s">
        <v>6</v>
      </c>
      <c r="B9" s="2"/>
      <c r="C9" s="3"/>
    </row>
    <row r="10">
      <c r="A10" s="13" t="s">
        <v>7</v>
      </c>
      <c r="B10" s="2"/>
      <c r="C10" s="3"/>
    </row>
    <row r="11">
      <c r="A11" s="14"/>
      <c r="B11" s="15"/>
      <c r="C11" s="16"/>
    </row>
    <row r="12">
      <c r="A12" s="17" t="s">
        <v>8</v>
      </c>
      <c r="B12" s="18" t="s">
        <v>9</v>
      </c>
      <c r="C12" s="17" t="s">
        <v>10</v>
      </c>
    </row>
    <row r="13">
      <c r="A13" s="19"/>
      <c r="B13" s="20"/>
      <c r="C13" s="21" t="s">
        <v>11</v>
      </c>
    </row>
    <row r="14">
      <c r="A14" s="22">
        <v>1.0</v>
      </c>
      <c r="B14" s="23" t="b">
        <v>1</v>
      </c>
      <c r="C14" s="24" t="s">
        <v>12</v>
      </c>
    </row>
    <row r="15">
      <c r="A15" s="25">
        <v>2.0</v>
      </c>
      <c r="B15" s="23" t="b">
        <v>1</v>
      </c>
      <c r="C15" s="26" t="s">
        <v>13</v>
      </c>
    </row>
    <row r="16">
      <c r="A16" s="19"/>
      <c r="B16" s="19"/>
      <c r="C16" s="21" t="s">
        <v>14</v>
      </c>
    </row>
    <row r="17">
      <c r="A17" s="27">
        <v>3.0</v>
      </c>
      <c r="B17" s="23" t="b">
        <v>1</v>
      </c>
      <c r="C17" s="26" t="s">
        <v>15</v>
      </c>
    </row>
    <row r="18">
      <c r="A18" s="28"/>
      <c r="B18" s="19"/>
      <c r="C18" s="21" t="s">
        <v>16</v>
      </c>
    </row>
    <row r="19">
      <c r="A19" s="27">
        <v>4.0</v>
      </c>
      <c r="B19" s="23" t="b">
        <v>1</v>
      </c>
      <c r="C19" s="26" t="s">
        <v>17</v>
      </c>
    </row>
    <row r="20">
      <c r="A20" s="27">
        <v>5.0</v>
      </c>
      <c r="B20" s="23" t="b">
        <v>1</v>
      </c>
      <c r="C20" s="26" t="s">
        <v>18</v>
      </c>
    </row>
    <row r="21">
      <c r="A21" s="27">
        <v>6.0</v>
      </c>
      <c r="B21" s="23" t="b">
        <v>1</v>
      </c>
      <c r="C21" s="26" t="s">
        <v>19</v>
      </c>
    </row>
    <row r="22">
      <c r="A22" s="27">
        <v>7.0</v>
      </c>
      <c r="B22" s="23" t="b">
        <v>1</v>
      </c>
      <c r="C22" s="26" t="s">
        <v>20</v>
      </c>
    </row>
    <row r="23">
      <c r="A23" s="28"/>
      <c r="B23" s="19"/>
      <c r="C23" s="21" t="s">
        <v>21</v>
      </c>
    </row>
    <row r="24">
      <c r="A24" s="27">
        <v>8.0</v>
      </c>
      <c r="B24" s="23" t="b">
        <v>1</v>
      </c>
      <c r="C24" s="29" t="s">
        <v>22</v>
      </c>
    </row>
  </sheetData>
  <mergeCells count="9">
    <mergeCell ref="A9:C9"/>
    <mergeCell ref="A10:C10"/>
    <mergeCell ref="A1:C1"/>
    <mergeCell ref="A2:C3"/>
    <mergeCell ref="A4:C4"/>
    <mergeCell ref="A5:C5"/>
    <mergeCell ref="A6:C6"/>
    <mergeCell ref="A7:C7"/>
    <mergeCell ref="A8:C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22.14"/>
    <col customWidth="1" min="12" max="12" width="29.0"/>
    <col customWidth="1" min="13" max="13" width="28.71"/>
    <col customWidth="1" min="14" max="15" width="29.14"/>
    <col customWidth="1" min="16" max="16" width="28.86"/>
    <col customWidth="1" min="17" max="17" width="28.57"/>
    <col customWidth="1" min="18" max="18" width="29.0"/>
    <col customWidth="1" min="19" max="19" width="29.29"/>
    <col customWidth="1" min="20" max="20" width="29.14"/>
    <col customWidth="1" min="21" max="21" width="32.14"/>
    <col customWidth="1" min="22" max="22" width="38.43"/>
    <col customWidth="1" min="23" max="23" width="53.86"/>
  </cols>
  <sheetData>
    <row r="1">
      <c r="A1" s="30" t="s">
        <v>12</v>
      </c>
      <c r="B1" s="5"/>
      <c r="C1" s="5"/>
      <c r="D1" s="5"/>
      <c r="E1" s="5"/>
      <c r="F1" s="5"/>
      <c r="G1" s="5"/>
      <c r="H1" s="5"/>
      <c r="I1" s="5"/>
      <c r="J1" s="5"/>
      <c r="K1" s="5"/>
      <c r="L1" s="5"/>
      <c r="M1" s="5"/>
      <c r="N1" s="5"/>
      <c r="O1" s="5"/>
      <c r="P1" s="5"/>
      <c r="Q1" s="5"/>
      <c r="R1" s="5"/>
      <c r="S1" s="5"/>
      <c r="T1" s="5"/>
      <c r="U1" s="5"/>
      <c r="V1" s="5"/>
      <c r="W1" s="6"/>
    </row>
    <row r="2">
      <c r="A2" s="7"/>
      <c r="B2" s="8"/>
      <c r="C2" s="8"/>
      <c r="D2" s="8"/>
      <c r="E2" s="8"/>
      <c r="F2" s="8"/>
      <c r="G2" s="8"/>
      <c r="H2" s="8"/>
      <c r="I2" s="8"/>
      <c r="J2" s="8"/>
      <c r="K2" s="8"/>
      <c r="L2" s="8"/>
      <c r="M2" s="8"/>
      <c r="N2" s="8"/>
      <c r="O2" s="8"/>
      <c r="P2" s="8"/>
      <c r="Q2" s="8"/>
      <c r="R2" s="8"/>
      <c r="S2" s="8"/>
      <c r="T2" s="8"/>
      <c r="U2" s="8"/>
      <c r="V2" s="8"/>
      <c r="W2" s="9"/>
    </row>
    <row r="3">
      <c r="A3" s="31" t="s">
        <v>23</v>
      </c>
      <c r="B3" s="5"/>
      <c r="C3" s="5"/>
      <c r="D3" s="5"/>
      <c r="E3" s="5"/>
      <c r="F3" s="6"/>
      <c r="G3" s="32"/>
      <c r="H3" s="32"/>
      <c r="I3" s="32"/>
      <c r="J3" s="33"/>
      <c r="K3" s="33"/>
      <c r="L3" s="33"/>
      <c r="S3" s="33"/>
      <c r="T3" s="33"/>
      <c r="U3" s="34"/>
      <c r="V3" s="34"/>
      <c r="W3" s="34"/>
    </row>
    <row r="4" ht="14.25" customHeight="1">
      <c r="A4" s="7"/>
      <c r="B4" s="8"/>
      <c r="C4" s="8"/>
      <c r="D4" s="8"/>
      <c r="E4" s="8"/>
      <c r="F4" s="9"/>
      <c r="G4" s="32"/>
      <c r="H4" s="32"/>
      <c r="I4" s="32"/>
      <c r="J4" s="32"/>
      <c r="K4" s="32"/>
      <c r="L4" s="32"/>
      <c r="S4" s="33"/>
      <c r="T4" s="33"/>
      <c r="U4" s="34"/>
      <c r="V4" s="34"/>
      <c r="W4" s="34"/>
    </row>
    <row r="5" ht="21.75" customHeight="1">
      <c r="A5" s="11" t="s">
        <v>24</v>
      </c>
      <c r="B5" s="8"/>
      <c r="C5" s="8"/>
      <c r="D5" s="8"/>
      <c r="E5" s="8"/>
      <c r="F5" s="9"/>
      <c r="G5" s="32"/>
      <c r="H5" s="32"/>
      <c r="I5" s="32"/>
      <c r="J5" s="32"/>
      <c r="K5" s="32"/>
      <c r="L5" s="32"/>
      <c r="S5" s="33"/>
      <c r="T5" s="33"/>
      <c r="U5" s="34"/>
      <c r="V5" s="34"/>
      <c r="W5" s="34"/>
    </row>
    <row r="6" ht="21.0" customHeight="1">
      <c r="A6" s="11" t="s">
        <v>25</v>
      </c>
      <c r="B6" s="8"/>
      <c r="C6" s="8"/>
      <c r="D6" s="8"/>
      <c r="E6" s="8"/>
      <c r="F6" s="9"/>
      <c r="G6" s="32"/>
      <c r="H6" s="32"/>
      <c r="I6" s="32"/>
      <c r="J6" s="32"/>
      <c r="K6" s="32"/>
      <c r="L6" s="32"/>
      <c r="S6" s="33"/>
      <c r="T6" s="33"/>
      <c r="U6" s="34"/>
      <c r="V6" s="34"/>
      <c r="W6" s="34"/>
    </row>
    <row r="7" ht="30.0" customHeight="1">
      <c r="A7" s="11" t="s">
        <v>26</v>
      </c>
      <c r="B7" s="8"/>
      <c r="C7" s="8"/>
      <c r="D7" s="8"/>
      <c r="E7" s="8"/>
      <c r="F7" s="9"/>
      <c r="G7" s="32"/>
      <c r="H7" s="32"/>
      <c r="I7" s="32"/>
      <c r="J7" s="32"/>
      <c r="K7" s="32"/>
      <c r="L7" s="32"/>
      <c r="S7" s="33"/>
      <c r="T7" s="33"/>
      <c r="U7" s="34"/>
      <c r="V7" s="34"/>
      <c r="W7" s="34"/>
    </row>
    <row r="8" ht="31.5" customHeight="1">
      <c r="A8" s="11" t="s">
        <v>27</v>
      </c>
      <c r="B8" s="8"/>
      <c r="C8" s="8"/>
      <c r="D8" s="8"/>
      <c r="E8" s="8"/>
      <c r="F8" s="9"/>
      <c r="G8" s="32"/>
      <c r="H8" s="32"/>
      <c r="I8" s="32"/>
      <c r="J8" s="32"/>
      <c r="K8" s="32"/>
      <c r="L8" s="32"/>
      <c r="S8" s="33"/>
      <c r="T8" s="33"/>
      <c r="U8" s="34"/>
      <c r="V8" s="34"/>
      <c r="W8" s="34"/>
    </row>
    <row r="9" ht="68.25" customHeight="1">
      <c r="A9" s="35" t="s">
        <v>28</v>
      </c>
      <c r="B9" s="2"/>
      <c r="C9" s="2"/>
      <c r="D9" s="2"/>
      <c r="E9" s="2"/>
      <c r="F9" s="3"/>
      <c r="G9" s="32"/>
      <c r="H9" s="32"/>
      <c r="I9" s="32"/>
      <c r="J9" s="32"/>
      <c r="K9" s="32"/>
      <c r="L9" s="32"/>
      <c r="S9" s="33"/>
      <c r="T9" s="33"/>
      <c r="U9" s="34"/>
      <c r="V9" s="34"/>
      <c r="W9" s="34"/>
    </row>
    <row r="10" ht="93.75" customHeight="1">
      <c r="A10" s="31" t="s">
        <v>29</v>
      </c>
      <c r="B10" s="5"/>
      <c r="C10" s="5"/>
      <c r="D10" s="5"/>
      <c r="E10" s="5"/>
      <c r="F10" s="6"/>
      <c r="G10" s="32"/>
      <c r="H10" s="32"/>
      <c r="I10" s="32"/>
      <c r="J10" s="32"/>
      <c r="K10" s="32"/>
      <c r="L10" s="32"/>
      <c r="S10" s="34"/>
      <c r="T10" s="34"/>
      <c r="U10" s="34"/>
      <c r="V10" s="34"/>
      <c r="W10" s="34"/>
    </row>
    <row r="11" ht="17.25" customHeight="1">
      <c r="A11" s="36" t="s">
        <v>30</v>
      </c>
      <c r="F11" s="37"/>
      <c r="G11" s="32"/>
      <c r="H11" s="32"/>
      <c r="I11" s="32"/>
      <c r="J11" s="32"/>
      <c r="K11" s="32"/>
      <c r="L11" s="32"/>
      <c r="S11" s="34"/>
      <c r="T11" s="34"/>
      <c r="U11" s="34"/>
      <c r="V11" s="34"/>
      <c r="W11" s="34"/>
    </row>
    <row r="12" ht="20.25" customHeight="1">
      <c r="A12" s="36" t="s">
        <v>31</v>
      </c>
      <c r="F12" s="37"/>
      <c r="G12" s="32"/>
      <c r="H12" s="32"/>
      <c r="I12" s="32"/>
      <c r="J12" s="32"/>
      <c r="K12" s="32"/>
      <c r="L12" s="32"/>
      <c r="S12" s="34"/>
      <c r="T12" s="34"/>
      <c r="U12" s="34"/>
      <c r="V12" s="34"/>
      <c r="W12" s="34"/>
    </row>
    <row r="13" ht="29.25" customHeight="1">
      <c r="A13" s="38" t="s">
        <v>32</v>
      </c>
      <c r="F13" s="37"/>
      <c r="G13" s="32"/>
      <c r="H13" s="32"/>
      <c r="I13" s="32"/>
      <c r="J13" s="32"/>
      <c r="K13" s="32"/>
      <c r="L13" s="32"/>
      <c r="S13" s="34"/>
      <c r="T13" s="34"/>
      <c r="U13" s="34"/>
      <c r="V13" s="34"/>
      <c r="W13" s="34"/>
    </row>
    <row r="14" ht="26.25" customHeight="1">
      <c r="A14" s="39" t="s">
        <v>33</v>
      </c>
      <c r="F14" s="37"/>
      <c r="G14" s="32"/>
      <c r="H14" s="32"/>
      <c r="I14" s="32"/>
      <c r="J14" s="32"/>
      <c r="K14" s="32"/>
      <c r="L14" s="32"/>
      <c r="S14" s="34"/>
      <c r="T14" s="34"/>
      <c r="U14" s="34"/>
      <c r="V14" s="34"/>
      <c r="W14" s="34"/>
    </row>
    <row r="15" ht="24.75" customHeight="1">
      <c r="A15" s="36" t="s">
        <v>34</v>
      </c>
      <c r="F15" s="37"/>
      <c r="G15" s="32"/>
      <c r="H15" s="32"/>
      <c r="I15" s="32"/>
      <c r="J15" s="32"/>
      <c r="K15" s="32"/>
      <c r="L15" s="32"/>
      <c r="S15" s="34"/>
      <c r="T15" s="34"/>
      <c r="U15" s="34"/>
      <c r="V15" s="34"/>
      <c r="W15" s="34"/>
    </row>
    <row r="16" ht="24.75" customHeight="1">
      <c r="A16" s="36" t="s">
        <v>35</v>
      </c>
      <c r="F16" s="37"/>
      <c r="G16" s="32"/>
      <c r="H16" s="32"/>
      <c r="I16" s="32"/>
      <c r="J16" s="32"/>
      <c r="K16" s="32"/>
      <c r="L16" s="32"/>
      <c r="S16" s="34"/>
      <c r="T16" s="34"/>
      <c r="U16" s="34"/>
      <c r="V16" s="34"/>
      <c r="W16" s="34"/>
    </row>
    <row r="17" ht="24.75" customHeight="1">
      <c r="A17" s="40" t="s">
        <v>36</v>
      </c>
      <c r="B17" s="8"/>
      <c r="C17" s="8"/>
      <c r="D17" s="8"/>
      <c r="E17" s="8"/>
      <c r="F17" s="9"/>
      <c r="G17" s="32"/>
      <c r="H17" s="32"/>
      <c r="I17" s="32"/>
      <c r="J17" s="32"/>
      <c r="K17" s="32"/>
      <c r="L17" s="32"/>
      <c r="S17" s="34"/>
      <c r="T17" s="34"/>
      <c r="U17" s="34"/>
      <c r="V17" s="34"/>
      <c r="W17" s="34"/>
    </row>
    <row r="18" ht="18.75" customHeight="1">
      <c r="A18" s="41" t="s">
        <v>37</v>
      </c>
      <c r="B18" s="42"/>
      <c r="C18" s="42"/>
      <c r="D18" s="42"/>
      <c r="E18" s="42"/>
      <c r="F18" s="43"/>
      <c r="G18" s="32"/>
      <c r="H18" s="32"/>
      <c r="I18" s="32"/>
      <c r="J18" s="32"/>
      <c r="K18" s="32"/>
      <c r="L18" s="32"/>
      <c r="S18" s="34"/>
      <c r="T18" s="34"/>
      <c r="U18" s="34"/>
      <c r="V18" s="34"/>
      <c r="W18" s="34"/>
    </row>
    <row r="19">
      <c r="A19" s="44" t="s">
        <v>38</v>
      </c>
      <c r="B19" s="44" t="s">
        <v>39</v>
      </c>
      <c r="C19" s="44" t="s">
        <v>40</v>
      </c>
      <c r="D19" s="44" t="s">
        <v>41</v>
      </c>
      <c r="E19" s="44" t="s">
        <v>42</v>
      </c>
      <c r="F19" s="44" t="s">
        <v>43</v>
      </c>
      <c r="G19" s="45" t="s">
        <v>44</v>
      </c>
      <c r="H19" s="45" t="s">
        <v>45</v>
      </c>
      <c r="I19" s="45" t="s">
        <v>46</v>
      </c>
      <c r="J19" s="45" t="s">
        <v>47</v>
      </c>
      <c r="K19" s="45" t="s">
        <v>48</v>
      </c>
      <c r="L19" s="45" t="s">
        <v>49</v>
      </c>
      <c r="M19" s="45" t="s">
        <v>50</v>
      </c>
      <c r="N19" s="45" t="s">
        <v>51</v>
      </c>
      <c r="O19" s="45" t="s">
        <v>52</v>
      </c>
      <c r="P19" s="45" t="s">
        <v>53</v>
      </c>
      <c r="Q19" s="45" t="s">
        <v>54</v>
      </c>
      <c r="R19" s="45" t="s">
        <v>55</v>
      </c>
      <c r="S19" s="45" t="s">
        <v>56</v>
      </c>
      <c r="T19" s="45" t="s">
        <v>57</v>
      </c>
      <c r="U19" s="45" t="s">
        <v>58</v>
      </c>
      <c r="V19" s="45" t="s">
        <v>59</v>
      </c>
      <c r="W19" s="45" t="s">
        <v>60</v>
      </c>
    </row>
    <row r="20">
      <c r="A20" s="46" t="s">
        <v>61</v>
      </c>
      <c r="B20" s="46" t="s">
        <v>62</v>
      </c>
      <c r="C20" s="46" t="s">
        <v>63</v>
      </c>
      <c r="D20" s="46" t="s">
        <v>64</v>
      </c>
      <c r="E20" s="46" t="s">
        <v>65</v>
      </c>
      <c r="F20" s="46" t="s">
        <v>66</v>
      </c>
      <c r="G20" s="47" t="s">
        <v>67</v>
      </c>
      <c r="H20" s="47" t="s">
        <v>68</v>
      </c>
      <c r="I20" s="48" t="s">
        <v>69</v>
      </c>
      <c r="J20" s="2"/>
      <c r="K20" s="2"/>
      <c r="L20" s="3"/>
      <c r="M20" s="46" t="s">
        <v>70</v>
      </c>
      <c r="N20" s="46" t="s">
        <v>71</v>
      </c>
      <c r="O20" s="46" t="s">
        <v>72</v>
      </c>
      <c r="P20" s="46" t="s">
        <v>73</v>
      </c>
      <c r="Q20" s="46" t="s">
        <v>74</v>
      </c>
      <c r="R20" s="46" t="s">
        <v>75</v>
      </c>
      <c r="S20" s="46" t="s">
        <v>76</v>
      </c>
      <c r="T20" s="46" t="s">
        <v>77</v>
      </c>
      <c r="U20" s="46" t="s">
        <v>78</v>
      </c>
      <c r="V20" s="46" t="s">
        <v>79</v>
      </c>
      <c r="W20" s="46" t="s">
        <v>80</v>
      </c>
    </row>
    <row r="21">
      <c r="A21" s="49">
        <v>1.0</v>
      </c>
      <c r="B21" s="50" t="s">
        <v>81</v>
      </c>
      <c r="C21" s="49">
        <f>3820*2</f>
        <v>7640</v>
      </c>
      <c r="D21" s="51">
        <v>0.1102</v>
      </c>
      <c r="E21" s="51">
        <v>0.8898</v>
      </c>
      <c r="F21" s="52" t="s">
        <v>82</v>
      </c>
      <c r="G21" s="53">
        <v>1.0</v>
      </c>
      <c r="H21" s="53">
        <v>0.0</v>
      </c>
      <c r="I21" s="54" t="s">
        <v>83</v>
      </c>
      <c r="J21" s="2"/>
      <c r="K21" s="2"/>
      <c r="L21" s="3"/>
      <c r="M21" s="55" t="s">
        <v>84</v>
      </c>
      <c r="N21" s="56" t="s">
        <v>85</v>
      </c>
      <c r="O21" s="57" t="s">
        <v>86</v>
      </c>
      <c r="P21" s="57" t="s">
        <v>87</v>
      </c>
      <c r="Q21" s="57" t="s">
        <v>87</v>
      </c>
      <c r="R21" s="57" t="s">
        <v>87</v>
      </c>
      <c r="S21" s="58" t="s">
        <v>88</v>
      </c>
      <c r="T21" s="59" t="s">
        <v>89</v>
      </c>
      <c r="U21" s="60"/>
      <c r="V21" s="60"/>
      <c r="W21" s="56" t="s">
        <v>90</v>
      </c>
    </row>
    <row r="22">
      <c r="A22" s="61">
        <v>2.0</v>
      </c>
      <c r="B22" s="62" t="s">
        <v>91</v>
      </c>
      <c r="C22" s="61">
        <f>421*2</f>
        <v>842</v>
      </c>
      <c r="D22" s="63">
        <f t="shared" ref="D22:D29" si="1">C23/C22</f>
        <v>0.9358669834</v>
      </c>
      <c r="E22" s="63">
        <f t="shared" ref="E22:E28" si="2">100%-D22</f>
        <v>0.06413301663</v>
      </c>
      <c r="F22" s="63">
        <f t="shared" ref="F22:F29" si="3">100%-C22/$C$21</f>
        <v>0.8897905759</v>
      </c>
      <c r="G22" s="64">
        <v>5.0</v>
      </c>
      <c r="H22" s="64">
        <v>2.0</v>
      </c>
      <c r="I22" s="65" t="s">
        <v>92</v>
      </c>
      <c r="J22" s="2"/>
      <c r="K22" s="2"/>
      <c r="L22" s="3"/>
      <c r="M22" s="66" t="s">
        <v>93</v>
      </c>
      <c r="N22" s="67" t="s">
        <v>94</v>
      </c>
      <c r="O22" s="68" t="s">
        <v>95</v>
      </c>
      <c r="P22" s="67" t="s">
        <v>87</v>
      </c>
      <c r="Q22" s="67" t="s">
        <v>87</v>
      </c>
      <c r="R22" s="67" t="s">
        <v>87</v>
      </c>
      <c r="S22" s="69" t="s">
        <v>96</v>
      </c>
      <c r="T22" s="70" t="s">
        <v>97</v>
      </c>
      <c r="U22" s="70" t="s">
        <v>98</v>
      </c>
      <c r="V22" s="70" t="s">
        <v>99</v>
      </c>
      <c r="W22" s="68" t="s">
        <v>100</v>
      </c>
    </row>
    <row r="23">
      <c r="A23" s="61">
        <v>3.0</v>
      </c>
      <c r="B23" s="62" t="s">
        <v>101</v>
      </c>
      <c r="C23" s="61">
        <f>394*2</f>
        <v>788</v>
      </c>
      <c r="D23" s="63">
        <f t="shared" si="1"/>
        <v>0.9720812183</v>
      </c>
      <c r="E23" s="63">
        <f t="shared" si="2"/>
        <v>0.02791878173</v>
      </c>
      <c r="F23" s="63">
        <f t="shared" si="3"/>
        <v>0.8968586387</v>
      </c>
      <c r="G23" s="64">
        <v>1.0</v>
      </c>
      <c r="H23" s="64">
        <v>0.0</v>
      </c>
      <c r="I23" s="71" t="s">
        <v>102</v>
      </c>
      <c r="J23" s="2"/>
      <c r="K23" s="2"/>
      <c r="L23" s="3"/>
      <c r="M23" s="66" t="s">
        <v>103</v>
      </c>
      <c r="N23" s="67" t="s">
        <v>104</v>
      </c>
      <c r="O23" s="68" t="s">
        <v>105</v>
      </c>
      <c r="P23" s="68" t="s">
        <v>106</v>
      </c>
      <c r="Q23" s="67" t="s">
        <v>87</v>
      </c>
      <c r="R23" s="67" t="s">
        <v>87</v>
      </c>
      <c r="S23" s="69" t="s">
        <v>88</v>
      </c>
      <c r="T23" s="70" t="s">
        <v>89</v>
      </c>
      <c r="U23" s="70" t="s">
        <v>89</v>
      </c>
      <c r="V23" s="70" t="s">
        <v>107</v>
      </c>
      <c r="W23" s="68" t="s">
        <v>108</v>
      </c>
    </row>
    <row r="24">
      <c r="A24" s="61">
        <v>4.0</v>
      </c>
      <c r="B24" s="62" t="s">
        <v>109</v>
      </c>
      <c r="C24" s="61">
        <f>383*2</f>
        <v>766</v>
      </c>
      <c r="D24" s="63">
        <f t="shared" si="1"/>
        <v>0.9686684073</v>
      </c>
      <c r="E24" s="63">
        <f t="shared" si="2"/>
        <v>0.03133159269</v>
      </c>
      <c r="F24" s="63">
        <f t="shared" si="3"/>
        <v>0.8997382199</v>
      </c>
      <c r="G24" s="64">
        <v>1.0</v>
      </c>
      <c r="H24" s="64">
        <v>0.0</v>
      </c>
      <c r="I24" s="71" t="s">
        <v>110</v>
      </c>
      <c r="J24" s="2"/>
      <c r="K24" s="2"/>
      <c r="L24" s="3"/>
      <c r="M24" s="72" t="s">
        <v>111</v>
      </c>
      <c r="N24" s="73" t="s">
        <v>112</v>
      </c>
      <c r="O24" s="73" t="s">
        <v>113</v>
      </c>
      <c r="P24" s="73" t="s">
        <v>87</v>
      </c>
      <c r="Q24" s="73" t="s">
        <v>87</v>
      </c>
      <c r="R24" s="73" t="s">
        <v>87</v>
      </c>
      <c r="S24" s="69" t="s">
        <v>88</v>
      </c>
      <c r="T24" s="70" t="s">
        <v>89</v>
      </c>
      <c r="U24" s="70" t="s">
        <v>89</v>
      </c>
      <c r="V24" s="74" t="s">
        <v>114</v>
      </c>
      <c r="W24" s="68" t="s">
        <v>115</v>
      </c>
    </row>
    <row r="25">
      <c r="A25" s="61">
        <v>5.0</v>
      </c>
      <c r="B25" s="62" t="s">
        <v>116</v>
      </c>
      <c r="C25" s="61">
        <f>371*2</f>
        <v>742</v>
      </c>
      <c r="D25" s="63">
        <f t="shared" si="1"/>
        <v>0.9892183288</v>
      </c>
      <c r="E25" s="63">
        <f t="shared" si="2"/>
        <v>0.01078167116</v>
      </c>
      <c r="F25" s="63">
        <f t="shared" si="3"/>
        <v>0.9028795812</v>
      </c>
      <c r="G25" s="64">
        <v>5.0</v>
      </c>
      <c r="H25" s="64">
        <v>4.0</v>
      </c>
      <c r="I25" s="71" t="s">
        <v>117</v>
      </c>
      <c r="J25" s="2"/>
      <c r="K25" s="2"/>
      <c r="L25" s="3"/>
      <c r="M25" s="72" t="s">
        <v>118</v>
      </c>
      <c r="N25" s="73" t="s">
        <v>119</v>
      </c>
      <c r="O25" s="73" t="s">
        <v>120</v>
      </c>
      <c r="P25" s="73" t="s">
        <v>87</v>
      </c>
      <c r="Q25" s="73" t="s">
        <v>121</v>
      </c>
      <c r="R25" s="73" t="s">
        <v>122</v>
      </c>
      <c r="S25" s="69" t="s">
        <v>88</v>
      </c>
      <c r="T25" s="74" t="s">
        <v>89</v>
      </c>
      <c r="U25" s="74" t="s">
        <v>89</v>
      </c>
      <c r="V25" s="70" t="s">
        <v>123</v>
      </c>
      <c r="W25" s="68" t="s">
        <v>124</v>
      </c>
    </row>
    <row r="26">
      <c r="A26" s="61">
        <v>6.0</v>
      </c>
      <c r="B26" s="62" t="s">
        <v>125</v>
      </c>
      <c r="C26" s="61">
        <f>367*2</f>
        <v>734</v>
      </c>
      <c r="D26" s="63">
        <f t="shared" si="1"/>
        <v>0.863760218</v>
      </c>
      <c r="E26" s="63">
        <f t="shared" si="2"/>
        <v>0.136239782</v>
      </c>
      <c r="F26" s="63">
        <f t="shared" si="3"/>
        <v>0.9039267016</v>
      </c>
      <c r="G26" s="64">
        <v>3.0</v>
      </c>
      <c r="H26" s="64">
        <v>2.0</v>
      </c>
      <c r="I26" s="71" t="s">
        <v>126</v>
      </c>
      <c r="J26" s="2"/>
      <c r="K26" s="2"/>
      <c r="L26" s="3"/>
      <c r="M26" s="72" t="s">
        <v>118</v>
      </c>
      <c r="N26" s="73" t="s">
        <v>127</v>
      </c>
      <c r="O26" s="73" t="s">
        <v>128</v>
      </c>
      <c r="P26" s="73" t="s">
        <v>87</v>
      </c>
      <c r="Q26" s="73" t="s">
        <v>129</v>
      </c>
      <c r="R26" s="73" t="s">
        <v>87</v>
      </c>
      <c r="S26" s="69" t="s">
        <v>88</v>
      </c>
      <c r="T26" s="74" t="s">
        <v>89</v>
      </c>
      <c r="U26" s="74" t="s">
        <v>89</v>
      </c>
      <c r="V26" s="70" t="s">
        <v>130</v>
      </c>
      <c r="W26" s="68" t="s">
        <v>131</v>
      </c>
    </row>
    <row r="27">
      <c r="A27" s="61">
        <v>7.0</v>
      </c>
      <c r="B27" s="62" t="s">
        <v>132</v>
      </c>
      <c r="C27" s="61">
        <f>317*2</f>
        <v>634</v>
      </c>
      <c r="D27" s="63">
        <f t="shared" si="1"/>
        <v>0.9684542587</v>
      </c>
      <c r="E27" s="63">
        <f t="shared" si="2"/>
        <v>0.03154574132</v>
      </c>
      <c r="F27" s="63">
        <f t="shared" si="3"/>
        <v>0.9170157068</v>
      </c>
      <c r="G27" s="64">
        <v>4.0</v>
      </c>
      <c r="H27" s="64">
        <v>3.0</v>
      </c>
      <c r="I27" s="71" t="s">
        <v>133</v>
      </c>
      <c r="J27" s="2"/>
      <c r="K27" s="2"/>
      <c r="L27" s="3"/>
      <c r="M27" s="72" t="s">
        <v>134</v>
      </c>
      <c r="N27" s="73" t="s">
        <v>135</v>
      </c>
      <c r="O27" s="73" t="s">
        <v>136</v>
      </c>
      <c r="P27" s="73" t="s">
        <v>87</v>
      </c>
      <c r="Q27" s="73" t="s">
        <v>137</v>
      </c>
      <c r="R27" s="73" t="s">
        <v>138</v>
      </c>
      <c r="S27" s="69" t="s">
        <v>96</v>
      </c>
      <c r="T27" s="70" t="s">
        <v>139</v>
      </c>
      <c r="U27" s="70" t="s">
        <v>140</v>
      </c>
      <c r="V27" s="70" t="s">
        <v>89</v>
      </c>
      <c r="W27" s="68" t="s">
        <v>141</v>
      </c>
    </row>
    <row r="28">
      <c r="A28" s="61">
        <v>8.0</v>
      </c>
      <c r="B28" s="62" t="s">
        <v>142</v>
      </c>
      <c r="C28" s="61">
        <f>307*2</f>
        <v>614</v>
      </c>
      <c r="D28" s="63">
        <f t="shared" si="1"/>
        <v>0.9218241042</v>
      </c>
      <c r="E28" s="63">
        <f t="shared" si="2"/>
        <v>0.07817589577</v>
      </c>
      <c r="F28" s="63">
        <f t="shared" si="3"/>
        <v>0.9196335079</v>
      </c>
      <c r="G28" s="75" t="s">
        <v>143</v>
      </c>
      <c r="H28" s="8"/>
      <c r="I28" s="8"/>
      <c r="J28" s="8"/>
      <c r="K28" s="8"/>
      <c r="L28" s="8"/>
      <c r="M28" s="8"/>
      <c r="N28" s="8"/>
      <c r="O28" s="8"/>
      <c r="P28" s="8"/>
      <c r="Q28" s="8"/>
      <c r="R28" s="8"/>
      <c r="S28" s="8"/>
      <c r="T28" s="8"/>
      <c r="U28" s="8"/>
      <c r="V28" s="8"/>
      <c r="W28" s="9"/>
    </row>
    <row r="29">
      <c r="A29" s="61">
        <v>9.0</v>
      </c>
      <c r="B29" s="62" t="s">
        <v>144</v>
      </c>
      <c r="C29" s="61">
        <f>283*2</f>
        <v>566</v>
      </c>
      <c r="D29" s="76">
        <f t="shared" si="1"/>
        <v>1</v>
      </c>
      <c r="E29" s="77">
        <f>1-D29</f>
        <v>0</v>
      </c>
      <c r="F29" s="63">
        <f t="shared" si="3"/>
        <v>0.9259162304</v>
      </c>
      <c r="G29" s="64">
        <v>8.0</v>
      </c>
      <c r="H29" s="64">
        <v>4.0</v>
      </c>
      <c r="I29" s="71" t="s">
        <v>145</v>
      </c>
      <c r="J29" s="2"/>
      <c r="K29" s="2"/>
      <c r="L29" s="3"/>
      <c r="M29" s="72" t="s">
        <v>146</v>
      </c>
      <c r="N29" s="73" t="s">
        <v>147</v>
      </c>
      <c r="O29" s="73" t="s">
        <v>148</v>
      </c>
      <c r="P29" s="73" t="s">
        <v>149</v>
      </c>
      <c r="Q29" s="73" t="s">
        <v>87</v>
      </c>
      <c r="R29" s="73" t="s">
        <v>87</v>
      </c>
      <c r="S29" s="70" t="s">
        <v>88</v>
      </c>
      <c r="T29" s="70" t="s">
        <v>89</v>
      </c>
      <c r="U29" s="70" t="s">
        <v>89</v>
      </c>
      <c r="V29" s="70" t="s">
        <v>89</v>
      </c>
      <c r="W29" s="70" t="s">
        <v>150</v>
      </c>
    </row>
    <row r="30">
      <c r="A30" s="78">
        <v>10.0</v>
      </c>
      <c r="B30" s="79" t="s">
        <v>151</v>
      </c>
      <c r="C30" s="80">
        <f>C29</f>
        <v>566</v>
      </c>
      <c r="D30" s="34"/>
      <c r="E30" s="81"/>
      <c r="F30" s="82"/>
      <c r="G30" s="83"/>
      <c r="H30" s="83"/>
      <c r="I30" s="34"/>
      <c r="J30" s="34"/>
      <c r="K30" s="34"/>
      <c r="L30" s="34"/>
      <c r="M30" s="34"/>
      <c r="N30" s="34"/>
      <c r="O30" s="34"/>
      <c r="P30" s="34"/>
      <c r="Q30" s="34"/>
      <c r="R30" s="34"/>
      <c r="S30" s="34"/>
      <c r="T30" s="34"/>
      <c r="U30" s="34"/>
      <c r="V30" s="34"/>
      <c r="W30" s="34"/>
    </row>
    <row r="31">
      <c r="A31" s="34"/>
      <c r="B31" s="34"/>
      <c r="C31" s="34"/>
      <c r="D31" s="34"/>
      <c r="E31" s="84"/>
      <c r="F31" s="79" t="s">
        <v>152</v>
      </c>
      <c r="G31" s="79" t="s">
        <v>153</v>
      </c>
      <c r="H31" s="79" t="s">
        <v>153</v>
      </c>
      <c r="I31" s="34"/>
      <c r="J31" s="34"/>
      <c r="K31" s="34"/>
      <c r="L31" s="34"/>
      <c r="M31" s="34"/>
      <c r="N31" s="34"/>
      <c r="O31" s="34"/>
      <c r="P31" s="34"/>
      <c r="Q31" s="34"/>
      <c r="R31" s="34"/>
      <c r="S31" s="34"/>
      <c r="T31" s="34"/>
      <c r="U31" s="34"/>
      <c r="V31" s="34"/>
      <c r="W31" s="34"/>
    </row>
    <row r="32">
      <c r="A32" s="34"/>
      <c r="B32" s="34"/>
      <c r="C32" s="34"/>
      <c r="D32" s="34"/>
      <c r="E32" s="84"/>
      <c r="F32" s="85">
        <f>AVERAGE(F21:F29)</f>
        <v>0.9069698953</v>
      </c>
      <c r="G32" s="86">
        <f t="shared" ref="G32:H32" si="4">G21+G22+G23+G24+G25+G26+G27+G29</f>
        <v>28</v>
      </c>
      <c r="H32" s="86">
        <f t="shared" si="4"/>
        <v>15</v>
      </c>
      <c r="I32" s="34"/>
      <c r="J32" s="34"/>
      <c r="K32" s="34"/>
      <c r="L32" s="34"/>
      <c r="M32" s="34"/>
      <c r="N32" s="34"/>
      <c r="O32" s="34"/>
      <c r="P32" s="34"/>
      <c r="Q32" s="34"/>
      <c r="R32" s="34"/>
      <c r="S32" s="34"/>
      <c r="T32" s="34"/>
      <c r="U32" s="34"/>
      <c r="V32" s="34"/>
      <c r="W32" s="34"/>
    </row>
    <row r="33">
      <c r="A33" s="34"/>
      <c r="B33" s="34"/>
      <c r="C33" s="34"/>
      <c r="D33" s="34"/>
      <c r="E33" s="34"/>
      <c r="F33" s="34"/>
      <c r="G33" s="34"/>
      <c r="H33" s="34"/>
      <c r="I33" s="34"/>
      <c r="J33" s="34"/>
      <c r="K33" s="34"/>
      <c r="L33" s="34"/>
      <c r="M33" s="34"/>
      <c r="N33" s="34"/>
      <c r="O33" s="34"/>
      <c r="P33" s="34"/>
      <c r="Q33" s="34"/>
      <c r="R33" s="34"/>
      <c r="S33" s="34"/>
      <c r="T33" s="34"/>
      <c r="U33" s="34"/>
      <c r="V33" s="34"/>
      <c r="W33" s="34"/>
    </row>
  </sheetData>
  <mergeCells count="25">
    <mergeCell ref="A1:W2"/>
    <mergeCell ref="A3:F4"/>
    <mergeCell ref="A5:F5"/>
    <mergeCell ref="A6:F6"/>
    <mergeCell ref="A7:F7"/>
    <mergeCell ref="A8:F8"/>
    <mergeCell ref="A9:F9"/>
    <mergeCell ref="A10:F10"/>
    <mergeCell ref="A11:F11"/>
    <mergeCell ref="A12:F12"/>
    <mergeCell ref="A13:F13"/>
    <mergeCell ref="A14:F14"/>
    <mergeCell ref="A15:F15"/>
    <mergeCell ref="A16:F16"/>
    <mergeCell ref="I26:L26"/>
    <mergeCell ref="I27:L27"/>
    <mergeCell ref="G28:W28"/>
    <mergeCell ref="I29:L29"/>
    <mergeCell ref="A17:F17"/>
    <mergeCell ref="I20:L20"/>
    <mergeCell ref="I21:L21"/>
    <mergeCell ref="I22:L22"/>
    <mergeCell ref="I23:L23"/>
    <mergeCell ref="I24:L24"/>
    <mergeCell ref="I25:L25"/>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59.14"/>
    <col customWidth="1" min="3" max="3" width="21.71"/>
    <col customWidth="1" min="4" max="4" width="44.57"/>
    <col customWidth="1" min="5" max="5" width="43.71"/>
    <col customWidth="1" min="6" max="6" width="44.57"/>
    <col customWidth="1" min="7" max="7" width="43.29"/>
    <col customWidth="1" min="8" max="8" width="43.86"/>
    <col customWidth="1" min="9" max="9" width="29.43"/>
    <col customWidth="1" min="10" max="10" width="23.0"/>
    <col customWidth="1" min="11" max="11" width="28.43"/>
    <col customWidth="1" min="12" max="12" width="28.57"/>
    <col customWidth="1" min="13" max="13" width="16.14"/>
  </cols>
  <sheetData>
    <row r="1">
      <c r="A1" s="30" t="s">
        <v>12</v>
      </c>
      <c r="B1" s="5"/>
      <c r="C1" s="5"/>
      <c r="D1" s="5"/>
      <c r="E1" s="5"/>
      <c r="F1" s="5"/>
      <c r="G1" s="5"/>
      <c r="H1" s="5"/>
      <c r="I1" s="5"/>
      <c r="J1" s="5"/>
      <c r="K1" s="5"/>
      <c r="L1" s="5"/>
      <c r="M1" s="5"/>
      <c r="N1" s="5"/>
      <c r="O1" s="5"/>
      <c r="P1" s="6"/>
    </row>
    <row r="2">
      <c r="A2" s="7"/>
      <c r="B2" s="8"/>
      <c r="C2" s="8"/>
      <c r="D2" s="8"/>
      <c r="E2" s="8"/>
      <c r="F2" s="8"/>
      <c r="G2" s="8"/>
      <c r="H2" s="8"/>
      <c r="I2" s="8"/>
      <c r="J2" s="8"/>
      <c r="K2" s="8"/>
      <c r="L2" s="8"/>
      <c r="M2" s="8"/>
      <c r="N2" s="8"/>
      <c r="O2" s="8"/>
      <c r="P2" s="9"/>
    </row>
    <row r="3">
      <c r="A3" s="31" t="s">
        <v>154</v>
      </c>
      <c r="B3" s="5"/>
      <c r="C3" s="5"/>
      <c r="D3" s="5"/>
      <c r="E3" s="5"/>
      <c r="F3" s="6"/>
      <c r="K3" s="33"/>
      <c r="L3" s="33"/>
      <c r="M3" s="34"/>
      <c r="N3" s="34"/>
      <c r="O3" s="34"/>
      <c r="P3" s="34"/>
    </row>
    <row r="4">
      <c r="A4" s="31" t="s">
        <v>155</v>
      </c>
      <c r="B4" s="5"/>
      <c r="C4" s="5"/>
      <c r="D4" s="5"/>
      <c r="E4" s="5"/>
      <c r="F4" s="6"/>
      <c r="K4" s="33"/>
      <c r="L4" s="33"/>
      <c r="M4" s="32"/>
      <c r="N4" s="34"/>
      <c r="O4" s="34"/>
      <c r="P4" s="34"/>
    </row>
    <row r="5">
      <c r="A5" s="87" t="s">
        <v>156</v>
      </c>
      <c r="B5" s="5"/>
      <c r="C5" s="5"/>
      <c r="D5" s="5"/>
      <c r="E5" s="5"/>
      <c r="F5" s="6"/>
      <c r="K5" s="34"/>
      <c r="L5" s="34"/>
      <c r="M5" s="34"/>
      <c r="N5" s="34"/>
      <c r="O5" s="34"/>
      <c r="P5" s="34"/>
    </row>
    <row r="6" ht="15.0" customHeight="1">
      <c r="A6" s="88" t="s">
        <v>157</v>
      </c>
      <c r="F6" s="37"/>
      <c r="K6" s="34"/>
      <c r="L6" s="34"/>
      <c r="M6" s="34"/>
      <c r="N6" s="34"/>
      <c r="O6" s="34"/>
      <c r="P6" s="34"/>
    </row>
    <row r="7" ht="15.0" customHeight="1">
      <c r="A7" s="88" t="s">
        <v>158</v>
      </c>
      <c r="F7" s="37"/>
      <c r="K7" s="34"/>
      <c r="L7" s="34"/>
      <c r="M7" s="34"/>
      <c r="N7" s="34"/>
      <c r="O7" s="34"/>
      <c r="P7" s="34"/>
    </row>
    <row r="8" ht="15.0" customHeight="1">
      <c r="A8" s="88" t="s">
        <v>159</v>
      </c>
      <c r="F8" s="37"/>
      <c r="K8" s="34"/>
      <c r="L8" s="34"/>
      <c r="M8" s="34"/>
      <c r="N8" s="34"/>
      <c r="O8" s="34"/>
      <c r="P8" s="34"/>
    </row>
    <row r="9" ht="15.0" customHeight="1">
      <c r="A9" s="88" t="s">
        <v>160</v>
      </c>
      <c r="F9" s="37"/>
      <c r="K9" s="34"/>
      <c r="L9" s="34"/>
      <c r="M9" s="34"/>
      <c r="N9" s="34"/>
      <c r="O9" s="34"/>
      <c r="P9" s="34"/>
    </row>
    <row r="10" ht="15.0" customHeight="1">
      <c r="A10" s="88" t="s">
        <v>161</v>
      </c>
      <c r="F10" s="37"/>
      <c r="K10" s="34"/>
      <c r="L10" s="34"/>
      <c r="M10" s="34"/>
      <c r="N10" s="34"/>
      <c r="O10" s="34"/>
      <c r="P10" s="34"/>
    </row>
    <row r="11" ht="15.0" customHeight="1">
      <c r="A11" s="88" t="s">
        <v>162</v>
      </c>
      <c r="F11" s="37"/>
      <c r="K11" s="34"/>
      <c r="L11" s="34"/>
      <c r="M11" s="34"/>
      <c r="N11" s="34"/>
      <c r="O11" s="34"/>
      <c r="P11" s="34"/>
    </row>
    <row r="12" ht="15.0" customHeight="1">
      <c r="A12" s="88" t="s">
        <v>163</v>
      </c>
      <c r="F12" s="37"/>
      <c r="K12" s="34"/>
      <c r="L12" s="34"/>
      <c r="M12" s="34"/>
      <c r="N12" s="34"/>
      <c r="O12" s="34"/>
      <c r="P12" s="34"/>
    </row>
    <row r="13" ht="15.0" customHeight="1">
      <c r="A13" s="88" t="s">
        <v>164</v>
      </c>
      <c r="F13" s="37"/>
      <c r="K13" s="34"/>
      <c r="L13" s="34"/>
      <c r="M13" s="34"/>
      <c r="N13" s="34"/>
      <c r="O13" s="34"/>
      <c r="P13" s="34"/>
    </row>
    <row r="14" ht="15.0" customHeight="1">
      <c r="A14" s="88" t="s">
        <v>165</v>
      </c>
      <c r="F14" s="37"/>
      <c r="K14" s="34"/>
      <c r="L14" s="34"/>
      <c r="M14" s="34"/>
      <c r="N14" s="34"/>
      <c r="O14" s="34"/>
      <c r="P14" s="34"/>
    </row>
    <row r="15" ht="15.0" customHeight="1">
      <c r="A15" s="89" t="s">
        <v>166</v>
      </c>
      <c r="B15" s="90"/>
      <c r="C15" s="90"/>
      <c r="D15" s="90"/>
      <c r="E15" s="90"/>
      <c r="F15" s="91"/>
      <c r="K15" s="34"/>
      <c r="L15" s="34"/>
      <c r="M15" s="34"/>
      <c r="N15" s="34"/>
      <c r="O15" s="34"/>
      <c r="P15" s="34"/>
    </row>
    <row r="16" ht="15.0" customHeight="1">
      <c r="A16" s="41" t="s">
        <v>37</v>
      </c>
      <c r="B16" s="42"/>
      <c r="C16" s="42"/>
      <c r="D16" s="42"/>
      <c r="E16" s="42"/>
      <c r="F16" s="43"/>
      <c r="K16" s="34"/>
      <c r="L16" s="34"/>
      <c r="M16" s="34"/>
      <c r="N16" s="34"/>
      <c r="O16" s="34"/>
      <c r="P16" s="34"/>
    </row>
    <row r="17" ht="15.0" customHeight="1">
      <c r="A17" s="26" t="s">
        <v>38</v>
      </c>
      <c r="B17" s="26" t="s">
        <v>167</v>
      </c>
      <c r="C17" s="26" t="s">
        <v>168</v>
      </c>
      <c r="D17" s="26" t="s">
        <v>41</v>
      </c>
      <c r="E17" s="92" t="s">
        <v>42</v>
      </c>
      <c r="F17" s="92" t="s">
        <v>43</v>
      </c>
      <c r="G17" s="92" t="s">
        <v>44</v>
      </c>
      <c r="H17" s="92" t="s">
        <v>45</v>
      </c>
      <c r="I17" s="92" t="s">
        <v>46</v>
      </c>
      <c r="J17" s="92" t="s">
        <v>47</v>
      </c>
      <c r="K17" s="26" t="s">
        <v>48</v>
      </c>
      <c r="L17" s="26" t="s">
        <v>49</v>
      </c>
      <c r="M17" s="26" t="s">
        <v>50</v>
      </c>
      <c r="N17" s="26" t="s">
        <v>51</v>
      </c>
      <c r="O17" s="26" t="s">
        <v>52</v>
      </c>
      <c r="P17" s="26" t="s">
        <v>53</v>
      </c>
    </row>
    <row r="18">
      <c r="A18" s="93"/>
      <c r="B18" s="94" t="s">
        <v>169</v>
      </c>
      <c r="C18" s="95" t="s">
        <v>170</v>
      </c>
      <c r="D18" s="94" t="s">
        <v>171</v>
      </c>
      <c r="E18" s="94" t="s">
        <v>172</v>
      </c>
      <c r="F18" s="94" t="s">
        <v>173</v>
      </c>
      <c r="G18" s="95" t="s">
        <v>174</v>
      </c>
      <c r="H18" s="94" t="s">
        <v>175</v>
      </c>
      <c r="I18" s="94" t="s">
        <v>176</v>
      </c>
      <c r="J18" s="94" t="s">
        <v>177</v>
      </c>
      <c r="K18" s="94" t="s">
        <v>178</v>
      </c>
      <c r="L18" s="94" t="s">
        <v>179</v>
      </c>
      <c r="M18" s="95" t="s">
        <v>180</v>
      </c>
      <c r="N18" s="94" t="s">
        <v>181</v>
      </c>
      <c r="O18" s="94" t="s">
        <v>182</v>
      </c>
      <c r="P18" s="94" t="s">
        <v>183</v>
      </c>
    </row>
    <row r="19">
      <c r="A19" s="96">
        <v>1.0</v>
      </c>
      <c r="B19" s="97" t="s">
        <v>184</v>
      </c>
      <c r="C19" s="97" t="s">
        <v>185</v>
      </c>
      <c r="D19" s="97" t="s">
        <v>186</v>
      </c>
      <c r="E19" s="97" t="s">
        <v>187</v>
      </c>
      <c r="F19" s="98" t="s">
        <v>188</v>
      </c>
      <c r="G19" s="97" t="s">
        <v>189</v>
      </c>
      <c r="H19" s="97" t="s">
        <v>190</v>
      </c>
      <c r="I19" s="97" t="s">
        <v>191</v>
      </c>
      <c r="J19" s="97" t="s">
        <v>192</v>
      </c>
      <c r="K19" s="99">
        <v>0.2</v>
      </c>
      <c r="L19" s="98" t="s">
        <v>193</v>
      </c>
      <c r="M19" s="100">
        <v>9.0</v>
      </c>
      <c r="N19" s="100">
        <v>9.0</v>
      </c>
      <c r="O19" s="100">
        <v>10.0</v>
      </c>
      <c r="P19" s="101">
        <f t="shared" ref="P19:P23" si="1">average(M19:O19)</f>
        <v>9.333333333</v>
      </c>
    </row>
    <row r="20">
      <c r="A20" s="102">
        <v>2.0</v>
      </c>
      <c r="B20" s="68" t="s">
        <v>194</v>
      </c>
      <c r="C20" s="103" t="s">
        <v>195</v>
      </c>
      <c r="D20" s="103" t="s">
        <v>196</v>
      </c>
      <c r="E20" s="103" t="s">
        <v>197</v>
      </c>
      <c r="F20" s="103" t="s">
        <v>198</v>
      </c>
      <c r="G20" s="103" t="s">
        <v>199</v>
      </c>
      <c r="H20" s="103" t="s">
        <v>200</v>
      </c>
      <c r="I20" s="103" t="s">
        <v>201</v>
      </c>
      <c r="J20" s="103" t="s">
        <v>192</v>
      </c>
      <c r="K20" s="104">
        <v>0.5</v>
      </c>
      <c r="L20" s="103" t="s">
        <v>202</v>
      </c>
      <c r="M20" s="105">
        <v>7.0</v>
      </c>
      <c r="N20" s="105">
        <v>5.0</v>
      </c>
      <c r="O20" s="105">
        <v>10.0</v>
      </c>
      <c r="P20" s="106">
        <f t="shared" si="1"/>
        <v>7.333333333</v>
      </c>
    </row>
    <row r="21">
      <c r="A21" s="102">
        <v>3.0</v>
      </c>
      <c r="B21" s="68" t="s">
        <v>203</v>
      </c>
      <c r="C21" s="103" t="s">
        <v>204</v>
      </c>
      <c r="D21" s="103" t="s">
        <v>205</v>
      </c>
      <c r="E21" s="103" t="s">
        <v>206</v>
      </c>
      <c r="F21" s="103" t="s">
        <v>207</v>
      </c>
      <c r="G21" s="103" t="s">
        <v>208</v>
      </c>
      <c r="H21" s="103" t="s">
        <v>209</v>
      </c>
      <c r="I21" s="103" t="s">
        <v>210</v>
      </c>
      <c r="J21" s="103" t="s">
        <v>211</v>
      </c>
      <c r="K21" s="104">
        <v>0.5</v>
      </c>
      <c r="L21" s="103" t="s">
        <v>212</v>
      </c>
      <c r="M21" s="105">
        <v>10.0</v>
      </c>
      <c r="N21" s="105">
        <v>8.0</v>
      </c>
      <c r="O21" s="105">
        <v>7.0</v>
      </c>
      <c r="P21" s="106">
        <f t="shared" si="1"/>
        <v>8.333333333</v>
      </c>
    </row>
    <row r="22">
      <c r="A22" s="102">
        <v>4.0</v>
      </c>
      <c r="B22" s="68" t="s">
        <v>213</v>
      </c>
      <c r="C22" s="103" t="s">
        <v>214</v>
      </c>
      <c r="D22" s="103" t="s">
        <v>215</v>
      </c>
      <c r="E22" s="103" t="s">
        <v>216</v>
      </c>
      <c r="F22" s="103" t="s">
        <v>217</v>
      </c>
      <c r="G22" s="103" t="s">
        <v>218</v>
      </c>
      <c r="H22" s="103" t="s">
        <v>219</v>
      </c>
      <c r="I22" s="103" t="s">
        <v>220</v>
      </c>
      <c r="J22" s="103" t="s">
        <v>221</v>
      </c>
      <c r="K22" s="104">
        <v>0.3</v>
      </c>
      <c r="L22" s="103" t="s">
        <v>222</v>
      </c>
      <c r="M22" s="105">
        <v>8.0</v>
      </c>
      <c r="N22" s="105">
        <v>9.0</v>
      </c>
      <c r="O22" s="105">
        <v>9.0</v>
      </c>
      <c r="P22" s="106">
        <f t="shared" si="1"/>
        <v>8.666666667</v>
      </c>
    </row>
    <row r="23">
      <c r="A23" s="102">
        <v>5.0</v>
      </c>
      <c r="B23" s="68" t="s">
        <v>223</v>
      </c>
      <c r="C23" s="103" t="s">
        <v>224</v>
      </c>
      <c r="D23" s="103" t="s">
        <v>225</v>
      </c>
      <c r="E23" s="103" t="s">
        <v>226</v>
      </c>
      <c r="F23" s="103" t="s">
        <v>227</v>
      </c>
      <c r="G23" s="103" t="s">
        <v>228</v>
      </c>
      <c r="H23" s="103" t="s">
        <v>229</v>
      </c>
      <c r="I23" s="103" t="s">
        <v>220</v>
      </c>
      <c r="J23" s="103" t="s">
        <v>221</v>
      </c>
      <c r="K23" s="104">
        <v>0.2</v>
      </c>
      <c r="L23" s="103" t="s">
        <v>230</v>
      </c>
      <c r="M23" s="105">
        <v>9.0</v>
      </c>
      <c r="N23" s="105">
        <v>4.0</v>
      </c>
      <c r="O23" s="105">
        <v>8.0</v>
      </c>
      <c r="P23" s="106">
        <f t="shared" si="1"/>
        <v>7</v>
      </c>
    </row>
  </sheetData>
  <mergeCells count="13">
    <mergeCell ref="A9:F9"/>
    <mergeCell ref="A10:F10"/>
    <mergeCell ref="A11:F11"/>
    <mergeCell ref="A12:F12"/>
    <mergeCell ref="A13:F13"/>
    <mergeCell ref="A14:F14"/>
    <mergeCell ref="A1:P2"/>
    <mergeCell ref="A3:F3"/>
    <mergeCell ref="A4:F4"/>
    <mergeCell ref="A5:F5"/>
    <mergeCell ref="A6:F6"/>
    <mergeCell ref="A7:F7"/>
    <mergeCell ref="A8:F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13.29"/>
    <col customWidth="1" min="2" max="2" width="89.29"/>
  </cols>
  <sheetData>
    <row r="1">
      <c r="A1" s="107" t="s">
        <v>15</v>
      </c>
      <c r="B1" s="3"/>
    </row>
    <row r="2" ht="44.25" customHeight="1">
      <c r="A2" s="108" t="s">
        <v>231</v>
      </c>
      <c r="B2" s="3"/>
    </row>
    <row r="3" ht="77.25" customHeight="1">
      <c r="A3" s="109" t="s">
        <v>232</v>
      </c>
      <c r="B3" s="3"/>
    </row>
    <row r="4" ht="66.0" customHeight="1">
      <c r="A4" s="109" t="s">
        <v>233</v>
      </c>
      <c r="B4" s="3"/>
    </row>
    <row r="5" ht="43.5" customHeight="1">
      <c r="A5" s="87" t="s">
        <v>234</v>
      </c>
      <c r="B5" s="6"/>
    </row>
    <row r="6" ht="21.75" customHeight="1">
      <c r="A6" s="110" t="str">
        <f>HYPERLINK("https://slack.com/get-started#/ ","Instructions: Signup for Slack at https://slack.com/get-started#/")</f>
        <v>Instructions: Signup for Slack at https://slack.com/get-started#/</v>
      </c>
      <c r="B6" s="6"/>
    </row>
    <row r="7">
      <c r="A7" s="111" t="s">
        <v>235</v>
      </c>
      <c r="B7" s="3"/>
    </row>
    <row r="8">
      <c r="A8" s="112" t="s">
        <v>236</v>
      </c>
      <c r="B8" s="37"/>
    </row>
    <row r="9">
      <c r="A9" s="109" t="s">
        <v>237</v>
      </c>
      <c r="B9" s="3"/>
    </row>
    <row r="10">
      <c r="A10" s="109" t="s">
        <v>238</v>
      </c>
      <c r="B10" s="3"/>
    </row>
    <row r="11">
      <c r="A11" s="113" t="s">
        <v>239</v>
      </c>
      <c r="B11" s="3"/>
    </row>
    <row r="12">
      <c r="A12" s="114" t="s">
        <v>240</v>
      </c>
      <c r="B12" s="37"/>
    </row>
    <row r="13">
      <c r="A13" s="114" t="s">
        <v>241</v>
      </c>
      <c r="B13" s="37"/>
    </row>
    <row r="14">
      <c r="A14" s="114" t="s">
        <v>242</v>
      </c>
      <c r="B14" s="37"/>
    </row>
    <row r="15">
      <c r="A15" s="26" t="s">
        <v>38</v>
      </c>
      <c r="B15" s="26" t="s">
        <v>167</v>
      </c>
    </row>
    <row r="16">
      <c r="A16" s="41" t="s">
        <v>37</v>
      </c>
      <c r="B16" s="115"/>
    </row>
    <row r="17">
      <c r="A17" s="116" t="s">
        <v>243</v>
      </c>
      <c r="B17" s="3"/>
    </row>
    <row r="18">
      <c r="A18" s="117">
        <v>1.0</v>
      </c>
      <c r="B18" s="118" t="s">
        <v>244</v>
      </c>
    </row>
    <row r="19">
      <c r="A19" s="117">
        <v>2.0</v>
      </c>
      <c r="B19" s="23" t="s">
        <v>245</v>
      </c>
    </row>
    <row r="20">
      <c r="A20" s="117">
        <v>3.0</v>
      </c>
      <c r="B20" s="23" t="s">
        <v>246</v>
      </c>
    </row>
    <row r="21">
      <c r="A21" s="117">
        <v>4.0</v>
      </c>
      <c r="B21" s="23" t="s">
        <v>247</v>
      </c>
    </row>
    <row r="22">
      <c r="A22" s="117">
        <v>5.0</v>
      </c>
      <c r="B22" s="23" t="s">
        <v>248</v>
      </c>
    </row>
    <row r="23">
      <c r="A23" s="116" t="s">
        <v>249</v>
      </c>
      <c r="B23" s="3"/>
    </row>
    <row r="24">
      <c r="A24" s="117">
        <v>1.0</v>
      </c>
      <c r="B24" s="118" t="s">
        <v>250</v>
      </c>
    </row>
    <row r="25">
      <c r="A25" s="117">
        <v>2.0</v>
      </c>
      <c r="B25" s="23" t="s">
        <v>251</v>
      </c>
    </row>
    <row r="26">
      <c r="A26" s="117">
        <v>3.0</v>
      </c>
      <c r="B26" s="23" t="s">
        <v>252</v>
      </c>
    </row>
    <row r="27">
      <c r="A27" s="117">
        <v>4.0</v>
      </c>
      <c r="B27" s="23" t="s">
        <v>253</v>
      </c>
    </row>
    <row r="28">
      <c r="A28" s="117">
        <v>5.0</v>
      </c>
      <c r="B28" s="23" t="s">
        <v>254</v>
      </c>
    </row>
    <row r="29">
      <c r="A29" s="116" t="s">
        <v>255</v>
      </c>
      <c r="B29" s="3"/>
    </row>
    <row r="30">
      <c r="A30" s="117">
        <v>1.0</v>
      </c>
      <c r="B30" s="118" t="s">
        <v>256</v>
      </c>
    </row>
    <row r="31">
      <c r="A31" s="117">
        <v>2.0</v>
      </c>
      <c r="B31" s="23" t="s">
        <v>257</v>
      </c>
    </row>
    <row r="32">
      <c r="A32" s="117">
        <v>3.0</v>
      </c>
      <c r="B32" s="23" t="s">
        <v>258</v>
      </c>
    </row>
    <row r="33">
      <c r="A33" s="117">
        <v>4.0</v>
      </c>
      <c r="B33" s="23" t="s">
        <v>259</v>
      </c>
    </row>
    <row r="34">
      <c r="A34" s="117">
        <v>5.0</v>
      </c>
      <c r="B34" s="23" t="s">
        <v>260</v>
      </c>
    </row>
  </sheetData>
  <mergeCells count="17">
    <mergeCell ref="A1:B1"/>
    <mergeCell ref="A2:B2"/>
    <mergeCell ref="A3:B3"/>
    <mergeCell ref="A4:B4"/>
    <mergeCell ref="A5:B5"/>
    <mergeCell ref="A6:B6"/>
    <mergeCell ref="A7:B7"/>
    <mergeCell ref="A17:B17"/>
    <mergeCell ref="A23:B23"/>
    <mergeCell ref="A29:B29"/>
    <mergeCell ref="A8:B8"/>
    <mergeCell ref="A9:B9"/>
    <mergeCell ref="A10:B10"/>
    <mergeCell ref="A11:B11"/>
    <mergeCell ref="A12:B12"/>
    <mergeCell ref="A13:B13"/>
    <mergeCell ref="A14:B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11.71"/>
    <col customWidth="1" min="2" max="2" width="17.0"/>
    <col customWidth="1" min="3" max="4" width="17.14"/>
    <col customWidth="1" min="5" max="5" width="11.71"/>
    <col customWidth="1" min="18" max="18" width="16.71"/>
    <col customWidth="1" min="19" max="19" width="19.86"/>
  </cols>
  <sheetData>
    <row r="1">
      <c r="A1" s="119" t="s">
        <v>17</v>
      </c>
      <c r="B1" s="2"/>
      <c r="C1" s="2"/>
      <c r="D1" s="2"/>
      <c r="E1" s="2"/>
      <c r="F1" s="2"/>
      <c r="G1" s="2"/>
      <c r="H1" s="2"/>
      <c r="I1" s="2"/>
      <c r="J1" s="2"/>
      <c r="K1" s="2"/>
      <c r="L1" s="2"/>
      <c r="M1" s="2"/>
      <c r="N1" s="2"/>
      <c r="O1" s="2"/>
      <c r="P1" s="2"/>
      <c r="Q1" s="2"/>
      <c r="R1" s="2"/>
      <c r="S1" s="3"/>
    </row>
    <row r="2">
      <c r="A2" s="108" t="s">
        <v>261</v>
      </c>
      <c r="B2" s="2"/>
      <c r="C2" s="2"/>
      <c r="D2" s="2"/>
      <c r="E2" s="2"/>
      <c r="F2" s="2"/>
      <c r="G2" s="2"/>
      <c r="H2" s="2"/>
      <c r="I2" s="3"/>
      <c r="J2" s="120"/>
      <c r="K2" s="120"/>
      <c r="L2" s="120"/>
      <c r="M2" s="120"/>
      <c r="N2" s="120"/>
      <c r="O2" s="120"/>
      <c r="Q2" s="121"/>
      <c r="R2" s="121"/>
    </row>
    <row r="3">
      <c r="A3" s="109" t="s">
        <v>262</v>
      </c>
      <c r="B3" s="2"/>
      <c r="C3" s="2"/>
      <c r="D3" s="2"/>
      <c r="E3" s="2"/>
      <c r="F3" s="2"/>
      <c r="G3" s="2"/>
      <c r="H3" s="2"/>
      <c r="I3" s="3"/>
      <c r="J3" s="120"/>
      <c r="K3" s="120"/>
      <c r="L3" s="120"/>
      <c r="M3" s="120"/>
      <c r="N3" s="120"/>
      <c r="O3" s="120"/>
      <c r="Q3" s="121"/>
      <c r="R3" s="121"/>
    </row>
    <row r="4">
      <c r="A4" s="11" t="s">
        <v>263</v>
      </c>
      <c r="B4" s="8"/>
      <c r="C4" s="8"/>
      <c r="D4" s="8"/>
      <c r="E4" s="8"/>
      <c r="F4" s="8"/>
      <c r="G4" s="8"/>
      <c r="H4" s="8"/>
      <c r="I4" s="9"/>
      <c r="J4" s="120"/>
      <c r="K4" s="120"/>
      <c r="L4" s="120"/>
      <c r="M4" s="120"/>
      <c r="N4" s="120"/>
      <c r="O4" s="120"/>
      <c r="Q4" s="121"/>
      <c r="R4" s="121"/>
    </row>
    <row r="5">
      <c r="A5" s="11" t="s">
        <v>264</v>
      </c>
      <c r="B5" s="8"/>
      <c r="C5" s="8"/>
      <c r="D5" s="8"/>
      <c r="E5" s="8"/>
      <c r="F5" s="8"/>
      <c r="G5" s="8"/>
      <c r="H5" s="8"/>
      <c r="I5" s="9"/>
      <c r="J5" s="120"/>
      <c r="K5" s="120"/>
      <c r="L5" s="120"/>
      <c r="M5" s="120"/>
      <c r="N5" s="120"/>
      <c r="O5" s="120"/>
      <c r="Q5" s="121"/>
      <c r="R5" s="121"/>
    </row>
    <row r="6">
      <c r="A6" s="40" t="s">
        <v>265</v>
      </c>
      <c r="B6" s="8"/>
      <c r="C6" s="8"/>
      <c r="D6" s="8"/>
      <c r="E6" s="8"/>
      <c r="F6" s="8"/>
      <c r="G6" s="8"/>
      <c r="H6" s="8"/>
      <c r="I6" s="9"/>
      <c r="J6" s="120"/>
      <c r="K6" s="120"/>
      <c r="L6" s="120"/>
      <c r="M6" s="120"/>
      <c r="N6" s="120"/>
      <c r="O6" s="120"/>
      <c r="Q6" s="121"/>
      <c r="R6" s="121"/>
    </row>
    <row r="7">
      <c r="A7" s="122" t="s">
        <v>266</v>
      </c>
      <c r="B7" s="5"/>
      <c r="C7" s="5"/>
      <c r="D7" s="5"/>
      <c r="E7" s="5"/>
      <c r="F7" s="5"/>
      <c r="G7" s="5"/>
      <c r="H7" s="5"/>
      <c r="I7" s="6"/>
      <c r="J7" s="123"/>
      <c r="K7" s="123"/>
      <c r="L7" s="123"/>
      <c r="M7" s="123"/>
      <c r="N7" s="123"/>
      <c r="O7" s="120"/>
      <c r="Q7" s="121"/>
      <c r="R7" s="121"/>
    </row>
    <row r="8">
      <c r="A8" s="124" t="s">
        <v>267</v>
      </c>
      <c r="I8" s="37"/>
      <c r="J8" s="123"/>
      <c r="K8" s="123"/>
      <c r="L8" s="123"/>
      <c r="M8" s="123"/>
      <c r="N8" s="123"/>
      <c r="O8" s="120"/>
      <c r="Q8" s="121"/>
      <c r="R8" s="121"/>
    </row>
    <row r="9">
      <c r="A9" s="124" t="s">
        <v>268</v>
      </c>
      <c r="I9" s="37"/>
      <c r="J9" s="123"/>
      <c r="K9" s="123"/>
      <c r="L9" s="123"/>
      <c r="M9" s="123"/>
      <c r="N9" s="123"/>
      <c r="O9" s="120"/>
      <c r="Q9" s="121"/>
      <c r="R9" s="121"/>
    </row>
    <row r="10">
      <c r="A10" s="124" t="s">
        <v>269</v>
      </c>
      <c r="I10" s="37"/>
      <c r="J10" s="123"/>
      <c r="K10" s="123"/>
      <c r="L10" s="123"/>
      <c r="M10" s="123"/>
      <c r="N10" s="123"/>
      <c r="O10" s="120"/>
      <c r="Q10" s="121"/>
      <c r="R10" s="121"/>
    </row>
    <row r="11">
      <c r="A11" s="125" t="s">
        <v>270</v>
      </c>
      <c r="B11" s="8"/>
      <c r="C11" s="8"/>
      <c r="D11" s="8"/>
      <c r="E11" s="8"/>
      <c r="F11" s="8"/>
      <c r="G11" s="8"/>
      <c r="H11" s="8"/>
      <c r="I11" s="9"/>
      <c r="J11" s="123"/>
      <c r="K11" s="123"/>
      <c r="L11" s="123"/>
      <c r="M11" s="123"/>
      <c r="N11" s="123"/>
      <c r="O11" s="120"/>
      <c r="Q11" s="121"/>
      <c r="R11" s="121"/>
    </row>
    <row r="12">
      <c r="A12" s="126" t="s">
        <v>37</v>
      </c>
      <c r="J12" s="123"/>
      <c r="K12" s="123"/>
      <c r="L12" s="123"/>
      <c r="M12" s="123"/>
      <c r="N12" s="123"/>
      <c r="O12" s="120"/>
      <c r="Q12" s="121"/>
      <c r="R12" s="121"/>
    </row>
    <row r="13">
      <c r="A13" s="127"/>
      <c r="B13" s="127"/>
      <c r="C13" s="127"/>
      <c r="D13" s="127"/>
      <c r="E13" s="127"/>
      <c r="F13" s="127"/>
      <c r="G13" s="127"/>
      <c r="H13" s="127"/>
      <c r="I13" s="127"/>
      <c r="J13" s="127"/>
      <c r="K13" s="127"/>
      <c r="L13" s="127"/>
      <c r="M13" s="128"/>
      <c r="N13" s="128"/>
      <c r="O13" s="128"/>
      <c r="P13" s="129"/>
      <c r="Q13" s="130"/>
      <c r="R13" s="130"/>
      <c r="S13" s="129"/>
    </row>
    <row r="14">
      <c r="A14" s="131" t="s">
        <v>271</v>
      </c>
      <c r="B14" s="132"/>
      <c r="C14" s="132"/>
      <c r="D14" s="132"/>
      <c r="E14" s="132"/>
      <c r="F14" s="133"/>
      <c r="G14" s="134"/>
      <c r="H14" s="135"/>
      <c r="I14" s="5"/>
      <c r="J14" s="5"/>
      <c r="K14" s="6"/>
      <c r="L14" s="134"/>
      <c r="M14" s="120"/>
      <c r="N14" s="120"/>
      <c r="O14" s="120"/>
      <c r="Q14" s="121"/>
      <c r="R14" s="121"/>
    </row>
    <row r="15">
      <c r="A15" s="136" t="s">
        <v>272</v>
      </c>
      <c r="B15" s="137"/>
      <c r="C15" s="137"/>
      <c r="D15" s="137"/>
      <c r="E15" s="137"/>
      <c r="F15" s="138"/>
      <c r="G15" s="134"/>
      <c r="H15" s="139"/>
      <c r="K15" s="37"/>
      <c r="L15" s="134"/>
      <c r="M15" s="140" t="s">
        <v>273</v>
      </c>
      <c r="N15" s="5"/>
      <c r="O15" s="6"/>
      <c r="Q15" s="141" t="s">
        <v>274</v>
      </c>
      <c r="R15" s="6"/>
      <c r="S15" s="142" t="s">
        <v>275</v>
      </c>
    </row>
    <row r="16">
      <c r="A16" s="143" t="s">
        <v>276</v>
      </c>
      <c r="B16" s="144" t="s">
        <v>277</v>
      </c>
      <c r="C16" s="145"/>
      <c r="D16" s="145"/>
      <c r="E16" s="145"/>
      <c r="F16" s="146"/>
      <c r="G16" s="147"/>
      <c r="H16" s="139"/>
      <c r="K16" s="37"/>
      <c r="L16" s="147"/>
      <c r="M16" s="139"/>
      <c r="O16" s="37"/>
      <c r="Q16" s="139"/>
      <c r="R16" s="37"/>
      <c r="S16" s="148"/>
    </row>
    <row r="17">
      <c r="A17" s="149" t="s">
        <v>278</v>
      </c>
      <c r="B17" s="150" t="s">
        <v>279</v>
      </c>
      <c r="C17" s="150" t="s">
        <v>280</v>
      </c>
      <c r="D17" s="150" t="s">
        <v>281</v>
      </c>
      <c r="E17" s="150" t="s">
        <v>282</v>
      </c>
      <c r="F17" s="150" t="s">
        <v>283</v>
      </c>
      <c r="G17" s="147"/>
      <c r="H17" s="139"/>
      <c r="K17" s="37"/>
      <c r="L17" s="147"/>
      <c r="M17" s="139"/>
      <c r="O17" s="37"/>
      <c r="Q17" s="7"/>
      <c r="R17" s="9"/>
      <c r="S17" s="151"/>
    </row>
    <row r="18">
      <c r="A18" s="152">
        <v>100.0</v>
      </c>
      <c r="B18" s="153">
        <f>997-200</f>
        <v>797</v>
      </c>
      <c r="C18" s="153">
        <f>139+0</f>
        <v>139</v>
      </c>
      <c r="D18" s="154">
        <f>358</f>
        <v>358</v>
      </c>
      <c r="E18" s="155">
        <f t="shared" ref="E18:E24" si="1">B18+C18</f>
        <v>936</v>
      </c>
      <c r="F18" s="156">
        <v>0.38</v>
      </c>
      <c r="G18" s="157"/>
      <c r="H18" s="139"/>
      <c r="K18" s="37"/>
      <c r="L18" s="157"/>
      <c r="M18" s="139"/>
      <c r="O18" s="37"/>
      <c r="Q18" s="158"/>
      <c r="R18" s="121"/>
      <c r="S18" s="159"/>
    </row>
    <row r="19">
      <c r="A19" s="160">
        <v>500.0</v>
      </c>
      <c r="B19" s="49">
        <f>620-200</f>
        <v>420</v>
      </c>
      <c r="C19" s="49">
        <v>146.0</v>
      </c>
      <c r="D19" s="49">
        <v>282.0</v>
      </c>
      <c r="E19" s="161">
        <f t="shared" si="1"/>
        <v>566</v>
      </c>
      <c r="F19" s="162">
        <f t="shared" ref="F19:F24" si="2">D19/E19</f>
        <v>0.4982332155</v>
      </c>
      <c r="G19" s="163"/>
      <c r="H19" s="139"/>
      <c r="K19" s="37"/>
      <c r="L19" s="163"/>
      <c r="M19" s="139"/>
      <c r="O19" s="37"/>
      <c r="Q19" s="164" t="s">
        <v>284</v>
      </c>
      <c r="R19" s="165" t="s">
        <v>285</v>
      </c>
      <c r="S19" s="6"/>
    </row>
    <row r="20">
      <c r="A20" s="152">
        <v>1000.0</v>
      </c>
      <c r="B20" s="153">
        <f>565-200</f>
        <v>365</v>
      </c>
      <c r="C20" s="153">
        <v>158.0</v>
      </c>
      <c r="D20" s="153">
        <v>249.0</v>
      </c>
      <c r="E20" s="155">
        <f t="shared" si="1"/>
        <v>523</v>
      </c>
      <c r="F20" s="162">
        <f t="shared" si="2"/>
        <v>0.4760994264</v>
      </c>
      <c r="G20" s="163"/>
      <c r="H20" s="139"/>
      <c r="K20" s="37"/>
      <c r="L20" s="163"/>
      <c r="M20" s="139"/>
      <c r="O20" s="37"/>
      <c r="Q20" s="148"/>
      <c r="R20" s="139"/>
      <c r="S20" s="37"/>
    </row>
    <row r="21">
      <c r="A21" s="160">
        <v>2000.0</v>
      </c>
      <c r="B21" s="49">
        <f>432-200</f>
        <v>232</v>
      </c>
      <c r="C21" s="49">
        <v>171.0</v>
      </c>
      <c r="D21" s="49">
        <v>222.0</v>
      </c>
      <c r="E21" s="161">
        <f t="shared" si="1"/>
        <v>403</v>
      </c>
      <c r="F21" s="162">
        <f t="shared" si="2"/>
        <v>0.5508684864</v>
      </c>
      <c r="G21" s="163"/>
      <c r="H21" s="139"/>
      <c r="K21" s="37"/>
      <c r="L21" s="163"/>
      <c r="M21" s="139"/>
      <c r="O21" s="37"/>
      <c r="Q21" s="148"/>
      <c r="R21" s="139"/>
      <c r="S21" s="37"/>
    </row>
    <row r="22">
      <c r="A22" s="152">
        <v>5000.0</v>
      </c>
      <c r="B22" s="166">
        <v>185.0</v>
      </c>
      <c r="C22" s="166">
        <v>190.0</v>
      </c>
      <c r="D22" s="166">
        <v>210.0</v>
      </c>
      <c r="E22" s="155">
        <f t="shared" si="1"/>
        <v>375</v>
      </c>
      <c r="F22" s="162">
        <f t="shared" si="2"/>
        <v>0.56</v>
      </c>
      <c r="G22" s="163"/>
      <c r="H22" s="139"/>
      <c r="K22" s="37"/>
      <c r="L22" s="163"/>
      <c r="M22" s="139"/>
      <c r="O22" s="37"/>
      <c r="P22" s="167"/>
      <c r="Q22" s="148"/>
      <c r="R22" s="139"/>
      <c r="S22" s="37"/>
    </row>
    <row r="23">
      <c r="A23" s="160">
        <v>10000.0</v>
      </c>
      <c r="B23" s="168">
        <v>150.0</v>
      </c>
      <c r="C23" s="168">
        <v>200.0</v>
      </c>
      <c r="D23" s="168">
        <v>200.0</v>
      </c>
      <c r="E23" s="161">
        <f t="shared" si="1"/>
        <v>350</v>
      </c>
      <c r="F23" s="162">
        <f t="shared" si="2"/>
        <v>0.5714285714</v>
      </c>
      <c r="G23" s="163"/>
      <c r="H23" s="139"/>
      <c r="K23" s="37"/>
      <c r="L23" s="163"/>
      <c r="M23" s="139"/>
      <c r="O23" s="37"/>
      <c r="P23" s="167"/>
      <c r="Q23" s="148"/>
      <c r="R23" s="139"/>
      <c r="S23" s="37"/>
    </row>
    <row r="24">
      <c r="A24" s="152">
        <v>20000.0</v>
      </c>
      <c r="B24" s="166">
        <v>120.0</v>
      </c>
      <c r="C24" s="166">
        <v>210.0</v>
      </c>
      <c r="D24" s="166">
        <v>190.0</v>
      </c>
      <c r="E24" s="155">
        <f t="shared" si="1"/>
        <v>330</v>
      </c>
      <c r="F24" s="162">
        <f t="shared" si="2"/>
        <v>0.5757575758</v>
      </c>
      <c r="G24" s="163"/>
      <c r="H24" s="7"/>
      <c r="I24" s="8"/>
      <c r="J24" s="8"/>
      <c r="K24" s="9"/>
      <c r="L24" s="163"/>
      <c r="M24" s="7"/>
      <c r="N24" s="8"/>
      <c r="O24" s="9"/>
      <c r="P24" s="167"/>
      <c r="Q24" s="151"/>
      <c r="R24" s="7"/>
      <c r="S24" s="9"/>
    </row>
    <row r="25">
      <c r="A25" s="127"/>
      <c r="B25" s="127"/>
      <c r="C25" s="127"/>
      <c r="D25" s="127"/>
      <c r="E25" s="127"/>
      <c r="F25" s="127"/>
      <c r="G25" s="127"/>
      <c r="H25" s="127"/>
      <c r="I25" s="127"/>
      <c r="J25" s="127"/>
      <c r="K25" s="127"/>
      <c r="L25" s="127"/>
      <c r="M25" s="128"/>
      <c r="N25" s="128"/>
      <c r="O25" s="128"/>
      <c r="P25" s="129"/>
      <c r="Q25" s="130"/>
      <c r="R25" s="130"/>
      <c r="S25" s="129"/>
    </row>
    <row r="26">
      <c r="A26" s="131" t="s">
        <v>286</v>
      </c>
      <c r="B26" s="2"/>
      <c r="C26" s="2"/>
      <c r="D26" s="2"/>
      <c r="E26" s="2"/>
      <c r="F26" s="3"/>
      <c r="H26" s="135"/>
      <c r="I26" s="5"/>
      <c r="J26" s="5"/>
      <c r="K26" s="6"/>
      <c r="M26" s="120"/>
      <c r="N26" s="120"/>
      <c r="O26" s="120"/>
      <c r="Q26" s="121"/>
      <c r="R26" s="121"/>
      <c r="S26" s="121"/>
    </row>
    <row r="27">
      <c r="A27" s="131" t="s">
        <v>287</v>
      </c>
      <c r="B27" s="2"/>
      <c r="C27" s="2"/>
      <c r="D27" s="2"/>
      <c r="E27" s="2"/>
      <c r="F27" s="3"/>
      <c r="H27" s="139"/>
      <c r="K27" s="37"/>
      <c r="M27" s="140" t="s">
        <v>288</v>
      </c>
      <c r="N27" s="5"/>
      <c r="O27" s="6"/>
      <c r="Q27" s="141" t="s">
        <v>274</v>
      </c>
      <c r="R27" s="6"/>
      <c r="S27" s="142" t="s">
        <v>289</v>
      </c>
    </row>
    <row r="28">
      <c r="A28" s="21" t="s">
        <v>290</v>
      </c>
      <c r="B28" s="131" t="s">
        <v>277</v>
      </c>
      <c r="C28" s="2"/>
      <c r="D28" s="2"/>
      <c r="E28" s="2"/>
      <c r="F28" s="3"/>
      <c r="G28" s="147"/>
      <c r="H28" s="139"/>
      <c r="K28" s="37"/>
      <c r="L28" s="147"/>
      <c r="M28" s="139"/>
      <c r="O28" s="37"/>
      <c r="Q28" s="139"/>
      <c r="R28" s="37"/>
      <c r="S28" s="148"/>
    </row>
    <row r="29">
      <c r="A29" s="169" t="s">
        <v>291</v>
      </c>
      <c r="B29" s="170" t="s">
        <v>279</v>
      </c>
      <c r="C29" s="170" t="s">
        <v>280</v>
      </c>
      <c r="D29" s="170" t="s">
        <v>281</v>
      </c>
      <c r="E29" s="170" t="s">
        <v>282</v>
      </c>
      <c r="F29" s="170" t="s">
        <v>283</v>
      </c>
      <c r="H29" s="139"/>
      <c r="K29" s="37"/>
      <c r="M29" s="139"/>
      <c r="O29" s="37"/>
      <c r="Q29" s="7"/>
      <c r="R29" s="9"/>
      <c r="S29" s="151"/>
    </row>
    <row r="30">
      <c r="A30" s="171" t="s">
        <v>292</v>
      </c>
      <c r="B30" s="61">
        <f>954+150</f>
        <v>1104</v>
      </c>
      <c r="C30" s="61">
        <f>192</f>
        <v>192</v>
      </c>
      <c r="D30" s="172">
        <f>303+150</f>
        <v>453</v>
      </c>
      <c r="E30" s="173">
        <f t="shared" ref="E30:E36" si="3">B30+C30</f>
        <v>1296</v>
      </c>
      <c r="F30" s="162">
        <f t="shared" ref="F30:F36" si="4">D30/E30</f>
        <v>0.349537037</v>
      </c>
      <c r="H30" s="139"/>
      <c r="K30" s="37"/>
      <c r="M30" s="139"/>
      <c r="O30" s="37"/>
      <c r="Q30" s="158"/>
      <c r="R30" s="121"/>
      <c r="S30" s="159"/>
    </row>
    <row r="31">
      <c r="A31" s="171" t="s">
        <v>293</v>
      </c>
      <c r="B31" s="61">
        <f>540+150</f>
        <v>690</v>
      </c>
      <c r="C31" s="61">
        <f>223+150</f>
        <v>373</v>
      </c>
      <c r="D31" s="61">
        <f>277+150</f>
        <v>427</v>
      </c>
      <c r="E31" s="173">
        <f t="shared" si="3"/>
        <v>1063</v>
      </c>
      <c r="F31" s="162">
        <f t="shared" si="4"/>
        <v>0.4016933208</v>
      </c>
      <c r="H31" s="139"/>
      <c r="K31" s="37"/>
      <c r="M31" s="139"/>
      <c r="O31" s="37"/>
      <c r="Q31" s="164" t="s">
        <v>284</v>
      </c>
      <c r="R31" s="165" t="s">
        <v>294</v>
      </c>
      <c r="S31" s="6"/>
    </row>
    <row r="32">
      <c r="A32" s="171" t="s">
        <v>295</v>
      </c>
      <c r="B32" s="61">
        <f>402+150</f>
        <v>552</v>
      </c>
      <c r="C32" s="61">
        <f>238+120</f>
        <v>358</v>
      </c>
      <c r="D32" s="61">
        <f>262+150</f>
        <v>412</v>
      </c>
      <c r="E32" s="173">
        <f t="shared" si="3"/>
        <v>910</v>
      </c>
      <c r="F32" s="162">
        <f t="shared" si="4"/>
        <v>0.4527472527</v>
      </c>
      <c r="H32" s="139"/>
      <c r="K32" s="37"/>
      <c r="M32" s="139"/>
      <c r="O32" s="37"/>
      <c r="Q32" s="148"/>
      <c r="R32" s="139"/>
      <c r="S32" s="37"/>
    </row>
    <row r="33">
      <c r="A33" s="171" t="s">
        <v>296</v>
      </c>
      <c r="B33" s="61">
        <f>310+150</f>
        <v>460</v>
      </c>
      <c r="C33" s="61">
        <f>272+100</f>
        <v>372</v>
      </c>
      <c r="D33" s="61">
        <f>228+150</f>
        <v>378</v>
      </c>
      <c r="E33" s="173">
        <f t="shared" si="3"/>
        <v>832</v>
      </c>
      <c r="F33" s="162">
        <f t="shared" si="4"/>
        <v>0.4543269231</v>
      </c>
      <c r="H33" s="139"/>
      <c r="K33" s="37"/>
      <c r="M33" s="139"/>
      <c r="O33" s="37"/>
      <c r="Q33" s="148"/>
      <c r="R33" s="139"/>
      <c r="S33" s="37"/>
    </row>
    <row r="34">
      <c r="A34" s="171" t="s">
        <v>297</v>
      </c>
      <c r="B34" s="61">
        <f>278+150</f>
        <v>428</v>
      </c>
      <c r="C34" s="61">
        <f>291+100</f>
        <v>391</v>
      </c>
      <c r="D34" s="61">
        <f>209+150</f>
        <v>359</v>
      </c>
      <c r="E34" s="173">
        <f t="shared" si="3"/>
        <v>819</v>
      </c>
      <c r="F34" s="162">
        <f t="shared" si="4"/>
        <v>0.4383394383</v>
      </c>
      <c r="H34" s="139"/>
      <c r="K34" s="37"/>
      <c r="M34" s="139"/>
      <c r="O34" s="37"/>
      <c r="P34" s="167"/>
      <c r="Q34" s="148"/>
      <c r="R34" s="139"/>
      <c r="S34" s="37"/>
    </row>
    <row r="35">
      <c r="A35" s="171" t="s">
        <v>298</v>
      </c>
      <c r="B35" s="61">
        <f>202+150</f>
        <v>352</v>
      </c>
      <c r="C35" s="61">
        <f>334</f>
        <v>334</v>
      </c>
      <c r="D35" s="61">
        <f>156+150</f>
        <v>306</v>
      </c>
      <c r="E35" s="173">
        <f t="shared" si="3"/>
        <v>686</v>
      </c>
      <c r="F35" s="162">
        <f t="shared" si="4"/>
        <v>0.4460641399</v>
      </c>
      <c r="H35" s="139"/>
      <c r="K35" s="37"/>
      <c r="M35" s="139"/>
      <c r="O35" s="37"/>
      <c r="P35" s="167"/>
      <c r="Q35" s="148"/>
      <c r="R35" s="139"/>
      <c r="S35" s="37"/>
    </row>
    <row r="36">
      <c r="A36" s="171" t="s">
        <v>299</v>
      </c>
      <c r="B36" s="61">
        <f>160+150</f>
        <v>310</v>
      </c>
      <c r="C36" s="61">
        <f>363</f>
        <v>363</v>
      </c>
      <c r="D36" s="61">
        <f>137+150</f>
        <v>287</v>
      </c>
      <c r="E36" s="173">
        <f t="shared" si="3"/>
        <v>673</v>
      </c>
      <c r="F36" s="162">
        <f t="shared" si="4"/>
        <v>0.426448737</v>
      </c>
      <c r="H36" s="7"/>
      <c r="I36" s="8"/>
      <c r="J36" s="8"/>
      <c r="K36" s="9"/>
      <c r="M36" s="7"/>
      <c r="N36" s="8"/>
      <c r="O36" s="9"/>
      <c r="P36" s="167"/>
      <c r="Q36" s="151"/>
      <c r="R36" s="7"/>
      <c r="S36" s="9"/>
    </row>
    <row r="37">
      <c r="A37" s="127"/>
      <c r="B37" s="127"/>
      <c r="C37" s="127"/>
      <c r="D37" s="127"/>
      <c r="E37" s="127"/>
      <c r="F37" s="127"/>
      <c r="G37" s="127"/>
      <c r="H37" s="127"/>
      <c r="I37" s="127"/>
      <c r="J37" s="127"/>
      <c r="K37" s="127"/>
      <c r="L37" s="127"/>
      <c r="M37" s="128"/>
      <c r="N37" s="128"/>
      <c r="O37" s="128"/>
      <c r="P37" s="129"/>
      <c r="Q37" s="130"/>
      <c r="R37" s="130"/>
      <c r="S37" s="129"/>
    </row>
    <row r="38">
      <c r="A38" s="131" t="s">
        <v>300</v>
      </c>
      <c r="B38" s="2"/>
      <c r="C38" s="2"/>
      <c r="D38" s="2"/>
      <c r="E38" s="2"/>
      <c r="F38" s="3"/>
      <c r="H38" s="135"/>
      <c r="I38" s="5"/>
      <c r="J38" s="5"/>
      <c r="K38" s="6"/>
      <c r="M38" s="120"/>
      <c r="N38" s="120"/>
      <c r="O38" s="120"/>
      <c r="Q38" s="121"/>
      <c r="R38" s="121"/>
      <c r="S38" s="121"/>
    </row>
    <row r="39">
      <c r="A39" s="131" t="s">
        <v>301</v>
      </c>
      <c r="B39" s="2"/>
      <c r="C39" s="2"/>
      <c r="D39" s="2"/>
      <c r="E39" s="2"/>
      <c r="F39" s="3"/>
      <c r="H39" s="139"/>
      <c r="K39" s="37"/>
      <c r="M39" s="140" t="s">
        <v>302</v>
      </c>
      <c r="N39" s="5"/>
      <c r="O39" s="6"/>
      <c r="Q39" s="141" t="s">
        <v>274</v>
      </c>
      <c r="R39" s="6"/>
      <c r="S39" s="142" t="s">
        <v>303</v>
      </c>
    </row>
    <row r="40">
      <c r="A40" s="21" t="s">
        <v>276</v>
      </c>
      <c r="B40" s="131" t="s">
        <v>277</v>
      </c>
      <c r="C40" s="2"/>
      <c r="D40" s="2"/>
      <c r="E40" s="2"/>
      <c r="F40" s="3"/>
      <c r="G40" s="147"/>
      <c r="H40" s="139"/>
      <c r="K40" s="37"/>
      <c r="L40" s="147"/>
      <c r="M40" s="139"/>
      <c r="O40" s="37"/>
      <c r="Q40" s="139"/>
      <c r="R40" s="37"/>
      <c r="S40" s="148"/>
    </row>
    <row r="41">
      <c r="A41" s="169" t="s">
        <v>304</v>
      </c>
      <c r="B41" s="170" t="s">
        <v>279</v>
      </c>
      <c r="C41" s="170" t="s">
        <v>280</v>
      </c>
      <c r="D41" s="170" t="s">
        <v>281</v>
      </c>
      <c r="E41" s="170" t="s">
        <v>282</v>
      </c>
      <c r="F41" s="170" t="s">
        <v>283</v>
      </c>
      <c r="H41" s="139"/>
      <c r="K41" s="37"/>
      <c r="M41" s="139"/>
      <c r="O41" s="37"/>
      <c r="Q41" s="7"/>
      <c r="R41" s="9"/>
      <c r="S41" s="151"/>
    </row>
    <row r="42">
      <c r="A42" s="171" t="s">
        <v>292</v>
      </c>
      <c r="B42" s="61">
        <f>997-600</f>
        <v>397</v>
      </c>
      <c r="C42" s="61">
        <v>139.0</v>
      </c>
      <c r="D42" s="174">
        <v>250.0</v>
      </c>
      <c r="E42" s="173">
        <f t="shared" ref="E42:E48" si="5">B42+C42</f>
        <v>536</v>
      </c>
      <c r="F42" s="162">
        <f t="shared" ref="F42:F48" si="6">D42/E42</f>
        <v>0.4664179104</v>
      </c>
      <c r="H42" s="139"/>
      <c r="K42" s="37"/>
      <c r="M42" s="139"/>
      <c r="O42" s="37"/>
      <c r="Q42" s="158"/>
      <c r="R42" s="121"/>
      <c r="S42" s="159"/>
    </row>
    <row r="43">
      <c r="A43" s="171" t="s">
        <v>293</v>
      </c>
      <c r="B43" s="61">
        <f>620-350</f>
        <v>270</v>
      </c>
      <c r="C43" s="61">
        <v>146.0</v>
      </c>
      <c r="D43" s="175">
        <v>190.0</v>
      </c>
      <c r="E43" s="173">
        <f t="shared" si="5"/>
        <v>416</v>
      </c>
      <c r="F43" s="162">
        <f t="shared" si="6"/>
        <v>0.4567307692</v>
      </c>
      <c r="H43" s="139"/>
      <c r="K43" s="37"/>
      <c r="M43" s="139"/>
      <c r="O43" s="37"/>
      <c r="Q43" s="164" t="s">
        <v>284</v>
      </c>
      <c r="R43" s="165" t="s">
        <v>305</v>
      </c>
      <c r="S43" s="6"/>
    </row>
    <row r="44">
      <c r="A44" s="171" t="s">
        <v>295</v>
      </c>
      <c r="B44" s="61">
        <f>565-350</f>
        <v>215</v>
      </c>
      <c r="C44" s="61">
        <v>158.0</v>
      </c>
      <c r="D44" s="175">
        <v>170.0</v>
      </c>
      <c r="E44" s="173">
        <f t="shared" si="5"/>
        <v>373</v>
      </c>
      <c r="F44" s="162">
        <f t="shared" si="6"/>
        <v>0.4557640751</v>
      </c>
      <c r="H44" s="139"/>
      <c r="K44" s="37"/>
      <c r="M44" s="139"/>
      <c r="O44" s="37"/>
      <c r="Q44" s="148"/>
      <c r="R44" s="139"/>
      <c r="S44" s="37"/>
    </row>
    <row r="45">
      <c r="A45" s="171" t="s">
        <v>296</v>
      </c>
      <c r="B45" s="61">
        <f>432-280</f>
        <v>152</v>
      </c>
      <c r="C45" s="61">
        <v>171.0</v>
      </c>
      <c r="D45" s="175">
        <v>145.0</v>
      </c>
      <c r="E45" s="173">
        <f t="shared" si="5"/>
        <v>323</v>
      </c>
      <c r="F45" s="162">
        <f t="shared" si="6"/>
        <v>0.4489164087</v>
      </c>
      <c r="H45" s="139"/>
      <c r="K45" s="37"/>
      <c r="M45" s="139"/>
      <c r="O45" s="37"/>
      <c r="Q45" s="148"/>
      <c r="R45" s="139"/>
      <c r="S45" s="37"/>
    </row>
    <row r="46">
      <c r="A46" s="171" t="s">
        <v>297</v>
      </c>
      <c r="B46" s="61">
        <f>294-190</f>
        <v>104</v>
      </c>
      <c r="C46" s="61">
        <v>179.0</v>
      </c>
      <c r="D46" s="175">
        <v>122.0</v>
      </c>
      <c r="E46" s="173">
        <f t="shared" si="5"/>
        <v>283</v>
      </c>
      <c r="F46" s="162">
        <f t="shared" si="6"/>
        <v>0.4310954064</v>
      </c>
      <c r="H46" s="139"/>
      <c r="K46" s="37"/>
      <c r="M46" s="139"/>
      <c r="O46" s="37"/>
      <c r="P46" s="167"/>
      <c r="Q46" s="148"/>
      <c r="R46" s="139"/>
      <c r="S46" s="37"/>
    </row>
    <row r="47">
      <c r="A47" s="171" t="s">
        <v>298</v>
      </c>
      <c r="B47" s="61">
        <f>209-150</f>
        <v>59</v>
      </c>
      <c r="C47" s="61">
        <v>192.0</v>
      </c>
      <c r="D47" s="175">
        <v>109.0</v>
      </c>
      <c r="E47" s="173">
        <f t="shared" si="5"/>
        <v>251</v>
      </c>
      <c r="F47" s="162">
        <f t="shared" si="6"/>
        <v>0.4342629482</v>
      </c>
      <c r="H47" s="139"/>
      <c r="K47" s="37"/>
      <c r="M47" s="139"/>
      <c r="O47" s="37"/>
      <c r="P47" s="167"/>
      <c r="Q47" s="148"/>
      <c r="R47" s="139"/>
      <c r="S47" s="37"/>
    </row>
    <row r="48">
      <c r="A48" s="171" t="s">
        <v>299</v>
      </c>
      <c r="B48" s="61">
        <f>144-120</f>
        <v>24</v>
      </c>
      <c r="C48" s="61">
        <v>214.0</v>
      </c>
      <c r="D48" s="175">
        <v>102.0</v>
      </c>
      <c r="E48" s="173">
        <f t="shared" si="5"/>
        <v>238</v>
      </c>
      <c r="F48" s="162">
        <f t="shared" si="6"/>
        <v>0.4285714286</v>
      </c>
      <c r="H48" s="7"/>
      <c r="I48" s="8"/>
      <c r="J48" s="8"/>
      <c r="K48" s="9"/>
      <c r="M48" s="7"/>
      <c r="N48" s="8"/>
      <c r="O48" s="9"/>
      <c r="P48" s="167"/>
      <c r="Q48" s="151"/>
      <c r="R48" s="7"/>
      <c r="S48" s="9"/>
    </row>
    <row r="49">
      <c r="A49" s="127"/>
      <c r="B49" s="127"/>
      <c r="C49" s="127"/>
      <c r="D49" s="127"/>
      <c r="E49" s="127"/>
      <c r="F49" s="127"/>
      <c r="G49" s="127"/>
      <c r="H49" s="127"/>
      <c r="I49" s="127"/>
      <c r="J49" s="127"/>
      <c r="K49" s="127"/>
      <c r="L49" s="127"/>
      <c r="M49" s="128"/>
      <c r="N49" s="128"/>
      <c r="O49" s="128"/>
      <c r="P49" s="129"/>
      <c r="Q49" s="130"/>
      <c r="R49" s="130"/>
      <c r="S49" s="129"/>
    </row>
    <row r="50">
      <c r="D50" s="157"/>
      <c r="P50" s="167"/>
      <c r="Q50" s="176"/>
      <c r="R50" s="177" t="s">
        <v>306</v>
      </c>
      <c r="S50" s="177" t="s">
        <v>307</v>
      </c>
    </row>
    <row r="51">
      <c r="D51" s="163"/>
      <c r="P51" s="141" t="s">
        <v>308</v>
      </c>
      <c r="Q51" s="6"/>
      <c r="R51" s="178" t="s">
        <v>309</v>
      </c>
      <c r="S51" s="178" t="s">
        <v>310</v>
      </c>
    </row>
    <row r="52">
      <c r="D52" s="163"/>
      <c r="P52" s="139"/>
      <c r="Q52" s="37"/>
      <c r="R52" s="148"/>
      <c r="S52" s="148"/>
    </row>
    <row r="53">
      <c r="D53" s="163"/>
      <c r="P53" s="139"/>
      <c r="Q53" s="37"/>
      <c r="R53" s="148"/>
      <c r="S53" s="148"/>
    </row>
    <row r="54">
      <c r="D54" s="163"/>
      <c r="P54" s="139"/>
      <c r="Q54" s="37"/>
      <c r="R54" s="148"/>
      <c r="S54" s="148"/>
    </row>
    <row r="55">
      <c r="D55" s="163"/>
      <c r="P55" s="139"/>
      <c r="Q55" s="37"/>
      <c r="R55" s="148"/>
      <c r="S55" s="148"/>
    </row>
    <row r="56">
      <c r="D56" s="163"/>
      <c r="P56" s="7"/>
      <c r="Q56" s="9"/>
      <c r="R56" s="151"/>
      <c r="S56" s="151"/>
    </row>
    <row r="57">
      <c r="D57" s="163"/>
      <c r="Q57" s="121"/>
      <c r="R57" s="121"/>
      <c r="S57" s="121"/>
    </row>
    <row r="58">
      <c r="D58" s="163"/>
      <c r="Q58" s="121"/>
      <c r="R58" s="121"/>
      <c r="S58" s="121"/>
    </row>
    <row r="59">
      <c r="D59" s="163"/>
      <c r="Q59" s="164" t="s">
        <v>311</v>
      </c>
      <c r="R59" s="165" t="s">
        <v>312</v>
      </c>
      <c r="S59" s="6"/>
    </row>
    <row r="60">
      <c r="D60" s="163"/>
      <c r="Q60" s="148"/>
      <c r="R60" s="139"/>
      <c r="S60" s="37"/>
    </row>
    <row r="61">
      <c r="Q61" s="148"/>
      <c r="R61" s="139"/>
      <c r="S61" s="37"/>
    </row>
    <row r="62">
      <c r="Q62" s="148"/>
      <c r="R62" s="139"/>
      <c r="S62" s="37"/>
    </row>
    <row r="63">
      <c r="Q63" s="148"/>
      <c r="R63" s="139"/>
      <c r="S63" s="37"/>
    </row>
    <row r="64">
      <c r="Q64" s="151"/>
      <c r="R64" s="7"/>
      <c r="S64" s="9"/>
    </row>
    <row r="65">
      <c r="A65" s="127"/>
      <c r="B65" s="127"/>
      <c r="C65" s="127"/>
      <c r="D65" s="127"/>
      <c r="E65" s="127"/>
      <c r="F65" s="127"/>
      <c r="G65" s="127"/>
      <c r="H65" s="127"/>
      <c r="I65" s="127"/>
      <c r="J65" s="127"/>
      <c r="K65" s="127"/>
      <c r="L65" s="127"/>
      <c r="M65" s="128"/>
      <c r="N65" s="128"/>
      <c r="O65" s="128"/>
      <c r="P65" s="129"/>
      <c r="Q65" s="130"/>
      <c r="R65" s="130"/>
      <c r="S65" s="129"/>
    </row>
  </sheetData>
  <mergeCells count="44">
    <mergeCell ref="A1:S1"/>
    <mergeCell ref="A2:I2"/>
    <mergeCell ref="A3:I3"/>
    <mergeCell ref="A4:I4"/>
    <mergeCell ref="A5:I5"/>
    <mergeCell ref="A6:I6"/>
    <mergeCell ref="A7:I7"/>
    <mergeCell ref="B16:F16"/>
    <mergeCell ref="A26:F26"/>
    <mergeCell ref="A27:F27"/>
    <mergeCell ref="B28:F28"/>
    <mergeCell ref="A38:F38"/>
    <mergeCell ref="A39:F39"/>
    <mergeCell ref="B40:F40"/>
    <mergeCell ref="A8:I8"/>
    <mergeCell ref="A9:I9"/>
    <mergeCell ref="A10:I10"/>
    <mergeCell ref="A11:I11"/>
    <mergeCell ref="A12:I12"/>
    <mergeCell ref="A14:F14"/>
    <mergeCell ref="A15:F15"/>
    <mergeCell ref="Q19:Q24"/>
    <mergeCell ref="Q27:R29"/>
    <mergeCell ref="H26:K36"/>
    <mergeCell ref="H38:K48"/>
    <mergeCell ref="H14:K24"/>
    <mergeCell ref="M15:O24"/>
    <mergeCell ref="Q15:R17"/>
    <mergeCell ref="S15:S17"/>
    <mergeCell ref="R19:S24"/>
    <mergeCell ref="S27:S29"/>
    <mergeCell ref="R31:S36"/>
    <mergeCell ref="P51:Q56"/>
    <mergeCell ref="R51:R56"/>
    <mergeCell ref="S51:S56"/>
    <mergeCell ref="Q59:Q64"/>
    <mergeCell ref="R59:S64"/>
    <mergeCell ref="M27:O36"/>
    <mergeCell ref="Q31:Q36"/>
    <mergeCell ref="M39:O48"/>
    <mergeCell ref="Q39:R41"/>
    <mergeCell ref="S39:S41"/>
    <mergeCell ref="Q43:Q48"/>
    <mergeCell ref="R43:S4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11.57"/>
    <col customWidth="1" min="3" max="3" width="17.43"/>
    <col customWidth="1" min="4" max="4" width="18.0"/>
    <col customWidth="1" min="5" max="5" width="9.0"/>
    <col customWidth="1" min="6" max="6" width="11.43"/>
  </cols>
  <sheetData>
    <row r="1">
      <c r="A1" s="119" t="s">
        <v>18</v>
      </c>
      <c r="B1" s="2"/>
      <c r="C1" s="2"/>
      <c r="D1" s="2"/>
      <c r="E1" s="2"/>
      <c r="F1" s="2"/>
      <c r="G1" s="2"/>
      <c r="H1" s="2"/>
      <c r="I1" s="2"/>
      <c r="J1" s="2"/>
      <c r="K1" s="2"/>
      <c r="L1" s="2"/>
      <c r="M1" s="2"/>
      <c r="N1" s="2"/>
      <c r="O1" s="2"/>
      <c r="P1" s="2"/>
      <c r="Q1" s="2"/>
      <c r="R1" s="2"/>
      <c r="S1" s="3"/>
    </row>
    <row r="2">
      <c r="A2" s="108" t="s">
        <v>313</v>
      </c>
      <c r="B2" s="2"/>
      <c r="C2" s="2"/>
      <c r="D2" s="2"/>
      <c r="E2" s="2"/>
      <c r="F2" s="2"/>
      <c r="G2" s="2"/>
      <c r="H2" s="2"/>
      <c r="I2" s="3"/>
      <c r="O2" s="179"/>
      <c r="P2" s="120"/>
      <c r="R2" s="121"/>
      <c r="S2" s="121"/>
    </row>
    <row r="3">
      <c r="A3" s="109" t="s">
        <v>314</v>
      </c>
      <c r="B3" s="2"/>
      <c r="C3" s="2"/>
      <c r="D3" s="2"/>
      <c r="E3" s="2"/>
      <c r="F3" s="2"/>
      <c r="G3" s="2"/>
      <c r="H3" s="2"/>
      <c r="I3" s="3"/>
      <c r="O3" s="179"/>
      <c r="P3" s="120"/>
      <c r="R3" s="121"/>
      <c r="S3" s="121"/>
    </row>
    <row r="4">
      <c r="A4" s="11" t="s">
        <v>315</v>
      </c>
      <c r="B4" s="8"/>
      <c r="C4" s="8"/>
      <c r="D4" s="8"/>
      <c r="E4" s="8"/>
      <c r="F4" s="8"/>
      <c r="G4" s="8"/>
      <c r="H4" s="8"/>
      <c r="I4" s="9"/>
      <c r="O4" s="179"/>
      <c r="P4" s="120"/>
      <c r="R4" s="121"/>
      <c r="S4" s="121"/>
    </row>
    <row r="5">
      <c r="A5" s="108" t="s">
        <v>316</v>
      </c>
      <c r="B5" s="2"/>
      <c r="C5" s="2"/>
      <c r="D5" s="2"/>
      <c r="E5" s="2"/>
      <c r="F5" s="2"/>
      <c r="G5" s="2"/>
      <c r="H5" s="2"/>
      <c r="I5" s="3"/>
      <c r="O5" s="179"/>
      <c r="P5" s="120"/>
      <c r="R5" s="121"/>
      <c r="S5" s="121"/>
    </row>
    <row r="6">
      <c r="A6" s="180" t="s">
        <v>317</v>
      </c>
      <c r="B6" s="2"/>
      <c r="C6" s="2"/>
      <c r="D6" s="2"/>
      <c r="E6" s="2"/>
      <c r="F6" s="2"/>
      <c r="G6" s="2"/>
      <c r="H6" s="2"/>
      <c r="I6" s="3"/>
      <c r="O6" s="179"/>
      <c r="P6" s="120"/>
      <c r="R6" s="121"/>
      <c r="S6" s="121"/>
    </row>
    <row r="7">
      <c r="A7" s="180" t="s">
        <v>318</v>
      </c>
      <c r="B7" s="2"/>
      <c r="C7" s="2"/>
      <c r="D7" s="2"/>
      <c r="E7" s="2"/>
      <c r="F7" s="2"/>
      <c r="G7" s="2"/>
      <c r="H7" s="2"/>
      <c r="I7" s="3"/>
      <c r="O7" s="179"/>
      <c r="P7" s="120"/>
      <c r="R7" s="121"/>
      <c r="S7" s="121"/>
    </row>
    <row r="8">
      <c r="A8" s="180" t="s">
        <v>319</v>
      </c>
      <c r="B8" s="2"/>
      <c r="C8" s="2"/>
      <c r="D8" s="2"/>
      <c r="E8" s="2"/>
      <c r="F8" s="2"/>
      <c r="G8" s="2"/>
      <c r="H8" s="2"/>
      <c r="I8" s="3"/>
      <c r="O8" s="179"/>
      <c r="P8" s="120"/>
      <c r="R8" s="121"/>
      <c r="S8" s="121"/>
    </row>
    <row r="9">
      <c r="A9" s="180" t="s">
        <v>320</v>
      </c>
      <c r="B9" s="2"/>
      <c r="C9" s="2"/>
      <c r="D9" s="2"/>
      <c r="E9" s="2"/>
      <c r="F9" s="2"/>
      <c r="G9" s="2"/>
      <c r="H9" s="2"/>
      <c r="I9" s="3"/>
      <c r="O9" s="179"/>
      <c r="P9" s="120"/>
      <c r="R9" s="121"/>
      <c r="S9" s="121"/>
    </row>
    <row r="10">
      <c r="A10" s="180" t="s">
        <v>321</v>
      </c>
      <c r="B10" s="2"/>
      <c r="C10" s="2"/>
      <c r="D10" s="2"/>
      <c r="E10" s="2"/>
      <c r="F10" s="2"/>
      <c r="G10" s="2"/>
      <c r="H10" s="2"/>
      <c r="I10" s="3"/>
      <c r="O10" s="179"/>
      <c r="P10" s="120"/>
      <c r="R10" s="121"/>
      <c r="S10" s="121"/>
    </row>
    <row r="11">
      <c r="A11" s="126" t="s">
        <v>37</v>
      </c>
      <c r="J11" s="134"/>
      <c r="K11" s="134"/>
      <c r="L11" s="134"/>
      <c r="M11" s="134"/>
      <c r="N11" s="134"/>
      <c r="O11" s="134"/>
      <c r="P11" s="120"/>
      <c r="R11" s="121"/>
      <c r="S11" s="121"/>
    </row>
    <row r="12">
      <c r="A12" s="134"/>
      <c r="B12" s="134"/>
      <c r="C12" s="134"/>
      <c r="D12" s="134"/>
      <c r="E12" s="134"/>
      <c r="F12" s="134"/>
      <c r="G12" s="134"/>
      <c r="H12" s="134"/>
      <c r="I12" s="134"/>
      <c r="J12" s="134"/>
      <c r="K12" s="134"/>
      <c r="L12" s="134"/>
      <c r="M12" s="134"/>
      <c r="N12" s="134"/>
      <c r="O12" s="134"/>
      <c r="P12" s="120"/>
      <c r="R12" s="121"/>
      <c r="S12" s="121"/>
    </row>
    <row r="13">
      <c r="A13" s="131" t="s">
        <v>322</v>
      </c>
      <c r="B13" s="2"/>
      <c r="C13" s="2"/>
      <c r="D13" s="2"/>
      <c r="E13" s="2"/>
      <c r="F13" s="3"/>
      <c r="H13" s="135"/>
      <c r="I13" s="5"/>
      <c r="J13" s="5"/>
      <c r="K13" s="6"/>
      <c r="L13" s="120"/>
      <c r="M13" s="120"/>
      <c r="N13" s="120"/>
      <c r="O13" s="120"/>
    </row>
    <row r="14">
      <c r="A14" s="131" t="s">
        <v>323</v>
      </c>
      <c r="B14" s="2"/>
      <c r="C14" s="2"/>
      <c r="D14" s="2"/>
      <c r="E14" s="2"/>
      <c r="F14" s="3"/>
      <c r="H14" s="139"/>
      <c r="K14" s="37"/>
      <c r="L14" s="120"/>
      <c r="M14" s="140" t="s">
        <v>324</v>
      </c>
      <c r="N14" s="5"/>
      <c r="O14" s="6"/>
      <c r="Q14" s="141" t="s">
        <v>325</v>
      </c>
      <c r="R14" s="6"/>
      <c r="S14" s="142" t="s">
        <v>326</v>
      </c>
    </row>
    <row r="15">
      <c r="A15" s="21" t="s">
        <v>327</v>
      </c>
      <c r="B15" s="131" t="s">
        <v>277</v>
      </c>
      <c r="C15" s="2"/>
      <c r="D15" s="2"/>
      <c r="E15" s="2"/>
      <c r="F15" s="3"/>
      <c r="H15" s="139"/>
      <c r="K15" s="37"/>
      <c r="L15" s="120"/>
      <c r="M15" s="139"/>
      <c r="O15" s="37"/>
      <c r="Q15" s="139"/>
      <c r="R15" s="37"/>
      <c r="S15" s="148"/>
    </row>
    <row r="16">
      <c r="A16" s="169" t="s">
        <v>328</v>
      </c>
      <c r="B16" s="170" t="s">
        <v>279</v>
      </c>
      <c r="C16" s="170" t="s">
        <v>280</v>
      </c>
      <c r="D16" s="170" t="s">
        <v>281</v>
      </c>
      <c r="E16" s="170" t="s">
        <v>282</v>
      </c>
      <c r="F16" s="170" t="s">
        <v>283</v>
      </c>
      <c r="G16" s="181"/>
      <c r="H16" s="139"/>
      <c r="K16" s="37"/>
      <c r="L16" s="120"/>
      <c r="M16" s="139"/>
      <c r="O16" s="37"/>
      <c r="Q16" s="7"/>
      <c r="R16" s="9"/>
      <c r="S16" s="151"/>
    </row>
    <row r="17">
      <c r="A17" s="171" t="s">
        <v>292</v>
      </c>
      <c r="B17" s="61">
        <f>954-750</f>
        <v>204</v>
      </c>
      <c r="C17" s="61">
        <f>192+150</f>
        <v>342</v>
      </c>
      <c r="D17" s="172">
        <f>303+150</f>
        <v>453</v>
      </c>
      <c r="E17" s="173">
        <f t="shared" ref="E17:E23" si="1">B17+C17</f>
        <v>546</v>
      </c>
      <c r="F17" s="182">
        <v>0.83</v>
      </c>
      <c r="H17" s="139"/>
      <c r="K17" s="37"/>
      <c r="L17" s="120"/>
      <c r="M17" s="139"/>
      <c r="O17" s="37"/>
      <c r="Q17" s="158"/>
      <c r="R17" s="121"/>
      <c r="S17" s="159"/>
    </row>
    <row r="18">
      <c r="A18" s="171" t="s">
        <v>293</v>
      </c>
      <c r="B18" s="61">
        <f>540-370</f>
        <v>170</v>
      </c>
      <c r="C18" s="175">
        <v>360.0</v>
      </c>
      <c r="D18" s="61">
        <f>277+150</f>
        <v>427</v>
      </c>
      <c r="E18" s="173">
        <f t="shared" si="1"/>
        <v>530</v>
      </c>
      <c r="F18" s="162">
        <f t="shared" ref="F18:F23" si="2">D18/E18</f>
        <v>0.8056603774</v>
      </c>
      <c r="H18" s="139"/>
      <c r="K18" s="37"/>
      <c r="L18" s="120"/>
      <c r="M18" s="139"/>
      <c r="O18" s="37"/>
      <c r="Q18" s="164" t="s">
        <v>284</v>
      </c>
      <c r="R18" s="165" t="s">
        <v>329</v>
      </c>
      <c r="S18" s="6"/>
    </row>
    <row r="19">
      <c r="A19" s="171" t="s">
        <v>295</v>
      </c>
      <c r="B19" s="61">
        <f>402-250</f>
        <v>152</v>
      </c>
      <c r="C19" s="175">
        <v>370.0</v>
      </c>
      <c r="D19" s="61">
        <f>262+150</f>
        <v>412</v>
      </c>
      <c r="E19" s="173">
        <f t="shared" si="1"/>
        <v>522</v>
      </c>
      <c r="F19" s="162">
        <f t="shared" si="2"/>
        <v>0.7892720307</v>
      </c>
      <c r="H19" s="139"/>
      <c r="K19" s="37"/>
      <c r="L19" s="120"/>
      <c r="M19" s="139"/>
      <c r="O19" s="37"/>
      <c r="Q19" s="148"/>
      <c r="R19" s="139"/>
      <c r="S19" s="37"/>
    </row>
    <row r="20">
      <c r="A20" s="171" t="s">
        <v>296</v>
      </c>
      <c r="B20" s="61">
        <f>310-200</f>
        <v>110</v>
      </c>
      <c r="C20" s="175">
        <v>380.0</v>
      </c>
      <c r="D20" s="61">
        <f>228+150</f>
        <v>378</v>
      </c>
      <c r="E20" s="173">
        <f t="shared" si="1"/>
        <v>490</v>
      </c>
      <c r="F20" s="162">
        <f t="shared" si="2"/>
        <v>0.7714285714</v>
      </c>
      <c r="H20" s="139"/>
      <c r="K20" s="37"/>
      <c r="L20" s="120"/>
      <c r="M20" s="139"/>
      <c r="O20" s="37"/>
      <c r="Q20" s="148"/>
      <c r="R20" s="139"/>
      <c r="S20" s="37"/>
    </row>
    <row r="21">
      <c r="A21" s="171" t="s">
        <v>297</v>
      </c>
      <c r="B21" s="175">
        <v>90.0</v>
      </c>
      <c r="C21" s="175">
        <v>520.0</v>
      </c>
      <c r="D21" s="61">
        <f>209+150</f>
        <v>359</v>
      </c>
      <c r="E21" s="173">
        <f t="shared" si="1"/>
        <v>610</v>
      </c>
      <c r="F21" s="162">
        <f t="shared" si="2"/>
        <v>0.5885245902</v>
      </c>
      <c r="H21" s="139"/>
      <c r="K21" s="37"/>
      <c r="L21" s="120"/>
      <c r="M21" s="139"/>
      <c r="O21" s="37"/>
      <c r="P21" s="167"/>
      <c r="Q21" s="148"/>
      <c r="R21" s="139"/>
      <c r="S21" s="37"/>
    </row>
    <row r="22">
      <c r="A22" s="171" t="s">
        <v>298</v>
      </c>
      <c r="B22" s="175">
        <v>65.0</v>
      </c>
      <c r="C22" s="175">
        <v>650.0</v>
      </c>
      <c r="D22" s="61">
        <f>156+150</f>
        <v>306</v>
      </c>
      <c r="E22" s="173">
        <f t="shared" si="1"/>
        <v>715</v>
      </c>
      <c r="F22" s="162">
        <f t="shared" si="2"/>
        <v>0.427972028</v>
      </c>
      <c r="H22" s="139"/>
      <c r="K22" s="37"/>
      <c r="L22" s="120"/>
      <c r="M22" s="139"/>
      <c r="O22" s="37"/>
      <c r="P22" s="167"/>
      <c r="Q22" s="148"/>
      <c r="R22" s="139"/>
      <c r="S22" s="37"/>
    </row>
    <row r="23">
      <c r="A23" s="171" t="s">
        <v>299</v>
      </c>
      <c r="B23" s="175">
        <v>30.0</v>
      </c>
      <c r="C23" s="175">
        <v>874.0</v>
      </c>
      <c r="D23" s="61">
        <f>137+150</f>
        <v>287</v>
      </c>
      <c r="E23" s="173">
        <f t="shared" si="1"/>
        <v>904</v>
      </c>
      <c r="F23" s="162">
        <f t="shared" si="2"/>
        <v>0.3174778761</v>
      </c>
      <c r="H23" s="7"/>
      <c r="I23" s="8"/>
      <c r="J23" s="8"/>
      <c r="K23" s="9"/>
      <c r="L23" s="120"/>
      <c r="M23" s="7"/>
      <c r="N23" s="8"/>
      <c r="O23" s="9"/>
      <c r="P23" s="167"/>
      <c r="Q23" s="151"/>
      <c r="R23" s="7"/>
      <c r="S23" s="9"/>
    </row>
    <row r="24">
      <c r="A24" s="181"/>
      <c r="C24" s="163"/>
    </row>
    <row r="25">
      <c r="A25" s="131" t="s">
        <v>330</v>
      </c>
      <c r="B25" s="2"/>
      <c r="C25" s="2"/>
      <c r="D25" s="2"/>
      <c r="E25" s="2"/>
      <c r="F25" s="3"/>
      <c r="H25" s="135"/>
      <c r="I25" s="5"/>
      <c r="J25" s="5"/>
      <c r="K25" s="6"/>
      <c r="L25" s="120"/>
      <c r="M25" s="120"/>
      <c r="N25" s="120"/>
      <c r="O25" s="120"/>
    </row>
    <row r="26">
      <c r="A26" s="131" t="s">
        <v>331</v>
      </c>
      <c r="B26" s="2"/>
      <c r="C26" s="2"/>
      <c r="D26" s="2"/>
      <c r="E26" s="2"/>
      <c r="F26" s="3"/>
      <c r="H26" s="139"/>
      <c r="K26" s="37"/>
      <c r="L26" s="120"/>
      <c r="M26" s="140" t="s">
        <v>332</v>
      </c>
      <c r="N26" s="5"/>
      <c r="O26" s="6"/>
      <c r="Q26" s="141" t="s">
        <v>325</v>
      </c>
      <c r="R26" s="6"/>
      <c r="S26" s="142" t="s">
        <v>333</v>
      </c>
    </row>
    <row r="27">
      <c r="A27" s="21" t="s">
        <v>327</v>
      </c>
      <c r="B27" s="131" t="s">
        <v>277</v>
      </c>
      <c r="C27" s="2"/>
      <c r="D27" s="2"/>
      <c r="E27" s="2"/>
      <c r="F27" s="3"/>
      <c r="H27" s="139"/>
      <c r="K27" s="37"/>
      <c r="L27" s="120"/>
      <c r="M27" s="139"/>
      <c r="O27" s="37"/>
      <c r="Q27" s="139"/>
      <c r="R27" s="37"/>
      <c r="S27" s="148"/>
    </row>
    <row r="28">
      <c r="A28" s="169" t="s">
        <v>328</v>
      </c>
      <c r="B28" s="170" t="s">
        <v>279</v>
      </c>
      <c r="C28" s="170" t="s">
        <v>280</v>
      </c>
      <c r="D28" s="170" t="s">
        <v>281</v>
      </c>
      <c r="E28" s="170" t="s">
        <v>282</v>
      </c>
      <c r="F28" s="170" t="s">
        <v>283</v>
      </c>
      <c r="G28" s="181"/>
      <c r="H28" s="139"/>
      <c r="K28" s="37"/>
      <c r="L28" s="120"/>
      <c r="M28" s="139"/>
      <c r="O28" s="37"/>
      <c r="Q28" s="7"/>
      <c r="R28" s="9"/>
      <c r="S28" s="151"/>
    </row>
    <row r="29">
      <c r="A29" s="171" t="s">
        <v>292</v>
      </c>
      <c r="B29" s="61">
        <f>954+150</f>
        <v>1104</v>
      </c>
      <c r="C29" s="175">
        <v>200.0</v>
      </c>
      <c r="D29" s="174">
        <v>800.0</v>
      </c>
      <c r="E29" s="173">
        <f t="shared" ref="E29:E35" si="3">B29+C29</f>
        <v>1304</v>
      </c>
      <c r="F29" s="162">
        <f t="shared" ref="F29:F35" si="4">D29/E29</f>
        <v>0.6134969325</v>
      </c>
      <c r="H29" s="139"/>
      <c r="K29" s="37"/>
      <c r="L29" s="120"/>
      <c r="M29" s="139"/>
      <c r="O29" s="37"/>
      <c r="Q29" s="158"/>
      <c r="R29" s="121"/>
      <c r="S29" s="159"/>
    </row>
    <row r="30">
      <c r="A30" s="171" t="s">
        <v>293</v>
      </c>
      <c r="B30" s="61">
        <f>540+150</f>
        <v>690</v>
      </c>
      <c r="C30" s="61">
        <f>223+150</f>
        <v>373</v>
      </c>
      <c r="D30" s="61">
        <f>277+150+200</f>
        <v>627</v>
      </c>
      <c r="E30" s="173">
        <f t="shared" si="3"/>
        <v>1063</v>
      </c>
      <c r="F30" s="162">
        <f t="shared" si="4"/>
        <v>0.5898400753</v>
      </c>
      <c r="H30" s="139"/>
      <c r="K30" s="37"/>
      <c r="L30" s="120"/>
      <c r="M30" s="139"/>
      <c r="O30" s="37"/>
      <c r="Q30" s="164" t="s">
        <v>284</v>
      </c>
      <c r="R30" s="165" t="s">
        <v>334</v>
      </c>
      <c r="S30" s="6"/>
    </row>
    <row r="31">
      <c r="A31" s="171" t="s">
        <v>295</v>
      </c>
      <c r="B31" s="61">
        <f>402+150</f>
        <v>552</v>
      </c>
      <c r="C31" s="61">
        <f>238+150</f>
        <v>388</v>
      </c>
      <c r="D31" s="61">
        <f>262+150+120</f>
        <v>532</v>
      </c>
      <c r="E31" s="173">
        <f t="shared" si="3"/>
        <v>940</v>
      </c>
      <c r="F31" s="162">
        <f t="shared" si="4"/>
        <v>0.5659574468</v>
      </c>
      <c r="H31" s="139"/>
      <c r="K31" s="37"/>
      <c r="L31" s="120"/>
      <c r="M31" s="139"/>
      <c r="O31" s="37"/>
      <c r="Q31" s="148"/>
      <c r="R31" s="139"/>
      <c r="S31" s="37"/>
    </row>
    <row r="32">
      <c r="A32" s="171" t="s">
        <v>296</v>
      </c>
      <c r="B32" s="61">
        <f>310+150</f>
        <v>460</v>
      </c>
      <c r="C32" s="61">
        <f>272+150-50</f>
        <v>372</v>
      </c>
      <c r="D32" s="61">
        <f>228+150+80</f>
        <v>458</v>
      </c>
      <c r="E32" s="173">
        <f t="shared" si="3"/>
        <v>832</v>
      </c>
      <c r="F32" s="162">
        <f t="shared" si="4"/>
        <v>0.5504807692</v>
      </c>
      <c r="H32" s="139"/>
      <c r="K32" s="37"/>
      <c r="L32" s="120"/>
      <c r="M32" s="139"/>
      <c r="O32" s="37"/>
      <c r="Q32" s="148"/>
      <c r="R32" s="139"/>
      <c r="S32" s="37"/>
    </row>
    <row r="33">
      <c r="A33" s="171" t="s">
        <v>297</v>
      </c>
      <c r="B33" s="61">
        <f>278+150</f>
        <v>428</v>
      </c>
      <c r="C33" s="61">
        <f>291+150</f>
        <v>441</v>
      </c>
      <c r="D33" s="61">
        <f>209+150</f>
        <v>359</v>
      </c>
      <c r="E33" s="173">
        <f t="shared" si="3"/>
        <v>869</v>
      </c>
      <c r="F33" s="162">
        <f t="shared" si="4"/>
        <v>0.413118527</v>
      </c>
      <c r="H33" s="139"/>
      <c r="K33" s="37"/>
      <c r="L33" s="120"/>
      <c r="M33" s="139"/>
      <c r="O33" s="37"/>
      <c r="P33" s="167"/>
      <c r="Q33" s="148"/>
      <c r="R33" s="139"/>
      <c r="S33" s="37"/>
    </row>
    <row r="34">
      <c r="A34" s="171" t="s">
        <v>298</v>
      </c>
      <c r="B34" s="61">
        <f>202+150</f>
        <v>352</v>
      </c>
      <c r="C34" s="61">
        <f>334+150</f>
        <v>484</v>
      </c>
      <c r="D34" s="61">
        <f>156+150</f>
        <v>306</v>
      </c>
      <c r="E34" s="173">
        <f t="shared" si="3"/>
        <v>836</v>
      </c>
      <c r="F34" s="162">
        <f t="shared" si="4"/>
        <v>0.3660287081</v>
      </c>
      <c r="H34" s="139"/>
      <c r="K34" s="37"/>
      <c r="L34" s="120"/>
      <c r="M34" s="139"/>
      <c r="O34" s="37"/>
      <c r="P34" s="167"/>
      <c r="Q34" s="148"/>
      <c r="R34" s="139"/>
      <c r="S34" s="37"/>
    </row>
    <row r="35">
      <c r="A35" s="171" t="s">
        <v>299</v>
      </c>
      <c r="B35" s="61">
        <f>160+150</f>
        <v>310</v>
      </c>
      <c r="C35" s="61">
        <f>363+150</f>
        <v>513</v>
      </c>
      <c r="D35" s="61">
        <f>137+150-100</f>
        <v>187</v>
      </c>
      <c r="E35" s="173">
        <f t="shared" si="3"/>
        <v>823</v>
      </c>
      <c r="F35" s="162">
        <f t="shared" si="4"/>
        <v>0.227217497</v>
      </c>
      <c r="H35" s="7"/>
      <c r="I35" s="8"/>
      <c r="J35" s="8"/>
      <c r="K35" s="9"/>
      <c r="L35" s="120"/>
      <c r="M35" s="7"/>
      <c r="N35" s="8"/>
      <c r="O35" s="9"/>
      <c r="P35" s="167"/>
      <c r="Q35" s="151"/>
      <c r="R35" s="7"/>
      <c r="S35" s="9"/>
    </row>
    <row r="36">
      <c r="A36" s="181"/>
    </row>
    <row r="37">
      <c r="A37" s="131" t="s">
        <v>335</v>
      </c>
      <c r="B37" s="2"/>
      <c r="C37" s="2"/>
      <c r="D37" s="2"/>
      <c r="E37" s="2"/>
      <c r="F37" s="3"/>
      <c r="H37" s="135"/>
      <c r="I37" s="5"/>
      <c r="J37" s="5"/>
      <c r="K37" s="6"/>
      <c r="L37" s="120"/>
      <c r="M37" s="120"/>
      <c r="N37" s="120"/>
      <c r="O37" s="120"/>
    </row>
    <row r="38">
      <c r="A38" s="131" t="s">
        <v>336</v>
      </c>
      <c r="B38" s="2"/>
      <c r="C38" s="2"/>
      <c r="D38" s="2"/>
      <c r="E38" s="2"/>
      <c r="F38" s="3"/>
      <c r="H38" s="139"/>
      <c r="K38" s="37"/>
      <c r="L38" s="120"/>
      <c r="M38" s="140" t="s">
        <v>337</v>
      </c>
      <c r="N38" s="5"/>
      <c r="O38" s="6"/>
      <c r="Q38" s="141" t="s">
        <v>325</v>
      </c>
      <c r="R38" s="6"/>
      <c r="S38" s="142" t="s">
        <v>338</v>
      </c>
    </row>
    <row r="39">
      <c r="A39" s="21" t="s">
        <v>327</v>
      </c>
      <c r="B39" s="131" t="s">
        <v>277</v>
      </c>
      <c r="C39" s="2"/>
      <c r="D39" s="2"/>
      <c r="E39" s="2"/>
      <c r="F39" s="3"/>
      <c r="H39" s="139"/>
      <c r="K39" s="37"/>
      <c r="L39" s="120"/>
      <c r="M39" s="139"/>
      <c r="O39" s="37"/>
      <c r="Q39" s="139"/>
      <c r="R39" s="37"/>
      <c r="S39" s="148"/>
    </row>
    <row r="40">
      <c r="A40" s="169" t="s">
        <v>328</v>
      </c>
      <c r="B40" s="170" t="s">
        <v>279</v>
      </c>
      <c r="C40" s="170" t="s">
        <v>280</v>
      </c>
      <c r="D40" s="170" t="s">
        <v>281</v>
      </c>
      <c r="E40" s="170" t="s">
        <v>282</v>
      </c>
      <c r="F40" s="170" t="s">
        <v>283</v>
      </c>
      <c r="G40" s="181"/>
      <c r="H40" s="139"/>
      <c r="K40" s="37"/>
      <c r="L40" s="120"/>
      <c r="M40" s="139"/>
      <c r="O40" s="37"/>
      <c r="Q40" s="7"/>
      <c r="R40" s="9"/>
      <c r="S40" s="151"/>
    </row>
    <row r="41">
      <c r="A41" s="171" t="s">
        <v>292</v>
      </c>
      <c r="B41" s="61">
        <f>954+150</f>
        <v>1104</v>
      </c>
      <c r="C41" s="61">
        <f>192+150</f>
        <v>342</v>
      </c>
      <c r="D41" s="172">
        <f>303+300</f>
        <v>603</v>
      </c>
      <c r="E41" s="173">
        <f t="shared" ref="E41:E47" si="5">B41+C41</f>
        <v>1446</v>
      </c>
      <c r="F41" s="162">
        <f t="shared" ref="F41:F47" si="6">D41/E41</f>
        <v>0.4170124481</v>
      </c>
      <c r="H41" s="139"/>
      <c r="K41" s="37"/>
      <c r="L41" s="120"/>
      <c r="M41" s="139"/>
      <c r="O41" s="37"/>
      <c r="Q41" s="158"/>
      <c r="R41" s="121"/>
      <c r="S41" s="159"/>
    </row>
    <row r="42">
      <c r="A42" s="171" t="s">
        <v>293</v>
      </c>
      <c r="B42" s="61">
        <f>540+150</f>
        <v>690</v>
      </c>
      <c r="C42" s="61">
        <f>223+150</f>
        <v>373</v>
      </c>
      <c r="D42" s="61">
        <f>277+150</f>
        <v>427</v>
      </c>
      <c r="E42" s="173">
        <f t="shared" si="5"/>
        <v>1063</v>
      </c>
      <c r="F42" s="162">
        <f t="shared" si="6"/>
        <v>0.4016933208</v>
      </c>
      <c r="H42" s="139"/>
      <c r="K42" s="37"/>
      <c r="L42" s="120"/>
      <c r="M42" s="139"/>
      <c r="O42" s="37"/>
      <c r="Q42" s="164" t="s">
        <v>284</v>
      </c>
      <c r="R42" s="165" t="s">
        <v>339</v>
      </c>
      <c r="S42" s="6"/>
    </row>
    <row r="43">
      <c r="A43" s="171" t="s">
        <v>295</v>
      </c>
      <c r="B43" s="61">
        <f>402+150</f>
        <v>552</v>
      </c>
      <c r="C43" s="61">
        <f>238+150</f>
        <v>388</v>
      </c>
      <c r="D43" s="61">
        <f>262+150</f>
        <v>412</v>
      </c>
      <c r="E43" s="173">
        <f t="shared" si="5"/>
        <v>940</v>
      </c>
      <c r="F43" s="162">
        <f t="shared" si="6"/>
        <v>0.4382978723</v>
      </c>
      <c r="H43" s="139"/>
      <c r="K43" s="37"/>
      <c r="L43" s="120"/>
      <c r="M43" s="139"/>
      <c r="O43" s="37"/>
      <c r="Q43" s="148"/>
      <c r="R43" s="139"/>
      <c r="S43" s="37"/>
    </row>
    <row r="44">
      <c r="A44" s="171" t="s">
        <v>296</v>
      </c>
      <c r="B44" s="61">
        <f>310+150</f>
        <v>460</v>
      </c>
      <c r="C44" s="61">
        <f>272+150</f>
        <v>422</v>
      </c>
      <c r="D44" s="61">
        <f>228+150</f>
        <v>378</v>
      </c>
      <c r="E44" s="173">
        <f t="shared" si="5"/>
        <v>882</v>
      </c>
      <c r="F44" s="162">
        <f t="shared" si="6"/>
        <v>0.4285714286</v>
      </c>
      <c r="H44" s="139"/>
      <c r="K44" s="37"/>
      <c r="L44" s="120"/>
      <c r="M44" s="139"/>
      <c r="O44" s="37"/>
      <c r="Q44" s="148"/>
      <c r="R44" s="139"/>
      <c r="S44" s="37"/>
    </row>
    <row r="45">
      <c r="A45" s="171" t="s">
        <v>297</v>
      </c>
      <c r="B45" s="61">
        <f>278+150</f>
        <v>428</v>
      </c>
      <c r="C45" s="61">
        <f>291+150</f>
        <v>441</v>
      </c>
      <c r="D45" s="61">
        <f>209+150</f>
        <v>359</v>
      </c>
      <c r="E45" s="173">
        <f t="shared" si="5"/>
        <v>869</v>
      </c>
      <c r="F45" s="162">
        <f t="shared" si="6"/>
        <v>0.413118527</v>
      </c>
      <c r="H45" s="139"/>
      <c r="K45" s="37"/>
      <c r="L45" s="120"/>
      <c r="M45" s="139"/>
      <c r="O45" s="37"/>
      <c r="P45" s="167"/>
      <c r="Q45" s="148"/>
      <c r="R45" s="139"/>
      <c r="S45" s="37"/>
    </row>
    <row r="46">
      <c r="A46" s="171" t="s">
        <v>298</v>
      </c>
      <c r="B46" s="61">
        <f>202+150</f>
        <v>352</v>
      </c>
      <c r="C46" s="61">
        <f>334+150</f>
        <v>484</v>
      </c>
      <c r="D46" s="61">
        <f>156+150</f>
        <v>306</v>
      </c>
      <c r="E46" s="173">
        <f t="shared" si="5"/>
        <v>836</v>
      </c>
      <c r="F46" s="162">
        <f t="shared" si="6"/>
        <v>0.3660287081</v>
      </c>
      <c r="H46" s="139"/>
      <c r="K46" s="37"/>
      <c r="L46" s="120"/>
      <c r="M46" s="139"/>
      <c r="O46" s="37"/>
      <c r="P46" s="167"/>
      <c r="Q46" s="148"/>
      <c r="R46" s="139"/>
      <c r="S46" s="37"/>
    </row>
    <row r="47">
      <c r="A47" s="171" t="s">
        <v>299</v>
      </c>
      <c r="B47" s="61">
        <f>160+150</f>
        <v>310</v>
      </c>
      <c r="C47" s="61">
        <f>363+150</f>
        <v>513</v>
      </c>
      <c r="D47" s="61">
        <f>137+150</f>
        <v>287</v>
      </c>
      <c r="E47" s="173">
        <f t="shared" si="5"/>
        <v>823</v>
      </c>
      <c r="F47" s="162">
        <f t="shared" si="6"/>
        <v>0.3487241798</v>
      </c>
      <c r="H47" s="7"/>
      <c r="I47" s="8"/>
      <c r="J47" s="8"/>
      <c r="K47" s="9"/>
      <c r="L47" s="120"/>
      <c r="M47" s="7"/>
      <c r="N47" s="8"/>
      <c r="O47" s="9"/>
      <c r="P47" s="167"/>
      <c r="Q47" s="151"/>
      <c r="R47" s="7"/>
      <c r="S47" s="9"/>
    </row>
    <row r="48">
      <c r="A48" s="181"/>
    </row>
    <row r="49">
      <c r="A49" s="181"/>
      <c r="R49" s="147" t="s">
        <v>306</v>
      </c>
      <c r="S49" s="147" t="s">
        <v>307</v>
      </c>
    </row>
    <row r="50">
      <c r="A50" s="181"/>
      <c r="P50" s="141" t="s">
        <v>340</v>
      </c>
      <c r="Q50" s="6"/>
      <c r="R50" s="178" t="s">
        <v>322</v>
      </c>
      <c r="S50" s="178" t="s">
        <v>341</v>
      </c>
    </row>
    <row r="51">
      <c r="A51" s="181"/>
      <c r="P51" s="139"/>
      <c r="Q51" s="37"/>
      <c r="R51" s="148"/>
      <c r="S51" s="148"/>
    </row>
    <row r="52">
      <c r="A52" s="181"/>
      <c r="P52" s="139"/>
      <c r="Q52" s="37"/>
      <c r="R52" s="148"/>
      <c r="S52" s="148"/>
    </row>
    <row r="53">
      <c r="A53" s="181"/>
      <c r="P53" s="139"/>
      <c r="Q53" s="37"/>
      <c r="R53" s="148"/>
      <c r="S53" s="148"/>
    </row>
    <row r="54">
      <c r="A54" s="181"/>
      <c r="P54" s="139"/>
      <c r="Q54" s="37"/>
      <c r="R54" s="148"/>
      <c r="S54" s="148"/>
    </row>
    <row r="55">
      <c r="A55" s="181"/>
      <c r="P55" s="7"/>
      <c r="Q55" s="9"/>
      <c r="R55" s="151"/>
      <c r="S55" s="151"/>
    </row>
    <row r="56">
      <c r="A56" s="181"/>
      <c r="Q56" s="121"/>
      <c r="R56" s="121"/>
      <c r="S56" s="121"/>
    </row>
    <row r="57">
      <c r="A57" s="181"/>
      <c r="Q57" s="121"/>
      <c r="R57" s="121"/>
      <c r="S57" s="121"/>
    </row>
    <row r="58">
      <c r="A58" s="181"/>
      <c r="Q58" s="164" t="s">
        <v>342</v>
      </c>
      <c r="R58" s="165" t="s">
        <v>343</v>
      </c>
      <c r="S58" s="6"/>
    </row>
    <row r="59">
      <c r="A59" s="181"/>
      <c r="Q59" s="148"/>
      <c r="R59" s="139"/>
      <c r="S59" s="37"/>
    </row>
    <row r="60">
      <c r="A60" s="181"/>
      <c r="Q60" s="148"/>
      <c r="R60" s="139"/>
      <c r="S60" s="37"/>
    </row>
    <row r="61">
      <c r="A61" s="181"/>
      <c r="Q61" s="148"/>
      <c r="R61" s="139"/>
      <c r="S61" s="37"/>
    </row>
    <row r="62">
      <c r="A62" s="181"/>
      <c r="Q62" s="148"/>
      <c r="R62" s="139"/>
      <c r="S62" s="37"/>
    </row>
    <row r="63">
      <c r="A63" s="181"/>
      <c r="Q63" s="151"/>
      <c r="R63" s="7"/>
      <c r="S63" s="9"/>
    </row>
  </sheetData>
  <mergeCells count="43">
    <mergeCell ref="R50:R55"/>
    <mergeCell ref="S50:S55"/>
    <mergeCell ref="Q58:Q63"/>
    <mergeCell ref="R58:S63"/>
    <mergeCell ref="Q18:Q23"/>
    <mergeCell ref="Q30:Q35"/>
    <mergeCell ref="Q38:R40"/>
    <mergeCell ref="S38:S40"/>
    <mergeCell ref="Q42:Q47"/>
    <mergeCell ref="R42:S47"/>
    <mergeCell ref="P50:Q55"/>
    <mergeCell ref="A1:S1"/>
    <mergeCell ref="A2:I2"/>
    <mergeCell ref="A3:I3"/>
    <mergeCell ref="A4:I4"/>
    <mergeCell ref="A5:I5"/>
    <mergeCell ref="A6:I6"/>
    <mergeCell ref="A7:I7"/>
    <mergeCell ref="B15:F15"/>
    <mergeCell ref="A25:F25"/>
    <mergeCell ref="A14:F14"/>
    <mergeCell ref="A26:F26"/>
    <mergeCell ref="M14:O23"/>
    <mergeCell ref="Q14:R16"/>
    <mergeCell ref="S14:S16"/>
    <mergeCell ref="R18:S23"/>
    <mergeCell ref="M26:O35"/>
    <mergeCell ref="Q26:R28"/>
    <mergeCell ref="S26:S28"/>
    <mergeCell ref="R30:S35"/>
    <mergeCell ref="B27:F27"/>
    <mergeCell ref="A37:F37"/>
    <mergeCell ref="H37:K47"/>
    <mergeCell ref="A38:F38"/>
    <mergeCell ref="M38:O47"/>
    <mergeCell ref="B39:F39"/>
    <mergeCell ref="A8:I8"/>
    <mergeCell ref="A9:I9"/>
    <mergeCell ref="A10:I10"/>
    <mergeCell ref="A11:I11"/>
    <mergeCell ref="A13:F13"/>
    <mergeCell ref="H13:K23"/>
    <mergeCell ref="H25:K3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11.57"/>
    <col customWidth="1" min="3" max="3" width="17.43"/>
    <col customWidth="1" min="4" max="4" width="18.0"/>
    <col customWidth="1" min="5" max="5" width="9.0"/>
    <col customWidth="1" min="6" max="6" width="11.43"/>
    <col customWidth="1" min="19" max="19" width="27.0"/>
  </cols>
  <sheetData>
    <row r="1">
      <c r="A1" s="119" t="s">
        <v>19</v>
      </c>
      <c r="B1" s="2"/>
      <c r="C1" s="2"/>
      <c r="D1" s="2"/>
      <c r="E1" s="2"/>
      <c r="F1" s="2"/>
      <c r="G1" s="2"/>
      <c r="H1" s="2"/>
      <c r="I1" s="2"/>
      <c r="J1" s="2"/>
      <c r="K1" s="2"/>
      <c r="L1" s="2"/>
      <c r="M1" s="2"/>
      <c r="N1" s="2"/>
      <c r="O1" s="2"/>
      <c r="P1" s="2"/>
      <c r="Q1" s="2"/>
      <c r="R1" s="2"/>
      <c r="S1" s="3"/>
    </row>
    <row r="2">
      <c r="A2" s="108" t="s">
        <v>344</v>
      </c>
      <c r="B2" s="2"/>
      <c r="C2" s="2"/>
      <c r="D2" s="2"/>
      <c r="E2" s="2"/>
      <c r="F2" s="2"/>
      <c r="G2" s="2"/>
      <c r="H2" s="2"/>
      <c r="I2" s="2"/>
      <c r="J2" s="3"/>
      <c r="K2" s="120"/>
      <c r="L2" s="120"/>
      <c r="M2" s="120"/>
      <c r="N2" s="120"/>
      <c r="O2" s="120"/>
      <c r="P2" s="120"/>
      <c r="R2" s="121"/>
      <c r="S2" s="121"/>
    </row>
    <row r="3">
      <c r="A3" s="109" t="s">
        <v>345</v>
      </c>
      <c r="B3" s="2"/>
      <c r="C3" s="2"/>
      <c r="D3" s="2"/>
      <c r="E3" s="2"/>
      <c r="F3" s="2"/>
      <c r="G3" s="2"/>
      <c r="H3" s="2"/>
      <c r="I3" s="2"/>
      <c r="J3" s="3"/>
      <c r="K3" s="120"/>
      <c r="L3" s="120"/>
      <c r="M3" s="120"/>
      <c r="N3" s="120"/>
      <c r="O3" s="120"/>
      <c r="P3" s="120"/>
      <c r="R3" s="121"/>
      <c r="S3" s="121"/>
    </row>
    <row r="4">
      <c r="A4" s="11" t="s">
        <v>346</v>
      </c>
      <c r="B4" s="8"/>
      <c r="C4" s="8"/>
      <c r="D4" s="8"/>
      <c r="E4" s="8"/>
      <c r="F4" s="8"/>
      <c r="G4" s="8"/>
      <c r="H4" s="8"/>
      <c r="I4" s="8"/>
      <c r="J4" s="9"/>
      <c r="K4" s="120"/>
      <c r="L4" s="120"/>
      <c r="M4" s="120"/>
      <c r="N4" s="120"/>
      <c r="O4" s="120"/>
      <c r="P4" s="120"/>
      <c r="R4" s="121"/>
      <c r="S4" s="121"/>
    </row>
    <row r="5">
      <c r="A5" s="108" t="s">
        <v>347</v>
      </c>
      <c r="B5" s="2"/>
      <c r="C5" s="2"/>
      <c r="D5" s="2"/>
      <c r="E5" s="2"/>
      <c r="F5" s="2"/>
      <c r="G5" s="2"/>
      <c r="H5" s="2"/>
      <c r="I5" s="2"/>
      <c r="J5" s="3"/>
      <c r="K5" s="120"/>
      <c r="L5" s="120"/>
      <c r="M5" s="120"/>
      <c r="N5" s="120"/>
      <c r="O5" s="120"/>
      <c r="P5" s="120"/>
      <c r="R5" s="121"/>
      <c r="S5" s="121"/>
    </row>
    <row r="6">
      <c r="A6" s="180" t="s">
        <v>348</v>
      </c>
      <c r="B6" s="2"/>
      <c r="C6" s="2"/>
      <c r="D6" s="2"/>
      <c r="E6" s="2"/>
      <c r="F6" s="2"/>
      <c r="G6" s="2"/>
      <c r="H6" s="2"/>
      <c r="I6" s="2"/>
      <c r="J6" s="3"/>
      <c r="K6" s="123"/>
      <c r="L6" s="123"/>
      <c r="M6" s="123"/>
      <c r="N6" s="123"/>
      <c r="O6" s="123"/>
      <c r="P6" s="120"/>
      <c r="R6" s="121"/>
      <c r="S6" s="121"/>
    </row>
    <row r="7">
      <c r="A7" s="180" t="s">
        <v>349</v>
      </c>
      <c r="B7" s="2"/>
      <c r="C7" s="2"/>
      <c r="D7" s="2"/>
      <c r="E7" s="2"/>
      <c r="F7" s="2"/>
      <c r="G7" s="2"/>
      <c r="H7" s="2"/>
      <c r="I7" s="2"/>
      <c r="J7" s="3"/>
      <c r="K7" s="123"/>
      <c r="L7" s="123"/>
      <c r="M7" s="123"/>
      <c r="N7" s="123"/>
      <c r="O7" s="123"/>
      <c r="P7" s="120"/>
      <c r="R7" s="121"/>
      <c r="S7" s="121"/>
    </row>
    <row r="8">
      <c r="A8" s="180" t="s">
        <v>350</v>
      </c>
      <c r="B8" s="2"/>
      <c r="C8" s="2"/>
      <c r="D8" s="2"/>
      <c r="E8" s="2"/>
      <c r="F8" s="2"/>
      <c r="G8" s="2"/>
      <c r="H8" s="2"/>
      <c r="I8" s="2"/>
      <c r="J8" s="3"/>
      <c r="K8" s="123"/>
      <c r="L8" s="123"/>
      <c r="M8" s="123"/>
      <c r="N8" s="123"/>
      <c r="O8" s="123"/>
      <c r="P8" s="120"/>
      <c r="R8" s="121"/>
      <c r="S8" s="121"/>
    </row>
    <row r="9">
      <c r="A9" s="180" t="s">
        <v>351</v>
      </c>
      <c r="B9" s="2"/>
      <c r="C9" s="2"/>
      <c r="D9" s="2"/>
      <c r="E9" s="2"/>
      <c r="F9" s="2"/>
      <c r="G9" s="2"/>
      <c r="H9" s="2"/>
      <c r="I9" s="2"/>
      <c r="J9" s="3"/>
      <c r="K9" s="123"/>
      <c r="L9" s="123"/>
      <c r="M9" s="123"/>
      <c r="N9" s="123"/>
      <c r="O9" s="123"/>
      <c r="P9" s="120"/>
      <c r="R9" s="121"/>
      <c r="S9" s="121"/>
    </row>
    <row r="10">
      <c r="A10" s="180" t="s">
        <v>352</v>
      </c>
      <c r="B10" s="2"/>
      <c r="C10" s="2"/>
      <c r="D10" s="2"/>
      <c r="E10" s="2"/>
      <c r="F10" s="2"/>
      <c r="G10" s="2"/>
      <c r="H10" s="2"/>
      <c r="I10" s="2"/>
      <c r="J10" s="3"/>
      <c r="K10" s="123"/>
      <c r="L10" s="123"/>
      <c r="M10" s="123"/>
      <c r="N10" s="123"/>
      <c r="O10" s="123"/>
      <c r="P10" s="120"/>
    </row>
    <row r="11">
      <c r="A11" s="126" t="s">
        <v>37</v>
      </c>
      <c r="J11" s="134"/>
      <c r="K11" s="134"/>
      <c r="L11" s="134"/>
      <c r="M11" s="134"/>
      <c r="N11" s="134"/>
      <c r="O11" s="134"/>
      <c r="P11" s="120"/>
      <c r="R11" s="121"/>
      <c r="S11" s="121"/>
    </row>
    <row r="12">
      <c r="A12" s="131" t="s">
        <v>353</v>
      </c>
      <c r="B12" s="2"/>
      <c r="C12" s="2"/>
      <c r="D12" s="2"/>
      <c r="E12" s="2"/>
      <c r="F12" s="3"/>
      <c r="H12" s="183"/>
      <c r="I12" s="5"/>
      <c r="J12" s="5"/>
      <c r="K12" s="6"/>
      <c r="L12" s="120"/>
      <c r="M12" s="120"/>
      <c r="N12" s="120"/>
      <c r="O12" s="120"/>
    </row>
    <row r="13">
      <c r="A13" s="131" t="s">
        <v>354</v>
      </c>
      <c r="B13" s="2"/>
      <c r="C13" s="2"/>
      <c r="D13" s="2"/>
      <c r="E13" s="2"/>
      <c r="F13" s="3"/>
      <c r="H13" s="139"/>
      <c r="K13" s="37"/>
      <c r="L13" s="120"/>
      <c r="M13" s="140" t="s">
        <v>355</v>
      </c>
      <c r="N13" s="5"/>
      <c r="O13" s="6"/>
      <c r="Q13" s="141" t="s">
        <v>356</v>
      </c>
      <c r="R13" s="6"/>
      <c r="S13" s="142" t="s">
        <v>357</v>
      </c>
    </row>
    <row r="14">
      <c r="A14" s="21" t="s">
        <v>327</v>
      </c>
      <c r="B14" s="131" t="s">
        <v>277</v>
      </c>
      <c r="C14" s="2"/>
      <c r="D14" s="2"/>
      <c r="E14" s="2"/>
      <c r="F14" s="3"/>
      <c r="H14" s="139"/>
      <c r="K14" s="37"/>
      <c r="L14" s="120"/>
      <c r="M14" s="139"/>
      <c r="O14" s="37"/>
      <c r="Q14" s="139"/>
      <c r="R14" s="37"/>
      <c r="S14" s="148"/>
    </row>
    <row r="15">
      <c r="A15" s="169" t="s">
        <v>328</v>
      </c>
      <c r="B15" s="170" t="s">
        <v>279</v>
      </c>
      <c r="C15" s="170" t="s">
        <v>280</v>
      </c>
      <c r="D15" s="170" t="s">
        <v>281</v>
      </c>
      <c r="E15" s="170" t="s">
        <v>282</v>
      </c>
      <c r="F15" s="170" t="s">
        <v>283</v>
      </c>
      <c r="G15" s="181"/>
      <c r="H15" s="139"/>
      <c r="K15" s="37"/>
      <c r="L15" s="120"/>
      <c r="M15" s="139"/>
      <c r="O15" s="37"/>
      <c r="Q15" s="7"/>
      <c r="R15" s="9"/>
      <c r="S15" s="151"/>
    </row>
    <row r="16">
      <c r="A16" s="171" t="s">
        <v>292</v>
      </c>
      <c r="B16" s="61">
        <f>954+150+100</f>
        <v>1204</v>
      </c>
      <c r="C16" s="61">
        <f>192+150</f>
        <v>342</v>
      </c>
      <c r="D16" s="172">
        <f>303+300</f>
        <v>603</v>
      </c>
      <c r="E16" s="173">
        <f t="shared" ref="E16:E22" si="1">B16+C16</f>
        <v>1546</v>
      </c>
      <c r="F16" s="156">
        <v>0.39</v>
      </c>
      <c r="H16" s="139"/>
      <c r="K16" s="37"/>
      <c r="L16" s="120"/>
      <c r="M16" s="139"/>
      <c r="O16" s="37"/>
      <c r="Q16" s="158"/>
      <c r="R16" s="121"/>
      <c r="S16" s="159"/>
    </row>
    <row r="17">
      <c r="A17" s="171" t="s">
        <v>293</v>
      </c>
      <c r="B17" s="61">
        <f>540+150+100</f>
        <v>790</v>
      </c>
      <c r="C17" s="61">
        <f>223+150</f>
        <v>373</v>
      </c>
      <c r="D17" s="61">
        <f>277+150</f>
        <v>427</v>
      </c>
      <c r="E17" s="173">
        <f t="shared" si="1"/>
        <v>1163</v>
      </c>
      <c r="F17" s="162">
        <f t="shared" ref="F17:F22" si="2">D17/E17</f>
        <v>0.3671539123</v>
      </c>
      <c r="H17" s="139"/>
      <c r="K17" s="37"/>
      <c r="L17" s="120"/>
      <c r="M17" s="139"/>
      <c r="O17" s="37"/>
      <c r="Q17" s="164" t="s">
        <v>284</v>
      </c>
      <c r="R17" s="165" t="s">
        <v>358</v>
      </c>
      <c r="S17" s="6"/>
    </row>
    <row r="18">
      <c r="A18" s="171" t="s">
        <v>295</v>
      </c>
      <c r="B18" s="61">
        <f>402+150+100</f>
        <v>652</v>
      </c>
      <c r="C18" s="61">
        <f>238+150</f>
        <v>388</v>
      </c>
      <c r="D18" s="61">
        <f>262+150</f>
        <v>412</v>
      </c>
      <c r="E18" s="173">
        <f t="shared" si="1"/>
        <v>1040</v>
      </c>
      <c r="F18" s="162">
        <f t="shared" si="2"/>
        <v>0.3961538462</v>
      </c>
      <c r="H18" s="139"/>
      <c r="K18" s="37"/>
      <c r="L18" s="120"/>
      <c r="M18" s="139"/>
      <c r="O18" s="37"/>
      <c r="Q18" s="148"/>
      <c r="R18" s="139"/>
      <c r="S18" s="37"/>
    </row>
    <row r="19">
      <c r="A19" s="171" t="s">
        <v>296</v>
      </c>
      <c r="B19" s="61">
        <f>310+150+100</f>
        <v>560</v>
      </c>
      <c r="C19" s="61">
        <f>272+150</f>
        <v>422</v>
      </c>
      <c r="D19" s="61">
        <f>228+150</f>
        <v>378</v>
      </c>
      <c r="E19" s="173">
        <f t="shared" si="1"/>
        <v>982</v>
      </c>
      <c r="F19" s="162">
        <f t="shared" si="2"/>
        <v>0.3849287169</v>
      </c>
      <c r="H19" s="139"/>
      <c r="K19" s="37"/>
      <c r="L19" s="120"/>
      <c r="M19" s="139"/>
      <c r="O19" s="37"/>
      <c r="Q19" s="148"/>
      <c r="R19" s="139"/>
      <c r="S19" s="37"/>
    </row>
    <row r="20">
      <c r="A20" s="171" t="s">
        <v>297</v>
      </c>
      <c r="B20" s="61">
        <f>278+150+100</f>
        <v>528</v>
      </c>
      <c r="C20" s="61">
        <f>291+150</f>
        <v>441</v>
      </c>
      <c r="D20" s="61">
        <f>209+150</f>
        <v>359</v>
      </c>
      <c r="E20" s="173">
        <f t="shared" si="1"/>
        <v>969</v>
      </c>
      <c r="F20" s="162">
        <f t="shared" si="2"/>
        <v>0.3704850361</v>
      </c>
      <c r="H20" s="139"/>
      <c r="K20" s="37"/>
      <c r="L20" s="120"/>
      <c r="M20" s="139"/>
      <c r="O20" s="37"/>
      <c r="P20" s="167"/>
      <c r="Q20" s="148"/>
      <c r="R20" s="139"/>
      <c r="S20" s="37"/>
    </row>
    <row r="21">
      <c r="A21" s="171" t="s">
        <v>298</v>
      </c>
      <c r="B21" s="61">
        <f>202+150+100</f>
        <v>452</v>
      </c>
      <c r="C21" s="61">
        <f>334+150</f>
        <v>484</v>
      </c>
      <c r="D21" s="61">
        <f>156+150</f>
        <v>306</v>
      </c>
      <c r="E21" s="173">
        <f t="shared" si="1"/>
        <v>936</v>
      </c>
      <c r="F21" s="162">
        <f t="shared" si="2"/>
        <v>0.3269230769</v>
      </c>
      <c r="H21" s="139"/>
      <c r="K21" s="37"/>
      <c r="L21" s="120"/>
      <c r="M21" s="139"/>
      <c r="O21" s="37"/>
      <c r="P21" s="167"/>
      <c r="Q21" s="148"/>
      <c r="R21" s="139"/>
      <c r="S21" s="37"/>
    </row>
    <row r="22">
      <c r="A22" s="171" t="s">
        <v>299</v>
      </c>
      <c r="B22" s="61">
        <f>160+150+100</f>
        <v>410</v>
      </c>
      <c r="C22" s="61">
        <f>363+150</f>
        <v>513</v>
      </c>
      <c r="D22" s="61">
        <f>137+150</f>
        <v>287</v>
      </c>
      <c r="E22" s="173">
        <f t="shared" si="1"/>
        <v>923</v>
      </c>
      <c r="F22" s="162">
        <f t="shared" si="2"/>
        <v>0.3109425785</v>
      </c>
      <c r="H22" s="7"/>
      <c r="I22" s="8"/>
      <c r="J22" s="8"/>
      <c r="K22" s="9"/>
      <c r="L22" s="120"/>
      <c r="M22" s="7"/>
      <c r="N22" s="8"/>
      <c r="O22" s="9"/>
      <c r="P22" s="167"/>
      <c r="Q22" s="151"/>
      <c r="R22" s="7"/>
      <c r="S22" s="9"/>
    </row>
    <row r="23">
      <c r="A23" s="181"/>
      <c r="C23" s="163"/>
    </row>
    <row r="24">
      <c r="A24" s="131" t="s">
        <v>359</v>
      </c>
      <c r="B24" s="2"/>
      <c r="C24" s="2"/>
      <c r="D24" s="2"/>
      <c r="E24" s="2"/>
      <c r="F24" s="3"/>
      <c r="H24" s="183"/>
      <c r="I24" s="5"/>
      <c r="J24" s="5"/>
      <c r="K24" s="6"/>
      <c r="L24" s="120"/>
      <c r="M24" s="120"/>
      <c r="N24" s="120"/>
      <c r="O24" s="120"/>
    </row>
    <row r="25">
      <c r="A25" s="131" t="s">
        <v>360</v>
      </c>
      <c r="B25" s="2"/>
      <c r="C25" s="2"/>
      <c r="D25" s="2"/>
      <c r="E25" s="2"/>
      <c r="F25" s="3"/>
      <c r="H25" s="139"/>
      <c r="K25" s="37"/>
      <c r="L25" s="120"/>
      <c r="M25" s="140" t="s">
        <v>361</v>
      </c>
      <c r="N25" s="5"/>
      <c r="O25" s="6"/>
      <c r="Q25" s="141" t="s">
        <v>356</v>
      </c>
      <c r="R25" s="6"/>
      <c r="S25" s="142" t="s">
        <v>362</v>
      </c>
    </row>
    <row r="26">
      <c r="A26" s="21" t="s">
        <v>327</v>
      </c>
      <c r="B26" s="131" t="s">
        <v>277</v>
      </c>
      <c r="C26" s="2"/>
      <c r="D26" s="2"/>
      <c r="E26" s="2"/>
      <c r="F26" s="3"/>
      <c r="H26" s="139"/>
      <c r="K26" s="37"/>
      <c r="L26" s="120"/>
      <c r="M26" s="139"/>
      <c r="O26" s="37"/>
      <c r="Q26" s="139"/>
      <c r="R26" s="37"/>
      <c r="S26" s="148"/>
    </row>
    <row r="27">
      <c r="A27" s="169" t="s">
        <v>328</v>
      </c>
      <c r="B27" s="170" t="s">
        <v>279</v>
      </c>
      <c r="C27" s="170" t="s">
        <v>280</v>
      </c>
      <c r="D27" s="170" t="s">
        <v>281</v>
      </c>
      <c r="E27" s="170" t="s">
        <v>282</v>
      </c>
      <c r="F27" s="170" t="s">
        <v>283</v>
      </c>
      <c r="G27" s="181"/>
      <c r="H27" s="139"/>
      <c r="K27" s="37"/>
      <c r="L27" s="120"/>
      <c r="M27" s="139"/>
      <c r="O27" s="37"/>
      <c r="Q27" s="7"/>
      <c r="R27" s="9"/>
      <c r="S27" s="151"/>
    </row>
    <row r="28">
      <c r="A28" s="171" t="s">
        <v>292</v>
      </c>
      <c r="B28" s="61">
        <f>954+150+100</f>
        <v>1204</v>
      </c>
      <c r="C28" s="175">
        <v>200.0</v>
      </c>
      <c r="D28" s="174">
        <v>800.0</v>
      </c>
      <c r="E28" s="173">
        <f t="shared" ref="E28:E34" si="3">B28+C28</f>
        <v>1404</v>
      </c>
      <c r="F28" s="162">
        <f t="shared" ref="F28:F34" si="4">D28/E28</f>
        <v>0.5698005698</v>
      </c>
      <c r="H28" s="139"/>
      <c r="K28" s="37"/>
      <c r="L28" s="120"/>
      <c r="M28" s="139"/>
      <c r="O28" s="37"/>
      <c r="Q28" s="158"/>
      <c r="R28" s="121"/>
      <c r="S28" s="159"/>
    </row>
    <row r="29">
      <c r="A29" s="171" t="s">
        <v>293</v>
      </c>
      <c r="B29" s="61">
        <f>540+150+100</f>
        <v>790</v>
      </c>
      <c r="C29" s="61">
        <f>223+150</f>
        <v>373</v>
      </c>
      <c r="D29" s="61">
        <f>277+150+200</f>
        <v>627</v>
      </c>
      <c r="E29" s="173">
        <f t="shared" si="3"/>
        <v>1163</v>
      </c>
      <c r="F29" s="162">
        <f t="shared" si="4"/>
        <v>0.5391229579</v>
      </c>
      <c r="H29" s="139"/>
      <c r="K29" s="37"/>
      <c r="L29" s="120"/>
      <c r="M29" s="139"/>
      <c r="O29" s="37"/>
      <c r="Q29" s="164" t="s">
        <v>284</v>
      </c>
      <c r="R29" s="165" t="s">
        <v>363</v>
      </c>
      <c r="S29" s="6"/>
    </row>
    <row r="30">
      <c r="A30" s="171" t="s">
        <v>295</v>
      </c>
      <c r="B30" s="175">
        <v>620.0</v>
      </c>
      <c r="C30" s="61">
        <f>238+150</f>
        <v>388</v>
      </c>
      <c r="D30" s="61">
        <f>262+150+120</f>
        <v>532</v>
      </c>
      <c r="E30" s="173">
        <f t="shared" si="3"/>
        <v>1008</v>
      </c>
      <c r="F30" s="162">
        <f t="shared" si="4"/>
        <v>0.5277777778</v>
      </c>
      <c r="H30" s="139"/>
      <c r="K30" s="37"/>
      <c r="L30" s="120"/>
      <c r="M30" s="139"/>
      <c r="O30" s="37"/>
      <c r="Q30" s="148"/>
      <c r="R30" s="139"/>
      <c r="S30" s="37"/>
    </row>
    <row r="31">
      <c r="A31" s="171" t="s">
        <v>296</v>
      </c>
      <c r="B31" s="175">
        <v>510.0</v>
      </c>
      <c r="C31" s="61">
        <f>272+150-50</f>
        <v>372</v>
      </c>
      <c r="D31" s="61">
        <f>228+150+80</f>
        <v>458</v>
      </c>
      <c r="E31" s="173">
        <f t="shared" si="3"/>
        <v>882</v>
      </c>
      <c r="F31" s="162">
        <f t="shared" si="4"/>
        <v>0.5192743764</v>
      </c>
      <c r="H31" s="139"/>
      <c r="K31" s="37"/>
      <c r="L31" s="120"/>
      <c r="M31" s="139"/>
      <c r="O31" s="37"/>
      <c r="Q31" s="148"/>
      <c r="R31" s="139"/>
      <c r="S31" s="37"/>
    </row>
    <row r="32">
      <c r="A32" s="171" t="s">
        <v>297</v>
      </c>
      <c r="B32" s="175">
        <v>272.0</v>
      </c>
      <c r="C32" s="61">
        <f>291+150</f>
        <v>441</v>
      </c>
      <c r="D32" s="61">
        <f>209+150</f>
        <v>359</v>
      </c>
      <c r="E32" s="173">
        <f t="shared" si="3"/>
        <v>713</v>
      </c>
      <c r="F32" s="162">
        <f t="shared" si="4"/>
        <v>0.5035063114</v>
      </c>
      <c r="H32" s="139"/>
      <c r="K32" s="37"/>
      <c r="L32" s="120"/>
      <c r="M32" s="139"/>
      <c r="O32" s="37"/>
      <c r="P32" s="167"/>
      <c r="Q32" s="148"/>
      <c r="R32" s="139"/>
      <c r="S32" s="37"/>
    </row>
    <row r="33">
      <c r="A33" s="171" t="s">
        <v>298</v>
      </c>
      <c r="B33" s="175">
        <v>135.0</v>
      </c>
      <c r="C33" s="61">
        <f>334+150</f>
        <v>484</v>
      </c>
      <c r="D33" s="61">
        <f>156+150</f>
        <v>306</v>
      </c>
      <c r="E33" s="173">
        <f t="shared" si="3"/>
        <v>619</v>
      </c>
      <c r="F33" s="162">
        <f t="shared" si="4"/>
        <v>0.4943457189</v>
      </c>
      <c r="H33" s="139"/>
      <c r="K33" s="37"/>
      <c r="L33" s="120"/>
      <c r="M33" s="139"/>
      <c r="O33" s="37"/>
      <c r="P33" s="167"/>
      <c r="Q33" s="148"/>
      <c r="R33" s="139"/>
      <c r="S33" s="37"/>
    </row>
    <row r="34">
      <c r="A34" s="171" t="s">
        <v>299</v>
      </c>
      <c r="B34" s="175">
        <v>50.0</v>
      </c>
      <c r="C34" s="175">
        <v>590.0</v>
      </c>
      <c r="D34" s="175">
        <v>300.0</v>
      </c>
      <c r="E34" s="173">
        <f t="shared" si="3"/>
        <v>640</v>
      </c>
      <c r="F34" s="162">
        <f t="shared" si="4"/>
        <v>0.46875</v>
      </c>
      <c r="H34" s="7"/>
      <c r="I34" s="8"/>
      <c r="J34" s="8"/>
      <c r="K34" s="9"/>
      <c r="L34" s="120"/>
      <c r="M34" s="7"/>
      <c r="N34" s="8"/>
      <c r="O34" s="9"/>
      <c r="P34" s="167"/>
      <c r="Q34" s="151"/>
      <c r="R34" s="7"/>
      <c r="S34" s="9"/>
    </row>
    <row r="35">
      <c r="A35" s="181"/>
    </row>
    <row r="36">
      <c r="A36" s="131" t="s">
        <v>364</v>
      </c>
      <c r="B36" s="2"/>
      <c r="C36" s="2"/>
      <c r="D36" s="2"/>
      <c r="E36" s="2"/>
      <c r="F36" s="3"/>
      <c r="H36" s="183"/>
      <c r="I36" s="5"/>
      <c r="J36" s="5"/>
      <c r="K36" s="6"/>
      <c r="L36" s="120"/>
      <c r="M36" s="120"/>
      <c r="N36" s="120"/>
      <c r="O36" s="120"/>
    </row>
    <row r="37">
      <c r="A37" s="131" t="s">
        <v>365</v>
      </c>
      <c r="B37" s="2"/>
      <c r="C37" s="2"/>
      <c r="D37" s="2"/>
      <c r="E37" s="2"/>
      <c r="F37" s="3"/>
      <c r="H37" s="139"/>
      <c r="K37" s="37"/>
      <c r="L37" s="120"/>
      <c r="M37" s="140" t="s">
        <v>366</v>
      </c>
      <c r="N37" s="5"/>
      <c r="O37" s="6"/>
      <c r="Q37" s="141" t="s">
        <v>356</v>
      </c>
      <c r="R37" s="6"/>
      <c r="S37" s="142" t="s">
        <v>367</v>
      </c>
    </row>
    <row r="38">
      <c r="A38" s="21" t="s">
        <v>327</v>
      </c>
      <c r="B38" s="131" t="s">
        <v>277</v>
      </c>
      <c r="C38" s="2"/>
      <c r="D38" s="2"/>
      <c r="E38" s="2"/>
      <c r="F38" s="3"/>
      <c r="H38" s="139"/>
      <c r="K38" s="37"/>
      <c r="L38" s="120"/>
      <c r="M38" s="139"/>
      <c r="O38" s="37"/>
      <c r="Q38" s="139"/>
      <c r="R38" s="37"/>
      <c r="S38" s="148"/>
    </row>
    <row r="39">
      <c r="A39" s="169" t="s">
        <v>368</v>
      </c>
      <c r="B39" s="170" t="s">
        <v>279</v>
      </c>
      <c r="C39" s="170" t="s">
        <v>280</v>
      </c>
      <c r="D39" s="170" t="s">
        <v>281</v>
      </c>
      <c r="E39" s="170" t="s">
        <v>282</v>
      </c>
      <c r="F39" s="170" t="s">
        <v>283</v>
      </c>
      <c r="G39" s="181"/>
      <c r="H39" s="139"/>
      <c r="K39" s="37"/>
      <c r="L39" s="120"/>
      <c r="M39" s="139"/>
      <c r="O39" s="37"/>
      <c r="Q39" s="7"/>
      <c r="R39" s="9"/>
      <c r="S39" s="151"/>
    </row>
    <row r="40">
      <c r="A40" s="171" t="s">
        <v>292</v>
      </c>
      <c r="B40" s="61">
        <f>954-750+100</f>
        <v>304</v>
      </c>
      <c r="C40" s="61">
        <f>192+150</f>
        <v>342</v>
      </c>
      <c r="D40" s="172">
        <f>303+150</f>
        <v>453</v>
      </c>
      <c r="E40" s="173">
        <f t="shared" ref="E40:E46" si="5">B40+C40</f>
        <v>646</v>
      </c>
      <c r="F40" s="162">
        <f t="shared" ref="F40:F46" si="6">D40/E40</f>
        <v>0.7012383901</v>
      </c>
      <c r="H40" s="139"/>
      <c r="K40" s="37"/>
      <c r="L40" s="120"/>
      <c r="M40" s="139"/>
      <c r="O40" s="37"/>
      <c r="Q40" s="158"/>
      <c r="R40" s="121"/>
      <c r="S40" s="159"/>
    </row>
    <row r="41">
      <c r="A41" s="171" t="s">
        <v>293</v>
      </c>
      <c r="B41" s="61">
        <f>540-370+100</f>
        <v>270</v>
      </c>
      <c r="C41" s="175">
        <v>360.0</v>
      </c>
      <c r="D41" s="61">
        <f>277+150</f>
        <v>427</v>
      </c>
      <c r="E41" s="173">
        <f t="shared" si="5"/>
        <v>630</v>
      </c>
      <c r="F41" s="162">
        <f t="shared" si="6"/>
        <v>0.6777777778</v>
      </c>
      <c r="H41" s="139"/>
      <c r="K41" s="37"/>
      <c r="L41" s="120"/>
      <c r="M41" s="139"/>
      <c r="O41" s="37"/>
      <c r="Q41" s="164" t="s">
        <v>284</v>
      </c>
      <c r="R41" s="165" t="s">
        <v>369</v>
      </c>
      <c r="S41" s="6"/>
    </row>
    <row r="42">
      <c r="A42" s="171" t="s">
        <v>295</v>
      </c>
      <c r="B42" s="61">
        <f>402-250+100</f>
        <v>252</v>
      </c>
      <c r="C42" s="175">
        <v>370.0</v>
      </c>
      <c r="D42" s="61">
        <f>262+150</f>
        <v>412</v>
      </c>
      <c r="E42" s="173">
        <f t="shared" si="5"/>
        <v>622</v>
      </c>
      <c r="F42" s="162">
        <f t="shared" si="6"/>
        <v>0.6623794212</v>
      </c>
      <c r="H42" s="139"/>
      <c r="K42" s="37"/>
      <c r="L42" s="120"/>
      <c r="M42" s="139"/>
      <c r="O42" s="37"/>
      <c r="Q42" s="148"/>
      <c r="R42" s="139"/>
      <c r="S42" s="37"/>
    </row>
    <row r="43">
      <c r="A43" s="171" t="s">
        <v>296</v>
      </c>
      <c r="B43" s="61">
        <f>310-200+100</f>
        <v>210</v>
      </c>
      <c r="C43" s="175">
        <v>380.0</v>
      </c>
      <c r="D43" s="61">
        <f>228+150</f>
        <v>378</v>
      </c>
      <c r="E43" s="173">
        <f t="shared" si="5"/>
        <v>590</v>
      </c>
      <c r="F43" s="162">
        <f t="shared" si="6"/>
        <v>0.6406779661</v>
      </c>
      <c r="H43" s="139"/>
      <c r="K43" s="37"/>
      <c r="L43" s="120"/>
      <c r="M43" s="139"/>
      <c r="O43" s="37"/>
      <c r="Q43" s="148"/>
      <c r="R43" s="139"/>
      <c r="S43" s="37"/>
    </row>
    <row r="44">
      <c r="A44" s="171" t="s">
        <v>297</v>
      </c>
      <c r="B44" s="175">
        <f>90+100</f>
        <v>190</v>
      </c>
      <c r="C44" s="175">
        <v>520.0</v>
      </c>
      <c r="D44" s="61">
        <f>209+150</f>
        <v>359</v>
      </c>
      <c r="E44" s="173">
        <f t="shared" si="5"/>
        <v>710</v>
      </c>
      <c r="F44" s="162">
        <f t="shared" si="6"/>
        <v>0.5056338028</v>
      </c>
      <c r="H44" s="139"/>
      <c r="K44" s="37"/>
      <c r="L44" s="120"/>
      <c r="M44" s="139"/>
      <c r="O44" s="37"/>
      <c r="P44" s="167"/>
      <c r="Q44" s="148"/>
      <c r="R44" s="139"/>
      <c r="S44" s="37"/>
    </row>
    <row r="45">
      <c r="A45" s="171" t="s">
        <v>298</v>
      </c>
      <c r="B45" s="175">
        <f>65+100</f>
        <v>165</v>
      </c>
      <c r="C45" s="175">
        <v>650.0</v>
      </c>
      <c r="D45" s="61">
        <f>156+150</f>
        <v>306</v>
      </c>
      <c r="E45" s="173">
        <f t="shared" si="5"/>
        <v>815</v>
      </c>
      <c r="F45" s="162">
        <f t="shared" si="6"/>
        <v>0.3754601227</v>
      </c>
      <c r="H45" s="139"/>
      <c r="K45" s="37"/>
      <c r="L45" s="120"/>
      <c r="M45" s="139"/>
      <c r="O45" s="37"/>
      <c r="P45" s="167"/>
      <c r="Q45" s="148"/>
      <c r="R45" s="139"/>
      <c r="S45" s="37"/>
    </row>
    <row r="46">
      <c r="A46" s="171" t="s">
        <v>299</v>
      </c>
      <c r="B46" s="175">
        <f>30+100</f>
        <v>130</v>
      </c>
      <c r="C46" s="175">
        <v>874.0</v>
      </c>
      <c r="D46" s="61">
        <f>137+150</f>
        <v>287</v>
      </c>
      <c r="E46" s="173">
        <f t="shared" si="5"/>
        <v>1004</v>
      </c>
      <c r="F46" s="162">
        <f t="shared" si="6"/>
        <v>0.2858565737</v>
      </c>
      <c r="H46" s="7"/>
      <c r="I46" s="8"/>
      <c r="J46" s="8"/>
      <c r="K46" s="9"/>
      <c r="L46" s="120"/>
      <c r="M46" s="7"/>
      <c r="N46" s="8"/>
      <c r="O46" s="9"/>
      <c r="P46" s="167"/>
      <c r="Q46" s="151"/>
      <c r="R46" s="7"/>
      <c r="S46" s="9"/>
    </row>
    <row r="47">
      <c r="A47" s="181"/>
    </row>
    <row r="48">
      <c r="A48" s="181"/>
      <c r="R48" s="177" t="s">
        <v>306</v>
      </c>
      <c r="S48" s="177" t="s">
        <v>307</v>
      </c>
    </row>
    <row r="49">
      <c r="A49" s="181"/>
      <c r="B49" s="163"/>
      <c r="C49" s="163"/>
      <c r="D49" s="157"/>
      <c r="E49" s="184"/>
      <c r="F49" s="185"/>
      <c r="P49" s="141" t="s">
        <v>370</v>
      </c>
      <c r="Q49" s="6"/>
      <c r="R49" s="178" t="s">
        <v>371</v>
      </c>
      <c r="S49" s="178" t="s">
        <v>372</v>
      </c>
    </row>
    <row r="50">
      <c r="A50" s="181"/>
      <c r="B50" s="163"/>
      <c r="C50" s="186"/>
      <c r="D50" s="163"/>
      <c r="E50" s="184"/>
      <c r="F50" s="185"/>
      <c r="P50" s="139"/>
      <c r="Q50" s="37"/>
      <c r="R50" s="148"/>
      <c r="S50" s="148"/>
    </row>
    <row r="51">
      <c r="A51" s="181"/>
      <c r="B51" s="163"/>
      <c r="C51" s="186"/>
      <c r="D51" s="163"/>
      <c r="E51" s="184"/>
      <c r="F51" s="185"/>
      <c r="P51" s="139"/>
      <c r="Q51" s="37"/>
      <c r="R51" s="148"/>
      <c r="S51" s="148"/>
    </row>
    <row r="52">
      <c r="A52" s="181"/>
      <c r="B52" s="163"/>
      <c r="C52" s="186"/>
      <c r="D52" s="163"/>
      <c r="E52" s="184"/>
      <c r="F52" s="185"/>
      <c r="P52" s="139"/>
      <c r="Q52" s="37"/>
      <c r="R52" s="148"/>
      <c r="S52" s="148"/>
    </row>
    <row r="53">
      <c r="A53" s="181"/>
      <c r="B53" s="186"/>
      <c r="C53" s="186"/>
      <c r="D53" s="163"/>
      <c r="E53" s="184"/>
      <c r="F53" s="185"/>
      <c r="P53" s="139"/>
      <c r="Q53" s="37"/>
      <c r="R53" s="148"/>
      <c r="S53" s="148"/>
    </row>
    <row r="54">
      <c r="A54" s="181"/>
      <c r="B54" s="186"/>
      <c r="C54" s="186"/>
      <c r="D54" s="163"/>
      <c r="E54" s="184"/>
      <c r="F54" s="185"/>
      <c r="P54" s="7"/>
      <c r="Q54" s="9"/>
      <c r="R54" s="151"/>
      <c r="S54" s="151"/>
    </row>
    <row r="55">
      <c r="A55" s="181"/>
      <c r="B55" s="186"/>
      <c r="C55" s="186"/>
      <c r="D55" s="163"/>
      <c r="E55" s="184"/>
      <c r="F55" s="185"/>
      <c r="Q55" s="121"/>
      <c r="R55" s="121"/>
      <c r="S55" s="121"/>
    </row>
    <row r="56">
      <c r="A56" s="181"/>
      <c r="Q56" s="121"/>
      <c r="R56" s="121"/>
      <c r="S56" s="121"/>
    </row>
    <row r="57">
      <c r="A57" s="181"/>
      <c r="Q57" s="164" t="s">
        <v>373</v>
      </c>
      <c r="R57" s="165" t="s">
        <v>374</v>
      </c>
      <c r="S57" s="6"/>
    </row>
    <row r="58">
      <c r="A58" s="181"/>
      <c r="Q58" s="148"/>
      <c r="R58" s="139"/>
      <c r="S58" s="37"/>
    </row>
    <row r="59">
      <c r="A59" s="181"/>
      <c r="Q59" s="148"/>
      <c r="R59" s="139"/>
      <c r="S59" s="37"/>
    </row>
    <row r="60">
      <c r="A60" s="181"/>
      <c r="Q60" s="148"/>
      <c r="R60" s="139"/>
      <c r="S60" s="37"/>
    </row>
    <row r="61">
      <c r="A61" s="181"/>
      <c r="Q61" s="148"/>
      <c r="R61" s="139"/>
      <c r="S61" s="37"/>
    </row>
    <row r="62">
      <c r="A62" s="181"/>
      <c r="Q62" s="151"/>
      <c r="R62" s="7"/>
      <c r="S62" s="9"/>
    </row>
  </sheetData>
  <mergeCells count="43">
    <mergeCell ref="R49:R54"/>
    <mergeCell ref="S49:S54"/>
    <mergeCell ref="Q57:Q62"/>
    <mergeCell ref="R57:S62"/>
    <mergeCell ref="Q17:Q22"/>
    <mergeCell ref="Q29:Q34"/>
    <mergeCell ref="Q37:R39"/>
    <mergeCell ref="S37:S39"/>
    <mergeCell ref="Q41:Q46"/>
    <mergeCell ref="R41:S46"/>
    <mergeCell ref="P49:Q54"/>
    <mergeCell ref="A1:S1"/>
    <mergeCell ref="A2:J2"/>
    <mergeCell ref="A3:J3"/>
    <mergeCell ref="A4:J4"/>
    <mergeCell ref="A5:J5"/>
    <mergeCell ref="A6:J6"/>
    <mergeCell ref="A7:J7"/>
    <mergeCell ref="B14:F14"/>
    <mergeCell ref="A24:F24"/>
    <mergeCell ref="A13:F13"/>
    <mergeCell ref="A25:F25"/>
    <mergeCell ref="M13:O22"/>
    <mergeCell ref="Q13:R15"/>
    <mergeCell ref="S13:S15"/>
    <mergeCell ref="R17:S22"/>
    <mergeCell ref="M25:O34"/>
    <mergeCell ref="Q25:R27"/>
    <mergeCell ref="S25:S27"/>
    <mergeCell ref="R29:S34"/>
    <mergeCell ref="B26:F26"/>
    <mergeCell ref="A36:F36"/>
    <mergeCell ref="H36:K46"/>
    <mergeCell ref="A37:F37"/>
    <mergeCell ref="M37:O46"/>
    <mergeCell ref="B38:F38"/>
    <mergeCell ref="A8:J8"/>
    <mergeCell ref="A9:J9"/>
    <mergeCell ref="A10:J10"/>
    <mergeCell ref="A11:I11"/>
    <mergeCell ref="A12:F12"/>
    <mergeCell ref="H12:K22"/>
    <mergeCell ref="H24:K3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86"/>
    <col customWidth="1" min="2" max="3" width="56.71"/>
    <col customWidth="1" min="4" max="4" width="79.71"/>
  </cols>
  <sheetData>
    <row r="1">
      <c r="A1" s="107" t="s">
        <v>20</v>
      </c>
      <c r="B1" s="3"/>
      <c r="C1" s="187"/>
      <c r="D1" s="188" t="s">
        <v>375</v>
      </c>
    </row>
    <row r="2">
      <c r="A2" s="108" t="s">
        <v>376</v>
      </c>
      <c r="B2" s="3"/>
      <c r="C2" s="120"/>
      <c r="D2" s="189" t="str">
        <f>'Tab 3 - Activation Hypothesis'!A17</f>
        <v>Moment that lead to Habit:</v>
      </c>
    </row>
    <row r="3">
      <c r="A3" s="112" t="s">
        <v>377</v>
      </c>
      <c r="B3" s="37"/>
      <c r="C3" s="112"/>
      <c r="D3" s="190" t="str">
        <f>CONCATENATE('Tab 3 - Activation Hypothesis'!A18," ",'Tab 3 - Activation Hypothesis'!B18)</f>
        <v>1 Only use Slack, not email, for internal messages</v>
      </c>
    </row>
    <row r="4">
      <c r="A4" s="120"/>
      <c r="B4" s="120"/>
      <c r="C4" s="120"/>
      <c r="D4" s="190" t="str">
        <f>CONCATENATE('Tab 3 - Activation Hypothesis'!A19," ",'Tab 3 - Activation Hypothesis'!B19)</f>
        <v>2 Use Slack for video calls with the members (e.g. stand up meetings)</v>
      </c>
    </row>
    <row r="5">
      <c r="A5" s="40" t="s">
        <v>378</v>
      </c>
      <c r="B5" s="9"/>
      <c r="C5" s="120"/>
      <c r="D5" s="190" t="str">
        <f>CONCATENATE('Tab 3 - Activation Hypothesis'!A20," ",'Tab 3 - Activation Hypothesis'!B20)</f>
        <v>3 Leave notes for yourself, e.g. todo list</v>
      </c>
    </row>
    <row r="6">
      <c r="A6" s="111" t="s">
        <v>379</v>
      </c>
      <c r="B6" s="3"/>
      <c r="C6" s="191"/>
      <c r="D6" s="190" t="str">
        <f>CONCATENATE('Tab 3 - Activation Hypothesis'!A21," ",'Tab 3 - Activation Hypothesis'!B21)</f>
        <v>4 Send private or group messages on a daily basis</v>
      </c>
    </row>
    <row r="7">
      <c r="A7" s="192" t="s">
        <v>380</v>
      </c>
      <c r="B7" s="3"/>
      <c r="C7" s="123"/>
      <c r="D7" s="190" t="str">
        <f>CONCATENATE('Tab 3 - Activation Hypothesis'!A22," ",'Tab 3 - Activation Hypothesis'!B22)</f>
        <v>5 Join other channels under the workspace</v>
      </c>
    </row>
    <row r="8">
      <c r="A8" s="192" t="s">
        <v>381</v>
      </c>
      <c r="B8" s="3"/>
      <c r="C8" s="123"/>
      <c r="D8" s="189" t="str">
        <f>'Tab 3 - Activation Hypothesis'!A23</f>
        <v>Moment that lead to Aha:</v>
      </c>
    </row>
    <row r="9">
      <c r="A9" s="192" t="s">
        <v>382</v>
      </c>
      <c r="B9" s="3"/>
      <c r="C9" s="123"/>
      <c r="D9" s="190" t="str">
        <f>CONCATENATE('Tab 3 - Activation Hypothesis'!A24," ",'Tab 3 - Activation Hypothesis'!B24)</f>
        <v>1 Getting notifications from team on a group channel</v>
      </c>
    </row>
    <row r="10">
      <c r="A10" s="193" t="s">
        <v>383</v>
      </c>
      <c r="C10" s="134"/>
      <c r="D10" s="190" t="str">
        <f>CONCATENATE('Tab 3 - Activation Hypothesis'!A25," ",'Tab 3 - Activation Hypothesis'!B25)</f>
        <v>2 Direct messages to a few selected members at the same time</v>
      </c>
    </row>
    <row r="11">
      <c r="A11" s="194" t="s">
        <v>243</v>
      </c>
      <c r="B11" s="194" t="s">
        <v>384</v>
      </c>
      <c r="C11" s="194" t="s">
        <v>385</v>
      </c>
      <c r="D11" s="190" t="str">
        <f>CONCATENATE('Tab 3 - Activation Hypothesis'!A26," ",'Tab 3 - Activation Hypothesis'!B26)</f>
        <v>3 Leave voice messages</v>
      </c>
    </row>
    <row r="12">
      <c r="A12" s="195" t="str">
        <f>'Tab 4 - Habit Moment and Metric'!R51</f>
        <v>Habit Moment 1: look for communication to outside of email to engage with teammates.</v>
      </c>
      <c r="B12" s="195" t="str">
        <f>'Tab 4 - Habit Moment and Metric'!S51</f>
        <v># of Team Slack Messages Sent in 7-days</v>
      </c>
      <c r="C12" s="196" t="s">
        <v>386</v>
      </c>
      <c r="D12" s="190" t="str">
        <f>CONCATENATE('Tab 3 - Activation Hypothesis'!A27," ",'Tab 3 - Activation Hypothesis'!B27)</f>
        <v>4 Create private groups</v>
      </c>
    </row>
    <row r="13">
      <c r="A13" s="194" t="s">
        <v>249</v>
      </c>
      <c r="B13" s="194" t="s">
        <v>387</v>
      </c>
      <c r="C13" s="194"/>
      <c r="D13" s="190" t="str">
        <f>CONCATENATE('Tab 3 - Activation Hypothesis'!A28," ",'Tab 3 - Activation Hypothesis'!B28)</f>
        <v>5 Integrate Slack with the 3rd party apps to receive important updates and notifications (e.g. JIRA)</v>
      </c>
    </row>
    <row r="14">
      <c r="A14" s="195" t="str">
        <f>'Tab 5 - Aha Moment and Metric A'!R50</f>
        <v>Aha Moment 1: Engaging with a message in a group channel</v>
      </c>
      <c r="B14" s="197" t="str">
        <f>'Tab 5 - Aha Moment and Metric A'!S50</f>
        <v> Sending 1st message in a group channel within X days</v>
      </c>
      <c r="C14" s="196" t="s">
        <v>388</v>
      </c>
      <c r="D14" s="198" t="str">
        <f>'Tab 3 - Activation Hypothesis'!A29</f>
        <v>Moment that lead to Setup:</v>
      </c>
    </row>
    <row r="15">
      <c r="A15" s="194" t="s">
        <v>389</v>
      </c>
      <c r="B15" s="194" t="s">
        <v>390</v>
      </c>
      <c r="C15" s="194"/>
      <c r="D15" s="190" t="str">
        <f>CONCATENATE('Tab 3 - Activation Hypothesis'!A30," ",'Tab 3 - Activation Hypothesis'!B30)</f>
        <v>1 Engage in a frequency faster than email while being mobile</v>
      </c>
    </row>
    <row r="16" ht="75.0" customHeight="1">
      <c r="A16" s="197" t="str">
        <f>'Tab 6 - Setup Moment and Metric'!R49</f>
        <v>Setup Moment 3: Invite a team mate and had a back-and-forth direct convo</v>
      </c>
      <c r="B16" s="197" t="str">
        <f>'Tab 6 - Setup Moment and Metric'!S49</f>
        <v># of users invited within 7-days</v>
      </c>
      <c r="C16" s="196" t="s">
        <v>391</v>
      </c>
      <c r="D16" s="190" t="str">
        <f>CONCATENATE('Tab 3 - Activation Hypothesis'!A31," ",'Tab 3 - Activation Hypothesis'!B31)</f>
        <v>2 Set up reminders</v>
      </c>
    </row>
    <row r="17" ht="21.75" customHeight="1">
      <c r="A17" s="199"/>
      <c r="B17" s="199"/>
      <c r="C17" s="199"/>
      <c r="D17" s="190" t="str">
        <f>CONCATENATE('Tab 3 - Activation Hypothesis'!A32," ",'Tab 3 - Activation Hypothesis'!B32)</f>
        <v>3 Configure profile: picture, timezone, role</v>
      </c>
    </row>
    <row r="18" ht="21.75" customHeight="1">
      <c r="A18" s="199"/>
      <c r="B18" s="199"/>
      <c r="C18" s="199"/>
      <c r="D18" s="190" t="str">
        <f>CONCATENATE('Tab 3 - Activation Hypothesis'!A33," ",'Tab 3 - Activation Hypothesis'!B33)</f>
        <v>4 Schedule "not disturb" time</v>
      </c>
    </row>
    <row r="19" ht="21.75" customHeight="1">
      <c r="A19" s="199"/>
      <c r="B19" s="199"/>
      <c r="C19" s="199"/>
      <c r="D19" s="190" t="str">
        <f>CONCATENATE('Tab 3 - Activation Hypothesis'!A34," ",'Tab 3 - Activation Hypothesis'!B34)</f>
        <v>5 Invite friends/teammates</v>
      </c>
    </row>
  </sheetData>
  <mergeCells count="9">
    <mergeCell ref="A9:B9"/>
    <mergeCell ref="A10:B10"/>
    <mergeCell ref="A1:B1"/>
    <mergeCell ref="A2:B2"/>
    <mergeCell ref="A3:B3"/>
    <mergeCell ref="A5:B5"/>
    <mergeCell ref="A6:B6"/>
    <mergeCell ref="A7:B7"/>
    <mergeCell ref="A8:B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18.57"/>
    <col customWidth="1" min="2" max="2" width="11.0"/>
    <col customWidth="1" min="3" max="3" width="15.0"/>
    <col customWidth="1" min="4" max="4" width="19.71"/>
    <col customWidth="1" min="5" max="5" width="13.14"/>
    <col customWidth="1" min="6" max="6" width="19.43"/>
    <col customWidth="1" min="7" max="7" width="14.57"/>
  </cols>
  <sheetData>
    <row r="1">
      <c r="A1" s="107" t="s">
        <v>22</v>
      </c>
      <c r="B1" s="2"/>
      <c r="C1" s="2"/>
      <c r="D1" s="2"/>
      <c r="E1" s="2"/>
      <c r="F1" s="2"/>
      <c r="G1" s="2"/>
      <c r="H1" s="2"/>
      <c r="I1" s="2"/>
      <c r="J1" s="2"/>
      <c r="K1" s="2"/>
      <c r="L1" s="2"/>
      <c r="M1" s="2"/>
      <c r="N1" s="3"/>
    </row>
    <row r="2">
      <c r="A2" s="108" t="s">
        <v>392</v>
      </c>
      <c r="B2" s="2"/>
      <c r="C2" s="2"/>
      <c r="D2" s="2"/>
      <c r="E2" s="2"/>
      <c r="F2" s="2"/>
      <c r="G2" s="2"/>
      <c r="H2" s="2"/>
      <c r="I2" s="2"/>
      <c r="J2" s="3"/>
      <c r="M2" s="200"/>
      <c r="N2" s="200"/>
    </row>
    <row r="3">
      <c r="A3" s="11" t="s">
        <v>393</v>
      </c>
      <c r="B3" s="8"/>
      <c r="C3" s="8"/>
      <c r="D3" s="8"/>
      <c r="E3" s="8"/>
      <c r="F3" s="8"/>
      <c r="G3" s="8"/>
      <c r="H3" s="8"/>
      <c r="I3" s="8"/>
      <c r="J3" s="9"/>
      <c r="M3" s="200"/>
      <c r="N3" s="200"/>
    </row>
    <row r="4">
      <c r="A4" s="11" t="s">
        <v>394</v>
      </c>
      <c r="B4" s="8"/>
      <c r="C4" s="8"/>
      <c r="D4" s="8"/>
      <c r="E4" s="8"/>
      <c r="F4" s="8"/>
      <c r="G4" s="8"/>
      <c r="H4" s="8"/>
      <c r="I4" s="8"/>
      <c r="J4" s="9"/>
      <c r="M4" s="200"/>
      <c r="N4" s="200"/>
    </row>
    <row r="5">
      <c r="A5" s="11" t="s">
        <v>395</v>
      </c>
      <c r="B5" s="8"/>
      <c r="C5" s="8"/>
      <c r="D5" s="8"/>
      <c r="E5" s="8"/>
      <c r="F5" s="8"/>
      <c r="G5" s="8"/>
      <c r="H5" s="8"/>
      <c r="I5" s="8"/>
      <c r="J5" s="9"/>
      <c r="M5" s="200"/>
      <c r="N5" s="200"/>
    </row>
    <row r="6">
      <c r="A6" s="108" t="s">
        <v>396</v>
      </c>
      <c r="B6" s="2"/>
      <c r="C6" s="2"/>
      <c r="D6" s="2"/>
      <c r="E6" s="2"/>
      <c r="F6" s="2"/>
      <c r="G6" s="2"/>
      <c r="H6" s="2"/>
      <c r="I6" s="2"/>
      <c r="J6" s="3"/>
      <c r="M6" s="200"/>
      <c r="N6" s="200"/>
    </row>
    <row r="7">
      <c r="A7" s="111" t="s">
        <v>397</v>
      </c>
      <c r="B7" s="2"/>
      <c r="C7" s="2"/>
      <c r="D7" s="2"/>
      <c r="E7" s="2"/>
      <c r="F7" s="2"/>
      <c r="G7" s="2"/>
      <c r="H7" s="2"/>
      <c r="I7" s="2"/>
      <c r="J7" s="3"/>
      <c r="M7" s="200"/>
      <c r="N7" s="200"/>
    </row>
    <row r="8">
      <c r="A8" s="109" t="s">
        <v>398</v>
      </c>
      <c r="B8" s="2"/>
      <c r="C8" s="2"/>
      <c r="D8" s="2"/>
      <c r="E8" s="2"/>
      <c r="F8" s="2"/>
      <c r="G8" s="2"/>
      <c r="H8" s="2"/>
      <c r="I8" s="2"/>
      <c r="J8" s="3"/>
      <c r="M8" s="200"/>
      <c r="N8" s="200"/>
    </row>
    <row r="9">
      <c r="A9" s="109" t="s">
        <v>399</v>
      </c>
      <c r="B9" s="2"/>
      <c r="C9" s="2"/>
      <c r="D9" s="2"/>
      <c r="E9" s="2"/>
      <c r="F9" s="2"/>
      <c r="G9" s="2"/>
      <c r="H9" s="2"/>
      <c r="I9" s="2"/>
      <c r="J9" s="3"/>
      <c r="M9" s="200"/>
      <c r="N9" s="200"/>
    </row>
    <row r="10">
      <c r="A10" s="180" t="s">
        <v>400</v>
      </c>
      <c r="B10" s="2"/>
      <c r="C10" s="2"/>
      <c r="D10" s="2"/>
      <c r="E10" s="2"/>
      <c r="F10" s="2"/>
      <c r="G10" s="2"/>
      <c r="H10" s="2"/>
      <c r="I10" s="2"/>
      <c r="J10" s="3"/>
      <c r="M10" s="200"/>
      <c r="N10" s="200"/>
    </row>
    <row r="11">
      <c r="A11" s="180" t="s">
        <v>401</v>
      </c>
      <c r="B11" s="2"/>
      <c r="C11" s="2"/>
      <c r="D11" s="2"/>
      <c r="E11" s="2"/>
      <c r="F11" s="2"/>
      <c r="G11" s="2"/>
      <c r="H11" s="2"/>
      <c r="I11" s="2"/>
      <c r="J11" s="3"/>
      <c r="M11" s="200"/>
      <c r="N11" s="200"/>
    </row>
    <row r="12">
      <c r="A12" s="180" t="s">
        <v>402</v>
      </c>
      <c r="B12" s="2"/>
      <c r="C12" s="2"/>
      <c r="D12" s="2"/>
      <c r="E12" s="2"/>
      <c r="F12" s="2"/>
      <c r="G12" s="2"/>
      <c r="H12" s="2"/>
      <c r="I12" s="2"/>
      <c r="J12" s="3"/>
      <c r="M12" s="200"/>
      <c r="N12" s="200"/>
    </row>
    <row r="13">
      <c r="A13" s="180" t="s">
        <v>403</v>
      </c>
      <c r="B13" s="2"/>
      <c r="C13" s="2"/>
      <c r="D13" s="2"/>
      <c r="E13" s="2"/>
      <c r="F13" s="2"/>
      <c r="G13" s="2"/>
      <c r="H13" s="2"/>
      <c r="I13" s="2"/>
      <c r="J13" s="3"/>
      <c r="M13" s="200"/>
      <c r="N13" s="200"/>
    </row>
    <row r="14">
      <c r="A14" s="180" t="s">
        <v>404</v>
      </c>
      <c r="B14" s="2"/>
      <c r="C14" s="2"/>
      <c r="D14" s="2"/>
      <c r="E14" s="2"/>
      <c r="F14" s="2"/>
      <c r="G14" s="2"/>
      <c r="H14" s="2"/>
      <c r="I14" s="2"/>
      <c r="J14" s="3"/>
      <c r="M14" s="200"/>
      <c r="N14" s="200"/>
    </row>
    <row r="15">
      <c r="A15" s="201" t="s">
        <v>405</v>
      </c>
      <c r="K15" s="134"/>
      <c r="L15" s="200"/>
      <c r="M15" s="200"/>
      <c r="N15" s="200"/>
    </row>
    <row r="16">
      <c r="A16" s="202" t="s">
        <v>406</v>
      </c>
      <c r="B16" s="2"/>
      <c r="C16" s="2"/>
      <c r="D16" s="2"/>
      <c r="E16" s="2"/>
      <c r="F16" s="2"/>
      <c r="G16" s="2"/>
      <c r="H16" s="2"/>
      <c r="I16" s="3"/>
      <c r="J16" s="203"/>
      <c r="K16" s="203" t="s">
        <v>69</v>
      </c>
    </row>
    <row r="17">
      <c r="A17" s="204" t="s">
        <v>407</v>
      </c>
      <c r="B17" s="204" t="s">
        <v>408</v>
      </c>
      <c r="C17" s="205" t="s">
        <v>20</v>
      </c>
      <c r="D17" s="2"/>
      <c r="E17" s="2"/>
      <c r="F17" s="2"/>
      <c r="G17" s="3"/>
      <c r="H17" s="206" t="s">
        <v>409</v>
      </c>
      <c r="I17" s="207" t="s">
        <v>410</v>
      </c>
      <c r="J17" s="203"/>
    </row>
    <row r="18">
      <c r="A18" s="208" t="s">
        <v>411</v>
      </c>
      <c r="B18" s="209">
        <f>sum(B19:B26)</f>
        <v>920.6</v>
      </c>
      <c r="C18" s="210" t="s">
        <v>412</v>
      </c>
      <c r="D18" s="210" t="s">
        <v>413</v>
      </c>
      <c r="E18" s="210" t="s">
        <v>414</v>
      </c>
      <c r="F18" s="210" t="s">
        <v>415</v>
      </c>
      <c r="G18" s="210" t="s">
        <v>416</v>
      </c>
      <c r="H18" s="151"/>
      <c r="I18" s="151"/>
      <c r="J18" s="203"/>
      <c r="K18" s="211" t="s">
        <v>417</v>
      </c>
      <c r="L18" s="5"/>
      <c r="M18" s="5"/>
      <c r="N18" s="6"/>
    </row>
    <row r="19">
      <c r="A19" s="212" t="s">
        <v>418</v>
      </c>
      <c r="B19" s="213">
        <f>310*0.9</f>
        <v>279</v>
      </c>
      <c r="C19" s="214">
        <v>0.85</v>
      </c>
      <c r="D19" s="215">
        <v>0.92</v>
      </c>
      <c r="E19" s="216">
        <v>0.78</v>
      </c>
      <c r="F19" s="215">
        <v>0.87</v>
      </c>
      <c r="G19" s="217">
        <v>0.68</v>
      </c>
      <c r="H19" s="218">
        <v>126.0</v>
      </c>
      <c r="I19" s="219">
        <v>0.45</v>
      </c>
      <c r="J19" s="203"/>
      <c r="K19" s="139"/>
      <c r="N19" s="37"/>
    </row>
    <row r="20">
      <c r="A20" s="212" t="s">
        <v>419</v>
      </c>
      <c r="B20" s="213">
        <f>206*0.8</f>
        <v>164.8</v>
      </c>
      <c r="C20" s="220">
        <v>0.76</v>
      </c>
      <c r="D20" s="221">
        <f t="shared" ref="D20:D27" si="1">E20/C20</f>
        <v>0.9078947368</v>
      </c>
      <c r="E20" s="222">
        <v>0.69</v>
      </c>
      <c r="F20" s="221">
        <f t="shared" ref="F20:F27" si="2">G20/E20</f>
        <v>0.9130434783</v>
      </c>
      <c r="G20" s="223">
        <v>0.63</v>
      </c>
      <c r="H20" s="224">
        <f t="shared" ref="H20:H27" si="3">B20*C20*E20*G20</f>
        <v>54.4453056</v>
      </c>
      <c r="I20" s="221">
        <f t="shared" ref="I20:I27" si="4">H20/B20</f>
        <v>0.330372</v>
      </c>
      <c r="J20" s="203"/>
      <c r="K20" s="139"/>
      <c r="N20" s="37"/>
    </row>
    <row r="21">
      <c r="A21" s="212" t="s">
        <v>420</v>
      </c>
      <c r="B21" s="213">
        <f>172*0.8</f>
        <v>137.6</v>
      </c>
      <c r="C21" s="225">
        <v>0.8</v>
      </c>
      <c r="D21" s="221">
        <f t="shared" si="1"/>
        <v>0.95</v>
      </c>
      <c r="E21" s="220">
        <v>0.76</v>
      </c>
      <c r="F21" s="221">
        <f t="shared" si="2"/>
        <v>0.9210526316</v>
      </c>
      <c r="G21" s="226">
        <v>0.7</v>
      </c>
      <c r="H21" s="224">
        <f t="shared" si="3"/>
        <v>58.56256</v>
      </c>
      <c r="I21" s="221">
        <f t="shared" si="4"/>
        <v>0.4256</v>
      </c>
      <c r="J21" s="203"/>
      <c r="K21" s="139"/>
      <c r="N21" s="37"/>
    </row>
    <row r="22">
      <c r="A22" s="212" t="s">
        <v>421</v>
      </c>
      <c r="B22" s="213">
        <f>138*0.8</f>
        <v>110.4</v>
      </c>
      <c r="C22" s="220">
        <v>0.76</v>
      </c>
      <c r="D22" s="221">
        <f t="shared" si="1"/>
        <v>0.9078947368</v>
      </c>
      <c r="E22" s="222">
        <v>0.69</v>
      </c>
      <c r="F22" s="221">
        <f t="shared" si="2"/>
        <v>0.8695652174</v>
      </c>
      <c r="G22" s="227">
        <v>0.6</v>
      </c>
      <c r="H22" s="224">
        <f t="shared" si="3"/>
        <v>34.736256</v>
      </c>
      <c r="I22" s="221">
        <f t="shared" si="4"/>
        <v>0.31464</v>
      </c>
      <c r="J22" s="203"/>
      <c r="K22" s="139"/>
      <c r="N22" s="37"/>
    </row>
    <row r="23">
      <c r="A23" s="212" t="s">
        <v>422</v>
      </c>
      <c r="B23" s="213">
        <f>112*0.8</f>
        <v>89.6</v>
      </c>
      <c r="C23" s="225">
        <v>0.8</v>
      </c>
      <c r="D23" s="221">
        <f t="shared" si="1"/>
        <v>0.9375</v>
      </c>
      <c r="E23" s="228">
        <v>0.75</v>
      </c>
      <c r="F23" s="221">
        <f t="shared" si="2"/>
        <v>0.88</v>
      </c>
      <c r="G23" s="229">
        <v>0.66</v>
      </c>
      <c r="H23" s="224">
        <f t="shared" si="3"/>
        <v>35.4816</v>
      </c>
      <c r="I23" s="221">
        <f t="shared" si="4"/>
        <v>0.396</v>
      </c>
      <c r="J23" s="203"/>
      <c r="K23" s="139"/>
      <c r="N23" s="37"/>
    </row>
    <row r="24">
      <c r="A24" s="230" t="s">
        <v>423</v>
      </c>
      <c r="B24" s="213">
        <f>92*0.8</f>
        <v>73.6</v>
      </c>
      <c r="C24" s="226">
        <v>0.7</v>
      </c>
      <c r="D24" s="221">
        <f t="shared" si="1"/>
        <v>0.9322478992</v>
      </c>
      <c r="E24" s="231">
        <v>0.6525735294117647</v>
      </c>
      <c r="F24" s="221">
        <f t="shared" si="2"/>
        <v>0.8788732394</v>
      </c>
      <c r="G24" s="232">
        <v>0.5735294117647058</v>
      </c>
      <c r="H24" s="224">
        <f t="shared" si="3"/>
        <v>19.28239619</v>
      </c>
      <c r="I24" s="221">
        <f t="shared" si="4"/>
        <v>0.2619890787</v>
      </c>
      <c r="J24" s="203"/>
      <c r="K24" s="139"/>
      <c r="N24" s="37"/>
    </row>
    <row r="25">
      <c r="A25" s="212" t="s">
        <v>424</v>
      </c>
      <c r="B25" s="213">
        <f>58*0.8</f>
        <v>46.4</v>
      </c>
      <c r="C25" s="217">
        <v>0.68</v>
      </c>
      <c r="D25" s="221">
        <f t="shared" si="1"/>
        <v>0.8823529412</v>
      </c>
      <c r="E25" s="227">
        <v>0.6</v>
      </c>
      <c r="F25" s="221">
        <f t="shared" si="2"/>
        <v>0.9166666667</v>
      </c>
      <c r="G25" s="233">
        <v>0.55</v>
      </c>
      <c r="H25" s="224">
        <f t="shared" si="3"/>
        <v>10.41216</v>
      </c>
      <c r="I25" s="221">
        <f t="shared" si="4"/>
        <v>0.2244</v>
      </c>
      <c r="J25" s="203"/>
      <c r="K25" s="139"/>
      <c r="N25" s="37"/>
    </row>
    <row r="26">
      <c r="A26" s="212" t="s">
        <v>425</v>
      </c>
      <c r="B26" s="213">
        <f>24*0.8</f>
        <v>19.2</v>
      </c>
      <c r="C26" s="222">
        <v>0.69</v>
      </c>
      <c r="D26" s="221">
        <f t="shared" si="1"/>
        <v>0.9275362319</v>
      </c>
      <c r="E26" s="234">
        <v>0.64</v>
      </c>
      <c r="F26" s="221">
        <f t="shared" si="2"/>
        <v>0.9375</v>
      </c>
      <c r="G26" s="227">
        <v>0.6</v>
      </c>
      <c r="H26" s="224">
        <f t="shared" si="3"/>
        <v>5.087232</v>
      </c>
      <c r="I26" s="221">
        <f t="shared" si="4"/>
        <v>0.26496</v>
      </c>
      <c r="J26" s="203"/>
      <c r="K26" s="139"/>
      <c r="N26" s="37"/>
    </row>
    <row r="27">
      <c r="A27" s="235" t="s">
        <v>152</v>
      </c>
      <c r="B27" s="236">
        <f t="shared" ref="B27:C27" si="5">average(B19:B26)</f>
        <v>115.075</v>
      </c>
      <c r="C27" s="237">
        <f t="shared" si="5"/>
        <v>0.755</v>
      </c>
      <c r="D27" s="221">
        <f t="shared" si="1"/>
        <v>0.9209558824</v>
      </c>
      <c r="E27" s="237">
        <f>average(E19:E26)</f>
        <v>0.6953216912</v>
      </c>
      <c r="F27" s="221">
        <f t="shared" si="2"/>
        <v>0.8977012862</v>
      </c>
      <c r="G27" s="237">
        <f>average(G19:G26)</f>
        <v>0.6241911765</v>
      </c>
      <c r="H27" s="224">
        <f t="shared" si="3"/>
        <v>37.70781244</v>
      </c>
      <c r="I27" s="221">
        <f t="shared" si="4"/>
        <v>0.3276803167</v>
      </c>
      <c r="J27" s="203"/>
      <c r="K27" s="7"/>
      <c r="L27" s="8"/>
      <c r="M27" s="8"/>
      <c r="N27" s="9"/>
    </row>
    <row r="28">
      <c r="A28" s="200"/>
      <c r="B28" s="200"/>
      <c r="C28" s="200"/>
      <c r="D28" s="200"/>
      <c r="E28" s="200"/>
      <c r="F28" s="200"/>
      <c r="G28" s="200"/>
      <c r="H28" s="200"/>
      <c r="I28" s="200"/>
      <c r="J28" s="203"/>
      <c r="K28" s="200"/>
      <c r="L28" s="200"/>
      <c r="M28" s="200"/>
      <c r="N28" s="200"/>
    </row>
    <row r="29">
      <c r="A29" s="238" t="s">
        <v>426</v>
      </c>
      <c r="B29" s="6"/>
      <c r="C29" s="238" t="s">
        <v>427</v>
      </c>
      <c r="D29" s="6"/>
      <c r="E29" s="238" t="s">
        <v>428</v>
      </c>
      <c r="F29" s="6"/>
      <c r="G29" s="238" t="s">
        <v>429</v>
      </c>
      <c r="H29" s="5"/>
      <c r="I29" s="5"/>
      <c r="J29" s="5"/>
      <c r="K29" s="5"/>
      <c r="L29" s="5"/>
      <c r="M29" s="5"/>
      <c r="N29" s="6"/>
    </row>
    <row r="30">
      <c r="A30" s="7"/>
      <c r="B30" s="9"/>
      <c r="C30" s="7"/>
      <c r="D30" s="9"/>
      <c r="E30" s="7"/>
      <c r="F30" s="9"/>
      <c r="G30" s="7"/>
      <c r="H30" s="8"/>
      <c r="I30" s="8"/>
      <c r="J30" s="8"/>
      <c r="K30" s="8"/>
      <c r="L30" s="8"/>
      <c r="M30" s="8"/>
      <c r="N30" s="9"/>
    </row>
    <row r="31">
      <c r="A31" s="239" t="s">
        <v>430</v>
      </c>
      <c r="B31" s="6"/>
      <c r="C31" s="239" t="s">
        <v>431</v>
      </c>
      <c r="D31" s="6"/>
      <c r="E31" s="239" t="s">
        <v>432</v>
      </c>
      <c r="F31" s="6"/>
      <c r="G31" s="239" t="s">
        <v>433</v>
      </c>
      <c r="H31" s="5"/>
      <c r="I31" s="5"/>
      <c r="J31" s="5"/>
      <c r="K31" s="5"/>
      <c r="L31" s="5"/>
      <c r="M31" s="5"/>
      <c r="N31" s="6"/>
    </row>
    <row r="32">
      <c r="A32" s="139"/>
      <c r="B32" s="37"/>
      <c r="C32" s="139"/>
      <c r="D32" s="37"/>
      <c r="E32" s="139"/>
      <c r="F32" s="37"/>
      <c r="G32" s="139"/>
      <c r="N32" s="37"/>
    </row>
    <row r="33">
      <c r="A33" s="139"/>
      <c r="B33" s="37"/>
      <c r="C33" s="139"/>
      <c r="D33" s="37"/>
      <c r="E33" s="139"/>
      <c r="F33" s="37"/>
      <c r="G33" s="139"/>
      <c r="N33" s="37"/>
    </row>
    <row r="34">
      <c r="A34" s="139"/>
      <c r="B34" s="37"/>
      <c r="C34" s="139"/>
      <c r="D34" s="37"/>
      <c r="E34" s="139"/>
      <c r="F34" s="37"/>
      <c r="G34" s="139"/>
      <c r="N34" s="37"/>
    </row>
    <row r="35">
      <c r="A35" s="139"/>
      <c r="B35" s="37"/>
      <c r="C35" s="139"/>
      <c r="D35" s="37"/>
      <c r="E35" s="139"/>
      <c r="F35" s="37"/>
      <c r="G35" s="139"/>
      <c r="N35" s="37"/>
    </row>
    <row r="36" ht="72.0" customHeight="1">
      <c r="A36" s="7"/>
      <c r="B36" s="9"/>
      <c r="C36" s="7"/>
      <c r="D36" s="9"/>
      <c r="E36" s="7"/>
      <c r="F36" s="9"/>
      <c r="G36" s="7"/>
      <c r="H36" s="8"/>
      <c r="I36" s="8"/>
      <c r="J36" s="8"/>
      <c r="K36" s="8"/>
      <c r="L36" s="8"/>
      <c r="M36" s="8"/>
      <c r="N36" s="9"/>
    </row>
    <row r="37">
      <c r="A37" s="200"/>
      <c r="B37" s="200"/>
      <c r="C37" s="200"/>
      <c r="D37" s="200"/>
      <c r="E37" s="200"/>
      <c r="F37" s="200"/>
      <c r="G37" s="200"/>
      <c r="H37" s="200"/>
      <c r="I37" s="200"/>
      <c r="J37" s="200"/>
      <c r="K37" s="200"/>
      <c r="L37" s="200"/>
      <c r="M37" s="200"/>
      <c r="N37" s="200"/>
    </row>
    <row r="38">
      <c r="A38" s="202" t="s">
        <v>434</v>
      </c>
      <c r="B38" s="2"/>
      <c r="C38" s="2"/>
      <c r="D38" s="2"/>
      <c r="E38" s="2"/>
      <c r="F38" s="2"/>
      <c r="G38" s="2"/>
      <c r="H38" s="2"/>
      <c r="I38" s="3"/>
      <c r="J38" s="203"/>
      <c r="K38" s="203" t="s">
        <v>69</v>
      </c>
    </row>
    <row r="39">
      <c r="A39" s="204" t="s">
        <v>435</v>
      </c>
      <c r="B39" s="240" t="s">
        <v>436</v>
      </c>
      <c r="C39" s="205"/>
      <c r="D39" s="2"/>
      <c r="E39" s="2"/>
      <c r="F39" s="2"/>
      <c r="G39" s="3"/>
      <c r="H39" s="206" t="s">
        <v>409</v>
      </c>
      <c r="I39" s="207" t="s">
        <v>410</v>
      </c>
      <c r="J39" s="203"/>
    </row>
    <row r="40">
      <c r="A40" s="208" t="s">
        <v>411</v>
      </c>
      <c r="B40" s="209">
        <f>sum(B41:B48)</f>
        <v>1450</v>
      </c>
      <c r="C40" s="210" t="s">
        <v>412</v>
      </c>
      <c r="D40" s="210" t="s">
        <v>413</v>
      </c>
      <c r="E40" s="210" t="s">
        <v>414</v>
      </c>
      <c r="F40" s="210" t="s">
        <v>415</v>
      </c>
      <c r="G40" s="210" t="s">
        <v>416</v>
      </c>
      <c r="H40" s="151"/>
      <c r="I40" s="151"/>
      <c r="J40" s="200"/>
      <c r="K40" s="211" t="s">
        <v>437</v>
      </c>
      <c r="L40" s="5"/>
      <c r="M40" s="5"/>
      <c r="N40" s="6"/>
    </row>
    <row r="41">
      <c r="A41" s="212" t="s">
        <v>438</v>
      </c>
      <c r="B41" s="241">
        <v>280.0</v>
      </c>
      <c r="C41" s="214">
        <v>0.64</v>
      </c>
      <c r="D41" s="221">
        <f t="shared" ref="D41:D49" si="6">E41/C41</f>
        <v>0.921875</v>
      </c>
      <c r="E41" s="216">
        <v>0.59</v>
      </c>
      <c r="F41" s="221">
        <f t="shared" ref="F41:F49" si="7">G41/E41</f>
        <v>0.8644067797</v>
      </c>
      <c r="G41" s="217">
        <v>0.51</v>
      </c>
      <c r="H41" s="224">
        <f t="shared" ref="H41:H49" si="8">B41*C41*E41*G41</f>
        <v>53.92128</v>
      </c>
      <c r="I41" s="221">
        <f t="shared" ref="I41:I49" si="9">H41/B41</f>
        <v>0.192576</v>
      </c>
      <c r="J41" s="200"/>
      <c r="K41" s="139"/>
      <c r="N41" s="37"/>
    </row>
    <row r="42">
      <c r="A42" s="212" t="s">
        <v>439</v>
      </c>
      <c r="B42" s="241">
        <v>370.0</v>
      </c>
      <c r="C42" s="220">
        <v>0.74</v>
      </c>
      <c r="D42" s="221">
        <f t="shared" si="6"/>
        <v>0.9324324324</v>
      </c>
      <c r="E42" s="222">
        <v>0.69</v>
      </c>
      <c r="F42" s="221">
        <f t="shared" si="7"/>
        <v>0.8985507246</v>
      </c>
      <c r="G42" s="223">
        <v>0.62</v>
      </c>
      <c r="H42" s="224">
        <f t="shared" si="8"/>
        <v>117.13164</v>
      </c>
      <c r="I42" s="221">
        <f t="shared" si="9"/>
        <v>0.316572</v>
      </c>
      <c r="J42" s="200"/>
      <c r="K42" s="139"/>
      <c r="N42" s="37"/>
    </row>
    <row r="43">
      <c r="A43" s="212" t="s">
        <v>440</v>
      </c>
      <c r="B43" s="241">
        <v>200.0</v>
      </c>
      <c r="C43" s="225">
        <v>0.78</v>
      </c>
      <c r="D43" s="221">
        <f t="shared" si="6"/>
        <v>0.9102564103</v>
      </c>
      <c r="E43" s="220">
        <v>0.71</v>
      </c>
      <c r="F43" s="221">
        <f t="shared" si="7"/>
        <v>0.9295774648</v>
      </c>
      <c r="G43" s="226">
        <v>0.66</v>
      </c>
      <c r="H43" s="224">
        <f t="shared" si="8"/>
        <v>73.1016</v>
      </c>
      <c r="I43" s="221">
        <f t="shared" si="9"/>
        <v>0.365508</v>
      </c>
      <c r="J43" s="200"/>
      <c r="K43" s="139"/>
      <c r="N43" s="37"/>
    </row>
    <row r="44">
      <c r="A44" s="212" t="s">
        <v>441</v>
      </c>
      <c r="B44" s="241">
        <v>175.0</v>
      </c>
      <c r="C44" s="220">
        <v>0.81</v>
      </c>
      <c r="D44" s="221">
        <f t="shared" si="6"/>
        <v>0.9259259259</v>
      </c>
      <c r="E44" s="222">
        <v>0.75</v>
      </c>
      <c r="F44" s="221">
        <f t="shared" si="7"/>
        <v>0.9466666667</v>
      </c>
      <c r="G44" s="227">
        <v>0.71</v>
      </c>
      <c r="H44" s="224">
        <f t="shared" si="8"/>
        <v>75.481875</v>
      </c>
      <c r="I44" s="221">
        <f t="shared" si="9"/>
        <v>0.431325</v>
      </c>
      <c r="J44" s="200"/>
      <c r="K44" s="139"/>
      <c r="N44" s="37"/>
    </row>
    <row r="45">
      <c r="A45" s="212" t="s">
        <v>442</v>
      </c>
      <c r="B45" s="241">
        <v>120.0</v>
      </c>
      <c r="C45" s="225">
        <v>0.75</v>
      </c>
      <c r="D45" s="221">
        <f t="shared" si="6"/>
        <v>0.9333333333</v>
      </c>
      <c r="E45" s="228">
        <v>0.7</v>
      </c>
      <c r="F45" s="221">
        <f t="shared" si="7"/>
        <v>0.8857142857</v>
      </c>
      <c r="G45" s="229">
        <v>0.62</v>
      </c>
      <c r="H45" s="224">
        <f t="shared" si="8"/>
        <v>39.06</v>
      </c>
      <c r="I45" s="221">
        <f t="shared" si="9"/>
        <v>0.3255</v>
      </c>
      <c r="J45" s="200"/>
      <c r="K45" s="139"/>
      <c r="N45" s="37"/>
    </row>
    <row r="46">
      <c r="A46" s="212" t="s">
        <v>443</v>
      </c>
      <c r="B46" s="241">
        <v>75.0</v>
      </c>
      <c r="C46" s="226">
        <v>0.68</v>
      </c>
      <c r="D46" s="221">
        <f t="shared" si="6"/>
        <v>0.9705882353</v>
      </c>
      <c r="E46" s="231">
        <v>0.66</v>
      </c>
      <c r="F46" s="221">
        <f t="shared" si="7"/>
        <v>0.8333333333</v>
      </c>
      <c r="G46" s="232">
        <v>0.55</v>
      </c>
      <c r="H46" s="224">
        <f t="shared" si="8"/>
        <v>18.513</v>
      </c>
      <c r="I46" s="221">
        <f t="shared" si="9"/>
        <v>0.24684</v>
      </c>
      <c r="J46" s="200"/>
      <c r="K46" s="139"/>
      <c r="N46" s="37"/>
    </row>
    <row r="47">
      <c r="A47" s="212" t="s">
        <v>444</v>
      </c>
      <c r="B47" s="241">
        <v>130.0</v>
      </c>
      <c r="C47" s="217">
        <v>0.72</v>
      </c>
      <c r="D47" s="221">
        <f t="shared" si="6"/>
        <v>0.9305555556</v>
      </c>
      <c r="E47" s="227">
        <v>0.67</v>
      </c>
      <c r="F47" s="221">
        <f t="shared" si="7"/>
        <v>0.9850746269</v>
      </c>
      <c r="G47" s="233">
        <v>0.66</v>
      </c>
      <c r="H47" s="224">
        <f t="shared" si="8"/>
        <v>41.38992</v>
      </c>
      <c r="I47" s="221">
        <f t="shared" si="9"/>
        <v>0.318384</v>
      </c>
      <c r="J47" s="200"/>
      <c r="K47" s="139"/>
      <c r="N47" s="37"/>
    </row>
    <row r="48">
      <c r="A48" s="212" t="s">
        <v>445</v>
      </c>
      <c r="B48" s="241">
        <v>100.0</v>
      </c>
      <c r="C48" s="222">
        <v>0.7</v>
      </c>
      <c r="D48" s="221">
        <f t="shared" si="6"/>
        <v>0.9</v>
      </c>
      <c r="E48" s="234">
        <v>0.63</v>
      </c>
      <c r="F48" s="221">
        <f t="shared" si="7"/>
        <v>0.9047619048</v>
      </c>
      <c r="G48" s="227">
        <v>0.57</v>
      </c>
      <c r="H48" s="224">
        <f t="shared" si="8"/>
        <v>25.137</v>
      </c>
      <c r="I48" s="221">
        <f t="shared" si="9"/>
        <v>0.25137</v>
      </c>
      <c r="J48" s="200"/>
      <c r="K48" s="139"/>
      <c r="N48" s="37"/>
    </row>
    <row r="49">
      <c r="A49" s="235" t="s">
        <v>152</v>
      </c>
      <c r="B49" s="236">
        <f t="shared" ref="B49:C49" si="10">average(B41:B48)</f>
        <v>181.25</v>
      </c>
      <c r="C49" s="237">
        <f t="shared" si="10"/>
        <v>0.7275</v>
      </c>
      <c r="D49" s="221">
        <f t="shared" si="6"/>
        <v>0.9278350515</v>
      </c>
      <c r="E49" s="237">
        <f>average(E41:E48)</f>
        <v>0.675</v>
      </c>
      <c r="F49" s="221">
        <f t="shared" si="7"/>
        <v>0.9074074074</v>
      </c>
      <c r="G49" s="237">
        <f>average(G41:G48)</f>
        <v>0.6125</v>
      </c>
      <c r="H49" s="224">
        <f t="shared" si="8"/>
        <v>54.51561035</v>
      </c>
      <c r="I49" s="221">
        <f t="shared" si="9"/>
        <v>0.3007757813</v>
      </c>
      <c r="J49" s="200"/>
      <c r="K49" s="7"/>
      <c r="L49" s="8"/>
      <c r="M49" s="8"/>
      <c r="N49" s="9"/>
    </row>
    <row r="50">
      <c r="A50" s="200"/>
      <c r="B50" s="200"/>
      <c r="C50" s="200"/>
      <c r="D50" s="200"/>
      <c r="E50" s="200"/>
      <c r="F50" s="200"/>
      <c r="G50" s="200"/>
      <c r="H50" s="200"/>
      <c r="I50" s="200"/>
      <c r="J50" s="200"/>
      <c r="K50" s="200"/>
      <c r="L50" s="200"/>
      <c r="M50" s="200"/>
      <c r="N50" s="200"/>
    </row>
    <row r="51">
      <c r="A51" s="238" t="s">
        <v>446</v>
      </c>
      <c r="B51" s="6"/>
      <c r="C51" s="238" t="s">
        <v>447</v>
      </c>
      <c r="D51" s="6"/>
      <c r="E51" s="238" t="s">
        <v>428</v>
      </c>
      <c r="F51" s="6"/>
      <c r="G51" s="238" t="s">
        <v>429</v>
      </c>
      <c r="H51" s="5"/>
      <c r="I51" s="5"/>
      <c r="J51" s="5"/>
      <c r="K51" s="5"/>
      <c r="L51" s="5"/>
      <c r="M51" s="5"/>
      <c r="N51" s="6"/>
    </row>
    <row r="52">
      <c r="A52" s="7"/>
      <c r="B52" s="9"/>
      <c r="C52" s="7"/>
      <c r="D52" s="9"/>
      <c r="E52" s="7"/>
      <c r="F52" s="9"/>
      <c r="G52" s="7"/>
      <c r="H52" s="8"/>
      <c r="I52" s="8"/>
      <c r="J52" s="8"/>
      <c r="K52" s="8"/>
      <c r="L52" s="8"/>
      <c r="M52" s="8"/>
      <c r="N52" s="9"/>
    </row>
    <row r="53">
      <c r="A53" s="239" t="s">
        <v>448</v>
      </c>
      <c r="B53" s="6"/>
      <c r="C53" s="239" t="s">
        <v>449</v>
      </c>
      <c r="D53" s="6"/>
      <c r="E53" s="239" t="s">
        <v>450</v>
      </c>
      <c r="F53" s="6"/>
      <c r="G53" s="239" t="s">
        <v>451</v>
      </c>
      <c r="H53" s="5"/>
      <c r="I53" s="5"/>
      <c r="J53" s="5"/>
      <c r="K53" s="5"/>
      <c r="L53" s="5"/>
      <c r="M53" s="5"/>
      <c r="N53" s="6"/>
    </row>
    <row r="54">
      <c r="A54" s="139"/>
      <c r="B54" s="37"/>
      <c r="C54" s="139"/>
      <c r="D54" s="37"/>
      <c r="E54" s="139"/>
      <c r="F54" s="37"/>
      <c r="G54" s="139"/>
      <c r="N54" s="37"/>
    </row>
    <row r="55">
      <c r="A55" s="139"/>
      <c r="B55" s="37"/>
      <c r="C55" s="139"/>
      <c r="D55" s="37"/>
      <c r="E55" s="139"/>
      <c r="F55" s="37"/>
      <c r="G55" s="139"/>
      <c r="N55" s="37"/>
    </row>
    <row r="56">
      <c r="A56" s="139"/>
      <c r="B56" s="37"/>
      <c r="C56" s="139"/>
      <c r="D56" s="37"/>
      <c r="E56" s="139"/>
      <c r="F56" s="37"/>
      <c r="G56" s="139"/>
      <c r="N56" s="37"/>
    </row>
    <row r="57">
      <c r="A57" s="139"/>
      <c r="B57" s="37"/>
      <c r="C57" s="139"/>
      <c r="D57" s="37"/>
      <c r="E57" s="139"/>
      <c r="F57" s="37"/>
      <c r="G57" s="139"/>
      <c r="N57" s="37"/>
    </row>
    <row r="58" ht="36.0" customHeight="1">
      <c r="A58" s="7"/>
      <c r="B58" s="9"/>
      <c r="C58" s="7"/>
      <c r="D58" s="9"/>
      <c r="E58" s="7"/>
      <c r="F58" s="9"/>
      <c r="G58" s="7"/>
      <c r="H58" s="8"/>
      <c r="I58" s="8"/>
      <c r="J58" s="8"/>
      <c r="K58" s="8"/>
      <c r="L58" s="8"/>
      <c r="M58" s="8"/>
      <c r="N58" s="9"/>
    </row>
    <row r="59">
      <c r="A59" s="200"/>
      <c r="B59" s="200"/>
      <c r="C59" s="200"/>
      <c r="D59" s="200"/>
      <c r="E59" s="200"/>
      <c r="F59" s="200"/>
      <c r="G59" s="200"/>
      <c r="H59" s="200"/>
      <c r="I59" s="200"/>
      <c r="J59" s="200"/>
      <c r="K59" s="200"/>
      <c r="L59" s="200"/>
      <c r="M59" s="200"/>
      <c r="N59" s="200"/>
    </row>
    <row r="60">
      <c r="A60" s="202" t="s">
        <v>452</v>
      </c>
      <c r="B60" s="2"/>
      <c r="C60" s="2"/>
      <c r="D60" s="2"/>
      <c r="E60" s="2"/>
      <c r="F60" s="2"/>
      <c r="G60" s="2"/>
      <c r="H60" s="2"/>
      <c r="I60" s="3"/>
      <c r="J60" s="203"/>
      <c r="K60" s="203" t="s">
        <v>69</v>
      </c>
    </row>
    <row r="61">
      <c r="A61" s="204" t="s">
        <v>453</v>
      </c>
      <c r="B61" s="240" t="s">
        <v>436</v>
      </c>
      <c r="C61" s="205"/>
      <c r="D61" s="2"/>
      <c r="E61" s="2"/>
      <c r="F61" s="2"/>
      <c r="G61" s="3"/>
      <c r="H61" s="206" t="s">
        <v>409</v>
      </c>
      <c r="I61" s="207" t="s">
        <v>410</v>
      </c>
      <c r="J61" s="203"/>
    </row>
    <row r="62">
      <c r="A62" s="208" t="s">
        <v>411</v>
      </c>
      <c r="B62" s="209">
        <f>sum(B63:B69)</f>
        <v>1500</v>
      </c>
      <c r="C62" s="210" t="s">
        <v>412</v>
      </c>
      <c r="D62" s="210" t="s">
        <v>413</v>
      </c>
      <c r="E62" s="210" t="s">
        <v>414</v>
      </c>
      <c r="F62" s="210" t="s">
        <v>415</v>
      </c>
      <c r="G62" s="210" t="s">
        <v>416</v>
      </c>
      <c r="H62" s="151"/>
      <c r="I62" s="151"/>
      <c r="J62" s="200"/>
      <c r="K62" s="211" t="s">
        <v>454</v>
      </c>
      <c r="L62" s="5"/>
      <c r="M62" s="5"/>
      <c r="N62" s="6"/>
    </row>
    <row r="63">
      <c r="A63" s="230" t="s">
        <v>455</v>
      </c>
      <c r="B63" s="241">
        <v>100.0</v>
      </c>
      <c r="C63" s="214">
        <v>0.59</v>
      </c>
      <c r="D63" s="221">
        <f t="shared" ref="D63:D70" si="11">E63/C63</f>
        <v>0.9322033898</v>
      </c>
      <c r="E63" s="216">
        <v>0.55</v>
      </c>
      <c r="F63" s="221">
        <f t="shared" ref="F63:F70" si="12">G63/E63</f>
        <v>0.8727272727</v>
      </c>
      <c r="G63" s="217">
        <v>0.48</v>
      </c>
      <c r="H63" s="224">
        <f t="shared" ref="H63:H70" si="13">B63*C63*E63*G63</f>
        <v>15.576</v>
      </c>
      <c r="I63" s="221">
        <f t="shared" ref="I63:I70" si="14">H63/B63</f>
        <v>0.15576</v>
      </c>
      <c r="J63" s="200"/>
      <c r="K63" s="139"/>
      <c r="N63" s="37"/>
    </row>
    <row r="64">
      <c r="A64" s="230" t="s">
        <v>456</v>
      </c>
      <c r="B64" s="241">
        <v>250.0</v>
      </c>
      <c r="C64" s="220">
        <v>0.62</v>
      </c>
      <c r="D64" s="221">
        <f t="shared" si="11"/>
        <v>0.9838709677</v>
      </c>
      <c r="E64" s="222">
        <v>0.61</v>
      </c>
      <c r="F64" s="221">
        <f t="shared" si="12"/>
        <v>0.8360655738</v>
      </c>
      <c r="G64" s="223">
        <v>0.51</v>
      </c>
      <c r="H64" s="224">
        <f t="shared" si="13"/>
        <v>48.2205</v>
      </c>
      <c r="I64" s="221">
        <f t="shared" si="14"/>
        <v>0.192882</v>
      </c>
      <c r="J64" s="200"/>
      <c r="K64" s="139"/>
      <c r="N64" s="37"/>
    </row>
    <row r="65">
      <c r="A65" s="230" t="s">
        <v>457</v>
      </c>
      <c r="B65" s="241">
        <v>210.0</v>
      </c>
      <c r="C65" s="225">
        <v>0.7</v>
      </c>
      <c r="D65" s="221">
        <f t="shared" si="11"/>
        <v>0.8714285714</v>
      </c>
      <c r="E65" s="220">
        <v>0.61</v>
      </c>
      <c r="F65" s="221">
        <f t="shared" si="12"/>
        <v>0.9016393443</v>
      </c>
      <c r="G65" s="226">
        <v>0.55</v>
      </c>
      <c r="H65" s="224">
        <f t="shared" si="13"/>
        <v>49.3185</v>
      </c>
      <c r="I65" s="221">
        <f t="shared" si="14"/>
        <v>0.23485</v>
      </c>
      <c r="J65" s="200"/>
      <c r="K65" s="139"/>
      <c r="N65" s="37"/>
    </row>
    <row r="66">
      <c r="A66" s="230" t="s">
        <v>458</v>
      </c>
      <c r="B66" s="241">
        <v>250.0</v>
      </c>
      <c r="C66" s="220">
        <v>0.83</v>
      </c>
      <c r="D66" s="221">
        <f t="shared" si="11"/>
        <v>0.9156626506</v>
      </c>
      <c r="E66" s="222">
        <v>0.76</v>
      </c>
      <c r="F66" s="221">
        <f t="shared" si="12"/>
        <v>0.9210526316</v>
      </c>
      <c r="G66" s="227">
        <v>0.7</v>
      </c>
      <c r="H66" s="224">
        <f t="shared" si="13"/>
        <v>110.39</v>
      </c>
      <c r="I66" s="221">
        <f t="shared" si="14"/>
        <v>0.44156</v>
      </c>
      <c r="J66" s="200"/>
      <c r="K66" s="139"/>
      <c r="N66" s="37"/>
    </row>
    <row r="67">
      <c r="A67" s="230" t="s">
        <v>459</v>
      </c>
      <c r="B67" s="241">
        <v>220.0</v>
      </c>
      <c r="C67" s="225">
        <v>0.86</v>
      </c>
      <c r="D67" s="221">
        <f t="shared" si="11"/>
        <v>0.9069767442</v>
      </c>
      <c r="E67" s="228">
        <v>0.78</v>
      </c>
      <c r="F67" s="221">
        <f t="shared" si="12"/>
        <v>0.9358974359</v>
      </c>
      <c r="G67" s="229">
        <v>0.73</v>
      </c>
      <c r="H67" s="224">
        <f t="shared" si="13"/>
        <v>107.73048</v>
      </c>
      <c r="I67" s="221">
        <f t="shared" si="14"/>
        <v>0.489684</v>
      </c>
      <c r="J67" s="200"/>
      <c r="K67" s="139"/>
      <c r="N67" s="37"/>
    </row>
    <row r="68">
      <c r="A68" s="230" t="s">
        <v>460</v>
      </c>
      <c r="B68" s="241">
        <v>270.0</v>
      </c>
      <c r="C68" s="226">
        <v>0.872063968015992</v>
      </c>
      <c r="D68" s="221">
        <f t="shared" si="11"/>
        <v>0.9288309456</v>
      </c>
      <c r="E68" s="231">
        <v>0.81</v>
      </c>
      <c r="F68" s="221">
        <f t="shared" si="12"/>
        <v>0.9012345679</v>
      </c>
      <c r="G68" s="232">
        <v>0.73</v>
      </c>
      <c r="H68" s="224">
        <f t="shared" si="13"/>
        <v>139.2258846</v>
      </c>
      <c r="I68" s="221">
        <f t="shared" si="14"/>
        <v>0.5156514243</v>
      </c>
      <c r="J68" s="200"/>
      <c r="K68" s="139"/>
      <c r="N68" s="37"/>
    </row>
    <row r="69">
      <c r="A69" s="230" t="s">
        <v>461</v>
      </c>
      <c r="B69" s="241">
        <v>200.0</v>
      </c>
      <c r="C69" s="217">
        <v>0.88</v>
      </c>
      <c r="D69" s="221">
        <f t="shared" si="11"/>
        <v>0.9090909091</v>
      </c>
      <c r="E69" s="227">
        <v>0.8</v>
      </c>
      <c r="F69" s="221">
        <f t="shared" si="12"/>
        <v>0.8875</v>
      </c>
      <c r="G69" s="233">
        <v>0.71</v>
      </c>
      <c r="H69" s="224">
        <f t="shared" si="13"/>
        <v>99.968</v>
      </c>
      <c r="I69" s="221">
        <f t="shared" si="14"/>
        <v>0.49984</v>
      </c>
      <c r="J69" s="200"/>
      <c r="K69" s="139"/>
      <c r="N69" s="37"/>
    </row>
    <row r="70">
      <c r="A70" s="208" t="s">
        <v>152</v>
      </c>
      <c r="B70" s="236">
        <f t="shared" ref="B70:C70" si="15">average(B63:B69)</f>
        <v>214.2857143</v>
      </c>
      <c r="C70" s="237">
        <f t="shared" si="15"/>
        <v>0.7645805669</v>
      </c>
      <c r="D70" s="221">
        <f t="shared" si="11"/>
        <v>0.9192715239</v>
      </c>
      <c r="E70" s="237">
        <f>average(E63:E69)</f>
        <v>0.7028571429</v>
      </c>
      <c r="F70" s="221">
        <f t="shared" si="12"/>
        <v>0.8963414634</v>
      </c>
      <c r="G70" s="237">
        <f>average(G63:G69)</f>
        <v>0.63</v>
      </c>
      <c r="H70" s="224">
        <f t="shared" si="13"/>
        <v>72.54777322</v>
      </c>
      <c r="I70" s="221">
        <f t="shared" si="14"/>
        <v>0.338556275</v>
      </c>
      <c r="J70" s="200"/>
      <c r="K70" s="7"/>
      <c r="L70" s="8"/>
      <c r="M70" s="8"/>
      <c r="N70" s="9"/>
    </row>
    <row r="71">
      <c r="A71" s="200"/>
      <c r="B71" s="200"/>
      <c r="C71" s="200"/>
      <c r="D71" s="200"/>
      <c r="E71" s="200"/>
      <c r="F71" s="200"/>
      <c r="G71" s="200"/>
      <c r="H71" s="200"/>
      <c r="I71" s="200"/>
      <c r="J71" s="200"/>
      <c r="K71" s="200"/>
      <c r="L71" s="200"/>
      <c r="M71" s="200"/>
      <c r="N71" s="200"/>
    </row>
    <row r="72">
      <c r="A72" s="238" t="s">
        <v>462</v>
      </c>
      <c r="B72" s="6"/>
      <c r="C72" s="238" t="s">
        <v>463</v>
      </c>
      <c r="D72" s="6"/>
      <c r="E72" s="238" t="s">
        <v>428</v>
      </c>
      <c r="F72" s="6"/>
      <c r="G72" s="238" t="s">
        <v>429</v>
      </c>
      <c r="H72" s="5"/>
      <c r="I72" s="5"/>
      <c r="J72" s="5"/>
      <c r="K72" s="5"/>
      <c r="L72" s="5"/>
      <c r="M72" s="5"/>
      <c r="N72" s="6"/>
    </row>
    <row r="73">
      <c r="A73" s="7"/>
      <c r="B73" s="9"/>
      <c r="C73" s="7"/>
      <c r="D73" s="9"/>
      <c r="E73" s="7"/>
      <c r="F73" s="9"/>
      <c r="G73" s="7"/>
      <c r="H73" s="8"/>
      <c r="I73" s="8"/>
      <c r="J73" s="8"/>
      <c r="K73" s="8"/>
      <c r="L73" s="8"/>
      <c r="M73" s="8"/>
      <c r="N73" s="9"/>
    </row>
    <row r="74">
      <c r="A74" s="239" t="s">
        <v>464</v>
      </c>
      <c r="B74" s="6"/>
      <c r="C74" s="239" t="s">
        <v>465</v>
      </c>
      <c r="D74" s="6"/>
      <c r="E74" s="239" t="s">
        <v>466</v>
      </c>
      <c r="F74" s="6"/>
      <c r="G74" s="239" t="s">
        <v>467</v>
      </c>
      <c r="H74" s="5"/>
      <c r="I74" s="5"/>
      <c r="J74" s="5"/>
      <c r="K74" s="5"/>
      <c r="L74" s="5"/>
      <c r="M74" s="5"/>
      <c r="N74" s="6"/>
    </row>
    <row r="75">
      <c r="A75" s="139"/>
      <c r="B75" s="37"/>
      <c r="C75" s="139"/>
      <c r="D75" s="37"/>
      <c r="E75" s="139"/>
      <c r="F75" s="37"/>
      <c r="G75" s="139"/>
      <c r="N75" s="37"/>
    </row>
    <row r="76">
      <c r="A76" s="139"/>
      <c r="B76" s="37"/>
      <c r="C76" s="139"/>
      <c r="D76" s="37"/>
      <c r="E76" s="139"/>
      <c r="F76" s="37"/>
      <c r="G76" s="139"/>
      <c r="N76" s="37"/>
    </row>
    <row r="77">
      <c r="A77" s="139"/>
      <c r="B77" s="37"/>
      <c r="C77" s="139"/>
      <c r="D77" s="37"/>
      <c r="E77" s="139"/>
      <c r="F77" s="37"/>
      <c r="G77" s="139"/>
      <c r="N77" s="37"/>
    </row>
    <row r="78">
      <c r="A78" s="139"/>
      <c r="B78" s="37"/>
      <c r="C78" s="139"/>
      <c r="D78" s="37"/>
      <c r="E78" s="139"/>
      <c r="F78" s="37"/>
      <c r="G78" s="139"/>
      <c r="N78" s="37"/>
    </row>
    <row r="79" ht="15.0" customHeight="1">
      <c r="A79" s="7"/>
      <c r="B79" s="9"/>
      <c r="C79" s="7"/>
      <c r="D79" s="9"/>
      <c r="E79" s="7"/>
      <c r="F79" s="9"/>
      <c r="G79" s="7"/>
      <c r="H79" s="8"/>
      <c r="I79" s="8"/>
      <c r="J79" s="8"/>
      <c r="K79" s="8"/>
      <c r="L79" s="8"/>
      <c r="M79" s="8"/>
      <c r="N79" s="9"/>
    </row>
    <row r="80">
      <c r="A80" s="200"/>
      <c r="B80" s="200"/>
      <c r="C80" s="200"/>
      <c r="D80" s="200"/>
      <c r="E80" s="200"/>
      <c r="F80" s="200"/>
      <c r="G80" s="200"/>
      <c r="H80" s="200"/>
      <c r="I80" s="200"/>
      <c r="J80" s="200"/>
      <c r="K80" s="200"/>
      <c r="L80" s="200"/>
      <c r="M80" s="200"/>
      <c r="N80" s="200"/>
    </row>
    <row r="81">
      <c r="A81" s="202" t="s">
        <v>468</v>
      </c>
      <c r="B81" s="2"/>
      <c r="C81" s="2"/>
      <c r="D81" s="2"/>
      <c r="E81" s="2"/>
      <c r="F81" s="2"/>
      <c r="G81" s="2"/>
      <c r="H81" s="2"/>
      <c r="I81" s="3"/>
      <c r="J81" s="203"/>
      <c r="K81" s="203" t="s">
        <v>69</v>
      </c>
    </row>
    <row r="82">
      <c r="A82" s="204" t="s">
        <v>469</v>
      </c>
      <c r="B82" s="240" t="s">
        <v>436</v>
      </c>
      <c r="C82" s="205"/>
      <c r="D82" s="2"/>
      <c r="E82" s="2"/>
      <c r="F82" s="2"/>
      <c r="G82" s="3"/>
      <c r="H82" s="206" t="s">
        <v>409</v>
      </c>
      <c r="I82" s="207" t="s">
        <v>410</v>
      </c>
      <c r="J82" s="203"/>
    </row>
    <row r="83">
      <c r="A83" s="208" t="s">
        <v>411</v>
      </c>
      <c r="B83" s="209">
        <f>sum(B84:B88)</f>
        <v>1490</v>
      </c>
      <c r="C83" s="210" t="s">
        <v>412</v>
      </c>
      <c r="D83" s="210" t="s">
        <v>413</v>
      </c>
      <c r="E83" s="210" t="s">
        <v>414</v>
      </c>
      <c r="F83" s="210" t="s">
        <v>415</v>
      </c>
      <c r="G83" s="210" t="s">
        <v>416</v>
      </c>
      <c r="H83" s="151"/>
      <c r="I83" s="151"/>
      <c r="J83" s="200"/>
      <c r="K83" s="211" t="s">
        <v>470</v>
      </c>
      <c r="L83" s="5"/>
      <c r="M83" s="5"/>
      <c r="N83" s="6"/>
    </row>
    <row r="84">
      <c r="A84" s="230" t="s">
        <v>471</v>
      </c>
      <c r="B84" s="241">
        <v>250.0</v>
      </c>
      <c r="C84" s="214">
        <v>0.72</v>
      </c>
      <c r="D84" s="221">
        <f t="shared" ref="D84:D89" si="16">E84/C84</f>
        <v>0.9444444444</v>
      </c>
      <c r="E84" s="216">
        <v>0.68</v>
      </c>
      <c r="F84" s="221">
        <f t="shared" ref="F84:F89" si="17">G84/E84</f>
        <v>0.8823529412</v>
      </c>
      <c r="G84" s="217">
        <v>0.6</v>
      </c>
      <c r="H84" s="224">
        <f t="shared" ref="H84:H89" si="18">B84*C84*E84*G84</f>
        <v>73.44</v>
      </c>
      <c r="I84" s="221">
        <f t="shared" ref="I84:I89" si="19">H84/B84</f>
        <v>0.29376</v>
      </c>
      <c r="J84" s="200"/>
      <c r="K84" s="139"/>
      <c r="N84" s="37"/>
    </row>
    <row r="85">
      <c r="A85" s="230" t="s">
        <v>472</v>
      </c>
      <c r="B85" s="241">
        <v>310.0</v>
      </c>
      <c r="C85" s="220">
        <v>0.76</v>
      </c>
      <c r="D85" s="221">
        <f t="shared" si="16"/>
        <v>0.9210526316</v>
      </c>
      <c r="E85" s="222">
        <v>0.7</v>
      </c>
      <c r="F85" s="221">
        <f t="shared" si="17"/>
        <v>0.8428571429</v>
      </c>
      <c r="G85" s="223">
        <v>0.59</v>
      </c>
      <c r="H85" s="224">
        <f t="shared" si="18"/>
        <v>97.3028</v>
      </c>
      <c r="I85" s="221">
        <f t="shared" si="19"/>
        <v>0.31388</v>
      </c>
      <c r="J85" s="200"/>
      <c r="K85" s="139"/>
      <c r="N85" s="37"/>
    </row>
    <row r="86">
      <c r="A86" s="230" t="s">
        <v>473</v>
      </c>
      <c r="B86" s="241">
        <v>390.0</v>
      </c>
      <c r="C86" s="225">
        <v>0.8</v>
      </c>
      <c r="D86" s="221">
        <f t="shared" si="16"/>
        <v>0.9125</v>
      </c>
      <c r="E86" s="220">
        <v>0.73</v>
      </c>
      <c r="F86" s="221">
        <f t="shared" si="17"/>
        <v>0.8904109589</v>
      </c>
      <c r="G86" s="226">
        <v>0.65</v>
      </c>
      <c r="H86" s="224">
        <f t="shared" si="18"/>
        <v>148.044</v>
      </c>
      <c r="I86" s="221">
        <f t="shared" si="19"/>
        <v>0.3796</v>
      </c>
      <c r="J86" s="200"/>
      <c r="K86" s="139"/>
      <c r="N86" s="37"/>
    </row>
    <row r="87">
      <c r="A87" s="230" t="s">
        <v>474</v>
      </c>
      <c r="B87" s="241">
        <v>430.0</v>
      </c>
      <c r="C87" s="220">
        <v>0.83</v>
      </c>
      <c r="D87" s="221">
        <f t="shared" si="16"/>
        <v>0.9397590361</v>
      </c>
      <c r="E87" s="222">
        <v>0.78</v>
      </c>
      <c r="F87" s="221">
        <f t="shared" si="17"/>
        <v>0.9102564103</v>
      </c>
      <c r="G87" s="227">
        <v>0.71</v>
      </c>
      <c r="H87" s="224">
        <f t="shared" si="18"/>
        <v>197.65122</v>
      </c>
      <c r="I87" s="221">
        <f t="shared" si="19"/>
        <v>0.459654</v>
      </c>
      <c r="J87" s="200"/>
      <c r="K87" s="139"/>
      <c r="N87" s="37"/>
    </row>
    <row r="88">
      <c r="A88" s="230" t="s">
        <v>475</v>
      </c>
      <c r="B88" s="241">
        <v>110.0</v>
      </c>
      <c r="C88" s="225">
        <v>0.7</v>
      </c>
      <c r="D88" s="221">
        <f t="shared" si="16"/>
        <v>0.9428571429</v>
      </c>
      <c r="E88" s="228">
        <v>0.66</v>
      </c>
      <c r="F88" s="221">
        <f t="shared" si="17"/>
        <v>0.8787878788</v>
      </c>
      <c r="G88" s="229">
        <v>0.58</v>
      </c>
      <c r="H88" s="224">
        <f t="shared" si="18"/>
        <v>29.4756</v>
      </c>
      <c r="I88" s="221">
        <f t="shared" si="19"/>
        <v>0.26796</v>
      </c>
      <c r="J88" s="200"/>
      <c r="K88" s="139"/>
      <c r="N88" s="37"/>
    </row>
    <row r="89">
      <c r="A89" s="242" t="s">
        <v>152</v>
      </c>
      <c r="B89" s="209">
        <f t="shared" ref="B89:C89" si="20">average(B84:B88)</f>
        <v>298</v>
      </c>
      <c r="C89" s="237">
        <f t="shared" si="20"/>
        <v>0.762</v>
      </c>
      <c r="D89" s="221">
        <f t="shared" si="16"/>
        <v>0.9317585302</v>
      </c>
      <c r="E89" s="237">
        <f>average(E84:E88)</f>
        <v>0.71</v>
      </c>
      <c r="F89" s="221">
        <f t="shared" si="17"/>
        <v>0.8816901408</v>
      </c>
      <c r="G89" s="237">
        <f>average(G84:G88)</f>
        <v>0.626</v>
      </c>
      <c r="H89" s="224">
        <f t="shared" si="18"/>
        <v>100.926199</v>
      </c>
      <c r="I89" s="221">
        <f t="shared" si="19"/>
        <v>0.33867852</v>
      </c>
      <c r="J89" s="200"/>
      <c r="K89" s="7"/>
      <c r="L89" s="8"/>
      <c r="M89" s="8"/>
      <c r="N89" s="9"/>
    </row>
    <row r="90">
      <c r="A90" s="200"/>
      <c r="B90" s="200"/>
      <c r="C90" s="200"/>
      <c r="D90" s="200"/>
      <c r="E90" s="200"/>
      <c r="F90" s="200"/>
      <c r="G90" s="200"/>
      <c r="H90" s="200"/>
      <c r="I90" s="200"/>
      <c r="J90" s="200"/>
      <c r="K90" s="200"/>
      <c r="L90" s="200"/>
      <c r="M90" s="200"/>
      <c r="N90" s="200"/>
    </row>
    <row r="91">
      <c r="A91" s="238" t="s">
        <v>476</v>
      </c>
      <c r="B91" s="6"/>
      <c r="C91" s="238" t="s">
        <v>477</v>
      </c>
      <c r="D91" s="6"/>
      <c r="E91" s="238" t="s">
        <v>428</v>
      </c>
      <c r="F91" s="6"/>
      <c r="G91" s="238" t="s">
        <v>429</v>
      </c>
      <c r="H91" s="5"/>
      <c r="I91" s="5"/>
      <c r="J91" s="5"/>
      <c r="K91" s="5"/>
      <c r="L91" s="5"/>
      <c r="M91" s="5"/>
      <c r="N91" s="6"/>
    </row>
    <row r="92">
      <c r="A92" s="7"/>
      <c r="B92" s="9"/>
      <c r="C92" s="7"/>
      <c r="D92" s="9"/>
      <c r="E92" s="7"/>
      <c r="F92" s="9"/>
      <c r="G92" s="7"/>
      <c r="H92" s="8"/>
      <c r="I92" s="8"/>
      <c r="J92" s="8"/>
      <c r="K92" s="8"/>
      <c r="L92" s="8"/>
      <c r="M92" s="8"/>
      <c r="N92" s="9"/>
    </row>
    <row r="93">
      <c r="A93" s="239" t="s">
        <v>478</v>
      </c>
      <c r="B93" s="6"/>
      <c r="C93" s="239" t="s">
        <v>479</v>
      </c>
      <c r="D93" s="6"/>
      <c r="E93" s="239" t="s">
        <v>480</v>
      </c>
      <c r="F93" s="6"/>
      <c r="G93" s="239" t="s">
        <v>481</v>
      </c>
      <c r="H93" s="5"/>
      <c r="I93" s="5"/>
      <c r="J93" s="5"/>
      <c r="K93" s="5"/>
      <c r="L93" s="5"/>
      <c r="M93" s="5"/>
      <c r="N93" s="6"/>
    </row>
    <row r="94">
      <c r="A94" s="139"/>
      <c r="B94" s="37"/>
      <c r="C94" s="139"/>
      <c r="D94" s="37"/>
      <c r="E94" s="139"/>
      <c r="F94" s="37"/>
      <c r="G94" s="139"/>
      <c r="N94" s="37"/>
    </row>
    <row r="95">
      <c r="A95" s="139"/>
      <c r="B95" s="37"/>
      <c r="C95" s="139"/>
      <c r="D95" s="37"/>
      <c r="E95" s="139"/>
      <c r="F95" s="37"/>
      <c r="G95" s="139"/>
      <c r="N95" s="37"/>
    </row>
    <row r="96">
      <c r="A96" s="139"/>
      <c r="B96" s="37"/>
      <c r="C96" s="139"/>
      <c r="D96" s="37"/>
      <c r="E96" s="139"/>
      <c r="F96" s="37"/>
      <c r="G96" s="139"/>
      <c r="N96" s="37"/>
    </row>
    <row r="97">
      <c r="A97" s="139"/>
      <c r="B97" s="37"/>
      <c r="C97" s="139"/>
      <c r="D97" s="37"/>
      <c r="E97" s="139"/>
      <c r="F97" s="37"/>
      <c r="G97" s="139"/>
      <c r="N97" s="37"/>
    </row>
    <row r="98" ht="24.0" customHeight="1">
      <c r="A98" s="7"/>
      <c r="B98" s="9"/>
      <c r="C98" s="7"/>
      <c r="D98" s="9"/>
      <c r="E98" s="7"/>
      <c r="F98" s="9"/>
      <c r="G98" s="7"/>
      <c r="H98" s="8"/>
      <c r="I98" s="8"/>
      <c r="J98" s="8"/>
      <c r="K98" s="8"/>
      <c r="L98" s="8"/>
      <c r="M98" s="8"/>
      <c r="N98" s="9"/>
    </row>
  </sheetData>
  <mergeCells count="71">
    <mergeCell ref="K38:N39"/>
    <mergeCell ref="C39:G39"/>
    <mergeCell ref="H39:H40"/>
    <mergeCell ref="I39:I40"/>
    <mergeCell ref="K40:N49"/>
    <mergeCell ref="A51:B52"/>
    <mergeCell ref="C51:D52"/>
    <mergeCell ref="A53:B58"/>
    <mergeCell ref="C53:D58"/>
    <mergeCell ref="E53:F58"/>
    <mergeCell ref="G53:N58"/>
    <mergeCell ref="A60:I60"/>
    <mergeCell ref="K60:N61"/>
    <mergeCell ref="C61:G61"/>
    <mergeCell ref="H61:H62"/>
    <mergeCell ref="I61:I62"/>
    <mergeCell ref="K62:N70"/>
    <mergeCell ref="A72:B73"/>
    <mergeCell ref="C72:D73"/>
    <mergeCell ref="E72:F73"/>
    <mergeCell ref="G72:N73"/>
    <mergeCell ref="A74:B79"/>
    <mergeCell ref="C74:D79"/>
    <mergeCell ref="E74:F79"/>
    <mergeCell ref="G74:N79"/>
    <mergeCell ref="A81:I81"/>
    <mergeCell ref="K81:N82"/>
    <mergeCell ref="C82:G82"/>
    <mergeCell ref="A1:N1"/>
    <mergeCell ref="A2:J2"/>
    <mergeCell ref="A3:J3"/>
    <mergeCell ref="A4:J4"/>
    <mergeCell ref="A5:J5"/>
    <mergeCell ref="A6:J6"/>
    <mergeCell ref="A7:J7"/>
    <mergeCell ref="A8:J8"/>
    <mergeCell ref="A9:J9"/>
    <mergeCell ref="A10:J10"/>
    <mergeCell ref="A11:J11"/>
    <mergeCell ref="A12:J12"/>
    <mergeCell ref="A13:J13"/>
    <mergeCell ref="A14:J14"/>
    <mergeCell ref="A15:J15"/>
    <mergeCell ref="A16:I16"/>
    <mergeCell ref="K16:N17"/>
    <mergeCell ref="C17:G17"/>
    <mergeCell ref="H17:H18"/>
    <mergeCell ref="I17:I18"/>
    <mergeCell ref="K18:N27"/>
    <mergeCell ref="E31:F36"/>
    <mergeCell ref="A38:I38"/>
    <mergeCell ref="A29:B30"/>
    <mergeCell ref="C29:D30"/>
    <mergeCell ref="E29:F30"/>
    <mergeCell ref="G29:N30"/>
    <mergeCell ref="A31:B36"/>
    <mergeCell ref="C31:D36"/>
    <mergeCell ref="G31:N36"/>
    <mergeCell ref="E51:F52"/>
    <mergeCell ref="G51:N52"/>
    <mergeCell ref="A93:B98"/>
    <mergeCell ref="C93:D98"/>
    <mergeCell ref="E93:F98"/>
    <mergeCell ref="G93:N98"/>
    <mergeCell ref="H82:H83"/>
    <mergeCell ref="I82:I83"/>
    <mergeCell ref="K83:N89"/>
    <mergeCell ref="A91:B92"/>
    <mergeCell ref="C91:D92"/>
    <mergeCell ref="E91:F92"/>
    <mergeCell ref="G91:N92"/>
  </mergeCells>
  <drawing r:id="rId1"/>
  <tableParts count="12">
    <tablePart r:id="rId14"/>
    <tablePart r:id="rId15"/>
    <tablePart r:id="rId16"/>
    <tablePart r:id="rId17"/>
    <tablePart r:id="rId18"/>
    <tablePart r:id="rId19"/>
    <tablePart r:id="rId20"/>
    <tablePart r:id="rId21"/>
    <tablePart r:id="rId22"/>
    <tablePart r:id="rId23"/>
    <tablePart r:id="rId24"/>
    <tablePart r:id="rId25"/>
  </tableParts>
</worksheet>
</file>