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sheetId="1" r:id="rId4"/>
    <sheet state="visible" name="Tab 1 - Engagement Type Analysi" sheetId="2" r:id="rId5"/>
    <sheet state="visible" name="Tab 2 - Engagement State Analys" sheetId="3" r:id="rId6"/>
    <sheet state="visible" name="Tab 3 - Retention Cohort Analys" sheetId="4" r:id="rId7"/>
    <sheet state="visible" name="Tab 4 - Retention Curve " sheetId="5" r:id="rId8"/>
    <sheet state="visible" name="Tab 5 - Retention Segmentation" sheetId="6" r:id="rId9"/>
    <sheet state="visible" name="Tab 6 - Lifecycle Chart" sheetId="7" r:id="rId10"/>
    <sheet state="visible" name="Tab 7 - Churn &amp; LTV Analysis" sheetId="8" r:id="rId11"/>
    <sheet state="visible" name="Tab 8 - Experment Brief"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02">
      <text>
        <t xml:space="preserve">Should it be Tab 8 instead of Tab 6?
	-Antonina Savka</t>
      </text>
    </comment>
    <comment authorId="0" ref="L48">
      <text>
        <t xml:space="preserve">Should it be Tab 8 instead of Tab 6?
	-Antonina Savka</t>
      </text>
    </comment>
  </commentList>
</comments>
</file>

<file path=xl/sharedStrings.xml><?xml version="1.0" encoding="utf-8"?>
<sst xmlns="http://schemas.openxmlformats.org/spreadsheetml/2006/main" count="370" uniqueCount="280">
  <si>
    <t>Retention Analysis</t>
  </si>
  <si>
    <r>
      <rPr>
        <rFont val="Arial"/>
        <b/>
        <color theme="1"/>
      </rPr>
      <t>Instructions:</t>
    </r>
    <r>
      <rPr>
        <rFont val="Arial"/>
        <color theme="1"/>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</si>
  <si>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</si>
  <si>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</si>
  <si>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</si>
  <si>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</si>
  <si>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</si>
  <si>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</si>
  <si>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</si>
  <si>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</si>
  <si>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</si>
  <si>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</si>
  <si>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</si>
  <si>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</si>
  <si>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</si>
  <si>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</si>
  <si>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</si>
  <si>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</si>
  <si>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rFont val="Arial"/>
        <b/>
        <color theme="1"/>
      </rPr>
      <t xml:space="preserve">Scenario: </t>
    </r>
    <r>
      <rPr>
        <rFont val="Arial"/>
        <b val="0"/>
        <color theme="1"/>
      </rPr>
      <t xml:space="preserve">Slack has noticed that they can acquire customers easily, but are unable to determine how long their users retain, when they churn, and for what reason. You are asked to conduct an analysis to understand 
(1) how to keep the acquired users engaged
(2) how long users stay retained
(3) what the lifetime value of an average user is. </t>
    </r>
  </si>
  <si>
    <r>
      <rPr>
        <rFont val="Arial"/>
        <b/>
        <color theme="1"/>
      </rPr>
      <t xml:space="preserve">Skill: </t>
    </r>
    <r>
      <rPr>
        <rFont val="Arial"/>
        <b val="0"/>
        <color theme="1"/>
      </rPr>
      <t xml:space="preserve">This tab will help you apply theories learned about engagement types and apply them to Slack. Based on the initial activation funnel analysis, you will extrapolate and map Slack's engagement types:
</t>
    </r>
    <r>
      <rPr>
        <rFont val="Arial"/>
        <b/>
        <color theme="1"/>
      </rPr>
      <t>Use-case
Frequency
Feature usage
Intensity</t>
    </r>
    <r>
      <rPr>
        <rFont val="Arial"/>
        <b val="0"/>
        <color theme="1"/>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</si>
  <si>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</si>
  <si>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rFont val="Arial"/>
        <color rgb="FF000000"/>
      </rPr>
      <t xml:space="preserve">1. In Rows 16 - 21 should match what you found from your previous Habit, Aha, and Setup analysis in Activation - Tab 7. If it </t>
    </r>
    <r>
      <rPr>
        <rFont val="Arial"/>
        <b/>
        <color rgb="FF000000"/>
      </rPr>
      <t>does not match</t>
    </r>
    <r>
      <rPr>
        <rFont val="Arial"/>
        <color rgb="FF000000"/>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</si>
  <si>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</si>
  <si>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</si>
  <si>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</si>
  <si>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</si>
  <si>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</si>
  <si>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</si>
  <si>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</si>
  <si>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</si>
  <si>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</si>
  <si>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rFont val="Arial"/>
        <color theme="1"/>
      </rPr>
      <t xml:space="preserve"> Habit Moment 1</t>
    </r>
    <r>
      <rPr>
        <rFont val="Arial"/>
        <color theme="1"/>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</si>
  <si>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</si>
  <si>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</si>
  <si>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</si>
  <si>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</si>
  <si>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</si>
  <si>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rFont val="Arial"/>
        <color theme="1"/>
      </rPr>
      <t xml:space="preserve">Aha Metric 1: </t>
    </r>
    <r>
      <rPr>
        <rFont val="Arial"/>
        <color theme="1"/>
      </rPr>
      <t>Sending 1st message in a group channel within X days</t>
    </r>
  </si>
  <si>
    <t>Setup Moment</t>
  </si>
  <si>
    <r>
      <rPr>
        <rFont val="Arial"/>
        <color theme="1"/>
      </rPr>
      <t xml:space="preserve">Setup Action 3: </t>
    </r>
    <r>
      <rPr>
        <rFont val="Arial"/>
        <color theme="1"/>
      </rPr>
      <t>Invite a team mate and had a back-and-forth direct convo</t>
    </r>
  </si>
  <si>
    <t>Setup Metric</t>
  </si>
  <si>
    <r>
      <rPr>
        <rFont val="Arial"/>
        <color theme="1"/>
      </rPr>
      <t xml:space="preserve">Setup Metric 3: </t>
    </r>
    <r>
      <rPr>
        <rFont val="Arial"/>
        <color theme="1"/>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</si>
  <si>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</si>
  <si>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t>To establish seamless internal remote communication on daily basis.</t>
  </si>
  <si>
    <r>
      <rPr>
        <rFont val="Arial"/>
        <color theme="1"/>
      </rPr>
      <t xml:space="preserve">What </t>
    </r>
    <r>
      <rPr>
        <rFont val="Arial"/>
        <b/>
        <color theme="1"/>
      </rPr>
      <t>other use-cases</t>
    </r>
    <r>
      <rPr>
        <rFont val="Arial"/>
        <color theme="1"/>
      </rPr>
      <t xml:space="preserve"> are there for Slack?</t>
    </r>
  </si>
  <si>
    <t>To create like-minded user communities</t>
  </si>
  <si>
    <t>To create a single place where users can receive the notifications and updates from the 3rd party applications (GitHub, Confluence, JIRA etc.)</t>
  </si>
  <si>
    <t>To engage collaboration in remote teams</t>
  </si>
  <si>
    <t>To plan and organise common events, like teambuilding</t>
  </si>
  <si>
    <t>To create public channels to engage with the customers</t>
  </si>
  <si>
    <t>Frequency:</t>
  </si>
  <si>
    <t>For the use-case of sending messages to internal teammates, how often is this frequency needed? (daily, weekly, monthly, quarterly, or yearly) Explain your reasoning of this selection.</t>
  </si>
  <si>
    <t>Daily. To reach the habit point and get key benefits from Slack, the users should communicate with each other via messages on daily basis. In this way, Slack becomes a primer communication point and can serve to document the discussions and findings. With communication on a daily basis, the engagement becomes more natural, seamless.</t>
  </si>
  <si>
    <t>What are the frequencies of the different use-cases you selected above (ROW 29-32)?</t>
  </si>
  <si>
    <t>Weekly</t>
  </si>
  <si>
    <t>Yearly</t>
  </si>
  <si>
    <t>Daily</t>
  </si>
  <si>
    <t>Monthly</t>
  </si>
  <si>
    <t>Quarterly</t>
  </si>
  <si>
    <t>Feature:</t>
  </si>
  <si>
    <t>Slack has many features such as: group message, direct message, call, engage slackbots.</t>
  </si>
  <si>
    <t>Which feature would be the focus to drive the customer to engage with to help them meet their use-case?</t>
  </si>
  <si>
    <t>Group message</t>
  </si>
  <si>
    <t>Intensity:</t>
  </si>
  <si>
    <t>If our goal is to get our customers to communicate with each other as much as possible, what should be the intensity metric we drive users to do often?</t>
  </si>
  <si>
    <t># of Team Slack Messages Sent in 7-days</t>
  </si>
  <si>
    <t>Engagement Types:</t>
  </si>
  <si>
    <t>Frequency</t>
  </si>
  <si>
    <t>Feature</t>
  </si>
  <si>
    <t>Group or direct message</t>
  </si>
  <si>
    <t>Intensity</t>
  </si>
  <si>
    <t>10 messages/day</t>
  </si>
  <si>
    <r>
      <rPr>
        <rFont val="Arial"/>
        <b/>
        <color theme="1"/>
      </rPr>
      <t xml:space="preserve">Scenario: </t>
    </r>
    <r>
      <rPr>
        <rFont val="Arial"/>
        <b val="0"/>
        <color theme="1"/>
      </rPr>
      <t>Slack has noticed that they can acquire customers easily, but are unable to determine how long their users retain, when they churn, and for what reason. You are asked to conduct an analysis to understand how engaged users are.</t>
    </r>
  </si>
  <si>
    <r>
      <rPr>
        <rFont val="Arial"/>
        <b/>
        <color theme="1"/>
      </rPr>
      <t xml:space="preserve">Skill: </t>
    </r>
    <r>
      <rPr>
        <rFont val="Arial"/>
        <b val="0"/>
        <color theme="1"/>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</si>
  <si>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</si>
  <si>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rFont val="Arial"/>
        <b/>
        <color theme="1"/>
      </rPr>
      <t xml:space="preserve">1. </t>
    </r>
    <r>
      <rPr>
        <rFont val="Arial"/>
        <b val="0"/>
        <color theme="1"/>
      </rPr>
      <t xml:space="preserve">Determine the Core state in column B from the engagement type analysis in Tab 1, row 73 - 76. </t>
    </r>
  </si>
  <si>
    <r>
      <rPr>
        <rFont val="Arial"/>
        <b/>
        <color theme="1"/>
      </rPr>
      <t xml:space="preserve">2. </t>
    </r>
    <r>
      <rPr>
        <rFont val="Arial"/>
        <b val="0"/>
        <color theme="1"/>
      </rPr>
      <t>Using the given core state, add your definition of a Power User in column A</t>
    </r>
  </si>
  <si>
    <r>
      <rPr>
        <rFont val="Arial"/>
        <b/>
        <color theme="1"/>
      </rPr>
      <t xml:space="preserve">3. </t>
    </r>
    <r>
      <rPr>
        <rFont val="Arial"/>
        <b val="0"/>
        <color theme="1"/>
      </rPr>
      <t>Using the given core state and the Power state you created,add your definition of a Casual User in column C</t>
    </r>
  </si>
  <si>
    <t>Power</t>
  </si>
  <si>
    <t>Core</t>
  </si>
  <si>
    <t>Casual</t>
  </si>
  <si>
    <t>(more than core)</t>
  </si>
  <si>
    <t>(from the engagement type summary in Tab 1, row 73 - 76. )</t>
  </si>
  <si>
    <t>(less than core)</t>
  </si>
  <si>
    <t>Send about 100 messages a day using the direct message or channels</t>
  </si>
  <si>
    <t>Send about 10 messages a day using the direct message or channels</t>
  </si>
  <si>
    <t>Send at least one message a week using the direct message or channels</t>
  </si>
  <si>
    <r>
      <rPr>
        <rFont val="Arial"/>
        <b/>
        <color theme="1"/>
      </rPr>
      <t xml:space="preserve">Scenario: </t>
    </r>
    <r>
      <rPr>
        <rFont val="Arial"/>
        <b val="0"/>
        <color theme="1"/>
      </rPr>
      <t>Slack has noticed that they can acquire customers easily, but are unable to determine how long their users retain. You are asked to conduct an analysis to understand how long our users stay active.</t>
    </r>
    <r>
      <rPr>
        <rFont val="Arial"/>
        <b/>
        <color theme="1"/>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</si>
  <si>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</si>
  <si>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</si>
  <si>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rFont val="Arial"/>
        <color rgb="FF000000"/>
      </rPr>
      <t xml:space="preserve">Your job is to convert the # of active users retained over 10-weeks to another table to understand the % of active users retained over 10-weeks. This is for everyone using the core behavior: </t>
    </r>
    <r>
      <rPr>
        <rFont val="Arial"/>
        <b/>
        <color rgb="FF000000"/>
      </rPr>
      <t>Send a message a day using the direct message or channels.</t>
    </r>
  </si>
  <si>
    <r>
      <rPr>
        <rFont val="Arial"/>
        <b/>
        <color theme="1"/>
      </rPr>
      <t xml:space="preserve">Skill: </t>
    </r>
    <r>
      <rPr>
        <rFont val="Arial"/>
        <b val="0"/>
        <color theme="1"/>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</si>
  <si>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</si>
  <si>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rFont val="Arial"/>
        <b/>
        <color theme="1"/>
      </rPr>
      <t xml:space="preserve">1. </t>
    </r>
    <r>
      <rPr>
        <rFont val="Arial"/>
        <b val="0"/>
        <color theme="1"/>
      </rPr>
      <t>Determine the % of active users table from C33 - M44 using the table of # of active users from C16 - M27. Calculation: % of Active Users = # of Active Users that Week / # of Total Users in that Cohort</t>
    </r>
  </si>
  <si>
    <t xml:space="preserve"> </t>
  </si>
  <si>
    <r>
      <rPr>
        <rFont val="Arial"/>
        <b/>
        <color theme="1"/>
      </rPr>
      <t xml:space="preserve">2. </t>
    </r>
    <r>
      <rPr>
        <rFont val="Arial"/>
        <b val="0"/>
        <color theme="1"/>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</si>
  <si>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</si>
  <si>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</si>
  <si>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</si>
  <si>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</si>
  <si>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</si>
  <si>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</si>
  <si>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</si>
  <si>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rFont val="Arial"/>
        <b/>
        <color theme="1"/>
      </rPr>
      <t xml:space="preserve">Scenario: </t>
    </r>
    <r>
      <rPr>
        <rFont val="Arial"/>
        <b val="0"/>
        <color theme="1"/>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</si>
  <si>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rFont val="Arial"/>
        <b/>
        <color theme="1"/>
      </rPr>
      <t xml:space="preserve">Skill: </t>
    </r>
    <r>
      <rPr>
        <rFont val="Arial"/>
        <b val="0"/>
        <color theme="1"/>
      </rPr>
      <t>Create a retention curve chart from the previous retention cohort analysis. In the next section, you'll analyze retention over time by looking at how cohorts change over time.</t>
    </r>
  </si>
  <si>
    <r>
      <rPr>
        <rFont val="Arial"/>
        <b/>
        <color theme="1"/>
      </rPr>
      <t>Instructions:</t>
    </r>
    <r>
      <rPr>
        <rFont val="Arial"/>
        <color theme="1"/>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</si>
  <si>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</si>
  <si>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</si>
  <si>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</si>
  <si>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At how many weeks does the retention curve flatten at?</t>
  </si>
  <si>
    <t xml:space="preserve">What does this retention curve tell us: </t>
  </si>
  <si>
    <t>We are losing our customers up half of the customers within 8 weeks. The retention rate is 49% at 8 weeks.</t>
  </si>
  <si>
    <t>What would happen if we improve Week 0 retention?</t>
  </si>
  <si>
    <t>Unknown. We need to find the root cause of the dropping retention. If the week 0 retention improved because of addressing the root cause, then the curve will improve and get flattened sooner. But if the improvement of week 0 retention is just a quantitative boost of the new users (improved set up) but the root cause for low retention is not addressed, the curve will remain its look/nature as it is now, with probably stripper decrement in the first few weeks.</t>
  </si>
  <si>
    <t>User Retention by Segment</t>
  </si>
  <si>
    <r>
      <rPr>
        <rFont val="Arial"/>
        <b/>
        <color rgb="FF000000"/>
      </rPr>
      <t>Scenario:</t>
    </r>
    <r>
      <rPr>
        <rFont val="Arial"/>
        <color rgb="FF000000"/>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</si>
  <si>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rFont val="Arial"/>
        <b/>
        <color theme="1"/>
      </rPr>
      <t xml:space="preserve">Skill: </t>
    </r>
    <r>
      <rPr>
        <rFont val="Arial"/>
        <b val="0"/>
        <color theme="1"/>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</si>
  <si>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rFont val="Arial"/>
        <b/>
        <color theme="1"/>
      </rPr>
      <t>Instructions:</t>
    </r>
    <r>
      <rPr>
        <rFont val="Arial"/>
        <b val="0"/>
        <color theme="1"/>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</si>
  <si>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</si>
  <si>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</si>
  <si>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</si>
  <si>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</si>
  <si>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</si>
  <si>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</si>
  <si>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</si>
  <si>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</si>
  <si>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</si>
  <si>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</si>
  <si>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</si>
  <si>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</si>
  <si>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</si>
  <si>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</si>
  <si>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</si>
  <si>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</si>
  <si>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</si>
  <si>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</si>
  <si>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</si>
  <si>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</si>
  <si>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Retail</t>
  </si>
  <si>
    <t>Which industry(s) has the worst retention curve?</t>
  </si>
  <si>
    <t>Manufactoring</t>
  </si>
  <si>
    <t>How do you compare the Retention Analysis here with the Activation Analysis from Activation - Part 2 - Tab 6:</t>
  </si>
  <si>
    <t>In Activation analysis, Transportation and Oil and Gas showed the worst data: the activation for these 2 industries was quite low. However, the retention analysis shows that Oil and gas especially have a less stip curve meaning the users who actually activated the account remain with the application longer. On another side, Technology had the best activation percentage while relation is not the best. Retail was the 2nd best in activation and keep showing the best results with retention</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</si>
  <si>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</si>
  <si>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</si>
  <si>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</si>
  <si>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</si>
  <si>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</si>
  <si>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</si>
  <si>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</si>
  <si>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</si>
  <si>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</si>
  <si>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</si>
  <si>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</si>
  <si>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</si>
  <si>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</si>
  <si>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</si>
  <si>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Activation analysis showed that the best performing company size is 21-50, while 101-250 was just above the average. In terms of relation, we can see the opposite: the rotation for 21-50 is worse compared to 101-250. However, both analyses showed that 501+ perform bad both with activation and retention. But 1-5 segment shows better results in retention than activation.</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</si>
  <si>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</si>
  <si>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</si>
  <si>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</si>
  <si>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</si>
  <si>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</si>
  <si>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</si>
  <si>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</si>
  <si>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</si>
  <si>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</si>
  <si>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</si>
  <si>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</si>
  <si>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</si>
  <si>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Activation analysis shows that 100+ segments perform stronger than average (50%), while the retention analysis shows that we can't retain the users at that segment: the retention rate is about 11% on the 8th week. Segment 2-5 shows the opposite picture: it has the best retention while the activation was the 2nd worst - only 19%. If we can improve the activation for this segment, with good retention they can bring us more revenue and new users.</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</si>
  <si>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</si>
  <si>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</si>
  <si>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</si>
  <si>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</si>
  <si>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</si>
  <si>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</si>
  <si>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</si>
  <si>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</si>
  <si>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</si>
  <si>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</si>
  <si>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</si>
  <si>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t>Both retention and activation analysis shows us that the best performing segments are Team Invitation and Referral link, and the worst-performing segment is the Blog page.</t>
  </si>
  <si>
    <r>
      <rPr>
        <rFont val="Arial"/>
        <b/>
        <color theme="1"/>
      </rPr>
      <t xml:space="preserve">Scenario: </t>
    </r>
    <r>
      <rPr>
        <rFont val="Arial"/>
        <b val="0"/>
        <color theme="1"/>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</si>
  <si>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rFont val="Arial"/>
        <b/>
        <color theme="1"/>
      </rPr>
      <t xml:space="preserve">Skill: </t>
    </r>
    <r>
      <rPr>
        <rFont val="Arial"/>
        <b val="0"/>
        <color theme="1"/>
      </rPr>
      <t>Create a lifecycle analysis of your users over time by looking at active user and inactive user cohorts over time. Calculate the weekly active users, dormant users, and resurrected users.</t>
    </r>
  </si>
  <si>
    <r>
      <rPr>
        <rFont val="Arial"/>
        <b/>
        <color theme="1"/>
      </rPr>
      <t xml:space="preserve">1. </t>
    </r>
    <r>
      <rPr>
        <rFont val="Arial"/>
        <b val="0"/>
        <color theme="1"/>
      </rPr>
      <t>Calculate the # of retained and resurrected users in Column C Row 44-52 using the # of active users cohort analysis in rows 14 - 25.</t>
    </r>
  </si>
  <si>
    <r>
      <rPr>
        <rFont val="Arial"/>
        <b/>
        <color theme="1"/>
      </rPr>
      <t xml:space="preserve">2. </t>
    </r>
    <r>
      <rPr>
        <rFont val="Arial"/>
        <b val="0"/>
        <color theme="1"/>
      </rPr>
      <t>Calculate the # of dormant users in Column D Row 44-52 using the # of inactive users cohort analysis in row 30 - 40.</t>
    </r>
  </si>
  <si>
    <r>
      <rPr>
        <rFont val="Arial"/>
        <b/>
        <color theme="1"/>
      </rPr>
      <t xml:space="preserve">3. </t>
    </r>
    <r>
      <rPr>
        <rFont val="Arial"/>
        <b val="0"/>
        <color theme="1"/>
      </rPr>
      <t>Calculate the # of weekly active users using the # of new users, # of retained and resurrected users, and # of dormant users</t>
    </r>
  </si>
  <si>
    <r>
      <rPr>
        <rFont val="Arial"/>
        <b/>
        <color theme="1"/>
      </rPr>
      <t xml:space="preserve">4. </t>
    </r>
    <r>
      <rPr>
        <rFont val="Arial"/>
        <b val="0"/>
        <color theme="1"/>
      </rPr>
      <t>Calculate the # of resurrected users using the</t>
    </r>
    <r>
      <rPr>
        <rFont val="Arial"/>
        <b/>
        <color theme="1"/>
      </rPr>
      <t xml:space="preserve"> </t>
    </r>
    <r>
      <rPr>
        <rFont val="Arial"/>
        <b val="0"/>
        <color theme="1"/>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</si>
  <si>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</si>
  <si>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</si>
  <si>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</si>
  <si>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</si>
  <si>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</si>
  <si>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</si>
  <si>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</si>
  <si>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</si>
  <si>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</si>
  <si>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rFont val="Arial"/>
        <color rgb="FF34A853"/>
      </rPr>
      <t xml:space="preserve">Retained Users, </t>
    </r>
    <r>
      <rPr>
        <rFont val="Arial"/>
        <color rgb="FFFBBC04"/>
      </rPr>
      <t># of New Users</t>
    </r>
    <r>
      <rPr>
        <rFont val="Arial"/>
        <color rgb="FF34A853"/>
      </rPr>
      <t xml:space="preserve">, </t>
    </r>
    <r>
      <rPr>
        <rFont val="Arial"/>
        <color theme="5"/>
      </rPr>
      <t>Resurrected Users</t>
    </r>
    <r>
      <rPr>
        <rFont val="Arial"/>
        <color rgb="FF34A853"/>
      </rPr>
      <t xml:space="preserve">, </t>
    </r>
    <r>
      <rPr>
        <rFont val="Arial"/>
        <color theme="4"/>
      </rPr>
      <t>Dormant Users</t>
    </r>
  </si>
  <si>
    <r>
      <rPr>
        <rFont val="Arial"/>
        <b/>
        <color theme="1"/>
      </rPr>
      <t xml:space="preserve">Scenario: </t>
    </r>
    <r>
      <rPr>
        <rFont val="Arial"/>
        <b val="0"/>
        <color theme="1"/>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</si>
  <si>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</si>
  <si>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</si>
  <si>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</si>
  <si>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rFont val="Arial"/>
        <b/>
        <color theme="1"/>
      </rPr>
      <t>Skill:</t>
    </r>
    <r>
      <rPr>
        <rFont val="Arial"/>
        <color theme="1"/>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rFont val="Arial"/>
        <b/>
        <color theme="1"/>
      </rPr>
      <t xml:space="preserve">Tip: </t>
    </r>
    <r>
      <rPr>
        <rFont val="Arial"/>
        <color theme="1"/>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</si>
  <si>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</si>
  <si>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</si>
  <si>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</si>
  <si>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</si>
  <si>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</si>
  <si>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</si>
  <si>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</si>
  <si>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</si>
  <si>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</si>
  <si>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</si>
  <si>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</si>
  <si>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</si>
  <si>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</si>
  <si>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</si>
  <si>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</si>
  <si>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</si>
  <si>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</si>
  <si>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</si>
  <si>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</si>
  <si>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</si>
  <si>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</si>
  <si>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</si>
  <si>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</si>
  <si>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</si>
  <si>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</si>
  <si>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</si>
  <si>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</si>
  <si>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To improve LTV we need to keep reducing the churn rate and/or increase ARPA</t>
  </si>
  <si>
    <t>How can we predict churn before it happens?</t>
  </si>
  <si>
    <t>By monitoring the dorm users per period of time (e.g. per month). Also increasing the price over acceptable, deprecating functionality or changes on the market due to the competitors' activity usually will lead to churn, but we may not know quantitively how much it will affect churn.</t>
  </si>
  <si>
    <t>Is the avg. monthly churn rate acceptable for a B2B SaaS company? If no, explain.</t>
  </si>
  <si>
    <t>Yes</t>
  </si>
  <si>
    <t>Experiment Brief</t>
  </si>
  <si>
    <r>
      <rPr>
        <rFont val="Arial"/>
        <b/>
        <color theme="1"/>
      </rPr>
      <t xml:space="preserve">Scenario: </t>
    </r>
    <r>
      <rPr>
        <rFont val="Arial"/>
        <b val="0"/>
        <color theme="1"/>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</si>
  <si>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</si>
  <si>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rFont val="Arial"/>
        <color rgb="FF000000"/>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rFont val="Arial"/>
        <b/>
        <color rgb="FF000000"/>
      </rPr>
      <t>NOT</t>
    </r>
    <r>
      <rPr>
        <rFont val="Arial"/>
        <color rgb="FF000000"/>
      </rPr>
      <t xml:space="preserve"> retaining well and create experiments for these segments.</t>
    </r>
  </si>
  <si>
    <r>
      <rPr>
        <rFont val="Arial"/>
        <b/>
        <color theme="1"/>
      </rPr>
      <t>Skill:</t>
    </r>
    <r>
      <rPr>
        <rFont val="Arial"/>
        <color theme="1"/>
      </rPr>
      <t xml:space="preserve"> Create experiments and include analysis on the impacts, rational, and hypothesis of the experiment. </t>
    </r>
  </si>
  <si>
    <r>
      <rPr>
        <rFont val="Arial"/>
        <b/>
        <color theme="1"/>
      </rPr>
      <t xml:space="preserve">1. </t>
    </r>
    <r>
      <rPr>
        <rFont val="Arial"/>
        <b val="0"/>
        <color theme="1"/>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</si>
  <si>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</si>
  <si>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</si>
  <si>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</si>
  <si>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</si>
  <si>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</si>
  <si>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</si>
  <si>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</si>
  <si>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</si>
  <si>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</si>
  <si>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</si>
  <si>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</si>
  <si>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</si>
  <si>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</si>
  <si>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</si>
  <si>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</si>
  <si>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</si>
  <si>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</si>
  <si>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[ACTION] Introduce the department channels templates (pre-setup) [OUTCOME] so we can increase the retention rate for the customers with 100+ accounts from 11% [Theory] because we introduce a more efficient and organised way of communication to prevent spam effect for the big amount of users and help them develop a stronger habbit</t>
  </si>
  <si>
    <t>Whether organising the communication in a more efficient logically structured way helps the segment of 100+ accounts retain better</t>
  </si>
  <si>
    <t>I would expect an increasing retention rate of at least up to 20%</t>
  </si>
  <si>
    <t>Direct messaging in the set-up with 100+ accounts becomes chaotic. And participating in the channels with 100+ people creates the feeling of spamming: not all 100+ people are interested in the same thing. Usually, people in the mid and large organisation needs to communicate to a small subset of users: teams, squads, departments etc. Showing the users the departments' channels template will give them an idea of how better organise their communication, so literally, we split 100+ into 10-20+ subsegments of 5-20 accounts in each, and from retention analysis, we see that retention for these segments is significantly better.</t>
  </si>
  <si>
    <t>Sales team to include the idea of efficient communication using departments/teams channels into a sales pitch when they reach out to the potential customers. Marketing team to promote the idea of efficient communication and run campaign among the potential customers within this segment. Design team to create the mockups of personalised templates. Engineering team to implement templates and build-in into product guide how to customise these templates.</t>
  </si>
  <si>
    <t>Analysis based on a survey of churned users in this segment to understand the pain points and whether this experiment will address them. Available budget to run a marketing campaign for this segment to promote the templates.</t>
  </si>
  <si>
    <t>- # of messages sent through the template channels
- Retention rate</t>
  </si>
  <si>
    <t>[ACTION] Provide training demo to the leads in the segment 101-250 company size [OUTCOME] so we can improve the activation of this segment from 25% [Theory] because the customer we see the examples of real use-cases how they can implement efficient communication at work.</t>
  </si>
  <si>
    <t>Whether introducing flexible set up and Aha! moments earlier will increase the activation rate for this particular segment</t>
  </si>
  <si>
    <t>I would expect increasement in the activation rate by at least 7%</t>
  </si>
  <si>
    <t>The 101-250 company size segment shows the best retention rate among all the segments but has a lower than average activation rate. Without a proper analysis of why this particular segment has a low activation rate, it is difficult to define the root cause. Therefore, with a lack of this information, we try to boost activation through brining the leads to Aha moment sooner buy showing the examples of real use-cases for this segment and showing how they can improve their ROI using our product.</t>
  </si>
  <si>
    <t>Customer support team to introduce and advertise the training among the new customers. Marketing team to check how we can promote the training and demos among the leads; also create the training and demo materials. User experience or Desing team to help with creating the training and demo materials. Engineering team to brainstorm ideas on how we can distribute these materials within our product.</t>
  </si>
  <si>
    <t>Analysis based on a survey of churned users in this segment to understand the pain points and whether this experiment will address them.</t>
  </si>
  <si>
    <t>- # of users reached Aha moment
- # of messages sent on daily bases to track the habit moment</t>
  </si>
  <si>
    <t>[ACTION] Apply a more secure encryption method to the messages [OUTCOME] so we can increase an activation rate for the Finance Services segment from 31% [Theory] because of providing better protection for sensitive information</t>
  </si>
  <si>
    <t>Whether introducing a new feature especially around security will increase the activation rate for the industry with sensitive data and which requires a lot of regulations to be satisfied.</t>
  </si>
  <si>
    <t>I would expect increasement in the activation rate by about 7%</t>
  </si>
  <si>
    <t>The Finance Services segment has a high retention rate of 48% while the activation rate is below the average - only 31%. The Finance Services segment usually has to follow a lot of regulations and be data-protection oriented. Introducing a security level within our product will bring us to a new level of competition and create a strong Aha moment for this segment.</t>
  </si>
  <si>
    <t>Data security team to understand what regulations we have to meet to improve the encryption of the messages. Sales team to prepare a new sales plan that includes this feature. Marketing team to build a campaign around the new plan. Engineering team to apply new encryption method to the messages.</t>
  </si>
  <si>
    <t>Do we want to sell this feature with a separate plan or include it in all plans? What regulations do we need to satisfy to improve the encryption of the messages? Do we need to bring a new infrastructure or upgrade existing infrastructure to implement and support new encryption?</t>
  </si>
  <si>
    <t xml:space="preserve">- # of users reached Setup moment
- # of users reached Aha moment
- # of messages sent on daily bases to track the habit moment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</si>
</sst>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409]mmm\-yy"/>
    <numFmt numFmtId="166" formatCode="m-d"/>
    <numFmt numFmtId="167" formatCode="&quot;$&quot;#,##0.00"/>
  </numFmts>
  <fonts count="22">
    <font>
      <sz val="10.0"/>
      <color rgb="FF000000"/>
      <name val="Arial"/>
    </font>
    <font>
      <sz val="31.0"/>
      <color rgb="FF000000"/>
      <name val="Arial"/>
    </font>
    <font>
      <color theme="1"/>
      <name val="Arial"/>
    </font>
    <font/>
    <font>
      <b/>
      <color rgb="FF000000"/>
      <name val="Arial"/>
    </font>
    <font>
      <b/>
      <color theme="1"/>
      <name val="Arial"/>
    </font>
    <font>
      <b/>
      <sz val="30.0"/>
      <color rgb="FF222222"/>
      <name val="&quot;Google Sans&quot;"/>
    </font>
    <font>
      <color rgb="FF000000"/>
      <name val="Arial"/>
    </font>
    <font>
      <sz val="11.0"/>
      <color rgb="FF222222"/>
      <name val="&quot;Google Sans&quot;"/>
    </font>
    <font>
      <b/>
      <sz val="20.0"/>
      <color theme="1"/>
      <name val="Arial"/>
    </font>
    <font>
      <i/>
      <color theme="1"/>
      <name val="Arial"/>
    </font>
    <font>
      <b/>
      <sz val="30.0"/>
      <color theme="1"/>
      <name val="Arial"/>
    </font>
    <font>
      <sz val="30.0"/>
      <color theme="1"/>
      <name val="Arial"/>
    </font>
    <font>
      <b/>
      <sz val="11.0"/>
      <color rgb="FF222222"/>
      <name val="Arial"/>
    </font>
    <font>
      <sz val="12.0"/>
      <color rgb="FF000000"/>
      <name val="Calibri"/>
    </font>
    <font>
      <sz val="30.0"/>
      <color rgb="FF222222"/>
      <name val="Arial"/>
    </font>
    <font>
      <sz val="11.0"/>
      <color rgb="FF222222"/>
      <name val="Arial"/>
    </font>
    <font>
      <b/>
      <color rgb="FF000000"/>
      <name val="Open Sans"/>
    </font>
    <font>
      <color rgb="FF000000"/>
      <name val="Open Sans"/>
    </font>
    <font>
      <b/>
      <sz val="10.0"/>
      <color rgb="FF000000"/>
      <name val="Open Sans"/>
    </font>
    <font>
      <sz val="30.0"/>
      <color rgb="FF000000"/>
      <name val="Arial"/>
    </font>
    <font>
      <color rgb="FF34A853"/>
      <name val="Arial"/>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1" fillId="0" fontId="2" numFmtId="0" xfId="0" applyAlignment="1" applyBorder="1" applyFont="1">
      <alignment readingOrder="0" shrinkToFit="0" vertical="bottom" wrapText="1"/>
    </xf>
    <xf borderId="2" fillId="0" fontId="3" numFmtId="0" xfId="0" applyBorder="1" applyFont="1"/>
    <xf borderId="3" fillId="0" fontId="3" numFmtId="0" xfId="0" applyBorder="1" applyFont="1"/>
    <xf borderId="0" fillId="3" fontId="4" numFmtId="0" xfId="0" applyAlignment="1" applyFill="1" applyFont="1">
      <alignment vertical="bottom"/>
    </xf>
    <xf borderId="4" fillId="2" fontId="5" numFmtId="0" xfId="0" applyAlignment="1" applyBorder="1" applyFont="1">
      <alignment horizontal="center" vertical="bottom"/>
    </xf>
    <xf borderId="4" fillId="2" fontId="5" numFmtId="0" xfId="0" applyAlignment="1" applyBorder="1" applyFont="1">
      <alignment vertical="bottom"/>
    </xf>
    <xf borderId="1" fillId="2" fontId="5" numFmtId="0" xfId="0" applyAlignment="1" applyBorder="1" applyFont="1">
      <alignment horizontal="center" vertical="bottom"/>
    </xf>
    <xf borderId="4" fillId="2" fontId="2" numFmtId="0" xfId="0" applyAlignment="1" applyBorder="1" applyFont="1">
      <alignment horizontal="center" vertical="bottom"/>
    </xf>
    <xf borderId="4" fillId="2" fontId="2" numFmtId="0" xfId="0" applyAlignment="1" applyBorder="1" applyFont="1">
      <alignment vertical="bottom"/>
    </xf>
    <xf borderId="1" fillId="2" fontId="5" numFmtId="0" xfId="0" applyAlignment="1" applyBorder="1" applyFont="1">
      <alignment horizontal="center" readingOrder="0" vertical="bottom"/>
    </xf>
    <xf borderId="4" fillId="0" fontId="2" numFmtId="0" xfId="0" applyAlignment="1" applyBorder="1" applyFont="1">
      <alignment horizontal="center" readingOrder="0" vertical="bottom"/>
    </xf>
    <xf borderId="4" fillId="4" fontId="2" numFmtId="0" xfId="0" applyAlignment="1" applyBorder="1" applyFill="1" applyFont="1">
      <alignment readingOrder="0"/>
    </xf>
    <xf borderId="1" fillId="0" fontId="2" numFmtId="0" xfId="0" applyAlignment="1" applyBorder="1" applyFont="1">
      <alignment readingOrder="0" vertical="bottom"/>
    </xf>
    <xf borderId="4" fillId="2" fontId="2" numFmtId="0" xfId="0" applyAlignment="1" applyBorder="1" applyFont="1">
      <alignment vertical="bottom"/>
    </xf>
    <xf borderId="2" fillId="2" fontId="5" numFmtId="0" xfId="0" applyAlignment="1" applyBorder="1" applyFont="1">
      <alignment horizontal="center" readingOrder="0" vertical="bottom"/>
    </xf>
    <xf borderId="5" fillId="0" fontId="2" numFmtId="0" xfId="0" applyAlignment="1" applyBorder="1" applyFont="1">
      <alignment horizontal="center" readingOrder="0" vertical="bottom"/>
    </xf>
    <xf borderId="6" fillId="4" fontId="2" numFmtId="0" xfId="0" applyAlignment="1" applyBorder="1" applyFont="1">
      <alignment readingOrder="0"/>
    </xf>
    <xf borderId="7" fillId="0" fontId="2" numFmtId="0" xfId="0" applyAlignment="1" applyBorder="1" applyFont="1">
      <alignment readingOrder="0" vertical="bottom"/>
    </xf>
    <xf borderId="7" fillId="0" fontId="3" numFmtId="0" xfId="0" applyBorder="1" applyFont="1"/>
    <xf borderId="6" fillId="0" fontId="3" numFmtId="0" xfId="0" applyBorder="1" applyFont="1"/>
    <xf borderId="7" fillId="0" fontId="2" numFmtId="0" xfId="0" applyAlignment="1" applyBorder="1" applyFont="1">
      <alignment vertical="bottom"/>
    </xf>
    <xf borderId="5" fillId="2" fontId="2" numFmtId="0" xfId="0" applyAlignment="1" applyBorder="1" applyFont="1">
      <alignment vertical="bottom"/>
    </xf>
    <xf borderId="7" fillId="2" fontId="5" numFmtId="0" xfId="0" applyAlignment="1" applyBorder="1" applyFont="1">
      <alignment horizontal="center" readingOrder="0" vertical="bottom"/>
    </xf>
    <xf borderId="1" fillId="2" fontId="6" numFmtId="0" xfId="0" applyAlignment="1" applyBorder="1" applyFont="1">
      <alignment horizontal="center" readingOrder="0"/>
    </xf>
    <xf borderId="1" fillId="0" fontId="5" numFmtId="0" xfId="0" applyAlignment="1" applyBorder="1" applyFont="1">
      <alignment shrinkToFit="0" vertical="top" wrapText="1"/>
    </xf>
    <xf borderId="1" fillId="3" fontId="4" numFmtId="0" xfId="0" applyAlignment="1" applyBorder="1" applyFont="1">
      <alignment vertical="bottom"/>
    </xf>
    <xf borderId="1" fillId="0" fontId="7" numFmtId="0" xfId="0" applyAlignment="1" applyBorder="1" applyFont="1">
      <alignment horizontal="left" readingOrder="0" shrinkToFit="0" wrapText="1"/>
    </xf>
    <xf borderId="1" fillId="0" fontId="7" numFmtId="0" xfId="0" applyAlignment="1" applyBorder="1" applyFont="1">
      <alignment vertical="bottom"/>
    </xf>
    <xf borderId="1" fillId="5" fontId="4" numFmtId="0" xfId="0" applyAlignment="1" applyBorder="1" applyFill="1" applyFont="1">
      <alignment horizontal="left" readingOrder="0"/>
    </xf>
    <xf borderId="0" fillId="0" fontId="7" numFmtId="0" xfId="0" applyAlignment="1" applyFont="1">
      <alignment horizontal="left" readingOrder="0"/>
    </xf>
    <xf borderId="0" fillId="3" fontId="7" numFmtId="0" xfId="0" applyAlignment="1" applyFont="1">
      <alignment horizontal="left" readingOrder="0"/>
    </xf>
    <xf borderId="0" fillId="3" fontId="8" numFmtId="0" xfId="0" applyAlignment="1" applyFont="1">
      <alignment readingOrder="0"/>
    </xf>
    <xf borderId="1" fillId="2" fontId="9" numFmtId="0" xfId="0" applyAlignment="1" applyBorder="1" applyFont="1">
      <alignment readingOrder="0"/>
    </xf>
    <xf borderId="1" fillId="2" fontId="10" numFmtId="0" xfId="0" applyAlignment="1" applyBorder="1" applyFont="1">
      <alignment readingOrder="0"/>
    </xf>
    <xf borderId="4" fillId="2" fontId="2" numFmtId="0" xfId="0" applyAlignment="1" applyBorder="1" applyFont="1">
      <alignment readingOrder="0"/>
    </xf>
    <xf borderId="4" fillId="4" fontId="2" numFmtId="0" xfId="0" applyAlignment="1" applyBorder="1" applyFont="1">
      <alignment shrinkToFit="0" vertical="bottom" wrapText="1"/>
    </xf>
    <xf borderId="5" fillId="4" fontId="2" numFmtId="0" xfId="0" applyAlignment="1" applyBorder="1" applyFont="1">
      <alignment horizontal="center" shrinkToFit="0" vertical="bottom" wrapText="1"/>
    </xf>
    <xf borderId="8" fillId="2" fontId="2" numFmtId="0" xfId="0" applyAlignment="1" applyBorder="1" applyFont="1">
      <alignment horizontal="center" readingOrder="0" shrinkToFit="0" vertical="center" wrapText="1"/>
    </xf>
    <xf borderId="9" fillId="0" fontId="3" numFmtId="0" xfId="0" applyBorder="1" applyFont="1"/>
    <xf borderId="8" fillId="4" fontId="2" numFmtId="0" xfId="0" applyAlignment="1" applyBorder="1" applyFont="1">
      <alignment readingOrder="0" shrinkToFit="0" wrapText="1"/>
    </xf>
    <xf borderId="10" fillId="0" fontId="3" numFmtId="0" xfId="0" applyBorder="1" applyFont="1"/>
    <xf borderId="11" fillId="0" fontId="3" numFmtId="0" xfId="0" applyBorder="1" applyFont="1"/>
    <xf borderId="12" fillId="0" fontId="3" numFmtId="0" xfId="0" applyBorder="1" applyFont="1"/>
    <xf borderId="13" fillId="2" fontId="2" numFmtId="0" xfId="0" applyAlignment="1" applyBorder="1" applyFont="1">
      <alignment horizontal="center" readingOrder="0" shrinkToFit="0" vertical="center" wrapText="1"/>
    </xf>
    <xf borderId="1" fillId="6" fontId="5" numFmtId="0" xfId="0" applyAlignment="1" applyBorder="1" applyFill="1" applyFont="1">
      <alignment readingOrder="0"/>
    </xf>
    <xf borderId="14" fillId="0" fontId="3" numFmtId="0" xfId="0" applyBorder="1" applyFont="1"/>
    <xf borderId="1" fillId="4" fontId="2" numFmtId="0" xfId="0" applyAlignment="1" applyBorder="1" applyFont="1">
      <alignment readingOrder="0" shrinkToFit="0" wrapText="1"/>
    </xf>
    <xf borderId="1" fillId="4" fontId="2" numFmtId="0" xfId="0" applyAlignment="1" applyBorder="1" applyFont="1">
      <alignment readingOrder="0"/>
    </xf>
    <xf borderId="5" fillId="0" fontId="3" numFmtId="0" xfId="0" applyBorder="1" applyFont="1"/>
    <xf borderId="8" fillId="2" fontId="2" numFmtId="0" xfId="0" applyAlignment="1" applyBorder="1" applyFont="1">
      <alignment readingOrder="0" shrinkToFit="0" wrapText="1"/>
    </xf>
    <xf borderId="10" fillId="4" fontId="2" numFmtId="0" xfId="0" applyAlignment="1" applyBorder="1" applyFont="1">
      <alignment horizontal="center" readingOrder="0" shrinkToFit="0" vertical="bottom" wrapText="1"/>
    </xf>
    <xf borderId="1" fillId="2" fontId="9" numFmtId="0" xfId="0" applyAlignment="1" applyBorder="1" applyFont="1">
      <alignment horizontal="left" readingOrder="0"/>
    </xf>
    <xf borderId="4" fillId="4" fontId="2" numFmtId="0" xfId="0" applyAlignment="1" applyBorder="1" applyFont="1">
      <alignment readingOrder="0" shrinkToFit="0" wrapText="1"/>
    </xf>
    <xf borderId="1" fillId="2" fontId="11" numFmtId="0" xfId="0" applyAlignment="1" applyBorder="1" applyFont="1">
      <alignment horizontal="center" readingOrder="0"/>
    </xf>
    <xf borderId="1" fillId="0" fontId="5" numFmtId="0" xfId="0" applyAlignment="1" applyBorder="1" applyFont="1">
      <alignment readingOrder="0" shrinkToFit="0" vertical="top" wrapText="1"/>
    </xf>
    <xf borderId="1" fillId="3" fontId="7" numFmtId="0" xfId="0" applyAlignment="1" applyBorder="1" applyFont="1">
      <alignment horizontal="left" readingOrder="0" shrinkToFit="0" wrapText="1"/>
    </xf>
    <xf borderId="1" fillId="0" fontId="5" numFmtId="0" xfId="0" applyAlignment="1" applyBorder="1" applyFont="1">
      <alignment readingOrder="0" shrinkToFit="0" wrapText="1"/>
    </xf>
    <xf borderId="0" fillId="5" fontId="4" numFmtId="0" xfId="0" applyAlignment="1" applyFont="1">
      <alignment readingOrder="0"/>
    </xf>
    <xf borderId="4" fillId="2" fontId="9" numFmtId="0" xfId="0" applyAlignment="1" applyBorder="1" applyFont="1">
      <alignment readingOrder="0"/>
    </xf>
    <xf borderId="4" fillId="2" fontId="2" numFmtId="0" xfId="0" applyAlignment="1" applyBorder="1" applyFont="1">
      <alignment readingOrder="0" shrinkToFit="0" wrapText="1"/>
    </xf>
    <xf borderId="13" fillId="4" fontId="2" numFmtId="0" xfId="0" applyAlignment="1" applyBorder="1" applyFont="1">
      <alignment horizontal="center" readingOrder="0" shrinkToFit="0" vertical="center" wrapText="1"/>
    </xf>
    <xf borderId="13" fillId="5" fontId="2" numFmtId="0" xfId="0" applyAlignment="1" applyBorder="1" applyFont="1">
      <alignment horizontal="center" readingOrder="0" shrinkToFit="0" vertical="center" wrapText="1"/>
    </xf>
    <xf borderId="1" fillId="2" fontId="12" numFmtId="0" xfId="0" applyAlignment="1" applyBorder="1" applyFont="1">
      <alignment horizontal="center" readingOrder="0"/>
    </xf>
    <xf borderId="0" fillId="0" fontId="5" numFmtId="0" xfId="0" applyAlignment="1" applyFont="1">
      <alignment readingOrder="0" shrinkToFit="0" vertical="top" wrapText="1"/>
    </xf>
    <xf borderId="0" fillId="3" fontId="7" numFmtId="0" xfId="0" applyAlignment="1" applyFont="1">
      <alignment horizontal="left" readingOrder="0" shrinkToFit="0" wrapText="1"/>
    </xf>
    <xf borderId="0" fillId="0" fontId="5" numFmtId="0" xfId="0" applyAlignment="1" applyFont="1">
      <alignment readingOrder="0" shrinkToFit="0" wrapText="1"/>
    </xf>
    <xf borderId="0" fillId="0" fontId="2" numFmtId="0" xfId="0" applyAlignment="1" applyFont="1">
      <alignment readingOrder="0"/>
    </xf>
    <xf borderId="1" fillId="5" fontId="5" numFmtId="0" xfId="0" applyAlignment="1" applyBorder="1" applyFont="1">
      <alignment readingOrder="0"/>
    </xf>
    <xf borderId="8" fillId="2" fontId="9" numFmtId="0" xfId="0" applyAlignment="1" applyBorder="1" applyFont="1">
      <alignment horizontal="center" readingOrder="0"/>
    </xf>
    <xf borderId="15" fillId="0" fontId="3" numFmtId="0" xfId="0" applyBorder="1" applyFont="1"/>
    <xf borderId="13" fillId="2" fontId="5" numFmtId="0" xfId="0" applyAlignment="1" applyBorder="1" applyFont="1">
      <alignment horizontal="center" readingOrder="0"/>
    </xf>
    <xf borderId="13" fillId="2" fontId="13" numFmtId="0" xfId="0" applyAlignment="1" applyBorder="1" applyFont="1">
      <alignment horizontal="center" readingOrder="0"/>
    </xf>
    <xf borderId="15" fillId="2" fontId="5" numFmtId="0" xfId="0" applyAlignment="1" applyBorder="1" applyFont="1">
      <alignment horizontal="center" readingOrder="0" shrinkToFit="0" wrapText="1"/>
    </xf>
    <xf borderId="5" fillId="2" fontId="5" numFmtId="0" xfId="0" applyAlignment="1" applyBorder="1" applyFont="1">
      <alignment readingOrder="0"/>
    </xf>
    <xf borderId="5" fillId="2" fontId="13" numFmtId="0" xfId="0" applyAlignment="1" applyBorder="1" applyFont="1">
      <alignment readingOrder="0"/>
    </xf>
    <xf borderId="7" fillId="2" fontId="2" numFmtId="0" xfId="0" applyAlignment="1" applyBorder="1" applyFont="1">
      <alignment readingOrder="0"/>
    </xf>
    <xf borderId="6" fillId="2" fontId="2" numFmtId="0" xfId="0" applyAlignment="1" applyBorder="1" applyFont="1">
      <alignment readingOrder="0"/>
    </xf>
    <xf borderId="14" fillId="2" fontId="2" numFmtId="164" xfId="0" applyAlignment="1" applyBorder="1" applyFont="1" applyNumberFormat="1">
      <alignment readingOrder="0"/>
    </xf>
    <xf borderId="14" fillId="2" fontId="2" numFmtId="0" xfId="0" applyAlignment="1" applyBorder="1" applyFont="1">
      <alignment readingOrder="0"/>
    </xf>
    <xf borderId="0" fillId="2" fontId="2" numFmtId="0" xfId="0" applyAlignment="1" applyFont="1">
      <alignment readingOrder="0"/>
    </xf>
    <xf borderId="0" fillId="2" fontId="2" numFmtId="1" xfId="0" applyAlignment="1" applyFont="1" applyNumberFormat="1">
      <alignment readingOrder="0"/>
    </xf>
    <xf borderId="11" fillId="2" fontId="2" numFmtId="1" xfId="0" applyAlignment="1" applyBorder="1" applyFont="1" applyNumberFormat="1">
      <alignment readingOrder="0"/>
    </xf>
    <xf borderId="11" fillId="0" fontId="2" numFmtId="1" xfId="0" applyBorder="1" applyFont="1" applyNumberFormat="1"/>
    <xf borderId="0" fillId="0" fontId="2" numFmtId="1" xfId="0" applyFont="1" applyNumberFormat="1"/>
    <xf borderId="11" fillId="0" fontId="2" numFmtId="0" xfId="0" applyBorder="1" applyFont="1"/>
    <xf borderId="5" fillId="2" fontId="2" numFmtId="164" xfId="0" applyAlignment="1" applyBorder="1" applyFont="1" applyNumberFormat="1">
      <alignment readingOrder="0"/>
    </xf>
    <xf borderId="5" fillId="2" fontId="2" numFmtId="0" xfId="0" applyAlignment="1" applyBorder="1" applyFont="1">
      <alignment readingOrder="0"/>
    </xf>
    <xf borderId="7" fillId="0" fontId="2" numFmtId="0" xfId="0" applyBorder="1" applyFont="1"/>
    <xf borderId="6" fillId="0" fontId="2" numFmtId="0" xfId="0" applyBorder="1" applyFont="1"/>
    <xf borderId="0" fillId="0" fontId="2" numFmtId="164" xfId="0" applyAlignment="1" applyFont="1" applyNumberFormat="1">
      <alignment readingOrder="0"/>
    </xf>
    <xf borderId="8" fillId="2" fontId="5" numFmtId="0" xfId="0" applyAlignment="1" applyBorder="1" applyFont="1">
      <alignment horizontal="center" readingOrder="0"/>
    </xf>
    <xf borderId="8" fillId="2" fontId="5" numFmtId="0" xfId="0" applyAlignment="1" applyBorder="1" applyFont="1">
      <alignment horizontal="center" readingOrder="0" shrinkToFit="0" wrapText="1"/>
    </xf>
    <xf borderId="12" fillId="2" fontId="5" numFmtId="0" xfId="0" applyAlignment="1" applyBorder="1" applyFont="1">
      <alignment readingOrder="0"/>
    </xf>
    <xf borderId="12" fillId="2" fontId="2" numFmtId="0" xfId="0" applyAlignment="1" applyBorder="1" applyFont="1">
      <alignment readingOrder="0"/>
    </xf>
    <xf borderId="10" fillId="2" fontId="2" numFmtId="164" xfId="0" applyAlignment="1" applyBorder="1" applyFont="1" applyNumberFormat="1">
      <alignment readingOrder="0"/>
    </xf>
    <xf borderId="10" fillId="2" fontId="2" numFmtId="0" xfId="0" applyAlignment="1" applyBorder="1" applyFont="1">
      <alignment readingOrder="0"/>
    </xf>
    <xf borderId="8" fillId="5" fontId="14" numFmtId="9" xfId="0" applyAlignment="1" applyBorder="1" applyFont="1" applyNumberFormat="1">
      <alignment horizontal="right" readingOrder="0" vertical="bottom"/>
    </xf>
    <xf borderId="0" fillId="4" fontId="14" numFmtId="9" xfId="0" applyAlignment="1" applyFont="1" applyNumberFormat="1">
      <alignment horizontal="right" vertical="bottom"/>
    </xf>
    <xf borderId="10" fillId="4" fontId="14" numFmtId="9" xfId="0" applyAlignment="1" applyBorder="1" applyFont="1" applyNumberFormat="1">
      <alignment horizontal="right" vertical="bottom"/>
    </xf>
    <xf borderId="12" fillId="2" fontId="2" numFmtId="164" xfId="0" applyAlignment="1" applyBorder="1" applyFont="1" applyNumberFormat="1">
      <alignment readingOrder="0"/>
    </xf>
    <xf borderId="10" fillId="0" fontId="2" numFmtId="0" xfId="0" applyBorder="1" applyFont="1"/>
    <xf borderId="1" fillId="2" fontId="2" numFmtId="0" xfId="0" applyAlignment="1" applyBorder="1" applyFont="1">
      <alignment horizontal="center" readingOrder="0"/>
    </xf>
    <xf borderId="12" fillId="4" fontId="2" numFmtId="9" xfId="0" applyBorder="1" applyFont="1" applyNumberFormat="1"/>
    <xf borderId="1" fillId="2" fontId="15" numFmtId="0" xfId="0" applyAlignment="1" applyBorder="1" applyFont="1">
      <alignment horizontal="center" readingOrder="0"/>
    </xf>
    <xf borderId="1" fillId="0" fontId="2" numFmtId="0" xfId="0" applyAlignment="1" applyBorder="1" applyFont="1">
      <alignment readingOrder="0"/>
    </xf>
    <xf borderId="8" fillId="0" fontId="2" numFmtId="0" xfId="0" applyBorder="1" applyFont="1"/>
    <xf borderId="8" fillId="0" fontId="2" numFmtId="0" xfId="0" applyAlignment="1" applyBorder="1" applyFont="1">
      <alignment readingOrder="0" shrinkToFit="0" wrapText="1"/>
    </xf>
    <xf borderId="8" fillId="4" fontId="2" numFmtId="9" xfId="0" applyAlignment="1" applyBorder="1" applyFont="1" applyNumberFormat="1">
      <alignment readingOrder="0" shrinkToFit="0" wrapText="1"/>
    </xf>
    <xf borderId="0" fillId="0" fontId="2" numFmtId="0" xfId="0" applyAlignment="1" applyFont="1">
      <alignment readingOrder="0" shrinkToFit="0" wrapText="1"/>
    </xf>
    <xf borderId="1" fillId="0" fontId="7" numFmtId="0" xfId="0" applyAlignment="1" applyBorder="1" applyFont="1">
      <alignment horizontal="left" readingOrder="0" shrinkToFit="0" vertical="top" wrapText="1"/>
    </xf>
    <xf borderId="8" fillId="0" fontId="5" numFmtId="0" xfId="0" applyAlignment="1" applyBorder="1" applyFont="1">
      <alignment readingOrder="0" shrinkToFit="0" vertical="top" wrapText="1"/>
    </xf>
    <xf borderId="8" fillId="0" fontId="5" numFmtId="0" xfId="0" applyAlignment="1" applyBorder="1" applyFont="1">
      <alignment readingOrder="0" shrinkToFit="0" wrapText="1"/>
    </xf>
    <xf borderId="10" fillId="0" fontId="2" numFmtId="0" xfId="0" applyAlignment="1" applyBorder="1" applyFont="1">
      <alignment readingOrder="0" shrinkToFit="0" wrapText="1"/>
    </xf>
    <xf borderId="12" fillId="0" fontId="2" numFmtId="0" xfId="0" applyAlignment="1" applyBorder="1" applyFont="1">
      <alignment readingOrder="0" shrinkToFit="0" wrapText="1"/>
    </xf>
    <xf borderId="1" fillId="5" fontId="13" numFmtId="0" xfId="0" applyAlignment="1" applyBorder="1" applyFont="1">
      <alignment readingOrder="0"/>
    </xf>
    <xf borderId="0" fillId="3" fontId="16" numFmtId="0" xfId="0" applyAlignment="1" applyFont="1">
      <alignment readingOrder="0"/>
    </xf>
    <xf borderId="8" fillId="2" fontId="17" numFmtId="0" xfId="0" applyAlignment="1" applyBorder="1" applyFont="1">
      <alignment horizontal="center" shrinkToFit="0" vertical="bottom" wrapText="1"/>
    </xf>
    <xf borderId="1" fillId="2" fontId="5" numFmtId="0" xfId="0" applyAlignment="1" applyBorder="1" applyFont="1">
      <alignment horizontal="center" readingOrder="0"/>
    </xf>
    <xf borderId="4" fillId="2" fontId="17" numFmtId="0" xfId="0" applyAlignment="1" applyBorder="1" applyFont="1">
      <alignment horizontal="center" shrinkToFit="0" vertical="center" wrapText="1"/>
    </xf>
    <xf borderId="3" fillId="2" fontId="17" numFmtId="0" xfId="0" applyAlignment="1" applyBorder="1" applyFont="1">
      <alignment horizontal="center" shrinkToFit="0" vertical="center" wrapText="1"/>
    </xf>
    <xf borderId="13" fillId="2" fontId="2" numFmtId="0" xfId="0" applyAlignment="1" applyBorder="1" applyFont="1">
      <alignment horizontal="center" readingOrder="0"/>
    </xf>
    <xf borderId="5" fillId="7" fontId="17" numFmtId="0" xfId="0" applyAlignment="1" applyBorder="1" applyFill="1" applyFont="1">
      <alignment horizontal="center" vertical="bottom"/>
    </xf>
    <xf borderId="7" fillId="7" fontId="17" numFmtId="3" xfId="0" applyAlignment="1" applyBorder="1" applyFont="1" applyNumberFormat="1">
      <alignment horizontal="center" vertical="bottom"/>
    </xf>
    <xf borderId="8" fillId="0" fontId="2" numFmtId="1" xfId="0" applyAlignment="1" applyBorder="1" applyFont="1" applyNumberFormat="1">
      <alignment readingOrder="0"/>
    </xf>
    <xf borderId="15" fillId="0" fontId="2" numFmtId="1" xfId="0" applyBorder="1" applyFont="1" applyNumberFormat="1"/>
    <xf borderId="9" fillId="0" fontId="2" numFmtId="1" xfId="0" applyBorder="1" applyFont="1" applyNumberFormat="1"/>
    <xf borderId="5" fillId="7" fontId="18" numFmtId="0" xfId="0" applyAlignment="1" applyBorder="1" applyFont="1">
      <alignment horizontal="right" vertical="bottom"/>
    </xf>
    <xf borderId="7" fillId="7" fontId="18" numFmtId="3" xfId="0" applyAlignment="1" applyBorder="1" applyFont="1" applyNumberFormat="1">
      <alignment horizontal="center" vertical="bottom"/>
    </xf>
    <xf borderId="10" fillId="0" fontId="2" numFmtId="1" xfId="0" applyAlignment="1" applyBorder="1" applyFont="1" applyNumberFormat="1">
      <alignment readingOrder="0"/>
    </xf>
    <xf borderId="12" fillId="0" fontId="2" numFmtId="1" xfId="0" applyAlignment="1" applyBorder="1" applyFont="1" applyNumberFormat="1">
      <alignment readingOrder="0"/>
    </xf>
    <xf borderId="7" fillId="0" fontId="2" numFmtId="1" xfId="0" applyBorder="1" applyFont="1" applyNumberFormat="1"/>
    <xf borderId="6" fillId="0" fontId="2" numFmtId="1" xfId="0" applyBorder="1" applyFont="1" applyNumberFormat="1"/>
    <xf borderId="8" fillId="5" fontId="5" numFmtId="9" xfId="0" applyAlignment="1" applyBorder="1" applyFont="1" applyNumberFormat="1">
      <alignment readingOrder="0"/>
    </xf>
    <xf borderId="15" fillId="4" fontId="2" numFmtId="9" xfId="0" applyAlignment="1" applyBorder="1" applyFont="1" applyNumberFormat="1">
      <alignment readingOrder="0"/>
    </xf>
    <xf borderId="9" fillId="4" fontId="2" numFmtId="9" xfId="0" applyAlignment="1" applyBorder="1" applyFont="1" applyNumberFormat="1">
      <alignment readingOrder="0"/>
    </xf>
    <xf borderId="10" fillId="4" fontId="2" numFmtId="9" xfId="0" applyAlignment="1" applyBorder="1" applyFont="1" applyNumberFormat="1">
      <alignment readingOrder="0"/>
    </xf>
    <xf borderId="0" fillId="4" fontId="2" numFmtId="9" xfId="0" applyAlignment="1" applyFont="1" applyNumberFormat="1">
      <alignment readingOrder="0"/>
    </xf>
    <xf borderId="11" fillId="4" fontId="2" numFmtId="9" xfId="0" applyAlignment="1" applyBorder="1" applyFont="1" applyNumberFormat="1">
      <alignment readingOrder="0"/>
    </xf>
    <xf borderId="12" fillId="7" fontId="17" numFmtId="165" xfId="0" applyAlignment="1" applyBorder="1" applyFont="1" applyNumberFormat="1">
      <alignment horizontal="center" vertical="bottom"/>
    </xf>
    <xf borderId="4" fillId="4" fontId="2" numFmtId="9" xfId="0" applyBorder="1" applyFont="1" applyNumberFormat="1"/>
    <xf borderId="0" fillId="2" fontId="5" numFmtId="0" xfId="0" applyAlignment="1" applyFont="1">
      <alignment readingOrder="0" shrinkToFit="0" wrapText="1"/>
    </xf>
    <xf borderId="0" fillId="4" fontId="2" numFmtId="0" xfId="0" applyAlignment="1" applyFont="1">
      <alignment readingOrder="0"/>
    </xf>
    <xf borderId="0" fillId="0" fontId="5" numFmtId="0" xfId="0" applyFont="1"/>
    <xf borderId="0" fillId="4" fontId="2" numFmtId="0" xfId="0" applyAlignment="1" applyFont="1">
      <alignment readingOrder="0" shrinkToFit="0" wrapText="1"/>
    </xf>
    <xf borderId="4" fillId="2" fontId="17" numFmtId="0" xfId="0" applyAlignment="1" applyBorder="1" applyFont="1">
      <alignment horizontal="center" shrinkToFit="0" vertical="bottom" wrapText="1"/>
    </xf>
    <xf borderId="3" fillId="2" fontId="17" numFmtId="0" xfId="0" applyAlignment="1" applyBorder="1" applyFont="1">
      <alignment horizontal="center" shrinkToFit="0" vertical="bottom" wrapText="1"/>
    </xf>
    <xf borderId="5" fillId="7" fontId="18" numFmtId="0" xfId="0" applyAlignment="1" applyBorder="1" applyFont="1">
      <alignment horizontal="center" vertical="bottom"/>
    </xf>
    <xf borderId="7" fillId="7" fontId="18" numFmtId="3" xfId="0" applyAlignment="1" applyBorder="1" applyFont="1" applyNumberFormat="1">
      <alignment horizontal="center" readingOrder="0" vertical="bottom"/>
    </xf>
    <xf borderId="4" fillId="2" fontId="19" numFmtId="0" xfId="0" applyAlignment="1" applyBorder="1" applyFont="1">
      <alignment horizontal="center" readingOrder="0" shrinkToFit="0" vertical="bottom" wrapText="1"/>
    </xf>
    <xf borderId="8" fillId="4" fontId="2" numFmtId="9" xfId="0" applyAlignment="1" applyBorder="1" applyFont="1" applyNumberFormat="1">
      <alignment readingOrder="0"/>
    </xf>
    <xf borderId="4" fillId="2" fontId="17" numFmtId="0" xfId="0" applyAlignment="1" applyBorder="1" applyFont="1">
      <alignment horizontal="center" shrinkToFit="0" vertical="bottom" wrapText="1"/>
    </xf>
    <xf borderId="12" fillId="7" fontId="17" numFmtId="0" xfId="0" applyAlignment="1" applyBorder="1" applyFont="1">
      <alignment horizontal="center" vertical="bottom"/>
    </xf>
    <xf borderId="4" fillId="4" fontId="2" numFmtId="9" xfId="0" applyAlignment="1" applyBorder="1" applyFont="1" applyNumberFormat="1">
      <alignment readingOrder="0"/>
    </xf>
    <xf borderId="8" fillId="2" fontId="5" numFmtId="0" xfId="0" applyAlignment="1" applyBorder="1" applyFont="1">
      <alignment readingOrder="0" shrinkToFit="0" wrapText="1"/>
    </xf>
    <xf borderId="8" fillId="4" fontId="2" numFmtId="166" xfId="0" applyAlignment="1" applyBorder="1" applyFont="1" applyNumberFormat="1">
      <alignment horizontal="left" readingOrder="0"/>
    </xf>
    <xf borderId="8" fillId="4" fontId="2" numFmtId="0" xfId="0" applyAlignment="1" applyBorder="1" applyFont="1">
      <alignment readingOrder="0"/>
    </xf>
    <xf borderId="0" fillId="0" fontId="2" numFmtId="1" xfId="0" applyAlignment="1" applyFont="1" applyNumberFormat="1">
      <alignment horizontal="right" vertical="bottom"/>
    </xf>
    <xf borderId="11" fillId="0" fontId="2" numFmtId="1" xfId="0" applyAlignment="1" applyBorder="1" applyFont="1" applyNumberFormat="1">
      <alignment horizontal="right" vertical="bottom"/>
    </xf>
    <xf borderId="0" fillId="0" fontId="2" numFmtId="1" xfId="0" applyAlignment="1" applyFont="1" applyNumberFormat="1">
      <alignment readingOrder="0"/>
    </xf>
    <xf borderId="1" fillId="2" fontId="20" numFmtId="0" xfId="0" applyAlignment="1" applyBorder="1" applyFont="1">
      <alignment horizontal="center" readingOrder="0" vertical="bottom"/>
    </xf>
    <xf borderId="1" fillId="0" fontId="5" numFmtId="0" xfId="0" applyAlignment="1" applyBorder="1" applyFont="1">
      <alignment readingOrder="0" shrinkToFit="0" vertical="bottom" wrapText="1"/>
    </xf>
    <xf borderId="0" fillId="0" fontId="2" numFmtId="0" xfId="0" applyAlignment="1" applyFont="1">
      <alignment vertical="bottom"/>
    </xf>
    <xf borderId="8" fillId="0" fontId="5" numFmtId="0" xfId="0" applyAlignment="1" applyBorder="1" applyFont="1">
      <alignment readingOrder="0" shrinkToFit="0" vertical="bottom" wrapText="1"/>
    </xf>
    <xf borderId="10" fillId="0" fontId="5" numFmtId="0" xfId="0" applyAlignment="1" applyBorder="1" applyFont="1">
      <alignment readingOrder="0" shrinkToFit="0" vertical="bottom" wrapText="1"/>
    </xf>
    <xf borderId="12" fillId="0" fontId="2" numFmtId="0" xfId="0" applyAlignment="1" applyBorder="1" applyFont="1">
      <alignment readingOrder="0" shrinkToFit="0" vertical="bottom" wrapText="1"/>
    </xf>
    <xf borderId="1" fillId="5" fontId="5" numFmtId="0" xfId="0" applyAlignment="1" applyBorder="1" applyFont="1">
      <alignment readingOrder="0" vertical="bottom"/>
    </xf>
    <xf borderId="7" fillId="0" fontId="2" numFmtId="0" xfId="0" applyAlignment="1" applyBorder="1" applyFont="1">
      <alignment vertical="bottom"/>
    </xf>
    <xf borderId="12" fillId="2" fontId="9" numFmtId="0" xfId="0" applyAlignment="1" applyBorder="1" applyFont="1">
      <alignment horizontal="center" vertical="bottom"/>
    </xf>
    <xf borderId="4" fillId="2" fontId="5" numFmtId="0" xfId="0" applyAlignment="1" applyBorder="1" applyFont="1">
      <alignment horizontal="center" readingOrder="0" shrinkToFit="0" vertical="bottom" wrapText="1"/>
    </xf>
    <xf borderId="3" fillId="2" fontId="13" numFmtId="0" xfId="0" applyAlignment="1" applyBorder="1" applyFont="1">
      <alignment horizontal="center" shrinkToFit="0" vertical="bottom" wrapText="1"/>
    </xf>
    <xf borderId="1" fillId="2" fontId="5" numFmtId="0" xfId="0" applyAlignment="1" applyBorder="1" applyFont="1">
      <alignment horizontal="center" readingOrder="0" shrinkToFit="0" vertical="bottom" wrapText="1"/>
    </xf>
    <xf borderId="5" fillId="2" fontId="2" numFmtId="0" xfId="0" applyAlignment="1" applyBorder="1" applyFont="1">
      <alignment vertical="bottom"/>
    </xf>
    <xf borderId="6" fillId="2" fontId="2" numFmtId="0" xfId="0" applyAlignment="1" applyBorder="1" applyFont="1">
      <alignment vertical="bottom"/>
    </xf>
    <xf borderId="4" fillId="2" fontId="2" numFmtId="0" xfId="0" applyAlignment="1" applyBorder="1" applyFont="1">
      <alignment horizontal="right" vertical="bottom"/>
    </xf>
    <xf borderId="14" fillId="2" fontId="2" numFmtId="164" xfId="0" applyAlignment="1" applyBorder="1" applyFont="1" applyNumberFormat="1">
      <alignment horizontal="right" vertical="bottom"/>
    </xf>
    <xf borderId="11" fillId="2" fontId="2" numFmtId="0" xfId="0" applyAlignment="1" applyBorder="1" applyFont="1">
      <alignment horizontal="right" vertical="bottom"/>
    </xf>
    <xf borderId="6" fillId="2" fontId="2" numFmtId="0" xfId="0" applyAlignment="1" applyBorder="1" applyFont="1">
      <alignment horizontal="right" vertical="bottom"/>
    </xf>
    <xf borderId="6" fillId="2" fontId="2" numFmtId="1" xfId="0" applyAlignment="1" applyBorder="1" applyFont="1" applyNumberFormat="1">
      <alignment horizontal="right" vertical="bottom"/>
    </xf>
    <xf borderId="6" fillId="0" fontId="2" numFmtId="1" xfId="0" applyAlignment="1" applyBorder="1" applyFont="1" applyNumberFormat="1">
      <alignment vertical="bottom"/>
    </xf>
    <xf borderId="6" fillId="0" fontId="2" numFmtId="0" xfId="0" applyAlignment="1" applyBorder="1" applyFont="1">
      <alignment vertical="bottom"/>
    </xf>
    <xf borderId="5" fillId="2" fontId="2" numFmtId="164" xfId="0" applyAlignment="1" applyBorder="1" applyFont="1" applyNumberFormat="1">
      <alignment vertical="bottom"/>
    </xf>
    <xf borderId="12" fillId="0" fontId="2" numFmtId="0" xfId="0" applyAlignment="1" applyBorder="1" applyFont="1">
      <alignment vertical="bottom"/>
    </xf>
    <xf borderId="5" fillId="2" fontId="2" numFmtId="0" xfId="0" applyAlignment="1" applyBorder="1" applyFont="1">
      <alignment shrinkToFit="0" vertical="bottom" wrapText="1"/>
    </xf>
    <xf borderId="6" fillId="2" fontId="2" numFmtId="0" xfId="0" applyAlignment="1" applyBorder="1" applyFont="1">
      <alignment shrinkToFit="0" vertical="bottom" wrapText="1"/>
    </xf>
    <xf borderId="7" fillId="2" fontId="2" numFmtId="0" xfId="0" applyAlignment="1" applyBorder="1" applyFont="1">
      <alignment horizontal="right" vertical="bottom"/>
    </xf>
    <xf borderId="13" fillId="2" fontId="2" numFmtId="164" xfId="0" applyAlignment="1" applyBorder="1" applyFont="1" applyNumberFormat="1">
      <alignment horizontal="right" vertical="bottom"/>
    </xf>
    <xf borderId="9" fillId="2" fontId="2" numFmtId="0" xfId="0" applyAlignment="1" applyBorder="1" applyFont="1">
      <alignment horizontal="right" vertical="bottom"/>
    </xf>
    <xf borderId="3" fillId="2" fontId="2" numFmtId="0" xfId="0" applyAlignment="1" applyBorder="1" applyFont="1">
      <alignment horizontal="right" vertical="bottom"/>
    </xf>
    <xf borderId="3" fillId="2" fontId="2" numFmtId="1" xfId="0" applyAlignment="1" applyBorder="1" applyFont="1" applyNumberFormat="1">
      <alignment horizontal="right" vertical="bottom"/>
    </xf>
    <xf borderId="5" fillId="2" fontId="2" numFmtId="164" xfId="0" applyAlignment="1" applyBorder="1" applyFont="1" applyNumberFormat="1">
      <alignment horizontal="right" vertical="bottom"/>
    </xf>
    <xf borderId="4" fillId="2" fontId="5" numFmtId="0" xfId="0" applyAlignment="1" applyBorder="1" applyFont="1">
      <alignment horizontal="center" readingOrder="0" shrinkToFit="0" vertical="center" wrapText="1"/>
    </xf>
    <xf borderId="3" fillId="2" fontId="13" numFmtId="0" xfId="0" applyAlignment="1" applyBorder="1" applyFont="1">
      <alignment horizontal="center" shrinkToFit="0" vertical="center" wrapText="1"/>
    </xf>
    <xf borderId="3" fillId="2" fontId="13" numFmtId="0" xfId="0" applyAlignment="1" applyBorder="1" applyFont="1">
      <alignment horizontal="center" readingOrder="0" shrinkToFit="0" vertical="center" wrapText="1"/>
    </xf>
    <xf borderId="4" fillId="2" fontId="2" numFmtId="164" xfId="0" applyAlignment="1" applyBorder="1" applyFont="1" applyNumberFormat="1">
      <alignment horizontal="right" vertical="bottom"/>
    </xf>
    <xf borderId="4" fillId="5" fontId="5" numFmtId="0" xfId="0" applyAlignment="1" applyBorder="1" applyFont="1">
      <alignment horizontal="right" readingOrder="0" vertical="bottom"/>
    </xf>
    <xf borderId="4" fillId="5" fontId="5" numFmtId="0" xfId="0" applyAlignment="1" applyBorder="1" applyFont="1">
      <alignment horizontal="right" vertical="bottom"/>
    </xf>
    <xf borderId="4" fillId="2" fontId="2" numFmtId="1" xfId="0" applyAlignment="1" applyBorder="1" applyFont="1" applyNumberFormat="1">
      <alignment horizontal="right" vertical="bottom"/>
    </xf>
    <xf borderId="4" fillId="5" fontId="5" numFmtId="1" xfId="0" applyAlignment="1" applyBorder="1" applyFont="1" applyNumberFormat="1">
      <alignment horizontal="right" readingOrder="0" vertical="bottom"/>
    </xf>
    <xf borderId="11" fillId="5" fontId="5" numFmtId="1" xfId="0" applyAlignment="1" applyBorder="1" applyFont="1" applyNumberFormat="1">
      <alignment horizontal="right" vertical="bottom"/>
    </xf>
    <xf borderId="4" fillId="4" fontId="2" numFmtId="1" xfId="0" applyAlignment="1" applyBorder="1" applyFont="1" applyNumberFormat="1">
      <alignment horizontal="right" vertical="bottom"/>
    </xf>
    <xf borderId="11" fillId="0" fontId="2" numFmtId="0" xfId="0" applyAlignment="1" applyBorder="1" applyFont="1">
      <alignment vertical="bottom"/>
    </xf>
    <xf borderId="8" fillId="0" fontId="21" numFmtId="0" xfId="0" applyAlignment="1" applyBorder="1" applyFont="1">
      <alignment readingOrder="0" vertical="top"/>
    </xf>
    <xf borderId="0" fillId="0" fontId="2" numFmtId="0" xfId="0" applyAlignment="1" applyFont="1">
      <alignment readingOrder="0" vertical="bottom"/>
    </xf>
    <xf borderId="7" fillId="2" fontId="20" numFmtId="0" xfId="0" applyAlignment="1" applyBorder="1" applyFont="1">
      <alignment horizontal="center" vertical="bottom"/>
    </xf>
    <xf borderId="8" fillId="0" fontId="2" numFmtId="0" xfId="0" applyAlignment="1" applyBorder="1" applyFont="1">
      <alignment horizontal="left" readingOrder="0" shrinkToFit="0" wrapText="1"/>
    </xf>
    <xf borderId="10" fillId="0" fontId="2" numFmtId="0" xfId="0" applyAlignment="1" applyBorder="1" applyFont="1">
      <alignment horizontal="left" readingOrder="0" shrinkToFit="0" vertical="top" wrapText="1"/>
    </xf>
    <xf borderId="12" fillId="0" fontId="2" numFmtId="0" xfId="0" applyAlignment="1" applyBorder="1" applyFont="1">
      <alignment horizontal="left" readingOrder="0" shrinkToFit="0" vertical="top" wrapText="1"/>
    </xf>
    <xf borderId="5" fillId="2" fontId="5" numFmtId="0" xfId="0" applyAlignment="1" applyBorder="1" applyFont="1">
      <alignment horizontal="center" vertical="bottom"/>
    </xf>
    <xf borderId="5" fillId="2" fontId="2" numFmtId="1" xfId="0" applyAlignment="1" applyBorder="1" applyFont="1" applyNumberFormat="1">
      <alignment horizontal="center" vertical="bottom"/>
    </xf>
    <xf borderId="5" fillId="2" fontId="2" numFmtId="0" xfId="0" applyAlignment="1" applyBorder="1" applyFont="1">
      <alignment horizontal="center" shrinkToFit="0" vertical="bottom" wrapText="1"/>
    </xf>
    <xf borderId="5" fillId="2" fontId="2" numFmtId="0" xfId="0" applyAlignment="1" applyBorder="1" applyFont="1">
      <alignment horizontal="center" readingOrder="0" shrinkToFit="0" vertical="bottom" wrapText="1"/>
    </xf>
    <xf borderId="6" fillId="2" fontId="2" numFmtId="167" xfId="0" applyAlignment="1" applyBorder="1" applyFont="1" applyNumberFormat="1">
      <alignment horizontal="right" vertical="bottom"/>
    </xf>
    <xf borderId="5" fillId="2" fontId="2" numFmtId="0" xfId="0" applyAlignment="1" applyBorder="1" applyFont="1">
      <alignment horizontal="center" vertical="bottom"/>
    </xf>
    <xf borderId="6" fillId="2" fontId="2" numFmtId="9" xfId="0" applyAlignment="1" applyBorder="1" applyFont="1" applyNumberFormat="1">
      <alignment horizontal="right" vertical="bottom"/>
    </xf>
    <xf borderId="6" fillId="5" fontId="5" numFmtId="10" xfId="0" applyAlignment="1" applyBorder="1" applyFont="1" applyNumberFormat="1">
      <alignment horizontal="right" readingOrder="0" vertical="bottom"/>
    </xf>
    <xf borderId="6" fillId="4" fontId="2" numFmtId="10" xfId="0" applyAlignment="1" applyBorder="1" applyFont="1" applyNumberFormat="1">
      <alignment horizontal="right" vertical="bottom"/>
    </xf>
    <xf borderId="6" fillId="5" fontId="5" numFmtId="167" xfId="0" applyAlignment="1" applyBorder="1" applyFont="1" applyNumberFormat="1">
      <alignment horizontal="right" readingOrder="0" vertical="bottom"/>
    </xf>
    <xf borderId="6" fillId="4" fontId="2" numFmtId="167" xfId="0" applyAlignment="1" applyBorder="1" applyFont="1" applyNumberFormat="1">
      <alignment horizontal="right" vertical="bottom"/>
    </xf>
    <xf borderId="14" fillId="2" fontId="2" numFmtId="0" xfId="0" applyAlignment="1" applyBorder="1" applyFont="1">
      <alignment shrinkToFit="0" vertical="bottom" wrapText="1"/>
    </xf>
    <xf borderId="0" fillId="4" fontId="2" numFmtId="0" xfId="0" applyAlignment="1" applyFont="1">
      <alignment readingOrder="0" shrinkToFit="0" vertical="bottom" wrapText="1"/>
    </xf>
    <xf borderId="0" fillId="0" fontId="2" numFmtId="0" xfId="0" applyAlignment="1" applyFont="1">
      <alignment shrinkToFit="0" vertical="bottom" wrapText="1"/>
    </xf>
    <xf borderId="0" fillId="2" fontId="20" numFmtId="0" xfId="0" applyAlignment="1" applyFont="1">
      <alignment horizontal="center" vertical="bottom"/>
    </xf>
    <xf borderId="0" fillId="0" fontId="2" numFmtId="0" xfId="0" applyAlignment="1" applyFont="1">
      <alignment readingOrder="0" vertical="top"/>
    </xf>
    <xf borderId="0" fillId="0" fontId="2" numFmtId="0" xfId="0" applyAlignment="1" applyFont="1">
      <alignment readingOrder="0" shrinkToFit="0" vertical="top" wrapText="0"/>
    </xf>
    <xf borderId="5" fillId="0" fontId="5" numFmtId="0" xfId="0" applyAlignment="1" applyBorder="1" applyFont="1">
      <alignment horizontal="center" vertical="center"/>
    </xf>
    <xf borderId="6"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5" fillId="4" fontId="2" numFmtId="0" xfId="0" applyAlignment="1" applyBorder="1" applyFont="1">
      <alignment horizontal="right" shrinkToFit="0" vertical="bottom" wrapText="1"/>
    </xf>
    <xf borderId="6" fillId="4" fontId="2" numFmtId="0" xfId="0" applyAlignment="1" applyBorder="1" applyFont="1">
      <alignment readingOrder="0" shrinkToFit="0" vertical="bottom" wrapText="1"/>
    </xf>
    <xf borderId="5" fillId="4" fontId="2" numFmtId="0" xfId="0" applyAlignment="1" applyBorder="1" applyFont="1">
      <alignment readingOrder="0" vertical="bottom"/>
    </xf>
    <xf borderId="5" fillId="4" fontId="2" numFmtId="4" xfId="0" applyAlignment="1" applyBorder="1" applyFont="1" applyNumberFormat="1">
      <alignment vertical="bottom"/>
    </xf>
    <xf borderId="6" fillId="4" fontId="2" numFmtId="0" xfId="0" applyAlignment="1" applyBorder="1" applyFont="1">
      <alignment readingOrder="0" vertical="bottom"/>
    </xf>
    <xf borderId="6" fillId="4" fontId="2" numFmtId="2" xfId="0" applyAlignment="1" applyBorder="1" applyFont="1" applyNumberFormat="1">
      <alignment vertical="bottom"/>
    </xf>
    <xf borderId="5" fillId="4" fontId="2" numFmtId="0" xfId="0" applyAlignment="1" applyBorder="1" applyFont="1">
      <alignment horizontal="right" readingOrder="0" shrinkToFit="0" vertical="bottom" wrapText="1"/>
    </xf>
    <xf borderId="6" fillId="4" fontId="2" numFmtId="0" xfId="0" applyAlignment="1" applyBorder="1" applyFont="1">
      <alignment horizontal="left" readingOrder="0" shrinkToFit="0" vertical="bottom" wrapText="1"/>
    </xf>
    <xf borderId="0" fillId="0" fontId="2" numFmtId="0" xfId="0" applyFont="1"/>
    <xf borderId="0" fillId="0" fontId="2"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000">
                <a:solidFill>
                  <a:srgbClr val="595959"/>
                </a:solidFill>
                <a:latin typeface="+mn-lt"/>
              </a:defRPr>
            </a:pPr>
            <a:r>
              <a:rPr b="0" i="0" sz="2000">
                <a:solidFill>
                  <a:srgbClr val="595959"/>
                </a:solidFill>
                <a:latin typeface="+mn-lt"/>
              </a:rPr>
              <a:t>Retention of weekly active cohorts</a:t>
            </a:r>
          </a:p>
        </c:rich>
      </c:tx>
      <c:overlay val="0"/>
    </c:title>
    <c:plotArea>
      <c:layout/>
      <c:lineChart>
        <c:ser>
          <c:idx val="0"/>
          <c:order val="0"/>
          <c:spPr>
            <a:ln cmpd="sng" w="28575">
              <a:solidFill>
                <a:srgbClr val="4472C4"/>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'Tab 3 - Retention Cohort Analys'!$C$31:$M$31</c:f>
            </c:strRef>
          </c:cat>
          <c:val>
            <c:numRef>
              <c:f>'Tab 3 - Retention Cohort Analys'!$C$32:$M$32</c:f>
              <c:numCache/>
            </c:numRef>
          </c:val>
          <c:smooth val="0"/>
        </c:ser>
        <c:ser>
          <c:idx val="1"/>
          <c:order val="1"/>
          <c:spPr>
            <a:ln cmpd="sng" w="28575">
              <a:solidFill>
                <a:srgbClr val="ED7D31"/>
              </a:solidFill>
              <a:prstDash val="solid"/>
            </a:ln>
          </c:spPr>
          <c:marker>
            <c:symbol val="none"/>
          </c:marker>
          <c:cat>
            <c:strRef>
              <c:f>'Tab 3 - Retention Cohort Analys'!$C$31:$M$31</c:f>
            </c:strRef>
          </c:cat>
          <c:val>
            <c:numRef>
              <c:f>'Tab 3 - Retention Cohort Analys'!$C$33:$M$33</c:f>
              <c:numCache/>
            </c:numRef>
          </c:val>
          <c:smooth val="0"/>
        </c:ser>
        <c:ser>
          <c:idx val="2"/>
          <c:order val="2"/>
          <c:spPr>
            <a:ln cmpd="sng" w="28575">
              <a:solidFill>
                <a:srgbClr val="A5A5A5"/>
              </a:solidFill>
              <a:prstDash val="solid"/>
            </a:ln>
          </c:spPr>
          <c:marker>
            <c:symbol val="none"/>
          </c:marker>
          <c:cat>
            <c:strRef>
              <c:f>'Tab 3 - Retention Cohort Analys'!$C$31:$M$31</c:f>
            </c:strRef>
          </c:cat>
          <c:val>
            <c:numRef>
              <c:f>'Tab 3 - Retention Cohort Analys'!$C$44:$M$44</c:f>
              <c:numCache/>
            </c:numRef>
          </c:val>
          <c:smooth val="0"/>
        </c:ser>
        <c:axId val="110689192"/>
        <c:axId val="1165370491"/>
      </c:lineChart>
      <c:catAx>
        <c:axId val="110689192"/>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Week</a:t>
                </a:r>
              </a:p>
            </c:rich>
          </c:tx>
          <c:overlay val="0"/>
        </c:title>
        <c:numFmt formatCode="General" sourceLinked="1"/>
        <c:majorTickMark val="none"/>
        <c:minorTickMark val="none"/>
        <c:spPr/>
        <c:txPr>
          <a:bodyPr rot="-16800000"/>
          <a:lstStyle/>
          <a:p>
            <a:pPr lvl="0">
              <a:defRPr b="0" i="0" sz="1600">
                <a:solidFill>
                  <a:srgbClr val="595959"/>
                </a:solidFill>
                <a:latin typeface="+mn-lt"/>
              </a:defRPr>
            </a:pPr>
          </a:p>
        </c:txPr>
        <c:crossAx val="1165370491"/>
      </c:catAx>
      <c:valAx>
        <c:axId val="116537049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000000"/>
                    </a:solidFill>
                    <a:latin typeface="+mn-lt"/>
                  </a:defRPr>
                </a:pPr>
                <a:r>
                  <a:rPr b="0" sz="2000">
                    <a:solidFill>
                      <a:srgbClr val="000000"/>
                    </a:solidFill>
                    <a:latin typeface="+mn-lt"/>
                  </a:rPr>
                  <a:t>% Of weekly active users </a:t>
                </a:r>
              </a:p>
            </c:rich>
          </c:tx>
          <c:overlay val="0"/>
        </c:title>
        <c:numFmt formatCode="General" sourceLinked="1"/>
        <c:majorTickMark val="none"/>
        <c:minorTickMark val="none"/>
        <c:tickLblPos val="nextTo"/>
        <c:spPr>
          <a:ln/>
        </c:spPr>
        <c:txPr>
          <a:bodyPr/>
          <a:lstStyle/>
          <a:p>
            <a:pPr lvl="0">
              <a:defRPr b="0" i="0">
                <a:solidFill>
                  <a:srgbClr val="595959"/>
                </a:solidFill>
                <a:latin typeface="+mn-lt"/>
              </a:defRPr>
            </a:pPr>
          </a:p>
        </c:txPr>
        <c:crossAx val="110689192"/>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User Retention - Industry Segmentation																</a:t>
            </a:r>
          </a:p>
        </c:rich>
      </c:tx>
      <c:overlay val="0"/>
    </c:title>
    <c:plotArea>
      <c:layout/>
      <c:lineChart>
        <c:ser>
          <c:idx val="0"/>
          <c:order val="0"/>
          <c:tx>
            <c:v>Technology</c:v>
          </c:tx>
          <c:spPr>
            <a:ln cmpd="sng">
              <a:solidFill>
                <a:srgbClr val="4285F4"/>
              </a:solidFill>
            </a:ln>
          </c:spPr>
          <c:marker>
            <c:symbol val="none"/>
          </c:marker>
          <c:cat>
            <c:strRef>
              <c:f>'Tab 5 - Retention Segmentation'!$C$28:$Q$28</c:f>
            </c:strRef>
          </c:cat>
          <c:val>
            <c:numRef>
              <c:f>'Tab 5 - Retention Segmentation'!$C$30:$Q$30</c:f>
              <c:numCache/>
            </c:numRef>
          </c:val>
          <c:smooth val="0"/>
        </c:ser>
        <c:ser>
          <c:idx val="1"/>
          <c:order val="1"/>
          <c:tx>
            <c:v>Retail</c:v>
          </c:tx>
          <c:spPr>
            <a:ln cmpd="sng">
              <a:solidFill>
                <a:srgbClr val="EA4335"/>
              </a:solidFill>
            </a:ln>
          </c:spPr>
          <c:marker>
            <c:symbol val="none"/>
          </c:marker>
          <c:cat>
            <c:strRef>
              <c:f>'Tab 5 - Retention Segmentation'!$C$28:$Q$28</c:f>
            </c:strRef>
          </c:cat>
          <c:val>
            <c:numRef>
              <c:f>'Tab 5 - Retention Segmentation'!$C$31:$Q$31</c:f>
              <c:numCache/>
            </c:numRef>
          </c:val>
          <c:smooth val="0"/>
        </c:ser>
        <c:ser>
          <c:idx val="2"/>
          <c:order val="2"/>
          <c:tx>
            <c:v>Healthcare</c:v>
          </c:tx>
          <c:spPr>
            <a:ln cmpd="sng">
              <a:solidFill>
                <a:srgbClr val="FBBC04"/>
              </a:solidFill>
            </a:ln>
          </c:spPr>
          <c:marker>
            <c:symbol val="none"/>
          </c:marker>
          <c:cat>
            <c:strRef>
              <c:f>'Tab 5 - Retention Segmentation'!$C$28:$Q$28</c:f>
            </c:strRef>
          </c:cat>
          <c:val>
            <c:numRef>
              <c:f>'Tab 5 - Retention Segmentation'!$C$32:$Q$32</c:f>
              <c:numCache/>
            </c:numRef>
          </c:val>
          <c:smooth val="0"/>
        </c:ser>
        <c:ser>
          <c:idx val="3"/>
          <c:order val="3"/>
          <c:tx>
            <c:v>Financial Services</c:v>
          </c:tx>
          <c:spPr>
            <a:ln cmpd="sng">
              <a:solidFill>
                <a:srgbClr val="34A853"/>
              </a:solidFill>
            </a:ln>
          </c:spPr>
          <c:marker>
            <c:symbol val="none"/>
          </c:marker>
          <c:cat>
            <c:strRef>
              <c:f>'Tab 5 - Retention Segmentation'!$C$28:$Q$28</c:f>
            </c:strRef>
          </c:cat>
          <c:val>
            <c:numRef>
              <c:f>'Tab 5 - Retention Segmentation'!$C$33:$Q$33</c:f>
              <c:numCache/>
            </c:numRef>
          </c:val>
          <c:smooth val="0"/>
        </c:ser>
        <c:ser>
          <c:idx val="4"/>
          <c:order val="4"/>
          <c:tx>
            <c:v>Manufacturing</c:v>
          </c:tx>
          <c:spPr>
            <a:ln cmpd="sng">
              <a:solidFill>
                <a:srgbClr val="FF6D01"/>
              </a:solidFill>
            </a:ln>
          </c:spPr>
          <c:marker>
            <c:symbol val="none"/>
          </c:marker>
          <c:cat>
            <c:strRef>
              <c:f>'Tab 5 - Retention Segmentation'!$C$28:$Q$28</c:f>
            </c:strRef>
          </c:cat>
          <c:val>
            <c:numRef>
              <c:f>'Tab 5 - Retention Segmentation'!$C$34:$Q$34</c:f>
              <c:numCache/>
            </c:numRef>
          </c:val>
          <c:smooth val="0"/>
        </c:ser>
        <c:ser>
          <c:idx val="5"/>
          <c:order val="5"/>
          <c:tx>
            <c:v>Consume Goods</c:v>
          </c:tx>
          <c:spPr>
            <a:ln cmpd="sng">
              <a:solidFill>
                <a:srgbClr val="46BDC6"/>
              </a:solidFill>
            </a:ln>
          </c:spPr>
          <c:marker>
            <c:symbol val="none"/>
          </c:marker>
          <c:cat>
            <c:strRef>
              <c:f>'Tab 5 - Retention Segmentation'!$C$28:$Q$28</c:f>
            </c:strRef>
          </c:cat>
          <c:val>
            <c:numRef>
              <c:f>'Tab 5 - Retention Segmentation'!$C$35:$Q$35</c:f>
              <c:numCache/>
            </c:numRef>
          </c:val>
          <c:smooth val="0"/>
        </c:ser>
        <c:ser>
          <c:idx val="6"/>
          <c:order val="6"/>
          <c:tx>
            <c:v>Transportation</c:v>
          </c:tx>
          <c:spPr>
            <a:ln cmpd="sng">
              <a:solidFill>
                <a:srgbClr val="7BAAF7"/>
              </a:solidFill>
            </a:ln>
          </c:spPr>
          <c:marker>
            <c:symbol val="none"/>
          </c:marker>
          <c:cat>
            <c:strRef>
              <c:f>'Tab 5 - Retention Segmentation'!$C$28:$Q$28</c:f>
            </c:strRef>
          </c:cat>
          <c:val>
            <c:numRef>
              <c:f>'Tab 5 - Retention Segmentation'!$C$36:$Q$36</c:f>
              <c:numCache/>
            </c:numRef>
          </c:val>
          <c:smooth val="0"/>
        </c:ser>
        <c:ser>
          <c:idx val="7"/>
          <c:order val="7"/>
          <c:tx>
            <c:v>Oil and Gas</c:v>
          </c:tx>
          <c:spPr>
            <a:ln cmpd="sng">
              <a:solidFill>
                <a:srgbClr val="F07B72"/>
              </a:solidFill>
            </a:ln>
          </c:spPr>
          <c:marker>
            <c:symbol val="none"/>
          </c:marker>
          <c:cat>
            <c:strRef>
              <c:f>'Tab 5 - Retention Segmentation'!$C$28:$Q$28</c:f>
            </c:strRef>
          </c:cat>
          <c:val>
            <c:numRef>
              <c:f>'Tab 5 - Retention Segmentation'!$C$37:$Q$37</c:f>
              <c:numCache/>
            </c:numRef>
          </c:val>
          <c:smooth val="0"/>
        </c:ser>
        <c:axId val="811138050"/>
        <c:axId val="1307906155"/>
      </c:lineChart>
      <c:catAx>
        <c:axId val="8111380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spPr/>
        <c:txPr>
          <a:bodyPr/>
          <a:lstStyle/>
          <a:p>
            <a:pPr lvl="0">
              <a:defRPr b="0">
                <a:solidFill>
                  <a:srgbClr val="000000"/>
                </a:solidFill>
                <a:latin typeface="+mn-lt"/>
              </a:defRPr>
            </a:pPr>
          </a:p>
        </c:txPr>
        <c:crossAx val="1307906155"/>
      </c:catAx>
      <c:valAx>
        <c:axId val="1307906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113805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User Retention - Company Size Segmentation</a:t>
            </a:r>
          </a:p>
        </c:rich>
      </c:tx>
      <c:overlay val="0"/>
    </c:title>
    <c:plotArea>
      <c:layout/>
      <c:lineChart>
        <c:ser>
          <c:idx val="0"/>
          <c:order val="0"/>
          <c:tx>
            <c:v>1-5</c:v>
          </c:tx>
          <c:spPr>
            <a:ln cmpd="sng">
              <a:solidFill>
                <a:srgbClr val="4285F4"/>
              </a:solidFill>
            </a:ln>
          </c:spPr>
          <c:marker>
            <c:symbol val="none"/>
          </c:marker>
          <c:val>
            <c:numRef>
              <c:f>'Tab 5 - Retention Segmentation'!$C$84:$Q$84</c:f>
              <c:numCache/>
            </c:numRef>
          </c:val>
          <c:smooth val="0"/>
        </c:ser>
        <c:ser>
          <c:idx val="1"/>
          <c:order val="1"/>
          <c:tx>
            <c:v>6-10</c:v>
          </c:tx>
          <c:spPr>
            <a:ln cmpd="sng">
              <a:solidFill>
                <a:srgbClr val="EA4335"/>
              </a:solidFill>
            </a:ln>
          </c:spPr>
          <c:marker>
            <c:symbol val="none"/>
          </c:marker>
          <c:val>
            <c:numRef>
              <c:f>'Tab 5 - Retention Segmentation'!$C$85:$Q$85</c:f>
              <c:numCache/>
            </c:numRef>
          </c:val>
          <c:smooth val="0"/>
        </c:ser>
        <c:ser>
          <c:idx val="2"/>
          <c:order val="2"/>
          <c:tx>
            <c:v>11-20</c:v>
          </c:tx>
          <c:spPr>
            <a:ln cmpd="sng">
              <a:solidFill>
                <a:srgbClr val="FBBC04"/>
              </a:solidFill>
            </a:ln>
          </c:spPr>
          <c:marker>
            <c:symbol val="none"/>
          </c:marker>
          <c:val>
            <c:numRef>
              <c:f>'Tab 5 - Retention Segmentation'!$C$86:$Q$86</c:f>
              <c:numCache/>
            </c:numRef>
          </c:val>
          <c:smooth val="0"/>
        </c:ser>
        <c:ser>
          <c:idx val="3"/>
          <c:order val="3"/>
          <c:tx>
            <c:v>21-50</c:v>
          </c:tx>
          <c:spPr>
            <a:ln cmpd="sng">
              <a:solidFill>
                <a:srgbClr val="34A853"/>
              </a:solidFill>
            </a:ln>
          </c:spPr>
          <c:marker>
            <c:symbol val="none"/>
          </c:marker>
          <c:val>
            <c:numRef>
              <c:f>'Tab 5 - Retention Segmentation'!$C$87:$Q$87</c:f>
              <c:numCache/>
            </c:numRef>
          </c:val>
          <c:smooth val="0"/>
        </c:ser>
        <c:ser>
          <c:idx val="4"/>
          <c:order val="4"/>
          <c:tx>
            <c:v>51-100</c:v>
          </c:tx>
          <c:spPr>
            <a:ln cmpd="sng">
              <a:solidFill>
                <a:srgbClr val="FF6D01"/>
              </a:solidFill>
            </a:ln>
          </c:spPr>
          <c:marker>
            <c:symbol val="none"/>
          </c:marker>
          <c:val>
            <c:numRef>
              <c:f>'Tab 5 - Retention Segmentation'!$C$88:$Q$88</c:f>
              <c:numCache/>
            </c:numRef>
          </c:val>
          <c:smooth val="0"/>
        </c:ser>
        <c:ser>
          <c:idx val="5"/>
          <c:order val="5"/>
          <c:tx>
            <c:v>101-250</c:v>
          </c:tx>
          <c:spPr>
            <a:ln cmpd="sng">
              <a:solidFill>
                <a:srgbClr val="46BDC6"/>
              </a:solidFill>
            </a:ln>
          </c:spPr>
          <c:marker>
            <c:symbol val="none"/>
          </c:marker>
          <c:val>
            <c:numRef>
              <c:f>'Tab 5 - Retention Segmentation'!$C$89:$Q$89</c:f>
              <c:numCache/>
            </c:numRef>
          </c:val>
          <c:smooth val="0"/>
        </c:ser>
        <c:ser>
          <c:idx val="6"/>
          <c:order val="6"/>
          <c:tx>
            <c:v>251-500</c:v>
          </c:tx>
          <c:spPr>
            <a:ln cmpd="sng">
              <a:solidFill>
                <a:srgbClr val="7BAAF7"/>
              </a:solidFill>
            </a:ln>
          </c:spPr>
          <c:marker>
            <c:symbol val="none"/>
          </c:marker>
          <c:val>
            <c:numRef>
              <c:f>'Tab 5 - Retention Segmentation'!$C$90:$Q$90</c:f>
              <c:numCache/>
            </c:numRef>
          </c:val>
          <c:smooth val="0"/>
        </c:ser>
        <c:ser>
          <c:idx val="7"/>
          <c:order val="7"/>
          <c:tx>
            <c:v>501+</c:v>
          </c:tx>
          <c:spPr>
            <a:ln cmpd="sng">
              <a:solidFill>
                <a:srgbClr val="F07B72"/>
              </a:solidFill>
            </a:ln>
          </c:spPr>
          <c:marker>
            <c:symbol val="none"/>
          </c:marker>
          <c:val>
            <c:numRef>
              <c:f>'Tab 5 - Retention Segmentation'!$C$91:$Q$91</c:f>
              <c:numCache/>
            </c:numRef>
          </c:val>
          <c:smooth val="0"/>
        </c:ser>
        <c:axId val="1359448298"/>
        <c:axId val="118609680"/>
      </c:lineChart>
      <c:catAx>
        <c:axId val="13594482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609680"/>
      </c:catAx>
      <c:valAx>
        <c:axId val="1186096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944829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User Retention - Account Size Segmentation</a:t>
            </a:r>
          </a:p>
        </c:rich>
      </c:tx>
      <c:overlay val="0"/>
    </c:title>
    <c:plotArea>
      <c:layout/>
      <c:lineChart>
        <c:ser>
          <c:idx val="0"/>
          <c:order val="0"/>
          <c:tx>
            <c:v>1-2</c:v>
          </c:tx>
          <c:spPr>
            <a:ln cmpd="sng">
              <a:solidFill>
                <a:srgbClr val="4285F4"/>
              </a:solidFill>
            </a:ln>
          </c:spPr>
          <c:marker>
            <c:symbol val="none"/>
          </c:marker>
          <c:dPt>
            <c:idx val="5"/>
            <c:marker>
              <c:symbol val="none"/>
            </c:marker>
          </c:dPt>
          <c:val>
            <c:numRef>
              <c:f>'Tab 5 - Retention Segmentation'!$C$136:$Q$136</c:f>
              <c:numCache/>
            </c:numRef>
          </c:val>
          <c:smooth val="0"/>
        </c:ser>
        <c:ser>
          <c:idx val="1"/>
          <c:order val="1"/>
          <c:tx>
            <c:v>2-5</c:v>
          </c:tx>
          <c:spPr>
            <a:ln cmpd="sng">
              <a:solidFill>
                <a:srgbClr val="EA4335"/>
              </a:solidFill>
            </a:ln>
          </c:spPr>
          <c:marker>
            <c:symbol val="none"/>
          </c:marker>
          <c:val>
            <c:numRef>
              <c:f>'Tab 5 - Retention Segmentation'!$C$137:$Q$137</c:f>
              <c:numCache/>
            </c:numRef>
          </c:val>
          <c:smooth val="0"/>
        </c:ser>
        <c:ser>
          <c:idx val="2"/>
          <c:order val="2"/>
          <c:tx>
            <c:v>5-10</c:v>
          </c:tx>
          <c:spPr>
            <a:ln cmpd="sng">
              <a:solidFill>
                <a:srgbClr val="FBBC04"/>
              </a:solidFill>
            </a:ln>
          </c:spPr>
          <c:marker>
            <c:symbol val="none"/>
          </c:marker>
          <c:val>
            <c:numRef>
              <c:f>'Tab 5 - Retention Segmentation'!$C$138:$Q$138</c:f>
              <c:numCache/>
            </c:numRef>
          </c:val>
          <c:smooth val="0"/>
        </c:ser>
        <c:ser>
          <c:idx val="3"/>
          <c:order val="3"/>
          <c:tx>
            <c:v>10-20</c:v>
          </c:tx>
          <c:spPr>
            <a:ln cmpd="sng">
              <a:solidFill>
                <a:srgbClr val="34A853"/>
              </a:solidFill>
            </a:ln>
          </c:spPr>
          <c:marker>
            <c:symbol val="none"/>
          </c:marker>
          <c:val>
            <c:numRef>
              <c:f>'Tab 5 - Retention Segmentation'!$C$139:$Q$139</c:f>
              <c:numCache/>
            </c:numRef>
          </c:val>
          <c:smooth val="0"/>
        </c:ser>
        <c:ser>
          <c:idx val="4"/>
          <c:order val="4"/>
          <c:tx>
            <c:v>20-50</c:v>
          </c:tx>
          <c:spPr>
            <a:ln cmpd="sng">
              <a:solidFill>
                <a:srgbClr val="FF6D01"/>
              </a:solidFill>
            </a:ln>
          </c:spPr>
          <c:marker>
            <c:symbol val="none"/>
          </c:marker>
          <c:val>
            <c:numRef>
              <c:f>'Tab 5 - Retention Segmentation'!$C$140:$Q$140</c:f>
              <c:numCache/>
            </c:numRef>
          </c:val>
          <c:smooth val="0"/>
        </c:ser>
        <c:ser>
          <c:idx val="5"/>
          <c:order val="5"/>
          <c:tx>
            <c:v>50-100</c:v>
          </c:tx>
          <c:spPr>
            <a:ln cmpd="sng">
              <a:solidFill>
                <a:srgbClr val="46BDC6"/>
              </a:solidFill>
            </a:ln>
          </c:spPr>
          <c:marker>
            <c:symbol val="none"/>
          </c:marker>
          <c:val>
            <c:numRef>
              <c:f>'Tab 5 - Retention Segmentation'!$C$141:$Q$141</c:f>
              <c:numCache/>
            </c:numRef>
          </c:val>
          <c:smooth val="0"/>
        </c:ser>
        <c:ser>
          <c:idx val="6"/>
          <c:order val="6"/>
          <c:tx>
            <c:v>100+</c:v>
          </c:tx>
          <c:spPr>
            <a:ln cmpd="sng">
              <a:solidFill>
                <a:srgbClr val="7BAAF7"/>
              </a:solidFill>
            </a:ln>
          </c:spPr>
          <c:marker>
            <c:symbol val="none"/>
          </c:marker>
          <c:dPt>
            <c:idx val="0"/>
            <c:marker>
              <c:symbol val="none"/>
            </c:marker>
          </c:dPt>
          <c:val>
            <c:numRef>
              <c:f>'Tab 5 - Retention Segmentation'!$C$142:$Q$142</c:f>
              <c:numCache/>
            </c:numRef>
          </c:val>
          <c:smooth val="0"/>
        </c:ser>
        <c:axId val="408040580"/>
        <c:axId val="314540390"/>
      </c:lineChart>
      <c:catAx>
        <c:axId val="4080405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4540390"/>
      </c:catAx>
      <c:valAx>
        <c:axId val="3145403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804058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310, 390, 430 and 110</a:t>
            </a:r>
          </a:p>
        </c:rich>
      </c:tx>
      <c:overlay val="0"/>
    </c:title>
    <c:plotArea>
      <c:layout/>
      <c:areaChart>
        <c:ser>
          <c:idx val="0"/>
          <c:order val="0"/>
          <c:spPr>
            <a:solidFill>
              <a:srgbClr val="4285F4">
                <a:alpha val="30000"/>
              </a:srgbClr>
            </a:solidFill>
            <a:ln cmpd="sng">
              <a:solidFill>
                <a:srgbClr val="4285F4"/>
              </a:solidFill>
            </a:ln>
          </c:spPr>
          <c:cat>
            <c:strRef>
              <c:f>'Tab 5 - Retention Segmentation'!$C$186:$Q$186</c:f>
            </c:strRef>
          </c:cat>
          <c:val>
            <c:numRef>
              <c:f>'Tab 5 - Retention Segmentation'!$C$186:$Q$186</c:f>
              <c:numCache/>
            </c:numRef>
          </c:val>
        </c:ser>
        <c:ser>
          <c:idx val="1"/>
          <c:order val="1"/>
          <c:spPr>
            <a:solidFill>
              <a:srgbClr val="EA4335">
                <a:alpha val="30000"/>
              </a:srgbClr>
            </a:solidFill>
            <a:ln cmpd="sng">
              <a:solidFill>
                <a:srgbClr val="EA4335"/>
              </a:solidFill>
            </a:ln>
          </c:spPr>
          <c:cat>
            <c:strRef>
              <c:f>'Tab 5 - Retention Segmentation'!$C$186:$Q$186</c:f>
            </c:strRef>
          </c:cat>
          <c:val>
            <c:numRef>
              <c:f>'Tab 5 - Retention Segmentation'!$C$187:$Q$187</c:f>
              <c:numCache/>
            </c:numRef>
          </c:val>
        </c:ser>
        <c:ser>
          <c:idx val="2"/>
          <c:order val="2"/>
          <c:spPr>
            <a:solidFill>
              <a:srgbClr val="FBBC04">
                <a:alpha val="30000"/>
              </a:srgbClr>
            </a:solidFill>
            <a:ln cmpd="sng">
              <a:solidFill>
                <a:srgbClr val="FBBC04"/>
              </a:solidFill>
            </a:ln>
          </c:spPr>
          <c:cat>
            <c:strRef>
              <c:f>'Tab 5 - Retention Segmentation'!$C$186:$Q$186</c:f>
            </c:strRef>
          </c:cat>
          <c:val>
            <c:numRef>
              <c:f>'Tab 5 - Retention Segmentation'!$C$188:$Q$188</c:f>
              <c:numCache/>
            </c:numRef>
          </c:val>
        </c:ser>
        <c:ser>
          <c:idx val="3"/>
          <c:order val="3"/>
          <c:spPr>
            <a:solidFill>
              <a:srgbClr val="34A853">
                <a:alpha val="30000"/>
              </a:srgbClr>
            </a:solidFill>
            <a:ln cmpd="sng">
              <a:solidFill>
                <a:srgbClr val="34A853"/>
              </a:solidFill>
            </a:ln>
          </c:spPr>
          <c:cat>
            <c:strRef>
              <c:f>'Tab 5 - Retention Segmentation'!$C$186:$Q$186</c:f>
            </c:strRef>
          </c:cat>
          <c:val>
            <c:numRef>
              <c:f>'Tab 5 - Retention Segmentation'!$C$189:$Q$189</c:f>
              <c:numCache/>
            </c:numRef>
          </c:val>
        </c:ser>
        <c:ser>
          <c:idx val="4"/>
          <c:order val="4"/>
          <c:spPr>
            <a:solidFill>
              <a:srgbClr val="FF6D01">
                <a:alpha val="30000"/>
              </a:srgbClr>
            </a:solidFill>
            <a:ln cmpd="sng">
              <a:solidFill>
                <a:srgbClr val="FF6D01"/>
              </a:solidFill>
            </a:ln>
          </c:spPr>
          <c:cat>
            <c:strRef>
              <c:f>'Tab 5 - Retention Segmentation'!$C$186:$Q$186</c:f>
            </c:strRef>
          </c:cat>
          <c:val>
            <c:numRef>
              <c:f>'Tab 5 - Retention Segmentation'!$C$190:$Q$190</c:f>
              <c:numCache/>
            </c:numRef>
          </c:val>
        </c:ser>
        <c:axId val="1022542756"/>
        <c:axId val="1112300026"/>
      </c:areaChart>
      <c:catAx>
        <c:axId val="10225427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250</a:t>
                </a:r>
              </a:p>
            </c:rich>
          </c:tx>
          <c:overlay val="0"/>
        </c:title>
        <c:numFmt formatCode="General" sourceLinked="1"/>
        <c:majorTickMark val="none"/>
        <c:minorTickMark val="none"/>
        <c:spPr/>
        <c:txPr>
          <a:bodyPr/>
          <a:lstStyle/>
          <a:p>
            <a:pPr lvl="0">
              <a:defRPr b="0">
                <a:solidFill>
                  <a:srgbClr val="000000"/>
                </a:solidFill>
                <a:latin typeface="+mn-lt"/>
              </a:defRPr>
            </a:pPr>
          </a:p>
        </c:txPr>
        <c:crossAx val="1112300026"/>
      </c:catAx>
      <c:valAx>
        <c:axId val="1112300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254275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User Retention - Lead Source Segmentation</a:t>
            </a:r>
          </a:p>
        </c:rich>
      </c:tx>
      <c:overlay val="0"/>
    </c:title>
    <c:plotArea>
      <c:layout/>
      <c:lineChart>
        <c:ser>
          <c:idx val="0"/>
          <c:order val="0"/>
          <c:tx>
            <c:v>Pricing Page</c:v>
          </c:tx>
          <c:spPr>
            <a:ln cmpd="sng">
              <a:solidFill>
                <a:srgbClr val="4285F4"/>
              </a:solidFill>
            </a:ln>
          </c:spPr>
          <c:marker>
            <c:symbol val="none"/>
          </c:marker>
          <c:dPt>
            <c:idx val="5"/>
            <c:marker>
              <c:symbol val="none"/>
            </c:marker>
          </c:dPt>
          <c:val>
            <c:numRef>
              <c:f>'Tab 5 - Retention Segmentation'!$C$186:$Q$186</c:f>
              <c:numCache/>
            </c:numRef>
          </c:val>
          <c:smooth val="0"/>
        </c:ser>
        <c:ser>
          <c:idx val="1"/>
          <c:order val="1"/>
          <c:tx>
            <c:v>Free Trial</c:v>
          </c:tx>
          <c:spPr>
            <a:ln cmpd="sng">
              <a:solidFill>
                <a:srgbClr val="EA4335"/>
              </a:solidFill>
            </a:ln>
          </c:spPr>
          <c:marker>
            <c:symbol val="none"/>
          </c:marker>
          <c:val>
            <c:numRef>
              <c:f>'Tab 5 - Retention Segmentation'!$C$187:$Q$187</c:f>
              <c:numCache/>
            </c:numRef>
          </c:val>
          <c:smooth val="0"/>
        </c:ser>
        <c:ser>
          <c:idx val="2"/>
          <c:order val="2"/>
          <c:tx>
            <c:v>Referral link</c:v>
          </c:tx>
          <c:spPr>
            <a:ln cmpd="sng">
              <a:solidFill>
                <a:srgbClr val="FBBC04"/>
              </a:solidFill>
            </a:ln>
          </c:spPr>
          <c:marker>
            <c:symbol val="none"/>
          </c:marker>
          <c:val>
            <c:numRef>
              <c:f>'Tab 5 - Retention Segmentation'!$C$188:$Q$188</c:f>
              <c:numCache/>
            </c:numRef>
          </c:val>
          <c:smooth val="0"/>
        </c:ser>
        <c:ser>
          <c:idx val="3"/>
          <c:order val="3"/>
          <c:tx>
            <c:v>Team Invitation</c:v>
          </c:tx>
          <c:spPr>
            <a:ln cmpd="sng">
              <a:solidFill>
                <a:srgbClr val="34A853"/>
              </a:solidFill>
            </a:ln>
          </c:spPr>
          <c:marker>
            <c:symbol val="none"/>
          </c:marker>
          <c:val>
            <c:numRef>
              <c:f>'Tab 5 - Retention Segmentation'!$C$189:$Q$189</c:f>
              <c:numCache/>
            </c:numRef>
          </c:val>
          <c:smooth val="0"/>
        </c:ser>
        <c:ser>
          <c:idx val="4"/>
          <c:order val="4"/>
          <c:tx>
            <c:v>Blog Page</c:v>
          </c:tx>
          <c:spPr>
            <a:ln cmpd="sng">
              <a:solidFill>
                <a:srgbClr val="FF6D01"/>
              </a:solidFill>
            </a:ln>
          </c:spPr>
          <c:marker>
            <c:symbol val="none"/>
          </c:marker>
          <c:val>
            <c:numRef>
              <c:f>'Tab 5 - Retention Segmentation'!$C$190:$Q$190</c:f>
              <c:numCache/>
            </c:numRef>
          </c:val>
          <c:smooth val="0"/>
        </c:ser>
        <c:axId val="1452209554"/>
        <c:axId val="1524629291"/>
      </c:lineChart>
      <c:catAx>
        <c:axId val="1452209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4629291"/>
      </c:catAx>
      <c:valAx>
        <c:axId val="1524629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220955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Life Cycle Chart</a:t>
            </a:r>
          </a:p>
        </c:rich>
      </c:tx>
      <c:overlay val="0"/>
    </c:title>
    <c:plotArea>
      <c:layout/>
      <c:barChart>
        <c:barDir val="col"/>
        <c:grouping val="stacked"/>
        <c:ser>
          <c:idx val="0"/>
          <c:order val="0"/>
          <c:tx>
            <c:strRef>
              <c:f>'Tab 6 - Lifecycle Chart'!$B$43</c:f>
            </c:strRef>
          </c:tx>
          <c:spPr>
            <a:solidFill>
              <a:schemeClr val="accent1"/>
            </a:solidFill>
            <a:ln cmpd="sng">
              <a:solidFill>
                <a:srgbClr val="000000"/>
              </a:solidFill>
            </a:ln>
          </c:spPr>
          <c:cat>
            <c:strRef>
              <c:f>'Tab 6 - Lifecycle Chart'!$A$44:$A$54</c:f>
            </c:strRef>
          </c:cat>
          <c:val>
            <c:numRef>
              <c:f>'Tab 6 - Lifecycle Chart'!$B$44:$B$54</c:f>
              <c:numCache/>
            </c:numRef>
          </c:val>
        </c:ser>
        <c:ser>
          <c:idx val="1"/>
          <c:order val="1"/>
          <c:tx>
            <c:strRef>
              <c:f>'Tab 6 - Lifecycle Chart'!$D$43</c:f>
            </c:strRef>
          </c:tx>
          <c:spPr>
            <a:solidFill>
              <a:schemeClr val="accent2"/>
            </a:solidFill>
            <a:ln cmpd="sng">
              <a:solidFill>
                <a:srgbClr val="000000"/>
              </a:solidFill>
            </a:ln>
          </c:spPr>
          <c:cat>
            <c:strRef>
              <c:f>'Tab 6 - Lifecycle Chart'!$A$44:$A$54</c:f>
            </c:strRef>
          </c:cat>
          <c:val>
            <c:numRef>
              <c:f>'Tab 6 - Lifecycle Chart'!$D$44:$D$54</c:f>
              <c:numCache/>
            </c:numRef>
          </c:val>
        </c:ser>
        <c:ser>
          <c:idx val="2"/>
          <c:order val="2"/>
          <c:tx>
            <c:strRef>
              <c:f>'Tab 6 - Lifecycle Chart'!$F$43</c:f>
            </c:strRef>
          </c:tx>
          <c:spPr>
            <a:solidFill>
              <a:schemeClr val="accent3"/>
            </a:solidFill>
            <a:ln cmpd="sng">
              <a:solidFill>
                <a:srgbClr val="000000"/>
              </a:solidFill>
            </a:ln>
          </c:spPr>
          <c:cat>
            <c:strRef>
              <c:f>'Tab 6 - Lifecycle Chart'!$A$44:$A$54</c:f>
            </c:strRef>
          </c:cat>
          <c:val>
            <c:numRef>
              <c:f>'Tab 6 - Lifecycle Chart'!$F$44:$F$54</c:f>
              <c:numCache/>
            </c:numRef>
          </c:val>
        </c:ser>
        <c:ser>
          <c:idx val="3"/>
          <c:order val="3"/>
          <c:tx>
            <c:strRef>
              <c:f>'Tab 6 - Lifecycle Chart'!$G$43</c:f>
            </c:strRef>
          </c:tx>
          <c:spPr>
            <a:solidFill>
              <a:schemeClr val="accent4"/>
            </a:solidFill>
            <a:ln cmpd="sng">
              <a:solidFill>
                <a:srgbClr val="000000"/>
              </a:solidFill>
            </a:ln>
          </c:spPr>
          <c:cat>
            <c:strRef>
              <c:f>'Tab 6 - Lifecycle Chart'!$A$44:$A$54</c:f>
            </c:strRef>
          </c:cat>
          <c:val>
            <c:numRef>
              <c:f>'Tab 6 - Lifecycle Chart'!$G$44:$G$54</c:f>
              <c:numCache/>
            </c:numRef>
          </c:val>
        </c:ser>
        <c:overlap val="100"/>
        <c:axId val="609576603"/>
        <c:axId val="448082047"/>
      </c:barChart>
      <c:catAx>
        <c:axId val="6095766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Subscription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48082047"/>
      </c:catAx>
      <c:valAx>
        <c:axId val="448082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9576603"/>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8</xdr:row>
      <xdr:rowOff>190500</xdr:rowOff>
    </xdr:from>
    <xdr:ext cx="5734050" cy="3448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40</xdr:row>
      <xdr:rowOff>66675</xdr:rowOff>
    </xdr:from>
    <xdr:ext cx="8239125" cy="40386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190500</xdr:colOff>
      <xdr:row>94</xdr:row>
      <xdr:rowOff>66675</xdr:rowOff>
    </xdr:from>
    <xdr:ext cx="8239125" cy="40386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190500</xdr:colOff>
      <xdr:row>145</xdr:row>
      <xdr:rowOff>66675</xdr:rowOff>
    </xdr:from>
    <xdr:ext cx="8239125" cy="403860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190500</xdr:colOff>
      <xdr:row>193</xdr:row>
      <xdr:rowOff>66675</xdr:rowOff>
    </xdr:from>
    <xdr:ext cx="8239125" cy="4038600"/>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190500</xdr:colOff>
      <xdr:row>193</xdr:row>
      <xdr:rowOff>66675</xdr:rowOff>
    </xdr:from>
    <xdr:ext cx="8239125" cy="4038600"/>
    <xdr:graphicFrame>
      <xdr:nvGraphicFramePr>
        <xdr:cNvPr id="6"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56</xdr:row>
      <xdr:rowOff>161925</xdr:rowOff>
    </xdr:from>
    <xdr:ext cx="4991100" cy="30956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32.86"/>
  </cols>
  <sheetData>
    <row r="1">
      <c r="A1" s="1" t="s">
        <v>0</v>
      </c>
    </row>
    <row r="2" ht="150.0" customHeight="1">
      <c r="A2" s="2" t="s">
        <v>1</v>
      </c>
      <c r="B2" s="3"/>
      <c r="C2" s="3"/>
      <c r="D2" s="3"/>
      <c r="E2" s="4"/>
    </row>
    <row r="3">
      <c r="A3" s="5" t="s">
        <v>2</v>
      </c>
    </row>
    <row r="5">
      <c r="A5" s="6" t="s">
        <v>3</v>
      </c>
      <c r="B5" s="7" t="s">
        <v>4</v>
      </c>
      <c r="C5" s="8" t="s">
        <v>5</v>
      </c>
      <c r="D5" s="3"/>
      <c r="E5" s="4"/>
    </row>
    <row r="6">
      <c r="A6" s="9"/>
      <c r="B6" s="10"/>
      <c r="C6" s="11" t="s">
        <v>6</v>
      </c>
      <c r="D6" s="3"/>
      <c r="E6" s="4"/>
    </row>
    <row r="7">
      <c r="A7" s="12">
        <v>1.0</v>
      </c>
      <c r="B7" s="13" t="b">
        <v>1</v>
      </c>
      <c r="C7" s="14" t="s">
        <v>7</v>
      </c>
      <c r="D7" s="3"/>
      <c r="E7" s="4"/>
    </row>
    <row r="8">
      <c r="A8" s="12">
        <v>2.0</v>
      </c>
      <c r="B8" s="13" t="b">
        <v>1</v>
      </c>
      <c r="C8" s="14" t="s">
        <v>8</v>
      </c>
      <c r="D8" s="3"/>
      <c r="E8" s="4"/>
    </row>
    <row r="9">
      <c r="A9" s="9"/>
      <c r="B9" s="10"/>
      <c r="C9" s="11" t="s">
        <v>9</v>
      </c>
      <c r="D9" s="3"/>
      <c r="E9" s="4"/>
    </row>
    <row r="10">
      <c r="A10" s="12">
        <v>3.0</v>
      </c>
      <c r="B10" s="13" t="b">
        <v>1</v>
      </c>
      <c r="C10" s="14" t="s">
        <v>10</v>
      </c>
      <c r="D10" s="3"/>
      <c r="E10" s="4"/>
    </row>
    <row r="11">
      <c r="A11" s="12">
        <v>4.0</v>
      </c>
      <c r="B11" s="13" t="b">
        <v>1</v>
      </c>
      <c r="C11" s="14" t="s">
        <v>11</v>
      </c>
      <c r="D11" s="3"/>
      <c r="E11" s="4"/>
    </row>
    <row r="12">
      <c r="A12" s="12">
        <v>5.0</v>
      </c>
      <c r="B12" s="13" t="b">
        <v>1</v>
      </c>
      <c r="C12" s="14" t="s">
        <v>12</v>
      </c>
      <c r="D12" s="3"/>
      <c r="E12" s="4"/>
    </row>
    <row r="13">
      <c r="A13" s="15"/>
      <c r="B13" s="15"/>
      <c r="C13" s="16" t="s">
        <v>13</v>
      </c>
      <c r="D13" s="3"/>
      <c r="E13" s="4"/>
    </row>
    <row r="14">
      <c r="A14" s="17">
        <v>6.0</v>
      </c>
      <c r="B14" s="18" t="b">
        <v>1</v>
      </c>
      <c r="C14" s="19" t="s">
        <v>14</v>
      </c>
      <c r="D14" s="20"/>
      <c r="E14" s="21"/>
    </row>
    <row r="15">
      <c r="A15" s="17">
        <v>7.0</v>
      </c>
      <c r="B15" s="18" t="b">
        <v>1</v>
      </c>
      <c r="C15" s="22" t="s">
        <v>15</v>
      </c>
      <c r="D15" s="20"/>
      <c r="E15" s="21"/>
    </row>
    <row r="16">
      <c r="A16" s="23"/>
      <c r="B16" s="15"/>
      <c r="C16" s="24" t="s">
        <v>16</v>
      </c>
      <c r="D16" s="20"/>
      <c r="E16" s="21"/>
    </row>
    <row r="17">
      <c r="A17" s="17">
        <v>8.0</v>
      </c>
      <c r="B17" s="18" t="b">
        <v>1</v>
      </c>
      <c r="C17" s="22" t="s">
        <v>17</v>
      </c>
      <c r="D17" s="20"/>
      <c r="E17" s="21"/>
    </row>
  </sheetData>
  <mergeCells count="16">
    <mergeCell ref="A1:E1"/>
    <mergeCell ref="A2:E2"/>
    <mergeCell ref="A3:E3"/>
    <mergeCell ref="C5:E5"/>
    <mergeCell ref="C6:E6"/>
    <mergeCell ref="C7:E7"/>
    <mergeCell ref="C8:E8"/>
    <mergeCell ref="C16:E16"/>
    <mergeCell ref="C17:E17"/>
    <mergeCell ref="C9:E9"/>
    <mergeCell ref="C10:E10"/>
    <mergeCell ref="C11:E11"/>
    <mergeCell ref="C12:E12"/>
    <mergeCell ref="C13:E13"/>
    <mergeCell ref="C14:E14"/>
    <mergeCell ref="C15:E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9.71"/>
  </cols>
  <sheetData>
    <row r="1">
      <c r="A1" s="25" t="s">
        <v>7</v>
      </c>
      <c r="B1" s="3"/>
      <c r="C1" s="3"/>
      <c r="D1" s="3"/>
      <c r="E1" s="3"/>
      <c r="F1" s="3"/>
      <c r="G1" s="3"/>
      <c r="H1" s="3"/>
      <c r="I1" s="3"/>
      <c r="J1" s="4"/>
    </row>
    <row r="2">
      <c r="A2" s="26" t="s">
        <v>18</v>
      </c>
      <c r="B2" s="3"/>
      <c r="C2" s="3"/>
      <c r="D2" s="3"/>
      <c r="E2" s="3"/>
      <c r="F2" s="3"/>
      <c r="G2" s="3"/>
      <c r="H2" s="3"/>
      <c r="I2" s="3"/>
      <c r="J2" s="4"/>
    </row>
    <row r="3">
      <c r="A3" s="26" t="s">
        <v>19</v>
      </c>
      <c r="B3" s="3"/>
      <c r="C3" s="3"/>
      <c r="D3" s="3"/>
      <c r="E3" s="3"/>
      <c r="F3" s="3"/>
      <c r="G3" s="3"/>
      <c r="H3" s="3"/>
      <c r="I3" s="3"/>
      <c r="J3" s="4"/>
    </row>
    <row r="4">
      <c r="A4" s="27" t="s">
        <v>20</v>
      </c>
      <c r="B4" s="3"/>
      <c r="C4" s="3"/>
      <c r="D4" s="3"/>
      <c r="E4" s="3"/>
      <c r="F4" s="3"/>
      <c r="G4" s="3"/>
      <c r="H4" s="3"/>
      <c r="I4" s="3"/>
      <c r="J4" s="4"/>
    </row>
    <row r="5">
      <c r="A5" s="28" t="s">
        <v>21</v>
      </c>
      <c r="B5" s="3"/>
      <c r="C5" s="3"/>
      <c r="D5" s="3"/>
      <c r="E5" s="3"/>
      <c r="F5" s="3"/>
      <c r="G5" s="3"/>
      <c r="H5" s="3"/>
      <c r="I5" s="3"/>
      <c r="J5" s="4"/>
    </row>
    <row r="6">
      <c r="A6" s="29" t="s">
        <v>22</v>
      </c>
      <c r="B6" s="3"/>
      <c r="C6" s="3"/>
      <c r="D6" s="3"/>
      <c r="E6" s="3"/>
      <c r="F6" s="3"/>
      <c r="G6" s="3"/>
      <c r="H6" s="3"/>
      <c r="I6" s="3"/>
      <c r="J6" s="4"/>
    </row>
    <row r="7">
      <c r="A7" s="29" t="s">
        <v>23</v>
      </c>
      <c r="B7" s="3"/>
      <c r="C7" s="3"/>
      <c r="D7" s="3"/>
      <c r="E7" s="3"/>
      <c r="F7" s="3"/>
      <c r="G7" s="3"/>
      <c r="H7" s="3"/>
      <c r="I7" s="3"/>
      <c r="J7" s="4"/>
    </row>
    <row r="8">
      <c r="A8" s="29" t="s">
        <v>24</v>
      </c>
      <c r="B8" s="3"/>
      <c r="C8" s="3"/>
      <c r="D8" s="3"/>
      <c r="E8" s="3"/>
      <c r="F8" s="3"/>
      <c r="G8" s="3"/>
      <c r="H8" s="3"/>
      <c r="I8" s="3"/>
      <c r="J8" s="4"/>
    </row>
    <row r="9">
      <c r="A9" s="29" t="s">
        <v>25</v>
      </c>
      <c r="B9" s="3"/>
      <c r="C9" s="3"/>
      <c r="D9" s="3"/>
      <c r="E9" s="3"/>
      <c r="F9" s="3"/>
      <c r="G9" s="3"/>
      <c r="H9" s="3"/>
      <c r="I9" s="3"/>
      <c r="J9" s="4"/>
    </row>
    <row r="10">
      <c r="A10" s="29" t="s">
        <v>26</v>
      </c>
      <c r="B10" s="3"/>
      <c r="C10" s="3"/>
      <c r="D10" s="3"/>
      <c r="E10" s="3"/>
      <c r="F10" s="3"/>
      <c r="G10" s="3"/>
      <c r="H10" s="3"/>
      <c r="I10" s="3"/>
      <c r="J10" s="4"/>
    </row>
    <row r="11">
      <c r="A11" s="30" t="s">
        <v>27</v>
      </c>
      <c r="B11" s="3"/>
      <c r="C11" s="3"/>
      <c r="D11" s="3"/>
      <c r="E11" s="3"/>
      <c r="F11" s="3"/>
      <c r="G11" s="3"/>
      <c r="H11" s="3"/>
      <c r="I11" s="3"/>
      <c r="J11" s="4"/>
    </row>
    <row r="12">
      <c r="A12" s="31"/>
      <c r="B12" s="31"/>
      <c r="C12" s="32"/>
      <c r="D12" s="31"/>
      <c r="E12" s="31"/>
      <c r="F12" s="31"/>
      <c r="G12" s="31"/>
      <c r="H12" s="31"/>
      <c r="I12" s="31"/>
      <c r="J12" s="31"/>
    </row>
    <row r="13">
      <c r="A13" s="33"/>
      <c r="B13" s="33"/>
    </row>
    <row r="14">
      <c r="A14" s="34" t="s">
        <v>28</v>
      </c>
      <c r="B14" s="4"/>
    </row>
    <row r="15">
      <c r="A15" s="35" t="s">
        <v>29</v>
      </c>
      <c r="B15" s="4"/>
    </row>
    <row r="16">
      <c r="A16" s="36" t="s">
        <v>30</v>
      </c>
      <c r="B16" s="37" t="s">
        <v>31</v>
      </c>
    </row>
    <row r="17">
      <c r="A17" s="36" t="s">
        <v>32</v>
      </c>
      <c r="B17" s="38" t="s">
        <v>33</v>
      </c>
    </row>
    <row r="18">
      <c r="A18" s="36" t="s">
        <v>34</v>
      </c>
      <c r="B18" s="38" t="s">
        <v>35</v>
      </c>
    </row>
    <row r="19">
      <c r="A19" s="36" t="s">
        <v>36</v>
      </c>
      <c r="B19" s="38" t="s">
        <v>37</v>
      </c>
    </row>
    <row r="20">
      <c r="A20" s="36" t="s">
        <v>38</v>
      </c>
      <c r="B20" s="38" t="s">
        <v>39</v>
      </c>
    </row>
    <row r="21">
      <c r="A21" s="36" t="s">
        <v>40</v>
      </c>
      <c r="B21" s="38" t="s">
        <v>41</v>
      </c>
    </row>
    <row r="23">
      <c r="A23" s="39" t="s">
        <v>42</v>
      </c>
      <c r="B23" s="40"/>
      <c r="C23" s="41" t="s">
        <v>43</v>
      </c>
      <c r="D23" s="40"/>
    </row>
    <row r="24">
      <c r="A24" s="42"/>
      <c r="B24" s="43"/>
      <c r="C24" s="42"/>
      <c r="D24" s="43"/>
    </row>
    <row r="25">
      <c r="A25" s="42"/>
      <c r="B25" s="43"/>
      <c r="C25" s="42"/>
      <c r="D25" s="43"/>
    </row>
    <row r="26" ht="30.75" customHeight="1">
      <c r="A26" s="44"/>
      <c r="B26" s="21"/>
      <c r="C26" s="44"/>
      <c r="D26" s="21"/>
    </row>
    <row r="28">
      <c r="A28" s="45" t="s">
        <v>44</v>
      </c>
      <c r="B28" s="36">
        <v>1.0</v>
      </c>
      <c r="C28" s="46" t="s">
        <v>45</v>
      </c>
      <c r="D28" s="3"/>
      <c r="E28" s="3"/>
      <c r="F28" s="3"/>
      <c r="G28" s="4"/>
    </row>
    <row r="29">
      <c r="A29" s="47"/>
      <c r="B29" s="36">
        <v>2.0</v>
      </c>
      <c r="C29" s="48" t="s">
        <v>46</v>
      </c>
      <c r="D29" s="3"/>
      <c r="E29" s="3"/>
      <c r="F29" s="3"/>
      <c r="G29" s="4"/>
    </row>
    <row r="30">
      <c r="A30" s="47"/>
      <c r="B30" s="36">
        <v>3.0</v>
      </c>
      <c r="C30" s="49" t="s">
        <v>47</v>
      </c>
      <c r="D30" s="3"/>
      <c r="E30" s="3"/>
      <c r="F30" s="3"/>
      <c r="G30" s="4"/>
    </row>
    <row r="31">
      <c r="A31" s="47"/>
      <c r="B31" s="36">
        <v>4.0</v>
      </c>
      <c r="C31" s="49" t="s">
        <v>48</v>
      </c>
      <c r="D31" s="3"/>
      <c r="E31" s="3"/>
      <c r="F31" s="3"/>
      <c r="G31" s="4"/>
    </row>
    <row r="32">
      <c r="A32" s="50"/>
      <c r="B32" s="36">
        <v>5.0</v>
      </c>
      <c r="C32" s="49" t="s">
        <v>49</v>
      </c>
      <c r="D32" s="3"/>
      <c r="E32" s="3"/>
      <c r="F32" s="3"/>
      <c r="G32" s="4"/>
    </row>
    <row r="34">
      <c r="A34" s="34" t="s">
        <v>50</v>
      </c>
      <c r="B34" s="4"/>
    </row>
    <row r="35">
      <c r="A35" s="51" t="s">
        <v>51</v>
      </c>
      <c r="B35" s="40"/>
    </row>
    <row r="36">
      <c r="A36" s="42"/>
      <c r="B36" s="43"/>
    </row>
    <row r="37">
      <c r="A37" s="42"/>
      <c r="B37" s="43"/>
    </row>
    <row r="38">
      <c r="A38" s="44"/>
      <c r="B38" s="21"/>
    </row>
    <row r="39">
      <c r="A39" s="41" t="s">
        <v>52</v>
      </c>
      <c r="B39" s="40"/>
    </row>
    <row r="40">
      <c r="A40" s="42"/>
      <c r="B40" s="43"/>
    </row>
    <row r="41">
      <c r="A41" s="42"/>
      <c r="B41" s="43"/>
    </row>
    <row r="42" ht="40.5" customHeight="1">
      <c r="A42" s="44"/>
      <c r="B42" s="21"/>
    </row>
    <row r="44">
      <c r="A44" s="45" t="s">
        <v>53</v>
      </c>
      <c r="B44" s="36">
        <v>1.0</v>
      </c>
      <c r="C44" s="46" t="s">
        <v>54</v>
      </c>
      <c r="D44" s="3"/>
      <c r="E44" s="3"/>
      <c r="F44" s="3"/>
      <c r="G44" s="4"/>
    </row>
    <row r="45">
      <c r="A45" s="47"/>
      <c r="B45" s="36">
        <v>2.0</v>
      </c>
      <c r="C45" s="49" t="s">
        <v>55</v>
      </c>
      <c r="D45" s="3"/>
      <c r="E45" s="3"/>
      <c r="F45" s="3"/>
      <c r="G45" s="4"/>
    </row>
    <row r="46">
      <c r="A46" s="47"/>
      <c r="B46" s="36">
        <v>3.0</v>
      </c>
      <c r="C46" s="49" t="s">
        <v>56</v>
      </c>
      <c r="D46" s="3"/>
      <c r="E46" s="3"/>
      <c r="F46" s="3"/>
      <c r="G46" s="4"/>
    </row>
    <row r="47">
      <c r="A47" s="47"/>
      <c r="B47" s="36">
        <v>4.0</v>
      </c>
      <c r="C47" s="49" t="s">
        <v>57</v>
      </c>
      <c r="D47" s="3"/>
      <c r="E47" s="3"/>
      <c r="F47" s="3"/>
      <c r="G47" s="4"/>
    </row>
    <row r="48">
      <c r="A48" s="50"/>
      <c r="B48" s="36">
        <v>5.0</v>
      </c>
      <c r="C48" s="49" t="s">
        <v>58</v>
      </c>
      <c r="D48" s="3"/>
      <c r="E48" s="3"/>
      <c r="F48" s="3"/>
      <c r="G48" s="4"/>
    </row>
    <row r="50">
      <c r="A50" s="34" t="s">
        <v>59</v>
      </c>
      <c r="B50" s="4"/>
    </row>
    <row r="51">
      <c r="A51" s="51" t="s">
        <v>60</v>
      </c>
      <c r="B51" s="40"/>
    </row>
    <row r="52">
      <c r="A52" s="42"/>
      <c r="B52" s="43"/>
    </row>
    <row r="53">
      <c r="A53" s="44"/>
      <c r="B53" s="21"/>
    </row>
    <row r="54">
      <c r="A54" s="51" t="s">
        <v>61</v>
      </c>
      <c r="B54" s="40"/>
    </row>
    <row r="55">
      <c r="A55" s="42"/>
      <c r="B55" s="43"/>
    </row>
    <row r="56">
      <c r="A56" s="44"/>
      <c r="B56" s="21"/>
    </row>
    <row r="57">
      <c r="A57" s="41" t="s">
        <v>62</v>
      </c>
      <c r="B57" s="40"/>
    </row>
    <row r="58">
      <c r="A58" s="42"/>
      <c r="B58" s="43"/>
    </row>
    <row r="59">
      <c r="A59" s="42"/>
      <c r="B59" s="43"/>
    </row>
    <row r="60">
      <c r="A60" s="44"/>
      <c r="B60" s="21"/>
    </row>
    <row r="62">
      <c r="A62" s="34" t="s">
        <v>63</v>
      </c>
      <c r="B62" s="4"/>
    </row>
    <row r="63">
      <c r="A63" s="51" t="s">
        <v>64</v>
      </c>
      <c r="B63" s="40"/>
    </row>
    <row r="64">
      <c r="A64" s="42"/>
      <c r="B64" s="43"/>
    </row>
    <row r="65">
      <c r="A65" s="42"/>
      <c r="B65" s="43"/>
    </row>
    <row r="66">
      <c r="A66" s="44"/>
      <c r="B66" s="21"/>
    </row>
    <row r="67">
      <c r="A67" s="52" t="s">
        <v>65</v>
      </c>
      <c r="B67" s="43"/>
    </row>
    <row r="68">
      <c r="A68" s="42"/>
      <c r="B68" s="43"/>
    </row>
    <row r="69">
      <c r="A69" s="42"/>
      <c r="B69" s="43"/>
    </row>
    <row r="70">
      <c r="A70" s="44"/>
      <c r="B70" s="21"/>
    </row>
    <row r="72">
      <c r="A72" s="53" t="s">
        <v>66</v>
      </c>
      <c r="B72" s="4"/>
    </row>
    <row r="73">
      <c r="A73" s="36" t="s">
        <v>28</v>
      </c>
      <c r="B73" s="54" t="s">
        <v>43</v>
      </c>
    </row>
    <row r="74">
      <c r="A74" s="36" t="s">
        <v>67</v>
      </c>
      <c r="B74" s="13" t="s">
        <v>56</v>
      </c>
    </row>
    <row r="75">
      <c r="A75" s="36" t="s">
        <v>68</v>
      </c>
      <c r="B75" s="13" t="s">
        <v>69</v>
      </c>
    </row>
    <row r="76">
      <c r="A76" s="36" t="s">
        <v>70</v>
      </c>
      <c r="B76" s="13" t="s">
        <v>71</v>
      </c>
    </row>
  </sheetData>
  <mergeCells count="38">
    <mergeCell ref="A1:J1"/>
    <mergeCell ref="A2:J2"/>
    <mergeCell ref="A3:J3"/>
    <mergeCell ref="A4:J4"/>
    <mergeCell ref="A5:J5"/>
    <mergeCell ref="A6:J6"/>
    <mergeCell ref="A7:J7"/>
    <mergeCell ref="A8:J8"/>
    <mergeCell ref="A9:J9"/>
    <mergeCell ref="A10:J10"/>
    <mergeCell ref="A11:J11"/>
    <mergeCell ref="A14:B14"/>
    <mergeCell ref="A15:B15"/>
    <mergeCell ref="C23:D26"/>
    <mergeCell ref="C46:G46"/>
    <mergeCell ref="C47:G47"/>
    <mergeCell ref="C48:G48"/>
    <mergeCell ref="C28:G28"/>
    <mergeCell ref="C29:G29"/>
    <mergeCell ref="C30:G30"/>
    <mergeCell ref="C31:G31"/>
    <mergeCell ref="C32:G32"/>
    <mergeCell ref="C44:G44"/>
    <mergeCell ref="C45:G45"/>
    <mergeCell ref="A51:B53"/>
    <mergeCell ref="A54:B56"/>
    <mergeCell ref="A57:B60"/>
    <mergeCell ref="A62:B62"/>
    <mergeCell ref="A63:B66"/>
    <mergeCell ref="A67:B70"/>
    <mergeCell ref="A72:B72"/>
    <mergeCell ref="A23:B26"/>
    <mergeCell ref="A28:A32"/>
    <mergeCell ref="A34:B34"/>
    <mergeCell ref="A35:B38"/>
    <mergeCell ref="A39:B42"/>
    <mergeCell ref="A44:A48"/>
    <mergeCell ref="A50:B5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1.71"/>
    <col customWidth="1" min="2" max="2" width="26.86"/>
    <col customWidth="1" min="3" max="3" width="40.57"/>
  </cols>
  <sheetData>
    <row r="1">
      <c r="A1" s="55" t="s">
        <v>8</v>
      </c>
      <c r="B1" s="3"/>
      <c r="C1" s="4"/>
    </row>
    <row r="2">
      <c r="A2" s="56" t="s">
        <v>72</v>
      </c>
      <c r="B2" s="3"/>
      <c r="C2" s="4"/>
    </row>
    <row r="3">
      <c r="A3" s="56" t="s">
        <v>73</v>
      </c>
      <c r="B3" s="3"/>
      <c r="C3" s="4"/>
    </row>
    <row r="4">
      <c r="A4" s="57" t="s">
        <v>74</v>
      </c>
      <c r="B4" s="3"/>
      <c r="C4" s="4"/>
    </row>
    <row r="5">
      <c r="A5" s="58" t="s">
        <v>20</v>
      </c>
      <c r="B5" s="3"/>
      <c r="C5" s="4"/>
    </row>
    <row r="6">
      <c r="A6" s="58" t="s">
        <v>75</v>
      </c>
      <c r="B6" s="3"/>
      <c r="C6" s="4"/>
    </row>
    <row r="7">
      <c r="A7" s="58" t="s">
        <v>76</v>
      </c>
      <c r="B7" s="3"/>
      <c r="C7" s="4"/>
    </row>
    <row r="8">
      <c r="A8" s="58" t="s">
        <v>77</v>
      </c>
      <c r="B8" s="3"/>
      <c r="C8" s="4"/>
    </row>
    <row r="9">
      <c r="A9" s="59" t="s">
        <v>27</v>
      </c>
    </row>
    <row r="10">
      <c r="A10" s="60" t="s">
        <v>78</v>
      </c>
      <c r="B10" s="60" t="s">
        <v>79</v>
      </c>
      <c r="C10" s="60" t="s">
        <v>80</v>
      </c>
    </row>
    <row r="11">
      <c r="A11" s="61" t="s">
        <v>81</v>
      </c>
      <c r="B11" s="61" t="s">
        <v>82</v>
      </c>
      <c r="C11" s="61" t="s">
        <v>83</v>
      </c>
    </row>
    <row r="12">
      <c r="A12" s="62" t="s">
        <v>84</v>
      </c>
      <c r="B12" s="63" t="s">
        <v>85</v>
      </c>
      <c r="C12" s="62" t="s">
        <v>86</v>
      </c>
    </row>
    <row r="13">
      <c r="A13" s="47"/>
      <c r="B13" s="47"/>
      <c r="C13" s="47"/>
    </row>
    <row r="14">
      <c r="A14" s="47"/>
      <c r="B14" s="47"/>
      <c r="C14" s="47"/>
    </row>
    <row r="15">
      <c r="A15" s="50"/>
      <c r="B15" s="50"/>
      <c r="C15" s="50"/>
    </row>
  </sheetData>
  <mergeCells count="12">
    <mergeCell ref="A8:C8"/>
    <mergeCell ref="A9:C9"/>
    <mergeCell ref="A12:A15"/>
    <mergeCell ref="B12:B15"/>
    <mergeCell ref="C12:C15"/>
    <mergeCell ref="A1:C1"/>
    <mergeCell ref="A2:C2"/>
    <mergeCell ref="A3:C3"/>
    <mergeCell ref="A4:C4"/>
    <mergeCell ref="A5:C5"/>
    <mergeCell ref="A6:C6"/>
    <mergeCell ref="A7:C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7.14"/>
    <col customWidth="1" min="2" max="2" width="16.43"/>
  </cols>
  <sheetData>
    <row r="1">
      <c r="A1" s="64" t="s">
        <v>10</v>
      </c>
      <c r="B1" s="3"/>
      <c r="C1" s="3"/>
      <c r="D1" s="3"/>
      <c r="E1" s="3"/>
      <c r="F1" s="3"/>
      <c r="G1" s="3"/>
      <c r="H1" s="3"/>
      <c r="I1" s="3"/>
      <c r="J1" s="3"/>
      <c r="K1" s="3"/>
      <c r="L1" s="3"/>
      <c r="M1" s="4"/>
    </row>
    <row r="2">
      <c r="A2" s="56" t="s">
        <v>87</v>
      </c>
      <c r="B2" s="3"/>
      <c r="C2" s="3"/>
      <c r="D2" s="3"/>
      <c r="E2" s="3"/>
      <c r="F2" s="3"/>
      <c r="G2" s="3"/>
      <c r="H2" s="3"/>
      <c r="I2" s="4"/>
      <c r="J2" s="65"/>
      <c r="K2" s="65"/>
    </row>
    <row r="3">
      <c r="A3" s="66" t="s">
        <v>88</v>
      </c>
      <c r="I3" s="43"/>
      <c r="J3" s="65"/>
      <c r="K3" s="65"/>
    </row>
    <row r="4">
      <c r="A4" s="66" t="s">
        <v>89</v>
      </c>
      <c r="I4" s="43"/>
      <c r="J4" s="65"/>
      <c r="K4" s="65"/>
    </row>
    <row r="5">
      <c r="A5" s="66" t="s">
        <v>90</v>
      </c>
      <c r="I5" s="43"/>
      <c r="J5" s="65"/>
      <c r="K5" s="65"/>
    </row>
    <row r="6">
      <c r="A6" s="56" t="s">
        <v>91</v>
      </c>
      <c r="B6" s="3"/>
      <c r="C6" s="3"/>
      <c r="D6" s="3"/>
      <c r="E6" s="3"/>
      <c r="F6" s="3"/>
      <c r="G6" s="3"/>
      <c r="H6" s="3"/>
      <c r="I6" s="4"/>
      <c r="J6" s="65"/>
      <c r="K6" s="65"/>
    </row>
    <row r="7">
      <c r="A7" s="57" t="s">
        <v>92</v>
      </c>
      <c r="B7" s="3"/>
      <c r="C7" s="3"/>
      <c r="D7" s="3"/>
      <c r="E7" s="3"/>
      <c r="F7" s="3"/>
      <c r="G7" s="3"/>
      <c r="H7" s="3"/>
      <c r="I7" s="4"/>
      <c r="J7" s="65"/>
      <c r="K7" s="65"/>
    </row>
    <row r="8">
      <c r="A8" s="58" t="s">
        <v>20</v>
      </c>
      <c r="B8" s="3"/>
      <c r="C8" s="3"/>
      <c r="D8" s="3"/>
      <c r="E8" s="3"/>
      <c r="F8" s="3"/>
      <c r="G8" s="3"/>
      <c r="H8" s="3"/>
      <c r="I8" s="4"/>
      <c r="J8" s="67"/>
      <c r="K8" s="67"/>
    </row>
    <row r="9">
      <c r="A9" s="58" t="s">
        <v>93</v>
      </c>
      <c r="B9" s="3"/>
      <c r="C9" s="3"/>
      <c r="D9" s="3"/>
      <c r="E9" s="3"/>
      <c r="F9" s="3"/>
      <c r="G9" s="3"/>
      <c r="H9" s="3"/>
      <c r="I9" s="4"/>
      <c r="J9" s="67"/>
      <c r="K9" s="67"/>
      <c r="L9" s="68" t="s">
        <v>94</v>
      </c>
    </row>
    <row r="10">
      <c r="A10" s="58" t="s">
        <v>95</v>
      </c>
      <c r="B10" s="3"/>
      <c r="C10" s="3"/>
      <c r="D10" s="3"/>
      <c r="E10" s="3"/>
      <c r="F10" s="3"/>
      <c r="G10" s="3"/>
      <c r="H10" s="3"/>
      <c r="I10" s="4"/>
      <c r="J10" s="67"/>
      <c r="K10" s="67"/>
    </row>
    <row r="11">
      <c r="A11" s="69" t="s">
        <v>96</v>
      </c>
      <c r="B11" s="3"/>
      <c r="C11" s="3"/>
      <c r="D11" s="3"/>
      <c r="E11" s="3"/>
      <c r="F11" s="3"/>
      <c r="G11" s="3"/>
      <c r="H11" s="3"/>
      <c r="I11" s="4"/>
    </row>
    <row r="12">
      <c r="A12" s="70" t="s">
        <v>97</v>
      </c>
      <c r="B12" s="71"/>
      <c r="C12" s="71"/>
      <c r="D12" s="71"/>
      <c r="E12" s="71"/>
      <c r="F12" s="71"/>
      <c r="G12" s="71"/>
      <c r="H12" s="71"/>
      <c r="I12" s="71"/>
      <c r="J12" s="71"/>
      <c r="K12" s="71"/>
      <c r="L12" s="71"/>
      <c r="M12" s="40"/>
    </row>
    <row r="13">
      <c r="A13" s="72" t="s">
        <v>98</v>
      </c>
      <c r="B13" s="73" t="s">
        <v>99</v>
      </c>
      <c r="C13" s="74" t="s">
        <v>100</v>
      </c>
      <c r="D13" s="71"/>
      <c r="E13" s="71"/>
      <c r="F13" s="71"/>
      <c r="G13" s="71"/>
      <c r="H13" s="71"/>
      <c r="I13" s="71"/>
      <c r="J13" s="71"/>
      <c r="K13" s="71"/>
      <c r="L13" s="71"/>
      <c r="M13" s="40"/>
    </row>
    <row r="14">
      <c r="A14" s="75"/>
      <c r="B14" s="76"/>
      <c r="C14" s="77">
        <v>0.0</v>
      </c>
      <c r="D14" s="77">
        <v>1.0</v>
      </c>
      <c r="E14" s="77">
        <v>2.0</v>
      </c>
      <c r="F14" s="77">
        <v>3.0</v>
      </c>
      <c r="G14" s="77">
        <v>4.0</v>
      </c>
      <c r="H14" s="77">
        <v>5.0</v>
      </c>
      <c r="I14" s="77">
        <v>6.0</v>
      </c>
      <c r="J14" s="77">
        <v>7.0</v>
      </c>
      <c r="K14" s="77">
        <v>8.0</v>
      </c>
      <c r="L14" s="77">
        <v>9.0</v>
      </c>
      <c r="M14" s="78">
        <v>10.0</v>
      </c>
    </row>
    <row r="15">
      <c r="A15" s="79">
        <v>43617.0</v>
      </c>
      <c r="B15" s="80">
        <v>240.0</v>
      </c>
      <c r="C15" s="81">
        <v>237.0</v>
      </c>
      <c r="D15" s="82">
        <f>224*0.8</f>
        <v>179.2</v>
      </c>
      <c r="E15" s="82">
        <f>217*0.8</f>
        <v>173.6</v>
      </c>
      <c r="F15" s="82">
        <f>203*0.8</f>
        <v>162.4</v>
      </c>
      <c r="G15" s="82">
        <f>192*0.8</f>
        <v>153.6</v>
      </c>
      <c r="H15" s="82">
        <f>179*0.8</f>
        <v>143.2</v>
      </c>
      <c r="I15" s="82">
        <f>163*0.8</f>
        <v>130.4</v>
      </c>
      <c r="J15" s="82">
        <f>158*0.8</f>
        <v>126.4</v>
      </c>
      <c r="K15" s="82">
        <f>150*0.8</f>
        <v>120</v>
      </c>
      <c r="L15" s="82">
        <f>147*0.8</f>
        <v>117.6</v>
      </c>
      <c r="M15" s="83">
        <f>143*0.8</f>
        <v>114.4</v>
      </c>
    </row>
    <row r="16">
      <c r="A16" s="79">
        <v>43623.0</v>
      </c>
      <c r="B16" s="80">
        <v>324.0</v>
      </c>
      <c r="C16" s="81">
        <v>307.0</v>
      </c>
      <c r="D16" s="82">
        <f>283*0.8</f>
        <v>226.4</v>
      </c>
      <c r="E16" s="82">
        <f>268*0.8</f>
        <v>214.4</v>
      </c>
      <c r="F16" s="82">
        <f>242*0.8</f>
        <v>193.6</v>
      </c>
      <c r="G16" s="82">
        <f>229*0.8</f>
        <v>183.2</v>
      </c>
      <c r="H16" s="82">
        <f>213*0.8</f>
        <v>170.4</v>
      </c>
      <c r="I16" s="82">
        <f>195*0.8</f>
        <v>156</v>
      </c>
      <c r="J16" s="82">
        <f>190*0.8</f>
        <v>152</v>
      </c>
      <c r="K16" s="82">
        <f>182*0.8</f>
        <v>145.6</v>
      </c>
      <c r="L16" s="82">
        <v>143.0</v>
      </c>
      <c r="M16" s="84"/>
    </row>
    <row r="17">
      <c r="A17" s="79">
        <v>43630.0</v>
      </c>
      <c r="B17" s="80">
        <v>425.0</v>
      </c>
      <c r="C17" s="81">
        <v>414.0</v>
      </c>
      <c r="D17" s="82">
        <f>392*0.8</f>
        <v>313.6</v>
      </c>
      <c r="E17" s="82">
        <f>378*0.8</f>
        <v>302.4</v>
      </c>
      <c r="F17" s="82">
        <f>353*0.8</f>
        <v>282.4</v>
      </c>
      <c r="G17" s="82">
        <f>337*0.8</f>
        <v>269.6</v>
      </c>
      <c r="H17" s="82">
        <f>305*0.8</f>
        <v>244</v>
      </c>
      <c r="I17" s="82">
        <f>293*0.8</f>
        <v>234.4</v>
      </c>
      <c r="J17" s="82">
        <f>285*0.8</f>
        <v>228</v>
      </c>
      <c r="K17" s="82">
        <f>271*0.8</f>
        <v>216.8</v>
      </c>
      <c r="L17" s="85"/>
      <c r="M17" s="84"/>
    </row>
    <row r="18">
      <c r="A18" s="79">
        <v>43637.0</v>
      </c>
      <c r="B18" s="80">
        <v>634.0</v>
      </c>
      <c r="C18" s="81">
        <v>618.0</v>
      </c>
      <c r="D18" s="82">
        <f>587*0.8</f>
        <v>469.6</v>
      </c>
      <c r="E18" s="82">
        <f>554*0.8</f>
        <v>443.2</v>
      </c>
      <c r="F18" s="82">
        <f>530*0.8</f>
        <v>424</v>
      </c>
      <c r="G18" s="82">
        <f>507*0.8</f>
        <v>405.6</v>
      </c>
      <c r="H18" s="82">
        <f>482*0.8</f>
        <v>385.6</v>
      </c>
      <c r="I18" s="82">
        <f>458*0.8</f>
        <v>366.4</v>
      </c>
      <c r="J18" s="82">
        <f>442*0.8</f>
        <v>353.6</v>
      </c>
      <c r="K18" s="85"/>
      <c r="L18" s="85"/>
      <c r="M18" s="84"/>
    </row>
    <row r="19">
      <c r="A19" s="79">
        <v>43644.0</v>
      </c>
      <c r="B19" s="80">
        <v>796.0</v>
      </c>
      <c r="C19" s="81">
        <v>772.0</v>
      </c>
      <c r="D19" s="82">
        <f>753*0.8</f>
        <v>602.4</v>
      </c>
      <c r="E19" s="82">
        <f>729*0.8</f>
        <v>583.2</v>
      </c>
      <c r="F19" s="82">
        <f>694*0.8</f>
        <v>555.2</v>
      </c>
      <c r="G19" s="82">
        <f>649*0.8</f>
        <v>519.2</v>
      </c>
      <c r="H19" s="82">
        <f>612*0.8</f>
        <v>489.6</v>
      </c>
      <c r="I19" s="82">
        <f>586*0.8</f>
        <v>468.8</v>
      </c>
      <c r="M19" s="86"/>
    </row>
    <row r="20">
      <c r="A20" s="79">
        <v>43651.0</v>
      </c>
      <c r="B20" s="80">
        <v>918.0</v>
      </c>
      <c r="C20" s="81">
        <v>885.0</v>
      </c>
      <c r="D20" s="82">
        <f>840*0.8</f>
        <v>672</v>
      </c>
      <c r="E20" s="82">
        <f>803*0.8</f>
        <v>642.4</v>
      </c>
      <c r="F20" s="82">
        <f>773*0.8</f>
        <v>618.4</v>
      </c>
      <c r="G20" s="82">
        <f>748*0.8</f>
        <v>598.4</v>
      </c>
      <c r="H20" s="82">
        <f>704*0.8</f>
        <v>563.2</v>
      </c>
      <c r="M20" s="86"/>
    </row>
    <row r="21">
      <c r="A21" s="79">
        <v>43658.0</v>
      </c>
      <c r="B21" s="80">
        <v>1129.0</v>
      </c>
      <c r="C21" s="81">
        <v>1084.0</v>
      </c>
      <c r="D21" s="82">
        <f>1030*0.8</f>
        <v>824</v>
      </c>
      <c r="E21" s="82">
        <f>974*0.8</f>
        <v>779.2</v>
      </c>
      <c r="F21" s="82">
        <f>928*0.8</f>
        <v>742.4</v>
      </c>
      <c r="G21" s="82">
        <f>894*0.8</f>
        <v>715.2</v>
      </c>
      <c r="M21" s="86"/>
    </row>
    <row r="22">
      <c r="A22" s="79">
        <v>43665.0</v>
      </c>
      <c r="B22" s="80">
        <v>1298.0</v>
      </c>
      <c r="C22" s="81">
        <v>1218.0</v>
      </c>
      <c r="D22" s="82">
        <f>1175*0.8</f>
        <v>940</v>
      </c>
      <c r="E22" s="82">
        <f>1085*0.8</f>
        <v>868</v>
      </c>
      <c r="F22" s="82">
        <f>1005*0.8</f>
        <v>804</v>
      </c>
      <c r="M22" s="86"/>
    </row>
    <row r="23">
      <c r="A23" s="79">
        <v>43672.0</v>
      </c>
      <c r="B23" s="80">
        <v>1420.0</v>
      </c>
      <c r="C23" s="81">
        <v>1350.0</v>
      </c>
      <c r="D23" s="82">
        <f>1297*0.8</f>
        <v>1037.6</v>
      </c>
      <c r="E23" s="82">
        <f>1207*0.8</f>
        <v>965.6</v>
      </c>
      <c r="M23" s="86"/>
    </row>
    <row r="24">
      <c r="A24" s="79">
        <v>43680.0</v>
      </c>
      <c r="B24" s="80">
        <v>1670.0</v>
      </c>
      <c r="C24" s="81">
        <v>1587.0</v>
      </c>
      <c r="D24" s="82">
        <f>1502*0.8</f>
        <v>1201.6</v>
      </c>
      <c r="M24" s="86"/>
    </row>
    <row r="25">
      <c r="A25" s="79">
        <v>43687.0</v>
      </c>
      <c r="B25" s="80">
        <v>1820.0</v>
      </c>
      <c r="C25" s="81">
        <v>1718.0</v>
      </c>
      <c r="M25" s="86"/>
    </row>
    <row r="26">
      <c r="A26" s="87">
        <v>43694.0</v>
      </c>
      <c r="B26" s="88">
        <v>2018.0</v>
      </c>
      <c r="C26" s="89"/>
      <c r="D26" s="89"/>
      <c r="E26" s="89"/>
      <c r="F26" s="89"/>
      <c r="G26" s="89"/>
      <c r="H26" s="89"/>
      <c r="I26" s="89"/>
      <c r="J26" s="89"/>
      <c r="K26" s="89"/>
      <c r="L26" s="89"/>
      <c r="M26" s="90"/>
    </row>
    <row r="27">
      <c r="A27" s="91"/>
    </row>
    <row r="28">
      <c r="A28" s="91"/>
    </row>
    <row r="29">
      <c r="A29" s="70" t="s">
        <v>101</v>
      </c>
      <c r="B29" s="71"/>
      <c r="C29" s="71"/>
      <c r="D29" s="71"/>
      <c r="E29" s="71"/>
      <c r="F29" s="71"/>
      <c r="G29" s="71"/>
      <c r="H29" s="71"/>
      <c r="I29" s="71"/>
      <c r="J29" s="71"/>
      <c r="K29" s="71"/>
      <c r="L29" s="71"/>
      <c r="M29" s="40"/>
    </row>
    <row r="30">
      <c r="A30" s="92" t="s">
        <v>98</v>
      </c>
      <c r="B30" s="73" t="s">
        <v>99</v>
      </c>
      <c r="C30" s="93" t="s">
        <v>100</v>
      </c>
      <c r="D30" s="71"/>
      <c r="E30" s="71"/>
      <c r="F30" s="71"/>
      <c r="G30" s="71"/>
      <c r="H30" s="71"/>
      <c r="I30" s="71"/>
      <c r="J30" s="71"/>
      <c r="K30" s="71"/>
      <c r="L30" s="71"/>
      <c r="M30" s="40"/>
    </row>
    <row r="31">
      <c r="A31" s="94"/>
      <c r="B31" s="76"/>
      <c r="C31" s="95">
        <v>0.0</v>
      </c>
      <c r="D31" s="77">
        <v>1.0</v>
      </c>
      <c r="E31" s="77">
        <v>2.0</v>
      </c>
      <c r="F31" s="77">
        <v>3.0</v>
      </c>
      <c r="G31" s="77">
        <v>4.0</v>
      </c>
      <c r="H31" s="77">
        <v>5.0</v>
      </c>
      <c r="I31" s="77">
        <v>6.0</v>
      </c>
      <c r="J31" s="77">
        <v>7.0</v>
      </c>
      <c r="K31" s="77">
        <v>8.0</v>
      </c>
      <c r="L31" s="77">
        <v>9.0</v>
      </c>
      <c r="M31" s="78">
        <v>10.0</v>
      </c>
    </row>
    <row r="32">
      <c r="A32" s="96">
        <v>43617.0</v>
      </c>
      <c r="B32" s="97">
        <v>240.0</v>
      </c>
      <c r="C32" s="98">
        <f t="shared" ref="C32:M32" si="1">C15/$B15</f>
        <v>0.9875</v>
      </c>
      <c r="D32" s="99">
        <f t="shared" si="1"/>
        <v>0.7466666667</v>
      </c>
      <c r="E32" s="99">
        <f t="shared" si="1"/>
        <v>0.7233333333</v>
      </c>
      <c r="F32" s="99">
        <f t="shared" si="1"/>
        <v>0.6766666667</v>
      </c>
      <c r="G32" s="99">
        <f t="shared" si="1"/>
        <v>0.64</v>
      </c>
      <c r="H32" s="99">
        <f t="shared" si="1"/>
        <v>0.5966666667</v>
      </c>
      <c r="I32" s="99">
        <f t="shared" si="1"/>
        <v>0.5433333333</v>
      </c>
      <c r="J32" s="99">
        <f t="shared" si="1"/>
        <v>0.5266666667</v>
      </c>
      <c r="K32" s="99">
        <f t="shared" si="1"/>
        <v>0.5</v>
      </c>
      <c r="L32" s="99">
        <f t="shared" si="1"/>
        <v>0.49</v>
      </c>
      <c r="M32" s="99">
        <f t="shared" si="1"/>
        <v>0.4766666667</v>
      </c>
    </row>
    <row r="33">
      <c r="A33" s="96">
        <v>43623.0</v>
      </c>
      <c r="B33" s="97">
        <v>324.0</v>
      </c>
      <c r="C33" s="100">
        <f t="shared" ref="C33:L33" si="2">C16/$B16</f>
        <v>0.9475308642</v>
      </c>
      <c r="D33" s="99">
        <f t="shared" si="2"/>
        <v>0.6987654321</v>
      </c>
      <c r="E33" s="99">
        <f t="shared" si="2"/>
        <v>0.6617283951</v>
      </c>
      <c r="F33" s="99">
        <f t="shared" si="2"/>
        <v>0.5975308642</v>
      </c>
      <c r="G33" s="99">
        <f t="shared" si="2"/>
        <v>0.5654320988</v>
      </c>
      <c r="H33" s="99">
        <f t="shared" si="2"/>
        <v>0.5259259259</v>
      </c>
      <c r="I33" s="99">
        <f t="shared" si="2"/>
        <v>0.4814814815</v>
      </c>
      <c r="J33" s="99">
        <f t="shared" si="2"/>
        <v>0.4691358025</v>
      </c>
      <c r="K33" s="99">
        <f t="shared" si="2"/>
        <v>0.449382716</v>
      </c>
      <c r="L33" s="99">
        <f t="shared" si="2"/>
        <v>0.4413580247</v>
      </c>
      <c r="M33" s="86"/>
    </row>
    <row r="34">
      <c r="A34" s="96">
        <v>43630.0</v>
      </c>
      <c r="B34" s="97">
        <v>425.0</v>
      </c>
      <c r="C34" s="100">
        <f t="shared" ref="C34:K34" si="3">C17/$B17</f>
        <v>0.9741176471</v>
      </c>
      <c r="D34" s="99">
        <f t="shared" si="3"/>
        <v>0.7378823529</v>
      </c>
      <c r="E34" s="99">
        <f t="shared" si="3"/>
        <v>0.7115294118</v>
      </c>
      <c r="F34" s="99">
        <f t="shared" si="3"/>
        <v>0.6644705882</v>
      </c>
      <c r="G34" s="99">
        <f t="shared" si="3"/>
        <v>0.6343529412</v>
      </c>
      <c r="H34" s="99">
        <f t="shared" si="3"/>
        <v>0.5741176471</v>
      </c>
      <c r="I34" s="99">
        <f t="shared" si="3"/>
        <v>0.5515294118</v>
      </c>
      <c r="J34" s="99">
        <f t="shared" si="3"/>
        <v>0.5364705882</v>
      </c>
      <c r="K34" s="99">
        <f t="shared" si="3"/>
        <v>0.5101176471</v>
      </c>
      <c r="M34" s="86"/>
    </row>
    <row r="35">
      <c r="A35" s="96">
        <v>43637.0</v>
      </c>
      <c r="B35" s="97">
        <v>634.0</v>
      </c>
      <c r="C35" s="100">
        <f t="shared" ref="C35:J35" si="4">C18/$B18</f>
        <v>0.9747634069</v>
      </c>
      <c r="D35" s="99">
        <f t="shared" si="4"/>
        <v>0.7406940063</v>
      </c>
      <c r="E35" s="99">
        <f t="shared" si="4"/>
        <v>0.6990536278</v>
      </c>
      <c r="F35" s="99">
        <f t="shared" si="4"/>
        <v>0.6687697161</v>
      </c>
      <c r="G35" s="99">
        <f t="shared" si="4"/>
        <v>0.6397476341</v>
      </c>
      <c r="H35" s="99">
        <f t="shared" si="4"/>
        <v>0.6082018927</v>
      </c>
      <c r="I35" s="99">
        <f t="shared" si="4"/>
        <v>0.5779179811</v>
      </c>
      <c r="J35" s="99">
        <f t="shared" si="4"/>
        <v>0.5577287066</v>
      </c>
      <c r="M35" s="86"/>
    </row>
    <row r="36">
      <c r="A36" s="96">
        <v>43644.0</v>
      </c>
      <c r="B36" s="97">
        <v>796.0</v>
      </c>
      <c r="C36" s="100">
        <f t="shared" ref="C36:I36" si="5">C19/$B19</f>
        <v>0.9698492462</v>
      </c>
      <c r="D36" s="99">
        <f t="shared" si="5"/>
        <v>0.7567839196</v>
      </c>
      <c r="E36" s="99">
        <f t="shared" si="5"/>
        <v>0.7326633166</v>
      </c>
      <c r="F36" s="99">
        <f t="shared" si="5"/>
        <v>0.6974874372</v>
      </c>
      <c r="G36" s="99">
        <f t="shared" si="5"/>
        <v>0.6522613065</v>
      </c>
      <c r="H36" s="99">
        <f t="shared" si="5"/>
        <v>0.6150753769</v>
      </c>
      <c r="I36" s="99">
        <f t="shared" si="5"/>
        <v>0.5889447236</v>
      </c>
      <c r="M36" s="86"/>
    </row>
    <row r="37">
      <c r="A37" s="96">
        <v>43651.0</v>
      </c>
      <c r="B37" s="97">
        <v>918.0</v>
      </c>
      <c r="C37" s="100">
        <f t="shared" ref="C37:H37" si="6">C20/$B20</f>
        <v>0.9640522876</v>
      </c>
      <c r="D37" s="99">
        <f t="shared" si="6"/>
        <v>0.7320261438</v>
      </c>
      <c r="E37" s="99">
        <f t="shared" si="6"/>
        <v>0.6997821351</v>
      </c>
      <c r="F37" s="99">
        <f t="shared" si="6"/>
        <v>0.6736383442</v>
      </c>
      <c r="G37" s="99">
        <f t="shared" si="6"/>
        <v>0.6518518519</v>
      </c>
      <c r="H37" s="99">
        <f t="shared" si="6"/>
        <v>0.6135076253</v>
      </c>
      <c r="M37" s="86"/>
    </row>
    <row r="38">
      <c r="A38" s="96">
        <v>43658.0</v>
      </c>
      <c r="B38" s="97">
        <v>1129.0</v>
      </c>
      <c r="C38" s="100">
        <f t="shared" ref="C38:G38" si="7">C21/$B21</f>
        <v>0.9601417183</v>
      </c>
      <c r="D38" s="99">
        <f t="shared" si="7"/>
        <v>0.7298494243</v>
      </c>
      <c r="E38" s="99">
        <f t="shared" si="7"/>
        <v>0.6901682905</v>
      </c>
      <c r="F38" s="99">
        <f t="shared" si="7"/>
        <v>0.6575730735</v>
      </c>
      <c r="G38" s="99">
        <f t="shared" si="7"/>
        <v>0.6334809566</v>
      </c>
      <c r="M38" s="86"/>
    </row>
    <row r="39">
      <c r="A39" s="96">
        <v>43665.0</v>
      </c>
      <c r="B39" s="97">
        <v>1298.0</v>
      </c>
      <c r="C39" s="100">
        <f t="shared" ref="C39:F39" si="8">C22/$B22</f>
        <v>0.938366718</v>
      </c>
      <c r="D39" s="99">
        <f t="shared" si="8"/>
        <v>0.7241910632</v>
      </c>
      <c r="E39" s="99">
        <f t="shared" si="8"/>
        <v>0.6687211094</v>
      </c>
      <c r="F39" s="99">
        <f t="shared" si="8"/>
        <v>0.6194144838</v>
      </c>
      <c r="M39" s="86"/>
    </row>
    <row r="40">
      <c r="A40" s="96">
        <v>43672.0</v>
      </c>
      <c r="B40" s="97">
        <v>1420.0</v>
      </c>
      <c r="C40" s="100">
        <f t="shared" ref="C40:E40" si="9">C23/$B23</f>
        <v>0.9507042254</v>
      </c>
      <c r="D40" s="99">
        <f t="shared" si="9"/>
        <v>0.7307042254</v>
      </c>
      <c r="E40" s="99">
        <f t="shared" si="9"/>
        <v>0.68</v>
      </c>
      <c r="M40" s="86"/>
    </row>
    <row r="41">
      <c r="A41" s="96">
        <v>43680.0</v>
      </c>
      <c r="B41" s="97">
        <v>1670.0</v>
      </c>
      <c r="C41" s="100">
        <f t="shared" ref="C41:D41" si="10">C24/$B24</f>
        <v>0.9502994012</v>
      </c>
      <c r="D41" s="99">
        <f t="shared" si="10"/>
        <v>0.7195209581</v>
      </c>
      <c r="M41" s="86"/>
    </row>
    <row r="42">
      <c r="A42" s="96">
        <v>43687.0</v>
      </c>
      <c r="B42" s="97">
        <v>1820.0</v>
      </c>
      <c r="C42" s="100">
        <f>C25/$B25</f>
        <v>0.943956044</v>
      </c>
      <c r="M42" s="86"/>
    </row>
    <row r="43">
      <c r="A43" s="101">
        <v>43694.0</v>
      </c>
      <c r="B43" s="88">
        <v>2018.0</v>
      </c>
      <c r="C43" s="102"/>
      <c r="M43" s="86"/>
    </row>
    <row r="44">
      <c r="A44" s="103" t="s">
        <v>102</v>
      </c>
      <c r="B44" s="4"/>
      <c r="C44" s="104">
        <f t="shared" ref="C44:M44" si="11">AVERAGE(C32:C43)</f>
        <v>0.9601165054</v>
      </c>
      <c r="D44" s="104">
        <f t="shared" si="11"/>
        <v>0.7317084192</v>
      </c>
      <c r="E44" s="104">
        <f t="shared" si="11"/>
        <v>0.6963310688</v>
      </c>
      <c r="F44" s="104">
        <f t="shared" si="11"/>
        <v>0.6569438967</v>
      </c>
      <c r="G44" s="104">
        <f t="shared" si="11"/>
        <v>0.6310181127</v>
      </c>
      <c r="H44" s="104">
        <f t="shared" si="11"/>
        <v>0.5889158558</v>
      </c>
      <c r="I44" s="104">
        <f t="shared" si="11"/>
        <v>0.5486413863</v>
      </c>
      <c r="J44" s="104">
        <f t="shared" si="11"/>
        <v>0.522500441</v>
      </c>
      <c r="K44" s="104">
        <f t="shared" si="11"/>
        <v>0.486500121</v>
      </c>
      <c r="L44" s="104">
        <f t="shared" si="11"/>
        <v>0.4656790123</v>
      </c>
      <c r="M44" s="104">
        <f t="shared" si="11"/>
        <v>0.4766666667</v>
      </c>
    </row>
    <row r="45">
      <c r="A45" s="91"/>
    </row>
    <row r="46">
      <c r="A46" s="91"/>
    </row>
  </sheetData>
  <mergeCells count="16">
    <mergeCell ref="A1:M1"/>
    <mergeCell ref="A2:I2"/>
    <mergeCell ref="A3:I3"/>
    <mergeCell ref="A4:I4"/>
    <mergeCell ref="A5:I5"/>
    <mergeCell ref="A6:I6"/>
    <mergeCell ref="A7:I7"/>
    <mergeCell ref="C30:M30"/>
    <mergeCell ref="A44:B44"/>
    <mergeCell ref="A8:I8"/>
    <mergeCell ref="A9:I9"/>
    <mergeCell ref="A10:I10"/>
    <mergeCell ref="A11:I11"/>
    <mergeCell ref="A12:M12"/>
    <mergeCell ref="C13:M13"/>
    <mergeCell ref="A29:M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105" t="s">
        <v>11</v>
      </c>
      <c r="B1" s="3"/>
      <c r="C1" s="3"/>
      <c r="D1" s="3"/>
      <c r="E1" s="3"/>
      <c r="F1" s="3"/>
      <c r="G1" s="3"/>
      <c r="H1" s="4"/>
    </row>
    <row r="2">
      <c r="A2" s="56" t="s">
        <v>103</v>
      </c>
      <c r="B2" s="3"/>
      <c r="C2" s="3"/>
      <c r="D2" s="3"/>
      <c r="E2" s="3"/>
      <c r="F2" s="3"/>
      <c r="G2" s="3"/>
      <c r="H2" s="4"/>
    </row>
    <row r="3">
      <c r="A3" s="56" t="s">
        <v>104</v>
      </c>
      <c r="B3" s="3"/>
      <c r="C3" s="3"/>
      <c r="D3" s="3"/>
      <c r="E3" s="3"/>
      <c r="F3" s="3"/>
      <c r="G3" s="3"/>
      <c r="H3" s="4"/>
    </row>
    <row r="4">
      <c r="A4" s="106" t="s">
        <v>105</v>
      </c>
      <c r="B4" s="3"/>
      <c r="C4" s="3"/>
      <c r="D4" s="3"/>
      <c r="E4" s="3"/>
      <c r="F4" s="3"/>
      <c r="G4" s="3"/>
      <c r="H4" s="4"/>
    </row>
    <row r="5">
      <c r="A5" s="106" t="s">
        <v>106</v>
      </c>
      <c r="B5" s="3"/>
      <c r="C5" s="3"/>
      <c r="D5" s="3"/>
      <c r="E5" s="3"/>
      <c r="F5" s="3"/>
      <c r="G5" s="3"/>
      <c r="H5" s="4"/>
    </row>
    <row r="6">
      <c r="A6" s="106" t="s">
        <v>107</v>
      </c>
      <c r="B6" s="3"/>
      <c r="C6" s="3"/>
      <c r="D6" s="3"/>
      <c r="E6" s="3"/>
      <c r="F6" s="3"/>
      <c r="G6" s="3"/>
      <c r="H6" s="4"/>
    </row>
    <row r="8">
      <c r="B8" s="107"/>
      <c r="C8" s="71"/>
      <c r="D8" s="71"/>
      <c r="E8" s="71"/>
      <c r="F8" s="71"/>
      <c r="G8" s="40"/>
    </row>
    <row r="9">
      <c r="B9" s="42"/>
      <c r="G9" s="43"/>
    </row>
    <row r="10">
      <c r="B10" s="42"/>
      <c r="G10" s="43"/>
    </row>
    <row r="11">
      <c r="B11" s="42"/>
      <c r="G11" s="43"/>
    </row>
    <row r="12">
      <c r="B12" s="42"/>
      <c r="G12" s="43"/>
    </row>
    <row r="13">
      <c r="B13" s="42"/>
      <c r="G13" s="43"/>
    </row>
    <row r="14">
      <c r="B14" s="42"/>
      <c r="G14" s="43"/>
    </row>
    <row r="15">
      <c r="B15" s="42"/>
      <c r="G15" s="43"/>
    </row>
    <row r="16">
      <c r="B16" s="42"/>
      <c r="G16" s="43"/>
    </row>
    <row r="17">
      <c r="B17" s="42"/>
      <c r="G17" s="43"/>
    </row>
    <row r="18">
      <c r="B18" s="42"/>
      <c r="G18" s="43"/>
    </row>
    <row r="19">
      <c r="B19" s="42"/>
      <c r="G19" s="43"/>
    </row>
    <row r="20">
      <c r="B20" s="42"/>
      <c r="G20" s="43"/>
    </row>
    <row r="21">
      <c r="B21" s="42"/>
      <c r="G21" s="43"/>
    </row>
    <row r="22">
      <c r="B22" s="42"/>
      <c r="G22" s="43"/>
    </row>
    <row r="23">
      <c r="B23" s="42"/>
      <c r="G23" s="43"/>
    </row>
    <row r="24">
      <c r="B24" s="42"/>
      <c r="G24" s="43"/>
    </row>
    <row r="25">
      <c r="B25" s="42"/>
      <c r="G25" s="43"/>
    </row>
    <row r="26">
      <c r="B26" s="42"/>
      <c r="G26" s="43"/>
    </row>
    <row r="27">
      <c r="B27" s="42"/>
      <c r="G27" s="43"/>
    </row>
    <row r="28">
      <c r="B28" s="42"/>
      <c r="G28" s="43"/>
    </row>
    <row r="29">
      <c r="B29" s="44"/>
      <c r="C29" s="20"/>
      <c r="D29" s="20"/>
      <c r="E29" s="20"/>
      <c r="F29" s="20"/>
      <c r="G29" s="21"/>
    </row>
    <row r="32">
      <c r="A32" s="108" t="s">
        <v>108</v>
      </c>
      <c r="B32" s="40"/>
      <c r="C32" s="109">
        <v>0.49</v>
      </c>
      <c r="D32" s="40"/>
    </row>
    <row r="33">
      <c r="A33" s="44"/>
      <c r="B33" s="21"/>
      <c r="C33" s="44"/>
      <c r="D33" s="21"/>
    </row>
    <row r="34">
      <c r="A34" s="110"/>
      <c r="B34" s="110"/>
      <c r="C34" s="110"/>
      <c r="D34" s="110"/>
    </row>
    <row r="35">
      <c r="A35" s="108" t="s">
        <v>109</v>
      </c>
      <c r="B35" s="40"/>
      <c r="C35" s="41">
        <v>8.0</v>
      </c>
      <c r="D35" s="40"/>
    </row>
    <row r="36">
      <c r="A36" s="44"/>
      <c r="B36" s="21"/>
      <c r="C36" s="44"/>
      <c r="D36" s="21"/>
    </row>
    <row r="37">
      <c r="A37" s="110"/>
      <c r="B37" s="110"/>
    </row>
    <row r="38">
      <c r="A38" s="108" t="s">
        <v>110</v>
      </c>
      <c r="B38" s="40"/>
      <c r="C38" s="41" t="s">
        <v>111</v>
      </c>
      <c r="D38" s="71"/>
      <c r="E38" s="71"/>
      <c r="F38" s="71"/>
      <c r="G38" s="40"/>
    </row>
    <row r="39">
      <c r="A39" s="44"/>
      <c r="B39" s="21"/>
      <c r="C39" s="44"/>
      <c r="D39" s="20"/>
      <c r="E39" s="20"/>
      <c r="F39" s="20"/>
      <c r="G39" s="21"/>
    </row>
    <row r="40">
      <c r="A40" s="110"/>
      <c r="B40" s="110"/>
      <c r="C40" s="110"/>
      <c r="D40" s="110"/>
      <c r="E40" s="110"/>
    </row>
    <row r="41">
      <c r="A41" s="108" t="s">
        <v>112</v>
      </c>
      <c r="B41" s="40"/>
      <c r="C41" s="41" t="s">
        <v>113</v>
      </c>
      <c r="D41" s="71"/>
      <c r="E41" s="71"/>
      <c r="F41" s="71"/>
      <c r="G41" s="40"/>
    </row>
    <row r="42" ht="63.0" customHeight="1">
      <c r="A42" s="44"/>
      <c r="B42" s="21"/>
      <c r="C42" s="44"/>
      <c r="D42" s="20"/>
      <c r="E42" s="20"/>
      <c r="F42" s="20"/>
      <c r="G42" s="21"/>
    </row>
  </sheetData>
  <mergeCells count="15">
    <mergeCell ref="A32:B33"/>
    <mergeCell ref="C32:D33"/>
    <mergeCell ref="A35:B36"/>
    <mergeCell ref="C35:D36"/>
    <mergeCell ref="A38:B39"/>
    <mergeCell ref="C38:G39"/>
    <mergeCell ref="A41:B42"/>
    <mergeCell ref="C41:G42"/>
    <mergeCell ref="A1:H1"/>
    <mergeCell ref="A2:H2"/>
    <mergeCell ref="A3:H3"/>
    <mergeCell ref="A4:H4"/>
    <mergeCell ref="A5:H5"/>
    <mergeCell ref="A6:H6"/>
    <mergeCell ref="B8:G2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7.71"/>
  </cols>
  <sheetData>
    <row r="1">
      <c r="A1" s="105" t="s">
        <v>114</v>
      </c>
      <c r="B1" s="3"/>
      <c r="C1" s="3"/>
      <c r="D1" s="3"/>
      <c r="E1" s="3"/>
      <c r="F1" s="3"/>
      <c r="G1" s="3"/>
      <c r="H1" s="3"/>
      <c r="I1" s="3"/>
      <c r="J1" s="3"/>
      <c r="K1" s="3"/>
      <c r="L1" s="3"/>
      <c r="M1" s="3"/>
      <c r="N1" s="3"/>
      <c r="O1" s="3"/>
      <c r="P1" s="3"/>
      <c r="Q1" s="4"/>
    </row>
    <row r="2">
      <c r="A2" s="111" t="s">
        <v>115</v>
      </c>
      <c r="B2" s="3"/>
      <c r="C2" s="3"/>
      <c r="D2" s="3"/>
      <c r="E2" s="3"/>
      <c r="F2" s="3"/>
      <c r="G2" s="3"/>
      <c r="H2" s="3"/>
      <c r="I2" s="3"/>
      <c r="J2" s="3"/>
      <c r="K2" s="3"/>
      <c r="L2" s="3"/>
      <c r="M2" s="4"/>
    </row>
    <row r="3">
      <c r="A3" s="112" t="s">
        <v>116</v>
      </c>
      <c r="B3" s="71"/>
      <c r="C3" s="71"/>
      <c r="D3" s="71"/>
      <c r="E3" s="71"/>
      <c r="F3" s="71"/>
      <c r="G3" s="71"/>
      <c r="H3" s="71"/>
      <c r="I3" s="71"/>
      <c r="J3" s="71"/>
      <c r="K3" s="71"/>
      <c r="L3" s="71"/>
      <c r="M3" s="40"/>
    </row>
    <row r="4">
      <c r="A4" s="113" t="s">
        <v>117</v>
      </c>
      <c r="B4" s="71"/>
      <c r="C4" s="71"/>
      <c r="D4" s="71"/>
      <c r="E4" s="71"/>
      <c r="F4" s="71"/>
      <c r="G4" s="71"/>
      <c r="H4" s="71"/>
      <c r="I4" s="71"/>
      <c r="J4" s="71"/>
      <c r="K4" s="71"/>
      <c r="L4" s="71"/>
      <c r="M4" s="40"/>
    </row>
    <row r="5">
      <c r="A5" s="114" t="s">
        <v>118</v>
      </c>
      <c r="M5" s="43"/>
    </row>
    <row r="6">
      <c r="A6" s="114" t="s">
        <v>119</v>
      </c>
      <c r="M6" s="43"/>
    </row>
    <row r="7">
      <c r="A7" s="114" t="s">
        <v>120</v>
      </c>
      <c r="M7" s="43"/>
    </row>
    <row r="8">
      <c r="A8" s="115" t="s">
        <v>121</v>
      </c>
      <c r="B8" s="20"/>
      <c r="C8" s="20"/>
      <c r="D8" s="20"/>
      <c r="E8" s="20"/>
      <c r="F8" s="20"/>
      <c r="G8" s="20"/>
      <c r="H8" s="20"/>
      <c r="I8" s="20"/>
      <c r="J8" s="20"/>
      <c r="K8" s="20"/>
      <c r="L8" s="20"/>
      <c r="M8" s="21"/>
    </row>
    <row r="9">
      <c r="A9" s="116" t="s">
        <v>122</v>
      </c>
      <c r="B9" s="3"/>
      <c r="C9" s="3"/>
      <c r="D9" s="3"/>
      <c r="E9" s="3"/>
      <c r="F9" s="3"/>
      <c r="G9" s="3"/>
      <c r="H9" s="3"/>
      <c r="I9" s="3"/>
      <c r="J9" s="3"/>
      <c r="K9" s="3"/>
      <c r="L9" s="3"/>
      <c r="M9" s="4"/>
    </row>
    <row r="10">
      <c r="A10" s="117"/>
      <c r="B10" s="117"/>
      <c r="D10" s="68"/>
    </row>
    <row r="11">
      <c r="A11" s="118"/>
      <c r="B11" s="40"/>
      <c r="C11" s="119" t="s">
        <v>123</v>
      </c>
      <c r="D11" s="3"/>
      <c r="E11" s="3"/>
      <c r="F11" s="3"/>
      <c r="G11" s="3"/>
      <c r="H11" s="3"/>
      <c r="I11" s="3"/>
      <c r="J11" s="3"/>
      <c r="K11" s="3"/>
      <c r="L11" s="3"/>
      <c r="M11" s="3"/>
      <c r="N11" s="3"/>
      <c r="O11" s="3"/>
      <c r="P11" s="3"/>
      <c r="Q11" s="4"/>
    </row>
    <row r="12">
      <c r="A12" s="44"/>
      <c r="B12" s="21"/>
      <c r="C12" s="119" t="s">
        <v>124</v>
      </c>
      <c r="D12" s="3"/>
      <c r="E12" s="3"/>
      <c r="F12" s="3"/>
      <c r="G12" s="3"/>
      <c r="H12" s="3"/>
      <c r="I12" s="3"/>
      <c r="J12" s="3"/>
      <c r="K12" s="3"/>
      <c r="L12" s="3"/>
      <c r="M12" s="3"/>
      <c r="N12" s="3"/>
      <c r="O12" s="3"/>
      <c r="P12" s="3"/>
      <c r="Q12" s="4"/>
    </row>
    <row r="13">
      <c r="A13" s="120" t="s">
        <v>125</v>
      </c>
      <c r="B13" s="121" t="s">
        <v>126</v>
      </c>
      <c r="C13" s="122">
        <v>0.0</v>
      </c>
      <c r="D13" s="122">
        <v>1.0</v>
      </c>
      <c r="E13" s="122">
        <v>2.0</v>
      </c>
      <c r="F13" s="122">
        <v>3.0</v>
      </c>
      <c r="G13" s="122">
        <v>4.0</v>
      </c>
      <c r="H13" s="122">
        <v>5.0</v>
      </c>
      <c r="I13" s="122">
        <v>6.0</v>
      </c>
      <c r="J13" s="122">
        <v>7.0</v>
      </c>
      <c r="K13" s="122">
        <v>8.0</v>
      </c>
      <c r="L13" s="122">
        <v>9.0</v>
      </c>
      <c r="M13" s="122">
        <v>10.0</v>
      </c>
      <c r="N13" s="122">
        <v>11.0</v>
      </c>
      <c r="O13" s="122">
        <v>12.0</v>
      </c>
      <c r="P13" s="122">
        <v>13.0</v>
      </c>
      <c r="Q13" s="122">
        <v>14.0</v>
      </c>
    </row>
    <row r="14">
      <c r="A14" s="123" t="s">
        <v>127</v>
      </c>
      <c r="B14" s="124">
        <f>sum(B15:B22)</f>
        <v>920.6</v>
      </c>
      <c r="C14" s="125">
        <v>870.0</v>
      </c>
      <c r="D14" s="126">
        <f>C14*0.92</f>
        <v>800.4</v>
      </c>
      <c r="E14" s="126">
        <f t="shared" ref="E14:F14" si="1">D14*0.93</f>
        <v>744.372</v>
      </c>
      <c r="F14" s="126">
        <f t="shared" si="1"/>
        <v>692.26596</v>
      </c>
      <c r="G14" s="126">
        <f>F14*0.98</f>
        <v>678.4206408</v>
      </c>
      <c r="H14" s="126">
        <f>G14*0.94</f>
        <v>637.7154024</v>
      </c>
      <c r="I14" s="126">
        <f>H14*0.98</f>
        <v>624.9610943</v>
      </c>
      <c r="J14" s="126">
        <f>I14*0.92</f>
        <v>574.9642068</v>
      </c>
      <c r="K14" s="126">
        <f>J14*0.9</f>
        <v>517.4677861</v>
      </c>
      <c r="L14" s="126">
        <f>K14*0.98</f>
        <v>507.1184304</v>
      </c>
      <c r="M14" s="126">
        <f>L14*0.99</f>
        <v>502.0472461</v>
      </c>
      <c r="N14" s="126">
        <f>M14*0.95</f>
        <v>476.9448838</v>
      </c>
      <c r="O14" s="126">
        <f>N14*0.91</f>
        <v>434.0198442</v>
      </c>
      <c r="P14" s="126">
        <f>O14*0.9</f>
        <v>390.6178598</v>
      </c>
      <c r="Q14" s="127">
        <f>P14*0.98</f>
        <v>382.8055026</v>
      </c>
    </row>
    <row r="15">
      <c r="A15" s="128" t="s">
        <v>128</v>
      </c>
      <c r="B15" s="129">
        <f>310*0.9</f>
        <v>279</v>
      </c>
      <c r="C15" s="130">
        <v>262.0</v>
      </c>
      <c r="D15" s="85">
        <f>C15*0.93</f>
        <v>243.66</v>
      </c>
      <c r="E15" s="85">
        <f t="shared" ref="E15:G15" si="2">D15*0.95</f>
        <v>231.477</v>
      </c>
      <c r="F15" s="85">
        <f t="shared" si="2"/>
        <v>219.90315</v>
      </c>
      <c r="G15" s="85">
        <f t="shared" si="2"/>
        <v>208.9079925</v>
      </c>
      <c r="H15" s="85">
        <f>G15*0.9</f>
        <v>188.0171933</v>
      </c>
      <c r="I15" s="85">
        <f>H15*0.94</f>
        <v>176.7361617</v>
      </c>
      <c r="J15" s="85">
        <f t="shared" ref="J15:Q15" si="3">I15*0.95</f>
        <v>167.8993536</v>
      </c>
      <c r="K15" s="85">
        <f t="shared" si="3"/>
        <v>159.5043859</v>
      </c>
      <c r="L15" s="85">
        <f t="shared" si="3"/>
        <v>151.5291666</v>
      </c>
      <c r="M15" s="85">
        <f t="shared" si="3"/>
        <v>143.9527083</v>
      </c>
      <c r="N15" s="85">
        <f t="shared" si="3"/>
        <v>136.7550729</v>
      </c>
      <c r="O15" s="85">
        <f t="shared" si="3"/>
        <v>129.9173192</v>
      </c>
      <c r="P15" s="85">
        <f t="shared" si="3"/>
        <v>123.4214533</v>
      </c>
      <c r="Q15" s="84">
        <f t="shared" si="3"/>
        <v>117.2503806</v>
      </c>
    </row>
    <row r="16">
      <c r="A16" s="128" t="s">
        <v>129</v>
      </c>
      <c r="B16" s="129">
        <f>206*0.8</f>
        <v>164.8</v>
      </c>
      <c r="C16" s="130">
        <v>162.0</v>
      </c>
      <c r="D16" s="85">
        <f t="shared" ref="D16:Q16" si="4">C16*0.95</f>
        <v>153.9</v>
      </c>
      <c r="E16" s="85">
        <f t="shared" si="4"/>
        <v>146.205</v>
      </c>
      <c r="F16" s="85">
        <f t="shared" si="4"/>
        <v>138.89475</v>
      </c>
      <c r="G16" s="85">
        <f t="shared" si="4"/>
        <v>131.9500125</v>
      </c>
      <c r="H16" s="85">
        <f t="shared" si="4"/>
        <v>125.3525119</v>
      </c>
      <c r="I16" s="85">
        <f t="shared" si="4"/>
        <v>119.0848863</v>
      </c>
      <c r="J16" s="85">
        <f t="shared" si="4"/>
        <v>113.130642</v>
      </c>
      <c r="K16" s="85">
        <f t="shared" si="4"/>
        <v>107.4741099</v>
      </c>
      <c r="L16" s="85">
        <f t="shared" si="4"/>
        <v>102.1004044</v>
      </c>
      <c r="M16" s="85">
        <f t="shared" si="4"/>
        <v>96.99538416</v>
      </c>
      <c r="N16" s="85">
        <f t="shared" si="4"/>
        <v>92.14561495</v>
      </c>
      <c r="O16" s="85">
        <f t="shared" si="4"/>
        <v>87.5383342</v>
      </c>
      <c r="P16" s="85">
        <f t="shared" si="4"/>
        <v>83.16141749</v>
      </c>
      <c r="Q16" s="84">
        <f t="shared" si="4"/>
        <v>79.00334662</v>
      </c>
    </row>
    <row r="17">
      <c r="A17" s="128" t="s">
        <v>130</v>
      </c>
      <c r="B17" s="129">
        <f>172*0.8</f>
        <v>137.6</v>
      </c>
      <c r="C17" s="130">
        <v>132.0</v>
      </c>
      <c r="D17" s="85">
        <f>C17*0.92</f>
        <v>121.44</v>
      </c>
      <c r="E17" s="85">
        <f t="shared" ref="E17:Q17" si="5">D17*0.95</f>
        <v>115.368</v>
      </c>
      <c r="F17" s="85">
        <f t="shared" si="5"/>
        <v>109.5996</v>
      </c>
      <c r="G17" s="85">
        <f t="shared" si="5"/>
        <v>104.11962</v>
      </c>
      <c r="H17" s="85">
        <f t="shared" si="5"/>
        <v>98.913639</v>
      </c>
      <c r="I17" s="85">
        <f t="shared" si="5"/>
        <v>93.96795705</v>
      </c>
      <c r="J17" s="85">
        <f t="shared" si="5"/>
        <v>89.2695592</v>
      </c>
      <c r="K17" s="85">
        <f t="shared" si="5"/>
        <v>84.80608124</v>
      </c>
      <c r="L17" s="85">
        <f t="shared" si="5"/>
        <v>80.56577718</v>
      </c>
      <c r="M17" s="85">
        <f t="shared" si="5"/>
        <v>76.53748832</v>
      </c>
      <c r="N17" s="85">
        <f t="shared" si="5"/>
        <v>72.7106139</v>
      </c>
      <c r="O17" s="85">
        <f t="shared" si="5"/>
        <v>69.07508321</v>
      </c>
      <c r="P17" s="85">
        <f t="shared" si="5"/>
        <v>65.62132905</v>
      </c>
      <c r="Q17" s="84">
        <f t="shared" si="5"/>
        <v>62.34026259</v>
      </c>
    </row>
    <row r="18">
      <c r="A18" s="128" t="s">
        <v>131</v>
      </c>
      <c r="B18" s="129">
        <f>138*0.8</f>
        <v>110.4</v>
      </c>
      <c r="C18" s="130">
        <v>106.0</v>
      </c>
      <c r="D18" s="85">
        <f>C18*0.97</f>
        <v>102.82</v>
      </c>
      <c r="E18" s="85">
        <f t="shared" ref="E18:Q18" si="6">D18*0.95</f>
        <v>97.679</v>
      </c>
      <c r="F18" s="85">
        <f t="shared" si="6"/>
        <v>92.79505</v>
      </c>
      <c r="G18" s="85">
        <f t="shared" si="6"/>
        <v>88.1552975</v>
      </c>
      <c r="H18" s="85">
        <f t="shared" si="6"/>
        <v>83.74753263</v>
      </c>
      <c r="I18" s="85">
        <f t="shared" si="6"/>
        <v>79.56015599</v>
      </c>
      <c r="J18" s="85">
        <f t="shared" si="6"/>
        <v>75.58214819</v>
      </c>
      <c r="K18" s="85">
        <f t="shared" si="6"/>
        <v>71.80304078</v>
      </c>
      <c r="L18" s="85">
        <f t="shared" si="6"/>
        <v>68.21288875</v>
      </c>
      <c r="M18" s="85">
        <f t="shared" si="6"/>
        <v>64.80224431</v>
      </c>
      <c r="N18" s="85">
        <f t="shared" si="6"/>
        <v>61.56213209</v>
      </c>
      <c r="O18" s="85">
        <f t="shared" si="6"/>
        <v>58.48402549</v>
      </c>
      <c r="P18" s="85">
        <f t="shared" si="6"/>
        <v>55.55982421</v>
      </c>
      <c r="Q18" s="84">
        <f t="shared" si="6"/>
        <v>52.781833</v>
      </c>
    </row>
    <row r="19">
      <c r="A19" s="128" t="s">
        <v>132</v>
      </c>
      <c r="B19" s="129">
        <f>112*0.8</f>
        <v>89.6</v>
      </c>
      <c r="C19" s="130">
        <v>72.0</v>
      </c>
      <c r="D19" s="85">
        <f>C19*0.93</f>
        <v>66.96</v>
      </c>
      <c r="E19" s="85">
        <f t="shared" ref="E19:Q19" si="7">D19*0.95</f>
        <v>63.612</v>
      </c>
      <c r="F19" s="85">
        <f t="shared" si="7"/>
        <v>60.4314</v>
      </c>
      <c r="G19" s="85">
        <f t="shared" si="7"/>
        <v>57.40983</v>
      </c>
      <c r="H19" s="85">
        <f t="shared" si="7"/>
        <v>54.5393385</v>
      </c>
      <c r="I19" s="85">
        <f t="shared" si="7"/>
        <v>51.81237158</v>
      </c>
      <c r="J19" s="85">
        <f t="shared" si="7"/>
        <v>49.221753</v>
      </c>
      <c r="K19" s="85">
        <f t="shared" si="7"/>
        <v>46.76066535</v>
      </c>
      <c r="L19" s="85">
        <f t="shared" si="7"/>
        <v>44.42263208</v>
      </c>
      <c r="M19" s="85">
        <f t="shared" si="7"/>
        <v>42.20150048</v>
      </c>
      <c r="N19" s="85">
        <f t="shared" si="7"/>
        <v>40.09142545</v>
      </c>
      <c r="O19" s="85">
        <f t="shared" si="7"/>
        <v>38.08685418</v>
      </c>
      <c r="P19" s="85">
        <f t="shared" si="7"/>
        <v>36.18251147</v>
      </c>
      <c r="Q19" s="84">
        <f t="shared" si="7"/>
        <v>34.3733859</v>
      </c>
    </row>
    <row r="20">
      <c r="A20" s="128" t="s">
        <v>133</v>
      </c>
      <c r="B20" s="129">
        <f>92*0.8</f>
        <v>73.6</v>
      </c>
      <c r="C20" s="130">
        <v>68.0</v>
      </c>
      <c r="D20" s="85">
        <f t="shared" ref="D20:Q20" si="8">C20*0.95</f>
        <v>64.6</v>
      </c>
      <c r="E20" s="85">
        <f t="shared" si="8"/>
        <v>61.37</v>
      </c>
      <c r="F20" s="85">
        <f t="shared" si="8"/>
        <v>58.3015</v>
      </c>
      <c r="G20" s="85">
        <f t="shared" si="8"/>
        <v>55.386425</v>
      </c>
      <c r="H20" s="85">
        <f t="shared" si="8"/>
        <v>52.61710375</v>
      </c>
      <c r="I20" s="85">
        <f t="shared" si="8"/>
        <v>49.98624856</v>
      </c>
      <c r="J20" s="85">
        <f t="shared" si="8"/>
        <v>47.48693613</v>
      </c>
      <c r="K20" s="85">
        <f t="shared" si="8"/>
        <v>45.11258933</v>
      </c>
      <c r="L20" s="85">
        <f t="shared" si="8"/>
        <v>42.85695986</v>
      </c>
      <c r="M20" s="85">
        <f t="shared" si="8"/>
        <v>40.71411187</v>
      </c>
      <c r="N20" s="85">
        <f t="shared" si="8"/>
        <v>38.67840627</v>
      </c>
      <c r="O20" s="85">
        <f t="shared" si="8"/>
        <v>36.74448596</v>
      </c>
      <c r="P20" s="85">
        <f t="shared" si="8"/>
        <v>34.90726166</v>
      </c>
      <c r="Q20" s="84">
        <f t="shared" si="8"/>
        <v>33.16189858</v>
      </c>
    </row>
    <row r="21">
      <c r="A21" s="128" t="s">
        <v>134</v>
      </c>
      <c r="B21" s="129">
        <f>58*0.8</f>
        <v>46.4</v>
      </c>
      <c r="C21" s="130">
        <v>42.0</v>
      </c>
      <c r="D21" s="85">
        <f>C21*0.94</f>
        <v>39.48</v>
      </c>
      <c r="E21" s="85">
        <f t="shared" ref="E21:Q21" si="9">D21*0.95</f>
        <v>37.506</v>
      </c>
      <c r="F21" s="85">
        <f t="shared" si="9"/>
        <v>35.6307</v>
      </c>
      <c r="G21" s="85">
        <f t="shared" si="9"/>
        <v>33.849165</v>
      </c>
      <c r="H21" s="85">
        <f t="shared" si="9"/>
        <v>32.15670675</v>
      </c>
      <c r="I21" s="85">
        <f t="shared" si="9"/>
        <v>30.54887141</v>
      </c>
      <c r="J21" s="85">
        <f t="shared" si="9"/>
        <v>29.02142784</v>
      </c>
      <c r="K21" s="85">
        <f t="shared" si="9"/>
        <v>27.57035645</v>
      </c>
      <c r="L21" s="85">
        <f t="shared" si="9"/>
        <v>26.19183863</v>
      </c>
      <c r="M21" s="85">
        <f t="shared" si="9"/>
        <v>24.8822467</v>
      </c>
      <c r="N21" s="85">
        <f t="shared" si="9"/>
        <v>23.63813436</v>
      </c>
      <c r="O21" s="85">
        <f t="shared" si="9"/>
        <v>22.45622764</v>
      </c>
      <c r="P21" s="85">
        <f t="shared" si="9"/>
        <v>21.33341626</v>
      </c>
      <c r="Q21" s="84">
        <f t="shared" si="9"/>
        <v>20.26674545</v>
      </c>
    </row>
    <row r="22">
      <c r="A22" s="128" t="s">
        <v>135</v>
      </c>
      <c r="B22" s="129">
        <f>24*0.8</f>
        <v>19.2</v>
      </c>
      <c r="C22" s="131">
        <v>17.0</v>
      </c>
      <c r="D22" s="132">
        <f>C22*0.96</f>
        <v>16.32</v>
      </c>
      <c r="E22" s="132">
        <f t="shared" ref="E22:Q22" si="10">D22*0.95</f>
        <v>15.504</v>
      </c>
      <c r="F22" s="132">
        <f t="shared" si="10"/>
        <v>14.7288</v>
      </c>
      <c r="G22" s="132">
        <f t="shared" si="10"/>
        <v>13.99236</v>
      </c>
      <c r="H22" s="132">
        <f t="shared" si="10"/>
        <v>13.292742</v>
      </c>
      <c r="I22" s="132">
        <f t="shared" si="10"/>
        <v>12.6281049</v>
      </c>
      <c r="J22" s="132">
        <f t="shared" si="10"/>
        <v>11.99669966</v>
      </c>
      <c r="K22" s="132">
        <f t="shared" si="10"/>
        <v>11.39686467</v>
      </c>
      <c r="L22" s="132">
        <f t="shared" si="10"/>
        <v>10.82702144</v>
      </c>
      <c r="M22" s="132">
        <f t="shared" si="10"/>
        <v>10.28567037</v>
      </c>
      <c r="N22" s="132">
        <f t="shared" si="10"/>
        <v>9.771386848</v>
      </c>
      <c r="O22" s="132">
        <f t="shared" si="10"/>
        <v>9.282817506</v>
      </c>
      <c r="P22" s="132">
        <f t="shared" si="10"/>
        <v>8.818676631</v>
      </c>
      <c r="Q22" s="133">
        <f t="shared" si="10"/>
        <v>8.377742799</v>
      </c>
    </row>
    <row r="25">
      <c r="C25" s="68"/>
      <c r="D25" s="68"/>
      <c r="E25" s="68"/>
      <c r="F25" s="68"/>
      <c r="G25" s="68"/>
      <c r="H25" s="68"/>
      <c r="I25" s="68"/>
      <c r="J25" s="68"/>
      <c r="K25" s="68"/>
      <c r="L25" s="68"/>
      <c r="M25" s="68"/>
      <c r="N25" s="68"/>
      <c r="O25" s="68"/>
      <c r="P25" s="68"/>
      <c r="Q25" s="68"/>
    </row>
    <row r="26">
      <c r="A26" s="118"/>
      <c r="B26" s="40"/>
      <c r="C26" s="119" t="s">
        <v>136</v>
      </c>
      <c r="D26" s="3"/>
      <c r="E26" s="3"/>
      <c r="F26" s="3"/>
      <c r="G26" s="3"/>
      <c r="H26" s="3"/>
      <c r="I26" s="3"/>
      <c r="J26" s="3"/>
      <c r="K26" s="3"/>
      <c r="L26" s="3"/>
      <c r="M26" s="3"/>
      <c r="N26" s="3"/>
      <c r="O26" s="3"/>
      <c r="P26" s="3"/>
      <c r="Q26" s="4"/>
    </row>
    <row r="27">
      <c r="A27" s="44"/>
      <c r="B27" s="21"/>
      <c r="C27" s="119" t="s">
        <v>124</v>
      </c>
      <c r="D27" s="3"/>
      <c r="E27" s="3"/>
      <c r="F27" s="3"/>
      <c r="G27" s="3"/>
      <c r="H27" s="3"/>
      <c r="I27" s="3"/>
      <c r="J27" s="3"/>
      <c r="K27" s="3"/>
      <c r="L27" s="3"/>
      <c r="M27" s="3"/>
      <c r="N27" s="3"/>
      <c r="O27" s="3"/>
      <c r="P27" s="3"/>
      <c r="Q27" s="4"/>
    </row>
    <row r="28">
      <c r="A28" s="120" t="s">
        <v>125</v>
      </c>
      <c r="B28" s="121" t="s">
        <v>126</v>
      </c>
      <c r="C28" s="122">
        <v>0.0</v>
      </c>
      <c r="D28" s="122">
        <v>1.0</v>
      </c>
      <c r="E28" s="122">
        <v>2.0</v>
      </c>
      <c r="F28" s="122">
        <v>3.0</v>
      </c>
      <c r="G28" s="122">
        <v>4.0</v>
      </c>
      <c r="H28" s="122">
        <v>5.0</v>
      </c>
      <c r="I28" s="122">
        <v>6.0</v>
      </c>
      <c r="J28" s="122">
        <v>7.0</v>
      </c>
      <c r="K28" s="122">
        <v>8.0</v>
      </c>
      <c r="L28" s="122">
        <v>9.0</v>
      </c>
      <c r="M28" s="122">
        <v>10.0</v>
      </c>
      <c r="N28" s="122">
        <v>11.0</v>
      </c>
      <c r="O28" s="122">
        <v>12.0</v>
      </c>
      <c r="P28" s="122">
        <v>13.0</v>
      </c>
      <c r="Q28" s="122">
        <v>14.0</v>
      </c>
    </row>
    <row r="29">
      <c r="A29" s="123" t="s">
        <v>127</v>
      </c>
      <c r="B29" s="129">
        <f>sum(B30:B37)</f>
        <v>920.6</v>
      </c>
      <c r="C29" s="134">
        <v>0.95</v>
      </c>
      <c r="D29" s="135">
        <f t="shared" ref="D29:Q29" si="11">D14/$B14</f>
        <v>0.8694329785</v>
      </c>
      <c r="E29" s="135">
        <f t="shared" si="11"/>
        <v>0.80857267</v>
      </c>
      <c r="F29" s="135">
        <f t="shared" si="11"/>
        <v>0.7519725831</v>
      </c>
      <c r="G29" s="135">
        <f t="shared" si="11"/>
        <v>0.7369331314</v>
      </c>
      <c r="H29" s="135">
        <f t="shared" si="11"/>
        <v>0.6927171435</v>
      </c>
      <c r="I29" s="135">
        <f t="shared" si="11"/>
        <v>0.6788628007</v>
      </c>
      <c r="J29" s="135">
        <f t="shared" si="11"/>
        <v>0.6245537766</v>
      </c>
      <c r="K29" s="135">
        <f t="shared" si="11"/>
        <v>0.562098399</v>
      </c>
      <c r="L29" s="135">
        <f t="shared" si="11"/>
        <v>0.550856431</v>
      </c>
      <c r="M29" s="135">
        <f t="shared" si="11"/>
        <v>0.5453478667</v>
      </c>
      <c r="N29" s="135">
        <f t="shared" si="11"/>
        <v>0.5180804733</v>
      </c>
      <c r="O29" s="135">
        <f t="shared" si="11"/>
        <v>0.4714532307</v>
      </c>
      <c r="P29" s="135">
        <f t="shared" si="11"/>
        <v>0.4243079077</v>
      </c>
      <c r="Q29" s="136">
        <f t="shared" si="11"/>
        <v>0.4158217495</v>
      </c>
    </row>
    <row r="30">
      <c r="A30" s="128" t="s">
        <v>128</v>
      </c>
      <c r="B30" s="129">
        <f>310*0.9</f>
        <v>279</v>
      </c>
      <c r="C30" s="137">
        <f t="shared" ref="C30:Q30" si="12">C15/$B15</f>
        <v>0.9390681004</v>
      </c>
      <c r="D30" s="138">
        <f t="shared" si="12"/>
        <v>0.8733333333</v>
      </c>
      <c r="E30" s="138">
        <f t="shared" si="12"/>
        <v>0.8296666667</v>
      </c>
      <c r="F30" s="138">
        <f t="shared" si="12"/>
        <v>0.7881833333</v>
      </c>
      <c r="G30" s="138">
        <f t="shared" si="12"/>
        <v>0.7487741667</v>
      </c>
      <c r="H30" s="138">
        <f t="shared" si="12"/>
        <v>0.67389675</v>
      </c>
      <c r="I30" s="138">
        <f t="shared" si="12"/>
        <v>0.633462945</v>
      </c>
      <c r="J30" s="138">
        <f t="shared" si="12"/>
        <v>0.6017897978</v>
      </c>
      <c r="K30" s="138">
        <f t="shared" si="12"/>
        <v>0.5717003079</v>
      </c>
      <c r="L30" s="138">
        <f t="shared" si="12"/>
        <v>0.5431152925</v>
      </c>
      <c r="M30" s="138">
        <f t="shared" si="12"/>
        <v>0.5159595278</v>
      </c>
      <c r="N30" s="138">
        <f t="shared" si="12"/>
        <v>0.4901615515</v>
      </c>
      <c r="O30" s="138">
        <f t="shared" si="12"/>
        <v>0.4656534739</v>
      </c>
      <c r="P30" s="138">
        <f t="shared" si="12"/>
        <v>0.4423708002</v>
      </c>
      <c r="Q30" s="139">
        <f t="shared" si="12"/>
        <v>0.4202522602</v>
      </c>
    </row>
    <row r="31">
      <c r="A31" s="128" t="s">
        <v>129</v>
      </c>
      <c r="B31" s="129">
        <f>206*0.8</f>
        <v>164.8</v>
      </c>
      <c r="C31" s="137">
        <f t="shared" ref="C31:Q31" si="13">C16/$B16</f>
        <v>0.9830097087</v>
      </c>
      <c r="D31" s="138">
        <f t="shared" si="13"/>
        <v>0.9338592233</v>
      </c>
      <c r="E31" s="138">
        <f t="shared" si="13"/>
        <v>0.8871662621</v>
      </c>
      <c r="F31" s="138">
        <f t="shared" si="13"/>
        <v>0.842807949</v>
      </c>
      <c r="G31" s="138">
        <f t="shared" si="13"/>
        <v>0.8006675516</v>
      </c>
      <c r="H31" s="138">
        <f t="shared" si="13"/>
        <v>0.760634174</v>
      </c>
      <c r="I31" s="138">
        <f t="shared" si="13"/>
        <v>0.7226024653</v>
      </c>
      <c r="J31" s="138">
        <f t="shared" si="13"/>
        <v>0.686472342</v>
      </c>
      <c r="K31" s="138">
        <f t="shared" si="13"/>
        <v>0.6521487249</v>
      </c>
      <c r="L31" s="138">
        <f t="shared" si="13"/>
        <v>0.6195412887</v>
      </c>
      <c r="M31" s="138">
        <f t="shared" si="13"/>
        <v>0.5885642243</v>
      </c>
      <c r="N31" s="138">
        <f t="shared" si="13"/>
        <v>0.559136013</v>
      </c>
      <c r="O31" s="138">
        <f t="shared" si="13"/>
        <v>0.5311792124</v>
      </c>
      <c r="P31" s="138">
        <f t="shared" si="13"/>
        <v>0.5046202518</v>
      </c>
      <c r="Q31" s="139">
        <f t="shared" si="13"/>
        <v>0.4793892392</v>
      </c>
    </row>
    <row r="32">
      <c r="A32" s="128" t="s">
        <v>130</v>
      </c>
      <c r="B32" s="129">
        <f>172*0.8</f>
        <v>137.6</v>
      </c>
      <c r="C32" s="137">
        <f t="shared" ref="C32:Q32" si="14">C17/$B17</f>
        <v>0.9593023256</v>
      </c>
      <c r="D32" s="138">
        <f t="shared" si="14"/>
        <v>0.8825581395</v>
      </c>
      <c r="E32" s="138">
        <f t="shared" si="14"/>
        <v>0.8384302326</v>
      </c>
      <c r="F32" s="138">
        <f t="shared" si="14"/>
        <v>0.7965087209</v>
      </c>
      <c r="G32" s="138">
        <f t="shared" si="14"/>
        <v>0.7566832849</v>
      </c>
      <c r="H32" s="138">
        <f t="shared" si="14"/>
        <v>0.7188491206</v>
      </c>
      <c r="I32" s="138">
        <f t="shared" si="14"/>
        <v>0.6829066646</v>
      </c>
      <c r="J32" s="138">
        <f t="shared" si="14"/>
        <v>0.6487613314</v>
      </c>
      <c r="K32" s="138">
        <f t="shared" si="14"/>
        <v>0.6163232648</v>
      </c>
      <c r="L32" s="138">
        <f t="shared" si="14"/>
        <v>0.5855071016</v>
      </c>
      <c r="M32" s="138">
        <f t="shared" si="14"/>
        <v>0.5562317465</v>
      </c>
      <c r="N32" s="138">
        <f t="shared" si="14"/>
        <v>0.5284201592</v>
      </c>
      <c r="O32" s="138">
        <f t="shared" si="14"/>
        <v>0.5019991512</v>
      </c>
      <c r="P32" s="138">
        <f t="shared" si="14"/>
        <v>0.4768991936</v>
      </c>
      <c r="Q32" s="139">
        <f t="shared" si="14"/>
        <v>0.453054234</v>
      </c>
    </row>
    <row r="33">
      <c r="A33" s="128" t="s">
        <v>131</v>
      </c>
      <c r="B33" s="129">
        <f>138*0.8</f>
        <v>110.4</v>
      </c>
      <c r="C33" s="137">
        <f t="shared" ref="C33:Q33" si="15">C18/$B18</f>
        <v>0.9601449275</v>
      </c>
      <c r="D33" s="138">
        <f t="shared" si="15"/>
        <v>0.9313405797</v>
      </c>
      <c r="E33" s="138">
        <f t="shared" si="15"/>
        <v>0.8847735507</v>
      </c>
      <c r="F33" s="138">
        <f t="shared" si="15"/>
        <v>0.8405348732</v>
      </c>
      <c r="G33" s="138">
        <f t="shared" si="15"/>
        <v>0.7985081295</v>
      </c>
      <c r="H33" s="138">
        <f t="shared" si="15"/>
        <v>0.7585827231</v>
      </c>
      <c r="I33" s="138">
        <f t="shared" si="15"/>
        <v>0.7206535869</v>
      </c>
      <c r="J33" s="138">
        <f t="shared" si="15"/>
        <v>0.6846209076</v>
      </c>
      <c r="K33" s="138">
        <f t="shared" si="15"/>
        <v>0.6503898622</v>
      </c>
      <c r="L33" s="138">
        <f t="shared" si="15"/>
        <v>0.6178703691</v>
      </c>
      <c r="M33" s="138">
        <f t="shared" si="15"/>
        <v>0.5869768506</v>
      </c>
      <c r="N33" s="138">
        <f t="shared" si="15"/>
        <v>0.5576280081</v>
      </c>
      <c r="O33" s="138">
        <f t="shared" si="15"/>
        <v>0.5297466077</v>
      </c>
      <c r="P33" s="138">
        <f t="shared" si="15"/>
        <v>0.5032592773</v>
      </c>
      <c r="Q33" s="139">
        <f t="shared" si="15"/>
        <v>0.4780963134</v>
      </c>
    </row>
    <row r="34">
      <c r="A34" s="128" t="s">
        <v>132</v>
      </c>
      <c r="B34" s="129">
        <f>112*0.8</f>
        <v>89.6</v>
      </c>
      <c r="C34" s="137">
        <f t="shared" ref="C34:Q34" si="16">C19/$B19</f>
        <v>0.8035714286</v>
      </c>
      <c r="D34" s="138">
        <f t="shared" si="16"/>
        <v>0.7473214286</v>
      </c>
      <c r="E34" s="138">
        <f t="shared" si="16"/>
        <v>0.7099553571</v>
      </c>
      <c r="F34" s="138">
        <f t="shared" si="16"/>
        <v>0.6744575893</v>
      </c>
      <c r="G34" s="138">
        <f t="shared" si="16"/>
        <v>0.6407347098</v>
      </c>
      <c r="H34" s="138">
        <f t="shared" si="16"/>
        <v>0.6086979743</v>
      </c>
      <c r="I34" s="138">
        <f t="shared" si="16"/>
        <v>0.5782630756</v>
      </c>
      <c r="J34" s="138">
        <f t="shared" si="16"/>
        <v>0.5493499218</v>
      </c>
      <c r="K34" s="138">
        <f t="shared" si="16"/>
        <v>0.5218824257</v>
      </c>
      <c r="L34" s="138">
        <f t="shared" si="16"/>
        <v>0.4957883045</v>
      </c>
      <c r="M34" s="138">
        <f t="shared" si="16"/>
        <v>0.4709988892</v>
      </c>
      <c r="N34" s="138">
        <f t="shared" si="16"/>
        <v>0.4474489448</v>
      </c>
      <c r="O34" s="138">
        <f t="shared" si="16"/>
        <v>0.4250764975</v>
      </c>
      <c r="P34" s="138">
        <f t="shared" si="16"/>
        <v>0.4038226727</v>
      </c>
      <c r="Q34" s="139">
        <f t="shared" si="16"/>
        <v>0.383631539</v>
      </c>
    </row>
    <row r="35">
      <c r="A35" s="128" t="s">
        <v>133</v>
      </c>
      <c r="B35" s="129">
        <f>92*0.8</f>
        <v>73.6</v>
      </c>
      <c r="C35" s="137">
        <f t="shared" ref="C35:Q35" si="17">C20/$B20</f>
        <v>0.9239130435</v>
      </c>
      <c r="D35" s="138">
        <f t="shared" si="17"/>
        <v>0.8777173913</v>
      </c>
      <c r="E35" s="138">
        <f t="shared" si="17"/>
        <v>0.8338315217</v>
      </c>
      <c r="F35" s="138">
        <f t="shared" si="17"/>
        <v>0.7921399457</v>
      </c>
      <c r="G35" s="138">
        <f t="shared" si="17"/>
        <v>0.7525329484</v>
      </c>
      <c r="H35" s="138">
        <f t="shared" si="17"/>
        <v>0.714906301</v>
      </c>
      <c r="I35" s="138">
        <f t="shared" si="17"/>
        <v>0.6791609859</v>
      </c>
      <c r="J35" s="138">
        <f t="shared" si="17"/>
        <v>0.6452029366</v>
      </c>
      <c r="K35" s="138">
        <f t="shared" si="17"/>
        <v>0.6129427898</v>
      </c>
      <c r="L35" s="138">
        <f t="shared" si="17"/>
        <v>0.5822956503</v>
      </c>
      <c r="M35" s="138">
        <f t="shared" si="17"/>
        <v>0.5531808678</v>
      </c>
      <c r="N35" s="138">
        <f t="shared" si="17"/>
        <v>0.5255218244</v>
      </c>
      <c r="O35" s="138">
        <f t="shared" si="17"/>
        <v>0.4992457332</v>
      </c>
      <c r="P35" s="138">
        <f t="shared" si="17"/>
        <v>0.4742834465</v>
      </c>
      <c r="Q35" s="139">
        <f t="shared" si="17"/>
        <v>0.4505692742</v>
      </c>
    </row>
    <row r="36">
      <c r="A36" s="128" t="s">
        <v>134</v>
      </c>
      <c r="B36" s="129">
        <f>58*0.8</f>
        <v>46.4</v>
      </c>
      <c r="C36" s="137">
        <f t="shared" ref="C36:Q36" si="18">C21/$B21</f>
        <v>0.9051724138</v>
      </c>
      <c r="D36" s="138">
        <f t="shared" si="18"/>
        <v>0.850862069</v>
      </c>
      <c r="E36" s="138">
        <f t="shared" si="18"/>
        <v>0.8083189655</v>
      </c>
      <c r="F36" s="138">
        <f t="shared" si="18"/>
        <v>0.7679030172</v>
      </c>
      <c r="G36" s="138">
        <f t="shared" si="18"/>
        <v>0.7295078664</v>
      </c>
      <c r="H36" s="138">
        <f t="shared" si="18"/>
        <v>0.6930324731</v>
      </c>
      <c r="I36" s="138">
        <f t="shared" si="18"/>
        <v>0.6583808494</v>
      </c>
      <c r="J36" s="138">
        <f t="shared" si="18"/>
        <v>0.6254618069</v>
      </c>
      <c r="K36" s="138">
        <f t="shared" si="18"/>
        <v>0.5941887166</v>
      </c>
      <c r="L36" s="138">
        <f t="shared" si="18"/>
        <v>0.5644792808</v>
      </c>
      <c r="M36" s="138">
        <f t="shared" si="18"/>
        <v>0.5362553167</v>
      </c>
      <c r="N36" s="138">
        <f t="shared" si="18"/>
        <v>0.5094425509</v>
      </c>
      <c r="O36" s="138">
        <f t="shared" si="18"/>
        <v>0.4839704233</v>
      </c>
      <c r="P36" s="138">
        <f t="shared" si="18"/>
        <v>0.4597719022</v>
      </c>
      <c r="Q36" s="139">
        <f t="shared" si="18"/>
        <v>0.4367833071</v>
      </c>
    </row>
    <row r="37">
      <c r="A37" s="128" t="s">
        <v>135</v>
      </c>
      <c r="B37" s="129">
        <f>24*0.8</f>
        <v>19.2</v>
      </c>
      <c r="C37" s="137">
        <f t="shared" ref="C37:Q37" si="19">C22/$B22</f>
        <v>0.8854166667</v>
      </c>
      <c r="D37" s="138">
        <f t="shared" si="19"/>
        <v>0.85</v>
      </c>
      <c r="E37" s="138">
        <f t="shared" si="19"/>
        <v>0.8075</v>
      </c>
      <c r="F37" s="138">
        <f t="shared" si="19"/>
        <v>0.767125</v>
      </c>
      <c r="G37" s="138">
        <f t="shared" si="19"/>
        <v>0.72876875</v>
      </c>
      <c r="H37" s="138">
        <f t="shared" si="19"/>
        <v>0.6923303125</v>
      </c>
      <c r="I37" s="138">
        <f t="shared" si="19"/>
        <v>0.6577137969</v>
      </c>
      <c r="J37" s="138">
        <f t="shared" si="19"/>
        <v>0.624828107</v>
      </c>
      <c r="K37" s="138">
        <f t="shared" si="19"/>
        <v>0.5935867017</v>
      </c>
      <c r="L37" s="138">
        <f t="shared" si="19"/>
        <v>0.5639073666</v>
      </c>
      <c r="M37" s="138">
        <f t="shared" si="19"/>
        <v>0.5357119983</v>
      </c>
      <c r="N37" s="138">
        <f t="shared" si="19"/>
        <v>0.5089263984</v>
      </c>
      <c r="O37" s="138">
        <f t="shared" si="19"/>
        <v>0.4834800784</v>
      </c>
      <c r="P37" s="138">
        <f t="shared" si="19"/>
        <v>0.4593060745</v>
      </c>
      <c r="Q37" s="139">
        <f t="shared" si="19"/>
        <v>0.4363407708</v>
      </c>
    </row>
    <row r="38">
      <c r="A38" s="140" t="s">
        <v>102</v>
      </c>
      <c r="B38" s="21"/>
      <c r="C38" s="141">
        <f t="shared" ref="C38:Q38" si="20">AVERAGE(C30:C37)</f>
        <v>0.9199498268</v>
      </c>
      <c r="D38" s="141">
        <f t="shared" si="20"/>
        <v>0.8683740206</v>
      </c>
      <c r="E38" s="141">
        <f t="shared" si="20"/>
        <v>0.8249553196</v>
      </c>
      <c r="F38" s="141">
        <f t="shared" si="20"/>
        <v>0.7837075536</v>
      </c>
      <c r="G38" s="141">
        <f t="shared" si="20"/>
        <v>0.7445221759</v>
      </c>
      <c r="H38" s="141">
        <f t="shared" si="20"/>
        <v>0.7026162286</v>
      </c>
      <c r="I38" s="141">
        <f t="shared" si="20"/>
        <v>0.6666430462</v>
      </c>
      <c r="J38" s="141">
        <f t="shared" si="20"/>
        <v>0.6333108939</v>
      </c>
      <c r="K38" s="141">
        <f t="shared" si="20"/>
        <v>0.6016453492</v>
      </c>
      <c r="L38" s="141">
        <f t="shared" si="20"/>
        <v>0.5715630817</v>
      </c>
      <c r="M38" s="141">
        <f t="shared" si="20"/>
        <v>0.5429849276</v>
      </c>
      <c r="N38" s="141">
        <f t="shared" si="20"/>
        <v>0.5158356813</v>
      </c>
      <c r="O38" s="141">
        <f t="shared" si="20"/>
        <v>0.4900438972</v>
      </c>
      <c r="P38" s="141">
        <f t="shared" si="20"/>
        <v>0.4655417023</v>
      </c>
      <c r="Q38" s="141">
        <f t="shared" si="20"/>
        <v>0.4422646172</v>
      </c>
    </row>
    <row r="41">
      <c r="B41" s="107"/>
      <c r="C41" s="71"/>
      <c r="D41" s="71"/>
      <c r="E41" s="71"/>
      <c r="F41" s="71"/>
      <c r="G41" s="71"/>
      <c r="H41" s="71"/>
      <c r="I41" s="71"/>
      <c r="J41" s="40"/>
    </row>
    <row r="42">
      <c r="B42" s="42"/>
      <c r="J42" s="43"/>
      <c r="L42" s="142" t="s">
        <v>137</v>
      </c>
      <c r="N42" s="143" t="s">
        <v>138</v>
      </c>
    </row>
    <row r="43">
      <c r="B43" s="42"/>
      <c r="J43" s="43"/>
    </row>
    <row r="44">
      <c r="B44" s="42"/>
      <c r="J44" s="43"/>
      <c r="L44" s="144"/>
      <c r="M44" s="144"/>
    </row>
    <row r="45">
      <c r="B45" s="42"/>
      <c r="J45" s="43"/>
      <c r="L45" s="142" t="s">
        <v>139</v>
      </c>
      <c r="N45" s="143" t="s">
        <v>140</v>
      </c>
    </row>
    <row r="46">
      <c r="B46" s="42"/>
      <c r="J46" s="43"/>
    </row>
    <row r="47">
      <c r="B47" s="42"/>
      <c r="J47" s="43"/>
      <c r="L47" s="144"/>
      <c r="M47" s="144"/>
    </row>
    <row r="48">
      <c r="B48" s="42"/>
      <c r="J48" s="43"/>
      <c r="L48" s="142" t="s">
        <v>141</v>
      </c>
      <c r="N48" s="145" t="s">
        <v>142</v>
      </c>
    </row>
    <row r="49">
      <c r="B49" s="42"/>
      <c r="J49" s="43"/>
    </row>
    <row r="50">
      <c r="B50" s="42"/>
      <c r="J50" s="43"/>
    </row>
    <row r="51">
      <c r="B51" s="42"/>
      <c r="J51" s="43"/>
    </row>
    <row r="52">
      <c r="B52" s="42"/>
      <c r="J52" s="43"/>
    </row>
    <row r="53">
      <c r="B53" s="42"/>
      <c r="J53" s="43"/>
    </row>
    <row r="54">
      <c r="B54" s="42"/>
      <c r="J54" s="43"/>
    </row>
    <row r="55">
      <c r="B55" s="42"/>
      <c r="J55" s="43"/>
    </row>
    <row r="56">
      <c r="B56" s="42"/>
      <c r="J56" s="43"/>
    </row>
    <row r="57">
      <c r="B57" s="42"/>
      <c r="J57" s="43"/>
    </row>
    <row r="58">
      <c r="B58" s="42"/>
      <c r="J58" s="43"/>
    </row>
    <row r="59">
      <c r="B59" s="42"/>
      <c r="J59" s="43"/>
    </row>
    <row r="60">
      <c r="B60" s="42"/>
      <c r="J60" s="43"/>
    </row>
    <row r="61">
      <c r="B61" s="44"/>
      <c r="C61" s="20"/>
      <c r="D61" s="20"/>
      <c r="E61" s="20"/>
      <c r="F61" s="20"/>
      <c r="G61" s="20"/>
      <c r="H61" s="20"/>
      <c r="I61" s="20"/>
      <c r="J61" s="21"/>
    </row>
    <row r="65">
      <c r="A65" s="118"/>
      <c r="B65" s="40"/>
      <c r="C65" s="119" t="s">
        <v>143</v>
      </c>
      <c r="D65" s="3"/>
      <c r="E65" s="3"/>
      <c r="F65" s="3"/>
      <c r="G65" s="3"/>
      <c r="H65" s="3"/>
      <c r="I65" s="3"/>
      <c r="J65" s="3"/>
      <c r="K65" s="3"/>
      <c r="L65" s="3"/>
      <c r="M65" s="3"/>
      <c r="N65" s="3"/>
      <c r="O65" s="3"/>
      <c r="P65" s="3"/>
      <c r="Q65" s="4"/>
    </row>
    <row r="66">
      <c r="A66" s="44"/>
      <c r="B66" s="21"/>
      <c r="C66" s="119" t="s">
        <v>124</v>
      </c>
      <c r="D66" s="3"/>
      <c r="E66" s="3"/>
      <c r="F66" s="3"/>
      <c r="G66" s="3"/>
      <c r="H66" s="3"/>
      <c r="I66" s="3"/>
      <c r="J66" s="3"/>
      <c r="K66" s="3"/>
      <c r="L66" s="3"/>
      <c r="M66" s="3"/>
      <c r="N66" s="3"/>
      <c r="O66" s="3"/>
      <c r="P66" s="3"/>
      <c r="Q66" s="4"/>
    </row>
    <row r="67">
      <c r="A67" s="146" t="s">
        <v>144</v>
      </c>
      <c r="B67" s="147" t="s">
        <v>145</v>
      </c>
      <c r="C67" s="122">
        <v>0.0</v>
      </c>
      <c r="D67" s="122">
        <v>1.0</v>
      </c>
      <c r="E67" s="122">
        <v>2.0</v>
      </c>
      <c r="F67" s="122">
        <v>3.0</v>
      </c>
      <c r="G67" s="122">
        <v>4.0</v>
      </c>
      <c r="H67" s="122">
        <v>5.0</v>
      </c>
      <c r="I67" s="122">
        <v>6.0</v>
      </c>
      <c r="J67" s="122">
        <v>7.0</v>
      </c>
      <c r="K67" s="122">
        <v>8.0</v>
      </c>
      <c r="L67" s="122">
        <v>9.0</v>
      </c>
      <c r="M67" s="122">
        <v>10.0</v>
      </c>
      <c r="N67" s="122">
        <v>11.0</v>
      </c>
      <c r="O67" s="122">
        <v>12.0</v>
      </c>
      <c r="P67" s="122">
        <v>13.0</v>
      </c>
      <c r="Q67" s="122">
        <v>14.0</v>
      </c>
    </row>
    <row r="68">
      <c r="A68" s="123" t="s">
        <v>127</v>
      </c>
      <c r="B68" s="124">
        <f>sum(B69:B76)</f>
        <v>1484</v>
      </c>
      <c r="C68" s="125">
        <v>870.0</v>
      </c>
      <c r="D68" s="126">
        <f>C68*0.92</f>
        <v>800.4</v>
      </c>
      <c r="E68" s="126">
        <f t="shared" ref="E68:F68" si="21">D68*0.93</f>
        <v>744.372</v>
      </c>
      <c r="F68" s="126">
        <f t="shared" si="21"/>
        <v>692.26596</v>
      </c>
      <c r="G68" s="126">
        <f>F68*0.98</f>
        <v>678.4206408</v>
      </c>
      <c r="H68" s="126">
        <f>G68*0.94</f>
        <v>637.7154024</v>
      </c>
      <c r="I68" s="126">
        <f>H68*0.98</f>
        <v>624.9610943</v>
      </c>
      <c r="J68" s="126">
        <f>I68*0.92</f>
        <v>574.9642068</v>
      </c>
      <c r="K68" s="126">
        <f>J68*0.9</f>
        <v>517.4677861</v>
      </c>
      <c r="L68" s="126">
        <f>K68*0.98</f>
        <v>507.1184304</v>
      </c>
      <c r="M68" s="126">
        <f>L68*0.99</f>
        <v>502.0472461</v>
      </c>
      <c r="N68" s="126">
        <f>M68*0.95</f>
        <v>476.9448838</v>
      </c>
      <c r="O68" s="126">
        <f>N68*0.91</f>
        <v>434.0198442</v>
      </c>
      <c r="P68" s="126">
        <f>O68*0.9</f>
        <v>390.6178598</v>
      </c>
      <c r="Q68" s="127">
        <f>P68*0.98</f>
        <v>382.8055026</v>
      </c>
    </row>
    <row r="69">
      <c r="A69" s="148" t="s">
        <v>146</v>
      </c>
      <c r="B69" s="149">
        <v>379.0</v>
      </c>
      <c r="C69" s="130">
        <v>262.0</v>
      </c>
      <c r="D69" s="85">
        <f>C69*0.93</f>
        <v>243.66</v>
      </c>
      <c r="E69" s="85">
        <f t="shared" ref="E69:G69" si="22">D69*0.95</f>
        <v>231.477</v>
      </c>
      <c r="F69" s="85">
        <f t="shared" si="22"/>
        <v>219.90315</v>
      </c>
      <c r="G69" s="85">
        <f t="shared" si="22"/>
        <v>208.9079925</v>
      </c>
      <c r="H69" s="85">
        <f>G69*0.9</f>
        <v>188.0171933</v>
      </c>
      <c r="I69" s="85">
        <f>H69*0.94</f>
        <v>176.7361617</v>
      </c>
      <c r="J69" s="85">
        <f t="shared" ref="J69:Q69" si="23">I69*0.95</f>
        <v>167.8993536</v>
      </c>
      <c r="K69" s="85">
        <f t="shared" si="23"/>
        <v>159.5043859</v>
      </c>
      <c r="L69" s="85">
        <f t="shared" si="23"/>
        <v>151.5291666</v>
      </c>
      <c r="M69" s="85">
        <f t="shared" si="23"/>
        <v>143.9527083</v>
      </c>
      <c r="N69" s="85">
        <f t="shared" si="23"/>
        <v>136.7550729</v>
      </c>
      <c r="O69" s="85">
        <f t="shared" si="23"/>
        <v>129.9173192</v>
      </c>
      <c r="P69" s="85">
        <f t="shared" si="23"/>
        <v>123.4214533</v>
      </c>
      <c r="Q69" s="84">
        <f t="shared" si="23"/>
        <v>117.2503806</v>
      </c>
    </row>
    <row r="70">
      <c r="A70" s="148" t="s">
        <v>147</v>
      </c>
      <c r="B70" s="149">
        <v>280.0</v>
      </c>
      <c r="C70" s="130">
        <v>162.0</v>
      </c>
      <c r="D70" s="85">
        <f t="shared" ref="D70:Q70" si="24">C70*0.95</f>
        <v>153.9</v>
      </c>
      <c r="E70" s="85">
        <f t="shared" si="24"/>
        <v>146.205</v>
      </c>
      <c r="F70" s="85">
        <f t="shared" si="24"/>
        <v>138.89475</v>
      </c>
      <c r="G70" s="85">
        <f t="shared" si="24"/>
        <v>131.9500125</v>
      </c>
      <c r="H70" s="85">
        <f t="shared" si="24"/>
        <v>125.3525119</v>
      </c>
      <c r="I70" s="85">
        <f t="shared" si="24"/>
        <v>119.0848863</v>
      </c>
      <c r="J70" s="85">
        <f t="shared" si="24"/>
        <v>113.130642</v>
      </c>
      <c r="K70" s="85">
        <f t="shared" si="24"/>
        <v>107.4741099</v>
      </c>
      <c r="L70" s="85">
        <f t="shared" si="24"/>
        <v>102.1004044</v>
      </c>
      <c r="M70" s="85">
        <f t="shared" si="24"/>
        <v>96.99538416</v>
      </c>
      <c r="N70" s="85">
        <f t="shared" si="24"/>
        <v>92.14561495</v>
      </c>
      <c r="O70" s="85">
        <f t="shared" si="24"/>
        <v>87.5383342</v>
      </c>
      <c r="P70" s="85">
        <f t="shared" si="24"/>
        <v>83.16141749</v>
      </c>
      <c r="Q70" s="84">
        <f t="shared" si="24"/>
        <v>79.00334662</v>
      </c>
    </row>
    <row r="71">
      <c r="A71" s="148" t="s">
        <v>148</v>
      </c>
      <c r="B71" s="129">
        <v>200.0</v>
      </c>
      <c r="C71" s="130">
        <v>132.0</v>
      </c>
      <c r="D71" s="85">
        <f>C71*0.92</f>
        <v>121.44</v>
      </c>
      <c r="E71" s="85">
        <f t="shared" ref="E71:Q71" si="25">D71*0.95</f>
        <v>115.368</v>
      </c>
      <c r="F71" s="85">
        <f t="shared" si="25"/>
        <v>109.5996</v>
      </c>
      <c r="G71" s="85">
        <f t="shared" si="25"/>
        <v>104.11962</v>
      </c>
      <c r="H71" s="85">
        <f t="shared" si="25"/>
        <v>98.913639</v>
      </c>
      <c r="I71" s="85">
        <f t="shared" si="25"/>
        <v>93.96795705</v>
      </c>
      <c r="J71" s="85">
        <f t="shared" si="25"/>
        <v>89.2695592</v>
      </c>
      <c r="K71" s="85">
        <f t="shared" si="25"/>
        <v>84.80608124</v>
      </c>
      <c r="L71" s="85">
        <f t="shared" si="25"/>
        <v>80.56577718</v>
      </c>
      <c r="M71" s="85">
        <f t="shared" si="25"/>
        <v>76.53748832</v>
      </c>
      <c r="N71" s="85">
        <f t="shared" si="25"/>
        <v>72.7106139</v>
      </c>
      <c r="O71" s="85">
        <f t="shared" si="25"/>
        <v>69.07508321</v>
      </c>
      <c r="P71" s="85">
        <f t="shared" si="25"/>
        <v>65.62132905</v>
      </c>
      <c r="Q71" s="84">
        <f t="shared" si="25"/>
        <v>62.34026259</v>
      </c>
    </row>
    <row r="72">
      <c r="A72" s="148" t="s">
        <v>149</v>
      </c>
      <c r="B72" s="129">
        <v>175.0</v>
      </c>
      <c r="C72" s="130">
        <v>106.0</v>
      </c>
      <c r="D72" s="85">
        <f>C72*0.97</f>
        <v>102.82</v>
      </c>
      <c r="E72" s="85">
        <f t="shared" ref="E72:Q72" si="26">D72*0.95</f>
        <v>97.679</v>
      </c>
      <c r="F72" s="85">
        <f t="shared" si="26"/>
        <v>92.79505</v>
      </c>
      <c r="G72" s="85">
        <f t="shared" si="26"/>
        <v>88.1552975</v>
      </c>
      <c r="H72" s="85">
        <f t="shared" si="26"/>
        <v>83.74753263</v>
      </c>
      <c r="I72" s="85">
        <f t="shared" si="26"/>
        <v>79.56015599</v>
      </c>
      <c r="J72" s="85">
        <f t="shared" si="26"/>
        <v>75.58214819</v>
      </c>
      <c r="K72" s="85">
        <f t="shared" si="26"/>
        <v>71.80304078</v>
      </c>
      <c r="L72" s="85">
        <f t="shared" si="26"/>
        <v>68.21288875</v>
      </c>
      <c r="M72" s="85">
        <f t="shared" si="26"/>
        <v>64.80224431</v>
      </c>
      <c r="N72" s="85">
        <f t="shared" si="26"/>
        <v>61.56213209</v>
      </c>
      <c r="O72" s="85">
        <f t="shared" si="26"/>
        <v>58.48402549</v>
      </c>
      <c r="P72" s="85">
        <f t="shared" si="26"/>
        <v>55.55982421</v>
      </c>
      <c r="Q72" s="84">
        <f t="shared" si="26"/>
        <v>52.781833</v>
      </c>
    </row>
    <row r="73">
      <c r="A73" s="148" t="s">
        <v>150</v>
      </c>
      <c r="B73" s="129">
        <v>120.0</v>
      </c>
      <c r="C73" s="130">
        <v>72.0</v>
      </c>
      <c r="D73" s="85">
        <f>C73*0.93</f>
        <v>66.96</v>
      </c>
      <c r="E73" s="85">
        <f t="shared" ref="E73:Q73" si="27">D73*0.95</f>
        <v>63.612</v>
      </c>
      <c r="F73" s="85">
        <f t="shared" si="27"/>
        <v>60.4314</v>
      </c>
      <c r="G73" s="85">
        <f t="shared" si="27"/>
        <v>57.40983</v>
      </c>
      <c r="H73" s="85">
        <f t="shared" si="27"/>
        <v>54.5393385</v>
      </c>
      <c r="I73" s="85">
        <f t="shared" si="27"/>
        <v>51.81237158</v>
      </c>
      <c r="J73" s="85">
        <f t="shared" si="27"/>
        <v>49.221753</v>
      </c>
      <c r="K73" s="85">
        <f t="shared" si="27"/>
        <v>46.76066535</v>
      </c>
      <c r="L73" s="85">
        <f t="shared" si="27"/>
        <v>44.42263208</v>
      </c>
      <c r="M73" s="85">
        <f t="shared" si="27"/>
        <v>42.20150048</v>
      </c>
      <c r="N73" s="85">
        <f t="shared" si="27"/>
        <v>40.09142545</v>
      </c>
      <c r="O73" s="85">
        <f t="shared" si="27"/>
        <v>38.08685418</v>
      </c>
      <c r="P73" s="85">
        <f t="shared" si="27"/>
        <v>36.18251147</v>
      </c>
      <c r="Q73" s="84">
        <f t="shared" si="27"/>
        <v>34.3733859</v>
      </c>
    </row>
    <row r="74">
      <c r="A74" s="148" t="s">
        <v>151</v>
      </c>
      <c r="B74" s="149">
        <v>100.0</v>
      </c>
      <c r="C74" s="130">
        <v>68.0</v>
      </c>
      <c r="D74" s="85">
        <f t="shared" ref="D74:Q74" si="28">C74*0.95</f>
        <v>64.6</v>
      </c>
      <c r="E74" s="85">
        <f t="shared" si="28"/>
        <v>61.37</v>
      </c>
      <c r="F74" s="85">
        <f t="shared" si="28"/>
        <v>58.3015</v>
      </c>
      <c r="G74" s="85">
        <f t="shared" si="28"/>
        <v>55.386425</v>
      </c>
      <c r="H74" s="85">
        <f t="shared" si="28"/>
        <v>52.61710375</v>
      </c>
      <c r="I74" s="85">
        <f t="shared" si="28"/>
        <v>49.98624856</v>
      </c>
      <c r="J74" s="85">
        <f t="shared" si="28"/>
        <v>47.48693613</v>
      </c>
      <c r="K74" s="85">
        <f t="shared" si="28"/>
        <v>45.11258933</v>
      </c>
      <c r="L74" s="85">
        <f t="shared" si="28"/>
        <v>42.85695986</v>
      </c>
      <c r="M74" s="85">
        <f t="shared" si="28"/>
        <v>40.71411187</v>
      </c>
      <c r="N74" s="85">
        <f t="shared" si="28"/>
        <v>38.67840627</v>
      </c>
      <c r="O74" s="85">
        <f t="shared" si="28"/>
        <v>36.74448596</v>
      </c>
      <c r="P74" s="85">
        <f t="shared" si="28"/>
        <v>34.90726166</v>
      </c>
      <c r="Q74" s="84">
        <f t="shared" si="28"/>
        <v>33.16189858</v>
      </c>
    </row>
    <row r="75">
      <c r="A75" s="148" t="s">
        <v>152</v>
      </c>
      <c r="B75" s="129">
        <v>130.0</v>
      </c>
      <c r="C75" s="130">
        <v>42.0</v>
      </c>
      <c r="D75" s="85">
        <f>C75*0.94</f>
        <v>39.48</v>
      </c>
      <c r="E75" s="85">
        <f t="shared" ref="E75:Q75" si="29">D75*0.95</f>
        <v>37.506</v>
      </c>
      <c r="F75" s="85">
        <f t="shared" si="29"/>
        <v>35.6307</v>
      </c>
      <c r="G75" s="85">
        <f t="shared" si="29"/>
        <v>33.849165</v>
      </c>
      <c r="H75" s="85">
        <f t="shared" si="29"/>
        <v>32.15670675</v>
      </c>
      <c r="I75" s="85">
        <f t="shared" si="29"/>
        <v>30.54887141</v>
      </c>
      <c r="J75" s="85">
        <f t="shared" si="29"/>
        <v>29.02142784</v>
      </c>
      <c r="K75" s="85">
        <f t="shared" si="29"/>
        <v>27.57035645</v>
      </c>
      <c r="L75" s="85">
        <f t="shared" si="29"/>
        <v>26.19183863</v>
      </c>
      <c r="M75" s="85">
        <f t="shared" si="29"/>
        <v>24.8822467</v>
      </c>
      <c r="N75" s="85">
        <f t="shared" si="29"/>
        <v>23.63813436</v>
      </c>
      <c r="O75" s="85">
        <f t="shared" si="29"/>
        <v>22.45622764</v>
      </c>
      <c r="P75" s="85">
        <f t="shared" si="29"/>
        <v>21.33341626</v>
      </c>
      <c r="Q75" s="84">
        <f t="shared" si="29"/>
        <v>20.26674545</v>
      </c>
    </row>
    <row r="76">
      <c r="A76" s="148" t="s">
        <v>153</v>
      </c>
      <c r="B76" s="129">
        <v>100.0</v>
      </c>
      <c r="C76" s="131">
        <v>17.0</v>
      </c>
      <c r="D76" s="132">
        <f>C76*0.96</f>
        <v>16.32</v>
      </c>
      <c r="E76" s="132">
        <f t="shared" ref="E76:Q76" si="30">D76*0.95</f>
        <v>15.504</v>
      </c>
      <c r="F76" s="132">
        <f t="shared" si="30"/>
        <v>14.7288</v>
      </c>
      <c r="G76" s="132">
        <f t="shared" si="30"/>
        <v>13.99236</v>
      </c>
      <c r="H76" s="132">
        <f t="shared" si="30"/>
        <v>13.292742</v>
      </c>
      <c r="I76" s="132">
        <f t="shared" si="30"/>
        <v>12.6281049</v>
      </c>
      <c r="J76" s="132">
        <f t="shared" si="30"/>
        <v>11.99669966</v>
      </c>
      <c r="K76" s="132">
        <f t="shared" si="30"/>
        <v>11.39686467</v>
      </c>
      <c r="L76" s="132">
        <f t="shared" si="30"/>
        <v>10.82702144</v>
      </c>
      <c r="M76" s="132">
        <f t="shared" si="30"/>
        <v>10.28567037</v>
      </c>
      <c r="N76" s="132">
        <f t="shared" si="30"/>
        <v>9.771386848</v>
      </c>
      <c r="O76" s="132">
        <f t="shared" si="30"/>
        <v>9.282817506</v>
      </c>
      <c r="P76" s="132">
        <f t="shared" si="30"/>
        <v>8.818676631</v>
      </c>
      <c r="Q76" s="133">
        <f t="shared" si="30"/>
        <v>8.377742799</v>
      </c>
    </row>
    <row r="79">
      <c r="C79" s="68"/>
      <c r="D79" s="68"/>
      <c r="E79" s="68"/>
      <c r="F79" s="68"/>
      <c r="G79" s="68"/>
      <c r="H79" s="68"/>
      <c r="I79" s="68"/>
      <c r="J79" s="68"/>
      <c r="K79" s="68"/>
      <c r="L79" s="68"/>
      <c r="M79" s="68"/>
      <c r="N79" s="68"/>
      <c r="O79" s="68"/>
      <c r="P79" s="68"/>
      <c r="Q79" s="68"/>
    </row>
    <row r="80">
      <c r="A80" s="118"/>
      <c r="B80" s="40"/>
      <c r="C80" s="119" t="s">
        <v>154</v>
      </c>
      <c r="D80" s="3"/>
      <c r="E80" s="3"/>
      <c r="F80" s="3"/>
      <c r="G80" s="3"/>
      <c r="H80" s="3"/>
      <c r="I80" s="3"/>
      <c r="J80" s="3"/>
      <c r="K80" s="3"/>
      <c r="L80" s="3"/>
      <c r="M80" s="3"/>
      <c r="N80" s="3"/>
      <c r="O80" s="3"/>
      <c r="P80" s="3"/>
      <c r="Q80" s="4"/>
    </row>
    <row r="81">
      <c r="A81" s="44"/>
      <c r="B81" s="21"/>
      <c r="C81" s="119" t="s">
        <v>124</v>
      </c>
      <c r="D81" s="3"/>
      <c r="E81" s="3"/>
      <c r="F81" s="3"/>
      <c r="G81" s="3"/>
      <c r="H81" s="3"/>
      <c r="I81" s="3"/>
      <c r="J81" s="3"/>
      <c r="K81" s="3"/>
      <c r="L81" s="3"/>
      <c r="M81" s="3"/>
      <c r="N81" s="3"/>
      <c r="O81" s="3"/>
      <c r="P81" s="3"/>
      <c r="Q81" s="4"/>
    </row>
    <row r="82">
      <c r="A82" s="150" t="s">
        <v>144</v>
      </c>
      <c r="B82" s="121" t="s">
        <v>126</v>
      </c>
      <c r="C82" s="122">
        <v>0.0</v>
      </c>
      <c r="D82" s="122">
        <v>1.0</v>
      </c>
      <c r="E82" s="122">
        <v>2.0</v>
      </c>
      <c r="F82" s="122">
        <v>3.0</v>
      </c>
      <c r="G82" s="122">
        <v>4.0</v>
      </c>
      <c r="H82" s="122">
        <v>5.0</v>
      </c>
      <c r="I82" s="122">
        <v>6.0</v>
      </c>
      <c r="J82" s="122">
        <v>7.0</v>
      </c>
      <c r="K82" s="122">
        <v>8.0</v>
      </c>
      <c r="L82" s="122">
        <v>9.0</v>
      </c>
      <c r="M82" s="122">
        <v>10.0</v>
      </c>
      <c r="N82" s="122">
        <v>11.0</v>
      </c>
      <c r="O82" s="122">
        <v>12.0</v>
      </c>
      <c r="P82" s="122">
        <v>13.0</v>
      </c>
      <c r="Q82" s="122">
        <v>14.0</v>
      </c>
    </row>
    <row r="83">
      <c r="A83" s="123" t="s">
        <v>127</v>
      </c>
      <c r="B83" s="124">
        <f>sum(B84:B91)</f>
        <v>1484</v>
      </c>
      <c r="C83" s="151">
        <f t="shared" ref="C83:Q83" si="31">C68/$B68</f>
        <v>0.5862533693</v>
      </c>
      <c r="D83" s="135">
        <f t="shared" si="31"/>
        <v>0.5393530997</v>
      </c>
      <c r="E83" s="135">
        <f t="shared" si="31"/>
        <v>0.5015983827</v>
      </c>
      <c r="F83" s="135">
        <f t="shared" si="31"/>
        <v>0.466486496</v>
      </c>
      <c r="G83" s="135">
        <f t="shared" si="31"/>
        <v>0.457156766</v>
      </c>
      <c r="H83" s="135">
        <f t="shared" si="31"/>
        <v>0.4297273601</v>
      </c>
      <c r="I83" s="135">
        <f t="shared" si="31"/>
        <v>0.4211328129</v>
      </c>
      <c r="J83" s="135">
        <f t="shared" si="31"/>
        <v>0.3874421878</v>
      </c>
      <c r="K83" s="135">
        <f t="shared" si="31"/>
        <v>0.3486979691</v>
      </c>
      <c r="L83" s="135">
        <f t="shared" si="31"/>
        <v>0.3417240097</v>
      </c>
      <c r="M83" s="135">
        <f t="shared" si="31"/>
        <v>0.3383067696</v>
      </c>
      <c r="N83" s="135">
        <f t="shared" si="31"/>
        <v>0.3213914311</v>
      </c>
      <c r="O83" s="135">
        <f t="shared" si="31"/>
        <v>0.2924662023</v>
      </c>
      <c r="P83" s="135">
        <f t="shared" si="31"/>
        <v>0.2632195821</v>
      </c>
      <c r="Q83" s="136">
        <f t="shared" si="31"/>
        <v>0.2579551904</v>
      </c>
    </row>
    <row r="84">
      <c r="A84" s="148" t="s">
        <v>146</v>
      </c>
      <c r="B84" s="149">
        <v>379.0</v>
      </c>
      <c r="C84" s="137">
        <f t="shared" ref="C84:Q84" si="32">C69/$B69</f>
        <v>0.691292876</v>
      </c>
      <c r="D84" s="138">
        <f t="shared" si="32"/>
        <v>0.6429023747</v>
      </c>
      <c r="E84" s="138">
        <f t="shared" si="32"/>
        <v>0.6107572559</v>
      </c>
      <c r="F84" s="138">
        <f t="shared" si="32"/>
        <v>0.5802193931</v>
      </c>
      <c r="G84" s="138">
        <f t="shared" si="32"/>
        <v>0.5512084235</v>
      </c>
      <c r="H84" s="138">
        <f t="shared" si="32"/>
        <v>0.4960875811</v>
      </c>
      <c r="I84" s="138">
        <f t="shared" si="32"/>
        <v>0.4663223263</v>
      </c>
      <c r="J84" s="138">
        <f t="shared" si="32"/>
        <v>0.44300621</v>
      </c>
      <c r="K84" s="138">
        <f t="shared" si="32"/>
        <v>0.4208558995</v>
      </c>
      <c r="L84" s="138">
        <f t="shared" si="32"/>
        <v>0.3998131045</v>
      </c>
      <c r="M84" s="138">
        <f t="shared" si="32"/>
        <v>0.3798224493</v>
      </c>
      <c r="N84" s="138">
        <f t="shared" si="32"/>
        <v>0.3608313268</v>
      </c>
      <c r="O84" s="138">
        <f t="shared" si="32"/>
        <v>0.3427897605</v>
      </c>
      <c r="P84" s="138">
        <f t="shared" si="32"/>
        <v>0.3256502724</v>
      </c>
      <c r="Q84" s="139">
        <f t="shared" si="32"/>
        <v>0.3093677588</v>
      </c>
    </row>
    <row r="85">
      <c r="A85" s="148" t="s">
        <v>147</v>
      </c>
      <c r="B85" s="149">
        <v>280.0</v>
      </c>
      <c r="C85" s="137">
        <f t="shared" ref="C85:Q85" si="33">C70/$B70</f>
        <v>0.5785714286</v>
      </c>
      <c r="D85" s="138">
        <f t="shared" si="33"/>
        <v>0.5496428571</v>
      </c>
      <c r="E85" s="138">
        <f t="shared" si="33"/>
        <v>0.5221607143</v>
      </c>
      <c r="F85" s="138">
        <f t="shared" si="33"/>
        <v>0.4960526786</v>
      </c>
      <c r="G85" s="138">
        <f t="shared" si="33"/>
        <v>0.4712500446</v>
      </c>
      <c r="H85" s="138">
        <f t="shared" si="33"/>
        <v>0.4476875424</v>
      </c>
      <c r="I85" s="138">
        <f t="shared" si="33"/>
        <v>0.4253031653</v>
      </c>
      <c r="J85" s="138">
        <f t="shared" si="33"/>
        <v>0.404038007</v>
      </c>
      <c r="K85" s="138">
        <f t="shared" si="33"/>
        <v>0.3838361067</v>
      </c>
      <c r="L85" s="138">
        <f t="shared" si="33"/>
        <v>0.3646443013</v>
      </c>
      <c r="M85" s="138">
        <f t="shared" si="33"/>
        <v>0.3464120863</v>
      </c>
      <c r="N85" s="138">
        <f t="shared" si="33"/>
        <v>0.329091482</v>
      </c>
      <c r="O85" s="138">
        <f t="shared" si="33"/>
        <v>0.3126369079</v>
      </c>
      <c r="P85" s="138">
        <f t="shared" si="33"/>
        <v>0.2970050625</v>
      </c>
      <c r="Q85" s="139">
        <f t="shared" si="33"/>
        <v>0.2821548093</v>
      </c>
    </row>
    <row r="86">
      <c r="A86" s="148" t="s">
        <v>148</v>
      </c>
      <c r="B86" s="129">
        <v>200.0</v>
      </c>
      <c r="C86" s="137">
        <f t="shared" ref="C86:Q86" si="34">C71/$B71</f>
        <v>0.66</v>
      </c>
      <c r="D86" s="138">
        <f t="shared" si="34"/>
        <v>0.6072</v>
      </c>
      <c r="E86" s="138">
        <f t="shared" si="34"/>
        <v>0.57684</v>
      </c>
      <c r="F86" s="138">
        <f t="shared" si="34"/>
        <v>0.547998</v>
      </c>
      <c r="G86" s="138">
        <f t="shared" si="34"/>
        <v>0.5205981</v>
      </c>
      <c r="H86" s="138">
        <f t="shared" si="34"/>
        <v>0.494568195</v>
      </c>
      <c r="I86" s="138">
        <f t="shared" si="34"/>
        <v>0.4698397853</v>
      </c>
      <c r="J86" s="138">
        <f t="shared" si="34"/>
        <v>0.446347796</v>
      </c>
      <c r="K86" s="138">
        <f t="shared" si="34"/>
        <v>0.4240304062</v>
      </c>
      <c r="L86" s="138">
        <f t="shared" si="34"/>
        <v>0.4028288859</v>
      </c>
      <c r="M86" s="138">
        <f t="shared" si="34"/>
        <v>0.3826874416</v>
      </c>
      <c r="N86" s="138">
        <f t="shared" si="34"/>
        <v>0.3635530695</v>
      </c>
      <c r="O86" s="138">
        <f t="shared" si="34"/>
        <v>0.345375416</v>
      </c>
      <c r="P86" s="138">
        <f t="shared" si="34"/>
        <v>0.3281066452</v>
      </c>
      <c r="Q86" s="139">
        <f t="shared" si="34"/>
        <v>0.311701313</v>
      </c>
    </row>
    <row r="87">
      <c r="A87" s="148" t="s">
        <v>149</v>
      </c>
      <c r="B87" s="129">
        <v>175.0</v>
      </c>
      <c r="C87" s="137">
        <f t="shared" ref="C87:Q87" si="35">C72/$B72</f>
        <v>0.6057142857</v>
      </c>
      <c r="D87" s="138">
        <f t="shared" si="35"/>
        <v>0.5875428571</v>
      </c>
      <c r="E87" s="138">
        <f t="shared" si="35"/>
        <v>0.5581657143</v>
      </c>
      <c r="F87" s="138">
        <f t="shared" si="35"/>
        <v>0.5302574286</v>
      </c>
      <c r="G87" s="138">
        <f t="shared" si="35"/>
        <v>0.5037445571</v>
      </c>
      <c r="H87" s="138">
        <f t="shared" si="35"/>
        <v>0.4785573293</v>
      </c>
      <c r="I87" s="138">
        <f t="shared" si="35"/>
        <v>0.4546294628</v>
      </c>
      <c r="J87" s="138">
        <f t="shared" si="35"/>
        <v>0.4318979897</v>
      </c>
      <c r="K87" s="138">
        <f t="shared" si="35"/>
        <v>0.4103030902</v>
      </c>
      <c r="L87" s="138">
        <f t="shared" si="35"/>
        <v>0.3897879357</v>
      </c>
      <c r="M87" s="138">
        <f t="shared" si="35"/>
        <v>0.3702985389</v>
      </c>
      <c r="N87" s="138">
        <f t="shared" si="35"/>
        <v>0.351783612</v>
      </c>
      <c r="O87" s="138">
        <f t="shared" si="35"/>
        <v>0.3341944314</v>
      </c>
      <c r="P87" s="138">
        <f t="shared" si="35"/>
        <v>0.3174847098</v>
      </c>
      <c r="Q87" s="139">
        <f t="shared" si="35"/>
        <v>0.3016104743</v>
      </c>
    </row>
    <row r="88">
      <c r="A88" s="148" t="s">
        <v>150</v>
      </c>
      <c r="B88" s="129">
        <v>120.0</v>
      </c>
      <c r="C88" s="137">
        <f t="shared" ref="C88:Q88" si="36">C73/$B73</f>
        <v>0.6</v>
      </c>
      <c r="D88" s="138">
        <f t="shared" si="36"/>
        <v>0.558</v>
      </c>
      <c r="E88" s="138">
        <f t="shared" si="36"/>
        <v>0.5301</v>
      </c>
      <c r="F88" s="138">
        <f t="shared" si="36"/>
        <v>0.503595</v>
      </c>
      <c r="G88" s="138">
        <f t="shared" si="36"/>
        <v>0.47841525</v>
      </c>
      <c r="H88" s="138">
        <f t="shared" si="36"/>
        <v>0.4544944875</v>
      </c>
      <c r="I88" s="138">
        <f t="shared" si="36"/>
        <v>0.4317697631</v>
      </c>
      <c r="J88" s="138">
        <f t="shared" si="36"/>
        <v>0.410181275</v>
      </c>
      <c r="K88" s="138">
        <f t="shared" si="36"/>
        <v>0.3896722112</v>
      </c>
      <c r="L88" s="138">
        <f t="shared" si="36"/>
        <v>0.3701886007</v>
      </c>
      <c r="M88" s="138">
        <f t="shared" si="36"/>
        <v>0.3516791706</v>
      </c>
      <c r="N88" s="138">
        <f t="shared" si="36"/>
        <v>0.3340952121</v>
      </c>
      <c r="O88" s="138">
        <f t="shared" si="36"/>
        <v>0.3173904515</v>
      </c>
      <c r="P88" s="138">
        <f t="shared" si="36"/>
        <v>0.3015209289</v>
      </c>
      <c r="Q88" s="139">
        <f t="shared" si="36"/>
        <v>0.2864448825</v>
      </c>
    </row>
    <row r="89">
      <c r="A89" s="148" t="s">
        <v>151</v>
      </c>
      <c r="B89" s="149">
        <v>100.0</v>
      </c>
      <c r="C89" s="137">
        <f t="shared" ref="C89:Q89" si="37">C74/$B74</f>
        <v>0.68</v>
      </c>
      <c r="D89" s="138">
        <f t="shared" si="37"/>
        <v>0.646</v>
      </c>
      <c r="E89" s="138">
        <f t="shared" si="37"/>
        <v>0.6137</v>
      </c>
      <c r="F89" s="138">
        <f t="shared" si="37"/>
        <v>0.583015</v>
      </c>
      <c r="G89" s="138">
        <f t="shared" si="37"/>
        <v>0.55386425</v>
      </c>
      <c r="H89" s="138">
        <f t="shared" si="37"/>
        <v>0.5261710375</v>
      </c>
      <c r="I89" s="138">
        <f t="shared" si="37"/>
        <v>0.4998624856</v>
      </c>
      <c r="J89" s="138">
        <f t="shared" si="37"/>
        <v>0.4748693613</v>
      </c>
      <c r="K89" s="138">
        <f t="shared" si="37"/>
        <v>0.4511258933</v>
      </c>
      <c r="L89" s="138">
        <f t="shared" si="37"/>
        <v>0.4285695986</v>
      </c>
      <c r="M89" s="138">
        <f t="shared" si="37"/>
        <v>0.4071411187</v>
      </c>
      <c r="N89" s="138">
        <f t="shared" si="37"/>
        <v>0.3867840627</v>
      </c>
      <c r="O89" s="138">
        <f t="shared" si="37"/>
        <v>0.3674448596</v>
      </c>
      <c r="P89" s="138">
        <f t="shared" si="37"/>
        <v>0.3490726166</v>
      </c>
      <c r="Q89" s="139">
        <f t="shared" si="37"/>
        <v>0.3316189858</v>
      </c>
    </row>
    <row r="90">
      <c r="A90" s="148" t="s">
        <v>152</v>
      </c>
      <c r="B90" s="129">
        <v>130.0</v>
      </c>
      <c r="C90" s="137">
        <f t="shared" ref="C90:Q90" si="38">C75/$B75</f>
        <v>0.3230769231</v>
      </c>
      <c r="D90" s="138">
        <f t="shared" si="38"/>
        <v>0.3036923077</v>
      </c>
      <c r="E90" s="138">
        <f t="shared" si="38"/>
        <v>0.2885076923</v>
      </c>
      <c r="F90" s="138">
        <f t="shared" si="38"/>
        <v>0.2740823077</v>
      </c>
      <c r="G90" s="138">
        <f t="shared" si="38"/>
        <v>0.2603781923</v>
      </c>
      <c r="H90" s="138">
        <f t="shared" si="38"/>
        <v>0.2473592827</v>
      </c>
      <c r="I90" s="138">
        <f t="shared" si="38"/>
        <v>0.2349913186</v>
      </c>
      <c r="J90" s="138">
        <f t="shared" si="38"/>
        <v>0.2232417526</v>
      </c>
      <c r="K90" s="138">
        <f t="shared" si="38"/>
        <v>0.212079665</v>
      </c>
      <c r="L90" s="138">
        <f t="shared" si="38"/>
        <v>0.2014756817</v>
      </c>
      <c r="M90" s="138">
        <f t="shared" si="38"/>
        <v>0.1914018977</v>
      </c>
      <c r="N90" s="138">
        <f t="shared" si="38"/>
        <v>0.1818318028</v>
      </c>
      <c r="O90" s="138">
        <f t="shared" si="38"/>
        <v>0.1727402126</v>
      </c>
      <c r="P90" s="138">
        <f t="shared" si="38"/>
        <v>0.164103202</v>
      </c>
      <c r="Q90" s="139">
        <f t="shared" si="38"/>
        <v>0.1558980419</v>
      </c>
    </row>
    <row r="91">
      <c r="A91" s="148" t="s">
        <v>153</v>
      </c>
      <c r="B91" s="129">
        <v>100.0</v>
      </c>
      <c r="C91" s="137">
        <f t="shared" ref="C91:Q91" si="39">C76/$B76</f>
        <v>0.17</v>
      </c>
      <c r="D91" s="138">
        <f t="shared" si="39"/>
        <v>0.1632</v>
      </c>
      <c r="E91" s="138">
        <f t="shared" si="39"/>
        <v>0.15504</v>
      </c>
      <c r="F91" s="138">
        <f t="shared" si="39"/>
        <v>0.147288</v>
      </c>
      <c r="G91" s="138">
        <f t="shared" si="39"/>
        <v>0.1399236</v>
      </c>
      <c r="H91" s="138">
        <f t="shared" si="39"/>
        <v>0.13292742</v>
      </c>
      <c r="I91" s="138">
        <f t="shared" si="39"/>
        <v>0.126281049</v>
      </c>
      <c r="J91" s="138">
        <f t="shared" si="39"/>
        <v>0.1199669966</v>
      </c>
      <c r="K91" s="138">
        <f t="shared" si="39"/>
        <v>0.1139686467</v>
      </c>
      <c r="L91" s="138">
        <f t="shared" si="39"/>
        <v>0.1082702144</v>
      </c>
      <c r="M91" s="138">
        <f t="shared" si="39"/>
        <v>0.1028567037</v>
      </c>
      <c r="N91" s="138">
        <f t="shared" si="39"/>
        <v>0.09771386848</v>
      </c>
      <c r="O91" s="138">
        <f t="shared" si="39"/>
        <v>0.09282817506</v>
      </c>
      <c r="P91" s="138">
        <f t="shared" si="39"/>
        <v>0.08818676631</v>
      </c>
      <c r="Q91" s="139">
        <f t="shared" si="39"/>
        <v>0.08377742799</v>
      </c>
    </row>
    <row r="92">
      <c r="A92" s="140" t="s">
        <v>102</v>
      </c>
      <c r="B92" s="21"/>
      <c r="C92" s="141">
        <f t="shared" ref="C92:Q92" si="40">AVERAGE(C84:C91)</f>
        <v>0.5385819392</v>
      </c>
      <c r="D92" s="141">
        <f t="shared" si="40"/>
        <v>0.5072725496</v>
      </c>
      <c r="E92" s="141">
        <f t="shared" si="40"/>
        <v>0.4819089221</v>
      </c>
      <c r="F92" s="141">
        <f t="shared" si="40"/>
        <v>0.457813476</v>
      </c>
      <c r="G92" s="141">
        <f t="shared" si="40"/>
        <v>0.4349228022</v>
      </c>
      <c r="H92" s="141">
        <f t="shared" si="40"/>
        <v>0.4097316094</v>
      </c>
      <c r="I92" s="141">
        <f t="shared" si="40"/>
        <v>0.3886249195</v>
      </c>
      <c r="J92" s="141">
        <f t="shared" si="40"/>
        <v>0.3691936735</v>
      </c>
      <c r="K92" s="141">
        <f t="shared" si="40"/>
        <v>0.3507339898</v>
      </c>
      <c r="L92" s="141">
        <f t="shared" si="40"/>
        <v>0.3331972903</v>
      </c>
      <c r="M92" s="141">
        <f t="shared" si="40"/>
        <v>0.3165374258</v>
      </c>
      <c r="N92" s="141">
        <f t="shared" si="40"/>
        <v>0.3007105545</v>
      </c>
      <c r="O92" s="141">
        <f t="shared" si="40"/>
        <v>0.2856750268</v>
      </c>
      <c r="P92" s="141">
        <f t="shared" si="40"/>
        <v>0.2713912755</v>
      </c>
      <c r="Q92" s="141">
        <f t="shared" si="40"/>
        <v>0.2578217117</v>
      </c>
    </row>
    <row r="95">
      <c r="B95" s="107"/>
      <c r="C95" s="71"/>
      <c r="D95" s="71"/>
      <c r="E95" s="71"/>
      <c r="F95" s="71"/>
      <c r="G95" s="71"/>
      <c r="H95" s="71"/>
      <c r="I95" s="71"/>
      <c r="J95" s="40"/>
    </row>
    <row r="96">
      <c r="B96" s="42"/>
      <c r="J96" s="43"/>
      <c r="L96" s="142" t="s">
        <v>155</v>
      </c>
      <c r="N96" s="143" t="s">
        <v>151</v>
      </c>
    </row>
    <row r="97">
      <c r="B97" s="42"/>
      <c r="J97" s="43"/>
    </row>
    <row r="98">
      <c r="B98" s="42"/>
      <c r="J98" s="43"/>
      <c r="L98" s="144"/>
      <c r="M98" s="144"/>
    </row>
    <row r="99">
      <c r="B99" s="42"/>
      <c r="J99" s="43"/>
      <c r="L99" s="142" t="s">
        <v>156</v>
      </c>
      <c r="N99" s="143" t="s">
        <v>153</v>
      </c>
    </row>
    <row r="100">
      <c r="B100" s="42"/>
      <c r="J100" s="43"/>
    </row>
    <row r="101">
      <c r="B101" s="42"/>
      <c r="J101" s="43"/>
      <c r="L101" s="144"/>
      <c r="M101" s="144"/>
    </row>
    <row r="102">
      <c r="B102" s="42"/>
      <c r="J102" s="43"/>
      <c r="L102" s="142" t="s">
        <v>141</v>
      </c>
      <c r="N102" s="145" t="s">
        <v>157</v>
      </c>
    </row>
    <row r="103">
      <c r="B103" s="42"/>
      <c r="J103" s="43"/>
    </row>
    <row r="104">
      <c r="B104" s="42"/>
      <c r="J104" s="43"/>
    </row>
    <row r="105">
      <c r="B105" s="42"/>
      <c r="J105" s="43"/>
    </row>
    <row r="106">
      <c r="B106" s="42"/>
      <c r="J106" s="43"/>
    </row>
    <row r="107">
      <c r="B107" s="42"/>
      <c r="J107" s="43"/>
    </row>
    <row r="108">
      <c r="B108" s="42"/>
      <c r="J108" s="43"/>
    </row>
    <row r="109">
      <c r="B109" s="42"/>
      <c r="J109" s="43"/>
    </row>
    <row r="110">
      <c r="B110" s="42"/>
      <c r="J110" s="43"/>
    </row>
    <row r="111">
      <c r="B111" s="42"/>
      <c r="J111" s="43"/>
    </row>
    <row r="112">
      <c r="B112" s="42"/>
      <c r="J112" s="43"/>
    </row>
    <row r="113">
      <c r="B113" s="42"/>
      <c r="J113" s="43"/>
    </row>
    <row r="114">
      <c r="B114" s="42"/>
      <c r="J114" s="43"/>
    </row>
    <row r="115">
      <c r="B115" s="44"/>
      <c r="C115" s="20"/>
      <c r="D115" s="20"/>
      <c r="E115" s="20"/>
      <c r="F115" s="20"/>
      <c r="G115" s="20"/>
      <c r="H115" s="20"/>
      <c r="I115" s="20"/>
      <c r="J115" s="21"/>
    </row>
    <row r="118">
      <c r="A118" s="118"/>
      <c r="B118" s="40"/>
      <c r="C118" s="119" t="s">
        <v>158</v>
      </c>
      <c r="D118" s="3"/>
      <c r="E118" s="3"/>
      <c r="F118" s="3"/>
      <c r="G118" s="3"/>
      <c r="H118" s="3"/>
      <c r="I118" s="3"/>
      <c r="J118" s="3"/>
      <c r="K118" s="3"/>
      <c r="L118" s="3"/>
      <c r="M118" s="3"/>
      <c r="N118" s="3"/>
      <c r="O118" s="3"/>
      <c r="P118" s="3"/>
      <c r="Q118" s="4"/>
    </row>
    <row r="119">
      <c r="A119" s="44"/>
      <c r="B119" s="21"/>
      <c r="C119" s="119" t="s">
        <v>124</v>
      </c>
      <c r="D119" s="3"/>
      <c r="E119" s="3"/>
      <c r="F119" s="3"/>
      <c r="G119" s="3"/>
      <c r="H119" s="3"/>
      <c r="I119" s="3"/>
      <c r="J119" s="3"/>
      <c r="K119" s="3"/>
      <c r="L119" s="3"/>
      <c r="M119" s="3"/>
      <c r="N119" s="3"/>
      <c r="O119" s="3"/>
      <c r="P119" s="3"/>
      <c r="Q119" s="4"/>
    </row>
    <row r="120">
      <c r="A120" s="152" t="s">
        <v>159</v>
      </c>
      <c r="B120" s="147" t="s">
        <v>145</v>
      </c>
      <c r="C120" s="122">
        <v>0.0</v>
      </c>
      <c r="D120" s="122">
        <v>1.0</v>
      </c>
      <c r="E120" s="122">
        <v>2.0</v>
      </c>
      <c r="F120" s="122">
        <v>3.0</v>
      </c>
      <c r="G120" s="122">
        <v>4.0</v>
      </c>
      <c r="H120" s="122">
        <v>5.0</v>
      </c>
      <c r="I120" s="122">
        <v>6.0</v>
      </c>
      <c r="J120" s="122">
        <v>7.0</v>
      </c>
      <c r="K120" s="122">
        <v>8.0</v>
      </c>
      <c r="L120" s="122">
        <v>9.0</v>
      </c>
      <c r="M120" s="122">
        <v>10.0</v>
      </c>
      <c r="N120" s="122">
        <v>11.0</v>
      </c>
      <c r="O120" s="122">
        <v>12.0</v>
      </c>
      <c r="P120" s="122">
        <v>13.0</v>
      </c>
      <c r="Q120" s="122">
        <v>14.0</v>
      </c>
    </row>
    <row r="121">
      <c r="A121" s="123" t="s">
        <v>127</v>
      </c>
      <c r="B121" s="124">
        <f>sum(B122:B128)</f>
        <v>1900</v>
      </c>
      <c r="C121" s="125">
        <v>870.0</v>
      </c>
      <c r="D121" s="126">
        <f>C121*0.92</f>
        <v>800.4</v>
      </c>
      <c r="E121" s="126">
        <f t="shared" ref="E121:F121" si="41">D121*0.93</f>
        <v>744.372</v>
      </c>
      <c r="F121" s="126">
        <f t="shared" si="41"/>
        <v>692.26596</v>
      </c>
      <c r="G121" s="126">
        <f>F121*0.98</f>
        <v>678.4206408</v>
      </c>
      <c r="H121" s="126">
        <f>G121*0.94</f>
        <v>637.7154024</v>
      </c>
      <c r="I121" s="126">
        <f>H121*0.98</f>
        <v>624.9610943</v>
      </c>
      <c r="J121" s="126">
        <f>I121*0.92</f>
        <v>574.9642068</v>
      </c>
      <c r="K121" s="126">
        <f>J121*0.9</f>
        <v>517.4677861</v>
      </c>
      <c r="L121" s="126">
        <f>K121*0.98</f>
        <v>507.1184304</v>
      </c>
      <c r="M121" s="126">
        <f>L121*0.99</f>
        <v>502.0472461</v>
      </c>
      <c r="N121" s="126">
        <f>M121*0.95</f>
        <v>476.9448838</v>
      </c>
      <c r="O121" s="126">
        <f>N121*0.91</f>
        <v>434.0198442</v>
      </c>
      <c r="P121" s="126">
        <f>O121*0.9</f>
        <v>390.6178598</v>
      </c>
      <c r="Q121" s="127">
        <f>P121*0.98</f>
        <v>382.8055026</v>
      </c>
    </row>
    <row r="122">
      <c r="A122" s="148" t="s">
        <v>160</v>
      </c>
      <c r="B122" s="149">
        <v>500.0</v>
      </c>
      <c r="C122" s="130">
        <v>262.0</v>
      </c>
      <c r="D122" s="85">
        <f>C122*0.93</f>
        <v>243.66</v>
      </c>
      <c r="E122" s="85">
        <f t="shared" ref="E122:G122" si="42">D122*0.95</f>
        <v>231.477</v>
      </c>
      <c r="F122" s="85">
        <f t="shared" si="42"/>
        <v>219.90315</v>
      </c>
      <c r="G122" s="85">
        <f t="shared" si="42"/>
        <v>208.9079925</v>
      </c>
      <c r="H122" s="85">
        <f>G122*0.9</f>
        <v>188.0171933</v>
      </c>
      <c r="I122" s="85">
        <f>H122*0.94</f>
        <v>176.7361617</v>
      </c>
      <c r="J122" s="85">
        <f t="shared" ref="J122:Q122" si="43">I122*0.95</f>
        <v>167.8993536</v>
      </c>
      <c r="K122" s="85">
        <f t="shared" si="43"/>
        <v>159.5043859</v>
      </c>
      <c r="L122" s="85">
        <f t="shared" si="43"/>
        <v>151.5291666</v>
      </c>
      <c r="M122" s="85">
        <f t="shared" si="43"/>
        <v>143.9527083</v>
      </c>
      <c r="N122" s="85">
        <f t="shared" si="43"/>
        <v>136.7550729</v>
      </c>
      <c r="O122" s="85">
        <f t="shared" si="43"/>
        <v>129.9173192</v>
      </c>
      <c r="P122" s="85">
        <f t="shared" si="43"/>
        <v>123.4214533</v>
      </c>
      <c r="Q122" s="84">
        <f t="shared" si="43"/>
        <v>117.2503806</v>
      </c>
    </row>
    <row r="123">
      <c r="A123" s="148" t="s">
        <v>161</v>
      </c>
      <c r="B123" s="129">
        <v>250.0</v>
      </c>
      <c r="C123" s="130">
        <v>162.0</v>
      </c>
      <c r="D123" s="85">
        <f t="shared" ref="D123:Q123" si="44">C123*0.95</f>
        <v>153.9</v>
      </c>
      <c r="E123" s="85">
        <f t="shared" si="44"/>
        <v>146.205</v>
      </c>
      <c r="F123" s="85">
        <f t="shared" si="44"/>
        <v>138.89475</v>
      </c>
      <c r="G123" s="85">
        <f t="shared" si="44"/>
        <v>131.9500125</v>
      </c>
      <c r="H123" s="85">
        <f t="shared" si="44"/>
        <v>125.3525119</v>
      </c>
      <c r="I123" s="85">
        <f t="shared" si="44"/>
        <v>119.0848863</v>
      </c>
      <c r="J123" s="85">
        <f t="shared" si="44"/>
        <v>113.130642</v>
      </c>
      <c r="K123" s="85">
        <f t="shared" si="44"/>
        <v>107.4741099</v>
      </c>
      <c r="L123" s="85">
        <f t="shared" si="44"/>
        <v>102.1004044</v>
      </c>
      <c r="M123" s="85">
        <f t="shared" si="44"/>
        <v>96.99538416</v>
      </c>
      <c r="N123" s="85">
        <f t="shared" si="44"/>
        <v>92.14561495</v>
      </c>
      <c r="O123" s="85">
        <f t="shared" si="44"/>
        <v>87.5383342</v>
      </c>
      <c r="P123" s="85">
        <f t="shared" si="44"/>
        <v>83.16141749</v>
      </c>
      <c r="Q123" s="84">
        <f t="shared" si="44"/>
        <v>79.00334662</v>
      </c>
    </row>
    <row r="124">
      <c r="A124" s="148" t="s">
        <v>162</v>
      </c>
      <c r="B124" s="129">
        <v>210.0</v>
      </c>
      <c r="C124" s="130">
        <v>132.0</v>
      </c>
      <c r="D124" s="85">
        <f>C124*0.92</f>
        <v>121.44</v>
      </c>
      <c r="E124" s="85">
        <f t="shared" ref="E124:Q124" si="45">D124*0.95</f>
        <v>115.368</v>
      </c>
      <c r="F124" s="85">
        <f t="shared" si="45"/>
        <v>109.5996</v>
      </c>
      <c r="G124" s="85">
        <f t="shared" si="45"/>
        <v>104.11962</v>
      </c>
      <c r="H124" s="85">
        <f t="shared" si="45"/>
        <v>98.913639</v>
      </c>
      <c r="I124" s="85">
        <f t="shared" si="45"/>
        <v>93.96795705</v>
      </c>
      <c r="J124" s="85">
        <f t="shared" si="45"/>
        <v>89.2695592</v>
      </c>
      <c r="K124" s="85">
        <f t="shared" si="45"/>
        <v>84.80608124</v>
      </c>
      <c r="L124" s="85">
        <f t="shared" si="45"/>
        <v>80.56577718</v>
      </c>
      <c r="M124" s="85">
        <f t="shared" si="45"/>
        <v>76.53748832</v>
      </c>
      <c r="N124" s="85">
        <f t="shared" si="45"/>
        <v>72.7106139</v>
      </c>
      <c r="O124" s="85">
        <f t="shared" si="45"/>
        <v>69.07508321</v>
      </c>
      <c r="P124" s="85">
        <f t="shared" si="45"/>
        <v>65.62132905</v>
      </c>
      <c r="Q124" s="84">
        <f t="shared" si="45"/>
        <v>62.34026259</v>
      </c>
    </row>
    <row r="125">
      <c r="A125" s="148" t="s">
        <v>163</v>
      </c>
      <c r="B125" s="129">
        <v>250.0</v>
      </c>
      <c r="C125" s="130">
        <v>106.0</v>
      </c>
      <c r="D125" s="85">
        <f>C125*0.97</f>
        <v>102.82</v>
      </c>
      <c r="E125" s="85">
        <f t="shared" ref="E125:Q125" si="46">D125*0.95</f>
        <v>97.679</v>
      </c>
      <c r="F125" s="85">
        <f t="shared" si="46"/>
        <v>92.79505</v>
      </c>
      <c r="G125" s="85">
        <f t="shared" si="46"/>
        <v>88.1552975</v>
      </c>
      <c r="H125" s="85">
        <f t="shared" si="46"/>
        <v>83.74753263</v>
      </c>
      <c r="I125" s="85">
        <f t="shared" si="46"/>
        <v>79.56015599</v>
      </c>
      <c r="J125" s="85">
        <f t="shared" si="46"/>
        <v>75.58214819</v>
      </c>
      <c r="K125" s="85">
        <f t="shared" si="46"/>
        <v>71.80304078</v>
      </c>
      <c r="L125" s="85">
        <f t="shared" si="46"/>
        <v>68.21288875</v>
      </c>
      <c r="M125" s="85">
        <f t="shared" si="46"/>
        <v>64.80224431</v>
      </c>
      <c r="N125" s="85">
        <f t="shared" si="46"/>
        <v>61.56213209</v>
      </c>
      <c r="O125" s="85">
        <f t="shared" si="46"/>
        <v>58.48402549</v>
      </c>
      <c r="P125" s="85">
        <f t="shared" si="46"/>
        <v>55.55982421</v>
      </c>
      <c r="Q125" s="84">
        <f t="shared" si="46"/>
        <v>52.781833</v>
      </c>
    </row>
    <row r="126">
      <c r="A126" s="148" t="s">
        <v>164</v>
      </c>
      <c r="B126" s="129">
        <v>220.0</v>
      </c>
      <c r="C126" s="130">
        <v>72.0</v>
      </c>
      <c r="D126" s="85">
        <f>C126*0.93</f>
        <v>66.96</v>
      </c>
      <c r="E126" s="85">
        <f t="shared" ref="E126:Q126" si="47">D126*0.95</f>
        <v>63.612</v>
      </c>
      <c r="F126" s="85">
        <f t="shared" si="47"/>
        <v>60.4314</v>
      </c>
      <c r="G126" s="85">
        <f t="shared" si="47"/>
        <v>57.40983</v>
      </c>
      <c r="H126" s="85">
        <f t="shared" si="47"/>
        <v>54.5393385</v>
      </c>
      <c r="I126" s="85">
        <f t="shared" si="47"/>
        <v>51.81237158</v>
      </c>
      <c r="J126" s="85">
        <f t="shared" si="47"/>
        <v>49.221753</v>
      </c>
      <c r="K126" s="85">
        <f t="shared" si="47"/>
        <v>46.76066535</v>
      </c>
      <c r="L126" s="85">
        <f t="shared" si="47"/>
        <v>44.42263208</v>
      </c>
      <c r="M126" s="85">
        <f t="shared" si="47"/>
        <v>42.20150048</v>
      </c>
      <c r="N126" s="85">
        <f t="shared" si="47"/>
        <v>40.09142545</v>
      </c>
      <c r="O126" s="85">
        <f t="shared" si="47"/>
        <v>38.08685418</v>
      </c>
      <c r="P126" s="85">
        <f t="shared" si="47"/>
        <v>36.18251147</v>
      </c>
      <c r="Q126" s="84">
        <f t="shared" si="47"/>
        <v>34.3733859</v>
      </c>
    </row>
    <row r="127">
      <c r="A127" s="148" t="s">
        <v>165</v>
      </c>
      <c r="B127" s="129">
        <v>270.0</v>
      </c>
      <c r="C127" s="130">
        <v>68.0</v>
      </c>
      <c r="D127" s="85">
        <f t="shared" ref="D127:Q127" si="48">C127*0.95</f>
        <v>64.6</v>
      </c>
      <c r="E127" s="85">
        <f t="shared" si="48"/>
        <v>61.37</v>
      </c>
      <c r="F127" s="85">
        <f t="shared" si="48"/>
        <v>58.3015</v>
      </c>
      <c r="G127" s="85">
        <f t="shared" si="48"/>
        <v>55.386425</v>
      </c>
      <c r="H127" s="85">
        <f t="shared" si="48"/>
        <v>52.61710375</v>
      </c>
      <c r="I127" s="85">
        <f t="shared" si="48"/>
        <v>49.98624856</v>
      </c>
      <c r="J127" s="85">
        <f t="shared" si="48"/>
        <v>47.48693613</v>
      </c>
      <c r="K127" s="85">
        <f t="shared" si="48"/>
        <v>45.11258933</v>
      </c>
      <c r="L127" s="85">
        <f t="shared" si="48"/>
        <v>42.85695986</v>
      </c>
      <c r="M127" s="85">
        <f t="shared" si="48"/>
        <v>40.71411187</v>
      </c>
      <c r="N127" s="85">
        <f t="shared" si="48"/>
        <v>38.67840627</v>
      </c>
      <c r="O127" s="85">
        <f t="shared" si="48"/>
        <v>36.74448596</v>
      </c>
      <c r="P127" s="85">
        <f t="shared" si="48"/>
        <v>34.90726166</v>
      </c>
      <c r="Q127" s="84">
        <f t="shared" si="48"/>
        <v>33.16189858</v>
      </c>
    </row>
    <row r="128">
      <c r="A128" s="148" t="s">
        <v>166</v>
      </c>
      <c r="B128" s="129">
        <v>200.0</v>
      </c>
      <c r="C128" s="131">
        <v>42.0</v>
      </c>
      <c r="D128" s="132">
        <f>C128*0.94</f>
        <v>39.48</v>
      </c>
      <c r="E128" s="132">
        <f t="shared" ref="E128:Q128" si="49">D128*0.95</f>
        <v>37.506</v>
      </c>
      <c r="F128" s="132">
        <f t="shared" si="49"/>
        <v>35.6307</v>
      </c>
      <c r="G128" s="132">
        <f t="shared" si="49"/>
        <v>33.849165</v>
      </c>
      <c r="H128" s="132">
        <f t="shared" si="49"/>
        <v>32.15670675</v>
      </c>
      <c r="I128" s="132">
        <f t="shared" si="49"/>
        <v>30.54887141</v>
      </c>
      <c r="J128" s="132">
        <f t="shared" si="49"/>
        <v>29.02142784</v>
      </c>
      <c r="K128" s="132">
        <f t="shared" si="49"/>
        <v>27.57035645</v>
      </c>
      <c r="L128" s="132">
        <f t="shared" si="49"/>
        <v>26.19183863</v>
      </c>
      <c r="M128" s="132">
        <f t="shared" si="49"/>
        <v>24.8822467</v>
      </c>
      <c r="N128" s="132">
        <f t="shared" si="49"/>
        <v>23.63813436</v>
      </c>
      <c r="O128" s="132">
        <f t="shared" si="49"/>
        <v>22.45622764</v>
      </c>
      <c r="P128" s="132">
        <f t="shared" si="49"/>
        <v>21.33341626</v>
      </c>
      <c r="Q128" s="133">
        <f t="shared" si="49"/>
        <v>20.26674545</v>
      </c>
    </row>
    <row r="131">
      <c r="C131" s="68"/>
      <c r="D131" s="68"/>
      <c r="E131" s="68"/>
      <c r="F131" s="68"/>
      <c r="G131" s="68"/>
      <c r="H131" s="68"/>
      <c r="I131" s="68"/>
      <c r="J131" s="68"/>
      <c r="K131" s="68"/>
      <c r="L131" s="68"/>
      <c r="M131" s="68"/>
      <c r="N131" s="68"/>
      <c r="O131" s="68"/>
      <c r="P131" s="68"/>
      <c r="Q131" s="68"/>
    </row>
    <row r="132">
      <c r="A132" s="118"/>
      <c r="B132" s="40"/>
      <c r="C132" s="119" t="s">
        <v>167</v>
      </c>
      <c r="D132" s="3"/>
      <c r="E132" s="3"/>
      <c r="F132" s="3"/>
      <c r="G132" s="3"/>
      <c r="H132" s="3"/>
      <c r="I132" s="3"/>
      <c r="J132" s="3"/>
      <c r="K132" s="3"/>
      <c r="L132" s="3"/>
      <c r="M132" s="3"/>
      <c r="N132" s="3"/>
      <c r="O132" s="3"/>
      <c r="P132" s="3"/>
      <c r="Q132" s="4"/>
    </row>
    <row r="133">
      <c r="A133" s="44"/>
      <c r="B133" s="21"/>
      <c r="C133" s="119" t="s">
        <v>124</v>
      </c>
      <c r="D133" s="3"/>
      <c r="E133" s="3"/>
      <c r="F133" s="3"/>
      <c r="G133" s="3"/>
      <c r="H133" s="3"/>
      <c r="I133" s="3"/>
      <c r="J133" s="3"/>
      <c r="K133" s="3"/>
      <c r="L133" s="3"/>
      <c r="M133" s="3"/>
      <c r="N133" s="3"/>
      <c r="O133" s="3"/>
      <c r="P133" s="3"/>
      <c r="Q133" s="4"/>
    </row>
    <row r="134">
      <c r="A134" s="146" t="s">
        <v>159</v>
      </c>
      <c r="B134" s="147" t="s">
        <v>145</v>
      </c>
      <c r="C134" s="122">
        <v>0.0</v>
      </c>
      <c r="D134" s="122">
        <v>1.0</v>
      </c>
      <c r="E134" s="122">
        <v>2.0</v>
      </c>
      <c r="F134" s="122">
        <v>3.0</v>
      </c>
      <c r="G134" s="122">
        <v>4.0</v>
      </c>
      <c r="H134" s="122">
        <v>5.0</v>
      </c>
      <c r="I134" s="122">
        <v>6.0</v>
      </c>
      <c r="J134" s="122">
        <v>7.0</v>
      </c>
      <c r="K134" s="122">
        <v>8.0</v>
      </c>
      <c r="L134" s="122">
        <v>9.0</v>
      </c>
      <c r="M134" s="122">
        <v>10.0</v>
      </c>
      <c r="N134" s="122">
        <v>11.0</v>
      </c>
      <c r="O134" s="122">
        <v>12.0</v>
      </c>
      <c r="P134" s="122">
        <v>13.0</v>
      </c>
      <c r="Q134" s="122">
        <v>14.0</v>
      </c>
    </row>
    <row r="135">
      <c r="A135" s="123" t="s">
        <v>127</v>
      </c>
      <c r="B135" s="124">
        <f>sum(B136:B142)</f>
        <v>1900</v>
      </c>
      <c r="C135" s="151">
        <f>C121/B121</f>
        <v>0.4578947368</v>
      </c>
      <c r="D135" s="135">
        <f t="shared" ref="D135:Q135" si="50">D121/$B121</f>
        <v>0.4212631579</v>
      </c>
      <c r="E135" s="135">
        <f t="shared" si="50"/>
        <v>0.3917747368</v>
      </c>
      <c r="F135" s="135">
        <f t="shared" si="50"/>
        <v>0.3643505053</v>
      </c>
      <c r="G135" s="135">
        <f t="shared" si="50"/>
        <v>0.3570634952</v>
      </c>
      <c r="H135" s="135">
        <f t="shared" si="50"/>
        <v>0.3356396854</v>
      </c>
      <c r="I135" s="135">
        <f t="shared" si="50"/>
        <v>0.3289268917</v>
      </c>
      <c r="J135" s="135">
        <f t="shared" si="50"/>
        <v>0.3026127404</v>
      </c>
      <c r="K135" s="135">
        <f t="shared" si="50"/>
        <v>0.2723514664</v>
      </c>
      <c r="L135" s="135">
        <f t="shared" si="50"/>
        <v>0.266904437</v>
      </c>
      <c r="M135" s="135">
        <f t="shared" si="50"/>
        <v>0.2642353927</v>
      </c>
      <c r="N135" s="135">
        <f t="shared" si="50"/>
        <v>0.251023623</v>
      </c>
      <c r="O135" s="135">
        <f t="shared" si="50"/>
        <v>0.228431497</v>
      </c>
      <c r="P135" s="135">
        <f t="shared" si="50"/>
        <v>0.2055883473</v>
      </c>
      <c r="Q135" s="136">
        <f t="shared" si="50"/>
        <v>0.2014765803</v>
      </c>
    </row>
    <row r="136">
      <c r="A136" s="148" t="s">
        <v>160</v>
      </c>
      <c r="B136" s="149">
        <v>500.0</v>
      </c>
      <c r="C136" s="137">
        <f t="shared" ref="C136:Q136" si="51">C122/$B122</f>
        <v>0.524</v>
      </c>
      <c r="D136" s="138">
        <f t="shared" si="51"/>
        <v>0.48732</v>
      </c>
      <c r="E136" s="138">
        <f t="shared" si="51"/>
        <v>0.462954</v>
      </c>
      <c r="F136" s="138">
        <f t="shared" si="51"/>
        <v>0.4398063</v>
      </c>
      <c r="G136" s="138">
        <f t="shared" si="51"/>
        <v>0.417815985</v>
      </c>
      <c r="H136" s="138">
        <f t="shared" si="51"/>
        <v>0.3760343865</v>
      </c>
      <c r="I136" s="138">
        <f t="shared" si="51"/>
        <v>0.3534723233</v>
      </c>
      <c r="J136" s="138">
        <f t="shared" si="51"/>
        <v>0.3357987071</v>
      </c>
      <c r="K136" s="138">
        <f t="shared" si="51"/>
        <v>0.3190087718</v>
      </c>
      <c r="L136" s="138">
        <f t="shared" si="51"/>
        <v>0.3030583332</v>
      </c>
      <c r="M136" s="138">
        <f t="shared" si="51"/>
        <v>0.2879054165</v>
      </c>
      <c r="N136" s="138">
        <f t="shared" si="51"/>
        <v>0.2735101457</v>
      </c>
      <c r="O136" s="138">
        <f t="shared" si="51"/>
        <v>0.2598346384</v>
      </c>
      <c r="P136" s="138">
        <f t="shared" si="51"/>
        <v>0.2468429065</v>
      </c>
      <c r="Q136" s="139">
        <f t="shared" si="51"/>
        <v>0.2345007612</v>
      </c>
    </row>
    <row r="137">
      <c r="A137" s="148" t="s">
        <v>161</v>
      </c>
      <c r="B137" s="129">
        <v>250.0</v>
      </c>
      <c r="C137" s="137">
        <f t="shared" ref="C137:Q137" si="52">C123/$B123</f>
        <v>0.648</v>
      </c>
      <c r="D137" s="138">
        <f t="shared" si="52"/>
        <v>0.6156</v>
      </c>
      <c r="E137" s="138">
        <f t="shared" si="52"/>
        <v>0.58482</v>
      </c>
      <c r="F137" s="138">
        <f t="shared" si="52"/>
        <v>0.555579</v>
      </c>
      <c r="G137" s="138">
        <f t="shared" si="52"/>
        <v>0.52780005</v>
      </c>
      <c r="H137" s="138">
        <f t="shared" si="52"/>
        <v>0.5014100475</v>
      </c>
      <c r="I137" s="138">
        <f t="shared" si="52"/>
        <v>0.4763395451</v>
      </c>
      <c r="J137" s="138">
        <f t="shared" si="52"/>
        <v>0.4525225679</v>
      </c>
      <c r="K137" s="138">
        <f t="shared" si="52"/>
        <v>0.4298964395</v>
      </c>
      <c r="L137" s="138">
        <f t="shared" si="52"/>
        <v>0.4084016175</v>
      </c>
      <c r="M137" s="138">
        <f t="shared" si="52"/>
        <v>0.3879815366</v>
      </c>
      <c r="N137" s="138">
        <f t="shared" si="52"/>
        <v>0.3685824598</v>
      </c>
      <c r="O137" s="138">
        <f t="shared" si="52"/>
        <v>0.3501533368</v>
      </c>
      <c r="P137" s="138">
        <f t="shared" si="52"/>
        <v>0.33264567</v>
      </c>
      <c r="Q137" s="139">
        <f t="shared" si="52"/>
        <v>0.3160133865</v>
      </c>
    </row>
    <row r="138">
      <c r="A138" s="148" t="s">
        <v>162</v>
      </c>
      <c r="B138" s="129">
        <v>210.0</v>
      </c>
      <c r="C138" s="137">
        <f t="shared" ref="C138:Q138" si="53">C124/$B124</f>
        <v>0.6285714286</v>
      </c>
      <c r="D138" s="138">
        <f t="shared" si="53"/>
        <v>0.5782857143</v>
      </c>
      <c r="E138" s="138">
        <f t="shared" si="53"/>
        <v>0.5493714286</v>
      </c>
      <c r="F138" s="138">
        <f t="shared" si="53"/>
        <v>0.5219028571</v>
      </c>
      <c r="G138" s="138">
        <f t="shared" si="53"/>
        <v>0.4958077143</v>
      </c>
      <c r="H138" s="138">
        <f t="shared" si="53"/>
        <v>0.4710173286</v>
      </c>
      <c r="I138" s="138">
        <f t="shared" si="53"/>
        <v>0.4474664621</v>
      </c>
      <c r="J138" s="138">
        <f t="shared" si="53"/>
        <v>0.425093139</v>
      </c>
      <c r="K138" s="138">
        <f t="shared" si="53"/>
        <v>0.4038384821</v>
      </c>
      <c r="L138" s="138">
        <f t="shared" si="53"/>
        <v>0.383646558</v>
      </c>
      <c r="M138" s="138">
        <f t="shared" si="53"/>
        <v>0.3644642301</v>
      </c>
      <c r="N138" s="138">
        <f t="shared" si="53"/>
        <v>0.3462410186</v>
      </c>
      <c r="O138" s="138">
        <f t="shared" si="53"/>
        <v>0.3289289676</v>
      </c>
      <c r="P138" s="138">
        <f t="shared" si="53"/>
        <v>0.3124825193</v>
      </c>
      <c r="Q138" s="139">
        <f t="shared" si="53"/>
        <v>0.2968583933</v>
      </c>
    </row>
    <row r="139">
      <c r="A139" s="148" t="s">
        <v>163</v>
      </c>
      <c r="B139" s="129">
        <v>250.0</v>
      </c>
      <c r="C139" s="137">
        <f t="shared" ref="C139:Q139" si="54">C125/$B125</f>
        <v>0.424</v>
      </c>
      <c r="D139" s="138">
        <f t="shared" si="54"/>
        <v>0.41128</v>
      </c>
      <c r="E139" s="138">
        <f t="shared" si="54"/>
        <v>0.390716</v>
      </c>
      <c r="F139" s="138">
        <f t="shared" si="54"/>
        <v>0.3711802</v>
      </c>
      <c r="G139" s="138">
        <f t="shared" si="54"/>
        <v>0.35262119</v>
      </c>
      <c r="H139" s="138">
        <f t="shared" si="54"/>
        <v>0.3349901305</v>
      </c>
      <c r="I139" s="138">
        <f t="shared" si="54"/>
        <v>0.318240624</v>
      </c>
      <c r="J139" s="138">
        <f t="shared" si="54"/>
        <v>0.3023285928</v>
      </c>
      <c r="K139" s="138">
        <f t="shared" si="54"/>
        <v>0.2872121631</v>
      </c>
      <c r="L139" s="138">
        <f t="shared" si="54"/>
        <v>0.272851555</v>
      </c>
      <c r="M139" s="138">
        <f t="shared" si="54"/>
        <v>0.2592089772</v>
      </c>
      <c r="N139" s="138">
        <f t="shared" si="54"/>
        <v>0.2462485284</v>
      </c>
      <c r="O139" s="138">
        <f t="shared" si="54"/>
        <v>0.233936102</v>
      </c>
      <c r="P139" s="138">
        <f t="shared" si="54"/>
        <v>0.2222392969</v>
      </c>
      <c r="Q139" s="139">
        <f t="shared" si="54"/>
        <v>0.211127332</v>
      </c>
    </row>
    <row r="140">
      <c r="A140" s="148" t="s">
        <v>164</v>
      </c>
      <c r="B140" s="129">
        <v>220.0</v>
      </c>
      <c r="C140" s="137">
        <f t="shared" ref="C140:Q140" si="55">C126/$B126</f>
        <v>0.3272727273</v>
      </c>
      <c r="D140" s="138">
        <f t="shared" si="55"/>
        <v>0.3043636364</v>
      </c>
      <c r="E140" s="138">
        <f t="shared" si="55"/>
        <v>0.2891454545</v>
      </c>
      <c r="F140" s="138">
        <f t="shared" si="55"/>
        <v>0.2746881818</v>
      </c>
      <c r="G140" s="138">
        <f t="shared" si="55"/>
        <v>0.2609537727</v>
      </c>
      <c r="H140" s="138">
        <f t="shared" si="55"/>
        <v>0.2479060841</v>
      </c>
      <c r="I140" s="138">
        <f t="shared" si="55"/>
        <v>0.2355107799</v>
      </c>
      <c r="J140" s="138">
        <f t="shared" si="55"/>
        <v>0.2237352409</v>
      </c>
      <c r="K140" s="138">
        <f t="shared" si="55"/>
        <v>0.2125484788</v>
      </c>
      <c r="L140" s="138">
        <f t="shared" si="55"/>
        <v>0.2019210549</v>
      </c>
      <c r="M140" s="138">
        <f t="shared" si="55"/>
        <v>0.1918250022</v>
      </c>
      <c r="N140" s="138">
        <f t="shared" si="55"/>
        <v>0.1822337521</v>
      </c>
      <c r="O140" s="138">
        <f t="shared" si="55"/>
        <v>0.1731220644</v>
      </c>
      <c r="P140" s="138">
        <f t="shared" si="55"/>
        <v>0.1644659612</v>
      </c>
      <c r="Q140" s="139">
        <f t="shared" si="55"/>
        <v>0.1562426632</v>
      </c>
    </row>
    <row r="141">
      <c r="A141" s="148" t="s">
        <v>165</v>
      </c>
      <c r="B141" s="129">
        <v>270.0</v>
      </c>
      <c r="C141" s="137">
        <f t="shared" ref="C141:Q141" si="56">C127/$B127</f>
        <v>0.2518518519</v>
      </c>
      <c r="D141" s="138">
        <f t="shared" si="56"/>
        <v>0.2392592593</v>
      </c>
      <c r="E141" s="138">
        <f t="shared" si="56"/>
        <v>0.2272962963</v>
      </c>
      <c r="F141" s="138">
        <f t="shared" si="56"/>
        <v>0.2159314815</v>
      </c>
      <c r="G141" s="138">
        <f t="shared" si="56"/>
        <v>0.2051349074</v>
      </c>
      <c r="H141" s="138">
        <f t="shared" si="56"/>
        <v>0.194878162</v>
      </c>
      <c r="I141" s="138">
        <f t="shared" si="56"/>
        <v>0.1851342539</v>
      </c>
      <c r="J141" s="138">
        <f t="shared" si="56"/>
        <v>0.1758775412</v>
      </c>
      <c r="K141" s="138">
        <f t="shared" si="56"/>
        <v>0.1670836642</v>
      </c>
      <c r="L141" s="138">
        <f t="shared" si="56"/>
        <v>0.158729481</v>
      </c>
      <c r="M141" s="138">
        <f t="shared" si="56"/>
        <v>0.1507930069</v>
      </c>
      <c r="N141" s="138">
        <f t="shared" si="56"/>
        <v>0.1432533566</v>
      </c>
      <c r="O141" s="138">
        <f t="shared" si="56"/>
        <v>0.1360906887</v>
      </c>
      <c r="P141" s="138">
        <f t="shared" si="56"/>
        <v>0.1292861543</v>
      </c>
      <c r="Q141" s="139">
        <f t="shared" si="56"/>
        <v>0.1228218466</v>
      </c>
    </row>
    <row r="142">
      <c r="A142" s="148" t="s">
        <v>166</v>
      </c>
      <c r="B142" s="129">
        <v>200.0</v>
      </c>
      <c r="C142" s="137">
        <f t="shared" ref="C142:Q142" si="57">C128/$B128</f>
        <v>0.21</v>
      </c>
      <c r="D142" s="138">
        <f t="shared" si="57"/>
        <v>0.1974</v>
      </c>
      <c r="E142" s="138">
        <f t="shared" si="57"/>
        <v>0.18753</v>
      </c>
      <c r="F142" s="138">
        <f t="shared" si="57"/>
        <v>0.1781535</v>
      </c>
      <c r="G142" s="138">
        <f t="shared" si="57"/>
        <v>0.169245825</v>
      </c>
      <c r="H142" s="138">
        <f t="shared" si="57"/>
        <v>0.1607835338</v>
      </c>
      <c r="I142" s="138">
        <f t="shared" si="57"/>
        <v>0.1527443571</v>
      </c>
      <c r="J142" s="138">
        <f t="shared" si="57"/>
        <v>0.1451071392</v>
      </c>
      <c r="K142" s="138">
        <f t="shared" si="57"/>
        <v>0.1378517822</v>
      </c>
      <c r="L142" s="138">
        <f t="shared" si="57"/>
        <v>0.1309591931</v>
      </c>
      <c r="M142" s="138">
        <f t="shared" si="57"/>
        <v>0.1244112335</v>
      </c>
      <c r="N142" s="138">
        <f t="shared" si="57"/>
        <v>0.1181906718</v>
      </c>
      <c r="O142" s="138">
        <f t="shared" si="57"/>
        <v>0.1122811382</v>
      </c>
      <c r="P142" s="138">
        <f t="shared" si="57"/>
        <v>0.1066670813</v>
      </c>
      <c r="Q142" s="139">
        <f t="shared" si="57"/>
        <v>0.1013337272</v>
      </c>
    </row>
    <row r="143">
      <c r="A143" s="153" t="s">
        <v>102</v>
      </c>
      <c r="B143" s="21"/>
      <c r="C143" s="154">
        <f t="shared" ref="C143:Q143" si="58">AVERAGE(C136:C142)</f>
        <v>0.4305280011</v>
      </c>
      <c r="D143" s="154">
        <f t="shared" si="58"/>
        <v>0.4047869443</v>
      </c>
      <c r="E143" s="154">
        <f t="shared" si="58"/>
        <v>0.3845475971</v>
      </c>
      <c r="F143" s="154">
        <f t="shared" si="58"/>
        <v>0.3653202172</v>
      </c>
      <c r="G143" s="154">
        <f t="shared" si="58"/>
        <v>0.3470542063</v>
      </c>
      <c r="H143" s="154">
        <f t="shared" si="58"/>
        <v>0.3267170961</v>
      </c>
      <c r="I143" s="154">
        <f t="shared" si="58"/>
        <v>0.3098440493</v>
      </c>
      <c r="J143" s="154">
        <f t="shared" si="58"/>
        <v>0.2943518469</v>
      </c>
      <c r="K143" s="154">
        <f t="shared" si="58"/>
        <v>0.2796342545</v>
      </c>
      <c r="L143" s="154">
        <f t="shared" si="58"/>
        <v>0.2656525418</v>
      </c>
      <c r="M143" s="154">
        <f t="shared" si="58"/>
        <v>0.2523699147</v>
      </c>
      <c r="N143" s="154">
        <f t="shared" si="58"/>
        <v>0.239751419</v>
      </c>
      <c r="O143" s="154">
        <f t="shared" si="58"/>
        <v>0.227763848</v>
      </c>
      <c r="P143" s="154">
        <f t="shared" si="58"/>
        <v>0.2163756556</v>
      </c>
      <c r="Q143" s="154">
        <f t="shared" si="58"/>
        <v>0.2055568729</v>
      </c>
    </row>
    <row r="146">
      <c r="B146" s="107"/>
      <c r="C146" s="71"/>
      <c r="D146" s="71"/>
      <c r="E146" s="71"/>
      <c r="F146" s="71"/>
      <c r="G146" s="71"/>
      <c r="H146" s="71"/>
      <c r="I146" s="71"/>
      <c r="J146" s="40"/>
    </row>
    <row r="147">
      <c r="B147" s="42"/>
      <c r="J147" s="43"/>
      <c r="L147" s="155" t="s">
        <v>168</v>
      </c>
      <c r="M147" s="40"/>
      <c r="N147" s="156">
        <v>44597.0</v>
      </c>
      <c r="O147" s="71"/>
      <c r="P147" s="40"/>
    </row>
    <row r="148">
      <c r="B148" s="42"/>
      <c r="J148" s="43"/>
      <c r="L148" s="44"/>
      <c r="M148" s="21"/>
      <c r="N148" s="44"/>
      <c r="O148" s="20"/>
      <c r="P148" s="21"/>
    </row>
    <row r="149">
      <c r="B149" s="42"/>
      <c r="J149" s="43"/>
      <c r="L149" s="144"/>
      <c r="M149" s="144"/>
    </row>
    <row r="150">
      <c r="B150" s="42"/>
      <c r="J150" s="43"/>
      <c r="L150" s="155" t="s">
        <v>169</v>
      </c>
      <c r="M150" s="40"/>
      <c r="N150" s="157" t="s">
        <v>166</v>
      </c>
      <c r="O150" s="71"/>
      <c r="P150" s="40"/>
    </row>
    <row r="151">
      <c r="B151" s="42"/>
      <c r="J151" s="43"/>
      <c r="L151" s="44"/>
      <c r="M151" s="21"/>
      <c r="N151" s="44"/>
      <c r="O151" s="20"/>
      <c r="P151" s="21"/>
    </row>
    <row r="152">
      <c r="B152" s="42"/>
      <c r="J152" s="43"/>
      <c r="L152" s="144"/>
      <c r="M152" s="144"/>
    </row>
    <row r="153">
      <c r="B153" s="42"/>
      <c r="J153" s="43"/>
      <c r="L153" s="155" t="s">
        <v>141</v>
      </c>
      <c r="M153" s="40"/>
      <c r="N153" s="41" t="s">
        <v>170</v>
      </c>
      <c r="O153" s="71"/>
      <c r="P153" s="71"/>
      <c r="Q153" s="40"/>
    </row>
    <row r="154">
      <c r="B154" s="42"/>
      <c r="J154" s="43"/>
      <c r="L154" s="42"/>
      <c r="M154" s="43"/>
      <c r="N154" s="42"/>
      <c r="Q154" s="43"/>
    </row>
    <row r="155">
      <c r="B155" s="42"/>
      <c r="J155" s="43"/>
      <c r="L155" s="42"/>
      <c r="M155" s="43"/>
      <c r="N155" s="42"/>
      <c r="Q155" s="43"/>
    </row>
    <row r="156">
      <c r="B156" s="42"/>
      <c r="J156" s="43"/>
      <c r="L156" s="42"/>
      <c r="M156" s="43"/>
      <c r="N156" s="42"/>
      <c r="Q156" s="43"/>
    </row>
    <row r="157">
      <c r="B157" s="42"/>
      <c r="J157" s="43"/>
      <c r="L157" s="42"/>
      <c r="M157" s="43"/>
      <c r="N157" s="42"/>
      <c r="Q157" s="43"/>
    </row>
    <row r="158">
      <c r="B158" s="42"/>
      <c r="J158" s="43"/>
      <c r="L158" s="44"/>
      <c r="M158" s="21"/>
      <c r="N158" s="44"/>
      <c r="O158" s="20"/>
      <c r="P158" s="20"/>
      <c r="Q158" s="21"/>
    </row>
    <row r="159">
      <c r="B159" s="42"/>
      <c r="J159" s="43"/>
    </row>
    <row r="160">
      <c r="B160" s="42"/>
      <c r="J160" s="43"/>
    </row>
    <row r="161">
      <c r="B161" s="42"/>
      <c r="J161" s="43"/>
    </row>
    <row r="162">
      <c r="B162" s="42"/>
      <c r="J162" s="43"/>
    </row>
    <row r="163">
      <c r="B163" s="42"/>
      <c r="J163" s="43"/>
    </row>
    <row r="164">
      <c r="B164" s="42"/>
      <c r="J164" s="43"/>
    </row>
    <row r="165">
      <c r="B165" s="42"/>
      <c r="J165" s="43"/>
    </row>
    <row r="166">
      <c r="B166" s="44"/>
      <c r="C166" s="20"/>
      <c r="D166" s="20"/>
      <c r="E166" s="20"/>
      <c r="F166" s="20"/>
      <c r="G166" s="20"/>
      <c r="H166" s="20"/>
      <c r="I166" s="20"/>
      <c r="J166" s="21"/>
    </row>
    <row r="170">
      <c r="A170" s="118"/>
      <c r="B170" s="40"/>
      <c r="C170" s="119" t="s">
        <v>171</v>
      </c>
      <c r="D170" s="3"/>
      <c r="E170" s="3"/>
      <c r="F170" s="3"/>
      <c r="G170" s="3"/>
      <c r="H170" s="3"/>
      <c r="I170" s="3"/>
      <c r="J170" s="3"/>
      <c r="K170" s="3"/>
      <c r="L170" s="3"/>
      <c r="M170" s="3"/>
      <c r="N170" s="3"/>
      <c r="O170" s="3"/>
      <c r="P170" s="3"/>
      <c r="Q170" s="4"/>
    </row>
    <row r="171">
      <c r="A171" s="44"/>
      <c r="B171" s="21"/>
      <c r="C171" s="119" t="s">
        <v>172</v>
      </c>
      <c r="D171" s="3"/>
      <c r="E171" s="3"/>
      <c r="F171" s="3"/>
      <c r="G171" s="3"/>
      <c r="H171" s="3"/>
      <c r="I171" s="3"/>
      <c r="J171" s="3"/>
      <c r="K171" s="3"/>
      <c r="L171" s="3"/>
      <c r="M171" s="3"/>
      <c r="N171" s="3"/>
      <c r="O171" s="3"/>
      <c r="P171" s="3"/>
      <c r="Q171" s="4"/>
    </row>
    <row r="172">
      <c r="A172" s="152" t="s">
        <v>173</v>
      </c>
      <c r="B172" s="147" t="s">
        <v>145</v>
      </c>
      <c r="C172" s="122">
        <v>0.0</v>
      </c>
      <c r="D172" s="122">
        <v>1.0</v>
      </c>
      <c r="E172" s="122">
        <v>2.0</v>
      </c>
      <c r="F172" s="122">
        <v>3.0</v>
      </c>
      <c r="G172" s="122">
        <v>4.0</v>
      </c>
      <c r="H172" s="122">
        <v>5.0</v>
      </c>
      <c r="I172" s="122">
        <v>6.0</v>
      </c>
      <c r="J172" s="122">
        <v>7.0</v>
      </c>
      <c r="K172" s="122">
        <v>8.0</v>
      </c>
      <c r="L172" s="122">
        <v>9.0</v>
      </c>
      <c r="M172" s="122">
        <v>10.0</v>
      </c>
      <c r="N172" s="122">
        <v>11.0</v>
      </c>
      <c r="O172" s="122">
        <v>12.0</v>
      </c>
      <c r="P172" s="122">
        <v>13.0</v>
      </c>
      <c r="Q172" s="122">
        <v>14.0</v>
      </c>
    </row>
    <row r="173">
      <c r="A173" s="123" t="s">
        <v>127</v>
      </c>
      <c r="B173" s="124">
        <f>sum(B174:B178)</f>
        <v>1490</v>
      </c>
      <c r="C173" s="125">
        <v>870.0</v>
      </c>
      <c r="D173" s="126">
        <f t="shared" ref="D173:D174" si="60">C173*0.92</f>
        <v>800.4</v>
      </c>
      <c r="E173" s="126">
        <f t="shared" ref="E173:F173" si="59">D173*0.93</f>
        <v>744.372</v>
      </c>
      <c r="F173" s="126">
        <f t="shared" si="59"/>
        <v>692.26596</v>
      </c>
      <c r="G173" s="126">
        <f>F173*0.98</f>
        <v>678.4206408</v>
      </c>
      <c r="H173" s="126">
        <f>G173*0.94</f>
        <v>637.7154024</v>
      </c>
      <c r="I173" s="126">
        <f>H173*0.98</f>
        <v>624.9610943</v>
      </c>
      <c r="J173" s="126">
        <f>I173*0.92</f>
        <v>574.9642068</v>
      </c>
      <c r="K173" s="126">
        <f>J173*0.9</f>
        <v>517.4677861</v>
      </c>
      <c r="L173" s="126">
        <f>K173*0.98</f>
        <v>507.1184304</v>
      </c>
      <c r="M173" s="126">
        <f>L173*0.99</f>
        <v>502.0472461</v>
      </c>
      <c r="N173" s="126">
        <f>M173*0.95</f>
        <v>476.9448838</v>
      </c>
      <c r="O173" s="126">
        <f>N173*0.91</f>
        <v>434.0198442</v>
      </c>
      <c r="P173" s="126">
        <f>O173*0.9</f>
        <v>390.6178598</v>
      </c>
      <c r="Q173" s="127">
        <f>P173*0.98</f>
        <v>382.8055026</v>
      </c>
    </row>
    <row r="174">
      <c r="A174" s="148" t="s">
        <v>174</v>
      </c>
      <c r="B174" s="149">
        <v>250.0</v>
      </c>
      <c r="C174" s="130">
        <v>132.0</v>
      </c>
      <c r="D174" s="85">
        <f t="shared" si="60"/>
        <v>121.44</v>
      </c>
      <c r="E174" s="85">
        <f t="shared" ref="E174:Q174" si="61">D174*0.95</f>
        <v>115.368</v>
      </c>
      <c r="F174" s="85">
        <f t="shared" si="61"/>
        <v>109.5996</v>
      </c>
      <c r="G174" s="85">
        <f t="shared" si="61"/>
        <v>104.11962</v>
      </c>
      <c r="H174" s="85">
        <f t="shared" si="61"/>
        <v>98.913639</v>
      </c>
      <c r="I174" s="85">
        <f t="shared" si="61"/>
        <v>93.96795705</v>
      </c>
      <c r="J174" s="85">
        <f t="shared" si="61"/>
        <v>89.2695592</v>
      </c>
      <c r="K174" s="85">
        <f t="shared" si="61"/>
        <v>84.80608124</v>
      </c>
      <c r="L174" s="85">
        <f t="shared" si="61"/>
        <v>80.56577718</v>
      </c>
      <c r="M174" s="85">
        <f t="shared" si="61"/>
        <v>76.53748832</v>
      </c>
      <c r="N174" s="85">
        <f t="shared" si="61"/>
        <v>72.7106139</v>
      </c>
      <c r="O174" s="85">
        <f t="shared" si="61"/>
        <v>69.07508321</v>
      </c>
      <c r="P174" s="85">
        <f t="shared" si="61"/>
        <v>65.62132905</v>
      </c>
      <c r="Q174" s="84">
        <f t="shared" si="61"/>
        <v>62.34026259</v>
      </c>
    </row>
    <row r="175">
      <c r="A175" s="148" t="s">
        <v>175</v>
      </c>
      <c r="B175" s="129">
        <v>310.0</v>
      </c>
      <c r="C175" s="130">
        <v>162.0</v>
      </c>
      <c r="D175" s="85">
        <f t="shared" ref="D175:Q175" si="62">C175*0.95</f>
        <v>153.9</v>
      </c>
      <c r="E175" s="85">
        <f t="shared" si="62"/>
        <v>146.205</v>
      </c>
      <c r="F175" s="85">
        <f t="shared" si="62"/>
        <v>138.89475</v>
      </c>
      <c r="G175" s="85">
        <f t="shared" si="62"/>
        <v>131.9500125</v>
      </c>
      <c r="H175" s="85">
        <f t="shared" si="62"/>
        <v>125.3525119</v>
      </c>
      <c r="I175" s="85">
        <f t="shared" si="62"/>
        <v>119.0848863</v>
      </c>
      <c r="J175" s="85">
        <f t="shared" si="62"/>
        <v>113.130642</v>
      </c>
      <c r="K175" s="85">
        <f t="shared" si="62"/>
        <v>107.4741099</v>
      </c>
      <c r="L175" s="85">
        <f t="shared" si="62"/>
        <v>102.1004044</v>
      </c>
      <c r="M175" s="85">
        <f t="shared" si="62"/>
        <v>96.99538416</v>
      </c>
      <c r="N175" s="85">
        <f t="shared" si="62"/>
        <v>92.14561495</v>
      </c>
      <c r="O175" s="85">
        <f t="shared" si="62"/>
        <v>87.5383342</v>
      </c>
      <c r="P175" s="85">
        <f t="shared" si="62"/>
        <v>83.16141749</v>
      </c>
      <c r="Q175" s="84">
        <f t="shared" si="62"/>
        <v>79.00334662</v>
      </c>
    </row>
    <row r="176">
      <c r="A176" s="148" t="s">
        <v>176</v>
      </c>
      <c r="B176" s="149">
        <v>390.0</v>
      </c>
      <c r="C176" s="130">
        <v>262.0</v>
      </c>
      <c r="D176" s="85">
        <f t="shared" ref="D176:D177" si="65">C176*0.93</f>
        <v>243.66</v>
      </c>
      <c r="E176" s="85">
        <f t="shared" ref="E176:G176" si="63">D176*0.95</f>
        <v>231.477</v>
      </c>
      <c r="F176" s="85">
        <f t="shared" si="63"/>
        <v>219.90315</v>
      </c>
      <c r="G176" s="85">
        <f t="shared" si="63"/>
        <v>208.9079925</v>
      </c>
      <c r="H176" s="85">
        <f>G176*0.9</f>
        <v>188.0171933</v>
      </c>
      <c r="I176" s="85">
        <f>H176*0.94</f>
        <v>176.7361617</v>
      </c>
      <c r="J176" s="85">
        <f t="shared" ref="J176:Q176" si="64">I176*0.95</f>
        <v>167.8993536</v>
      </c>
      <c r="K176" s="85">
        <f t="shared" si="64"/>
        <v>159.5043859</v>
      </c>
      <c r="L176" s="85">
        <f t="shared" si="64"/>
        <v>151.5291666</v>
      </c>
      <c r="M176" s="85">
        <f t="shared" si="64"/>
        <v>143.9527083</v>
      </c>
      <c r="N176" s="85">
        <f t="shared" si="64"/>
        <v>136.7550729</v>
      </c>
      <c r="O176" s="85">
        <f t="shared" si="64"/>
        <v>129.9173192</v>
      </c>
      <c r="P176" s="85">
        <f t="shared" si="64"/>
        <v>123.4214533</v>
      </c>
      <c r="Q176" s="84">
        <f t="shared" si="64"/>
        <v>117.2503806</v>
      </c>
    </row>
    <row r="177">
      <c r="A177" s="148" t="s">
        <v>177</v>
      </c>
      <c r="B177" s="129">
        <v>110.0</v>
      </c>
      <c r="C177" s="158">
        <v>72.0</v>
      </c>
      <c r="D177" s="158">
        <f t="shared" si="65"/>
        <v>66.96</v>
      </c>
      <c r="E177" s="158">
        <f t="shared" ref="E177:Q177" si="66">D177*0.95</f>
        <v>63.612</v>
      </c>
      <c r="F177" s="158">
        <f t="shared" si="66"/>
        <v>60.4314</v>
      </c>
      <c r="G177" s="158">
        <f t="shared" si="66"/>
        <v>57.40983</v>
      </c>
      <c r="H177" s="158">
        <f t="shared" si="66"/>
        <v>54.5393385</v>
      </c>
      <c r="I177" s="158">
        <f t="shared" si="66"/>
        <v>51.81237158</v>
      </c>
      <c r="J177" s="158">
        <f t="shared" si="66"/>
        <v>49.221753</v>
      </c>
      <c r="K177" s="158">
        <f t="shared" si="66"/>
        <v>46.76066535</v>
      </c>
      <c r="L177" s="158">
        <f t="shared" si="66"/>
        <v>44.42263208</v>
      </c>
      <c r="M177" s="158">
        <f t="shared" si="66"/>
        <v>42.20150048</v>
      </c>
      <c r="N177" s="158">
        <f t="shared" si="66"/>
        <v>40.09142545</v>
      </c>
      <c r="O177" s="158">
        <f t="shared" si="66"/>
        <v>38.08685418</v>
      </c>
      <c r="P177" s="158">
        <f t="shared" si="66"/>
        <v>36.18251147</v>
      </c>
      <c r="Q177" s="159">
        <f t="shared" si="66"/>
        <v>34.3733859</v>
      </c>
    </row>
    <row r="178">
      <c r="A178" s="148" t="s">
        <v>178</v>
      </c>
      <c r="B178" s="129">
        <v>430.0</v>
      </c>
      <c r="C178" s="131">
        <v>106.0</v>
      </c>
      <c r="D178" s="132">
        <f>C178*0.97</f>
        <v>102.82</v>
      </c>
      <c r="E178" s="132">
        <f t="shared" ref="E178:Q178" si="67">D178*0.95</f>
        <v>97.679</v>
      </c>
      <c r="F178" s="132">
        <f t="shared" si="67"/>
        <v>92.79505</v>
      </c>
      <c r="G178" s="132">
        <f t="shared" si="67"/>
        <v>88.1552975</v>
      </c>
      <c r="H178" s="132">
        <f t="shared" si="67"/>
        <v>83.74753263</v>
      </c>
      <c r="I178" s="132">
        <f t="shared" si="67"/>
        <v>79.56015599</v>
      </c>
      <c r="J178" s="132">
        <f t="shared" si="67"/>
        <v>75.58214819</v>
      </c>
      <c r="K178" s="132">
        <f t="shared" si="67"/>
        <v>71.80304078</v>
      </c>
      <c r="L178" s="132">
        <f t="shared" si="67"/>
        <v>68.21288875</v>
      </c>
      <c r="M178" s="132">
        <f t="shared" si="67"/>
        <v>64.80224431</v>
      </c>
      <c r="N178" s="132">
        <f t="shared" si="67"/>
        <v>61.56213209</v>
      </c>
      <c r="O178" s="132">
        <f t="shared" si="67"/>
        <v>58.48402549</v>
      </c>
      <c r="P178" s="132">
        <f t="shared" si="67"/>
        <v>55.55982421</v>
      </c>
      <c r="Q178" s="133">
        <f t="shared" si="67"/>
        <v>52.781833</v>
      </c>
    </row>
    <row r="180">
      <c r="C180" s="85"/>
      <c r="D180" s="160"/>
      <c r="E180" s="85"/>
      <c r="F180" s="85"/>
      <c r="G180" s="85"/>
      <c r="H180" s="85"/>
      <c r="I180" s="85"/>
      <c r="J180" s="85"/>
      <c r="K180" s="85"/>
      <c r="L180" s="85"/>
      <c r="M180" s="85"/>
      <c r="N180" s="85"/>
      <c r="O180" s="85"/>
      <c r="P180" s="85"/>
      <c r="Q180" s="85"/>
    </row>
    <row r="181">
      <c r="C181" s="68"/>
      <c r="D181" s="68"/>
      <c r="E181" s="68"/>
      <c r="F181" s="68"/>
      <c r="G181" s="68"/>
      <c r="H181" s="68"/>
      <c r="I181" s="68"/>
      <c r="J181" s="68"/>
      <c r="K181" s="68"/>
      <c r="L181" s="68"/>
      <c r="M181" s="68"/>
      <c r="N181" s="68"/>
      <c r="O181" s="68"/>
      <c r="P181" s="68"/>
      <c r="Q181" s="68"/>
    </row>
    <row r="182">
      <c r="A182" s="118"/>
      <c r="B182" s="40"/>
      <c r="C182" s="119" t="s">
        <v>179</v>
      </c>
      <c r="D182" s="3"/>
      <c r="E182" s="3"/>
      <c r="F182" s="3"/>
      <c r="G182" s="3"/>
      <c r="H182" s="3"/>
      <c r="I182" s="3"/>
      <c r="J182" s="3"/>
      <c r="K182" s="3"/>
      <c r="L182" s="3"/>
      <c r="M182" s="3"/>
      <c r="N182" s="3"/>
      <c r="O182" s="3"/>
      <c r="P182" s="3"/>
      <c r="Q182" s="4"/>
    </row>
    <row r="183">
      <c r="A183" s="44"/>
      <c r="B183" s="21"/>
      <c r="C183" s="119" t="s">
        <v>124</v>
      </c>
      <c r="D183" s="3"/>
      <c r="E183" s="3"/>
      <c r="F183" s="3"/>
      <c r="G183" s="3"/>
      <c r="H183" s="3"/>
      <c r="I183" s="3"/>
      <c r="J183" s="3"/>
      <c r="K183" s="3"/>
      <c r="L183" s="3"/>
      <c r="M183" s="3"/>
      <c r="N183" s="3"/>
      <c r="O183" s="3"/>
      <c r="P183" s="3"/>
      <c r="Q183" s="4"/>
    </row>
    <row r="184">
      <c r="A184" s="146" t="s">
        <v>173</v>
      </c>
      <c r="B184" s="147" t="s">
        <v>145</v>
      </c>
      <c r="C184" s="122">
        <v>0.0</v>
      </c>
      <c r="D184" s="122">
        <v>1.0</v>
      </c>
      <c r="E184" s="122">
        <v>2.0</v>
      </c>
      <c r="F184" s="122">
        <v>3.0</v>
      </c>
      <c r="G184" s="122">
        <v>4.0</v>
      </c>
      <c r="H184" s="122">
        <v>5.0</v>
      </c>
      <c r="I184" s="122">
        <v>6.0</v>
      </c>
      <c r="J184" s="122">
        <v>7.0</v>
      </c>
      <c r="K184" s="122">
        <v>8.0</v>
      </c>
      <c r="L184" s="122">
        <v>9.0</v>
      </c>
      <c r="M184" s="122">
        <v>10.0</v>
      </c>
      <c r="N184" s="122">
        <v>11.0</v>
      </c>
      <c r="O184" s="122">
        <v>12.0</v>
      </c>
      <c r="P184" s="122">
        <v>13.0</v>
      </c>
      <c r="Q184" s="122">
        <v>14.0</v>
      </c>
    </row>
    <row r="185">
      <c r="A185" s="123" t="s">
        <v>127</v>
      </c>
      <c r="B185" s="124">
        <f>sum(B186:B190)</f>
        <v>1490</v>
      </c>
      <c r="C185" s="151">
        <f>C173/B173</f>
        <v>0.5838926174</v>
      </c>
      <c r="D185" s="135">
        <f t="shared" ref="D185:Q185" si="68">D173/$B173</f>
        <v>0.5371812081</v>
      </c>
      <c r="E185" s="135">
        <f t="shared" si="68"/>
        <v>0.4995785235</v>
      </c>
      <c r="F185" s="135">
        <f t="shared" si="68"/>
        <v>0.4646080268</v>
      </c>
      <c r="G185" s="135">
        <f t="shared" si="68"/>
        <v>0.4553158663</v>
      </c>
      <c r="H185" s="135">
        <f t="shared" si="68"/>
        <v>0.4279969143</v>
      </c>
      <c r="I185" s="135">
        <f t="shared" si="68"/>
        <v>0.419436976</v>
      </c>
      <c r="J185" s="135">
        <f t="shared" si="68"/>
        <v>0.385882018</v>
      </c>
      <c r="K185" s="135">
        <f t="shared" si="68"/>
        <v>0.3472938162</v>
      </c>
      <c r="L185" s="135">
        <f t="shared" si="68"/>
        <v>0.3403479398</v>
      </c>
      <c r="M185" s="135">
        <f t="shared" si="68"/>
        <v>0.3369444604</v>
      </c>
      <c r="N185" s="135">
        <f t="shared" si="68"/>
        <v>0.3200972374</v>
      </c>
      <c r="O185" s="135">
        <f t="shared" si="68"/>
        <v>0.2912884861</v>
      </c>
      <c r="P185" s="135">
        <f t="shared" si="68"/>
        <v>0.2621596374</v>
      </c>
      <c r="Q185" s="136">
        <f t="shared" si="68"/>
        <v>0.2569164447</v>
      </c>
    </row>
    <row r="186">
      <c r="A186" s="148" t="s">
        <v>174</v>
      </c>
      <c r="B186" s="129">
        <v>250.0</v>
      </c>
      <c r="C186" s="137">
        <f t="shared" ref="C186:Q186" si="69">C174/$B174</f>
        <v>0.528</v>
      </c>
      <c r="D186" s="138">
        <f t="shared" si="69"/>
        <v>0.48576</v>
      </c>
      <c r="E186" s="138">
        <f t="shared" si="69"/>
        <v>0.461472</v>
      </c>
      <c r="F186" s="138">
        <f t="shared" si="69"/>
        <v>0.4383984</v>
      </c>
      <c r="G186" s="138">
        <f t="shared" si="69"/>
        <v>0.41647848</v>
      </c>
      <c r="H186" s="138">
        <f t="shared" si="69"/>
        <v>0.395654556</v>
      </c>
      <c r="I186" s="138">
        <f t="shared" si="69"/>
        <v>0.3758718282</v>
      </c>
      <c r="J186" s="138">
        <f t="shared" si="69"/>
        <v>0.3570782368</v>
      </c>
      <c r="K186" s="138">
        <f t="shared" si="69"/>
        <v>0.339224325</v>
      </c>
      <c r="L186" s="138">
        <f t="shared" si="69"/>
        <v>0.3222631087</v>
      </c>
      <c r="M186" s="138">
        <f t="shared" si="69"/>
        <v>0.3061499533</v>
      </c>
      <c r="N186" s="138">
        <f t="shared" si="69"/>
        <v>0.2908424556</v>
      </c>
      <c r="O186" s="138">
        <f t="shared" si="69"/>
        <v>0.2763003328</v>
      </c>
      <c r="P186" s="138">
        <f t="shared" si="69"/>
        <v>0.2624853162</v>
      </c>
      <c r="Q186" s="139">
        <f t="shared" si="69"/>
        <v>0.2493610504</v>
      </c>
    </row>
    <row r="187">
      <c r="A187" s="148" t="s">
        <v>175</v>
      </c>
      <c r="B187" s="129">
        <v>310.0</v>
      </c>
      <c r="C187" s="137">
        <f t="shared" ref="C187:Q187" si="70">C175/$B175</f>
        <v>0.5225806452</v>
      </c>
      <c r="D187" s="138">
        <f t="shared" si="70"/>
        <v>0.4964516129</v>
      </c>
      <c r="E187" s="138">
        <f t="shared" si="70"/>
        <v>0.4716290323</v>
      </c>
      <c r="F187" s="138">
        <f t="shared" si="70"/>
        <v>0.4480475806</v>
      </c>
      <c r="G187" s="138">
        <f t="shared" si="70"/>
        <v>0.4256452016</v>
      </c>
      <c r="H187" s="138">
        <f t="shared" si="70"/>
        <v>0.4043629415</v>
      </c>
      <c r="I187" s="138">
        <f t="shared" si="70"/>
        <v>0.3841447945</v>
      </c>
      <c r="J187" s="138">
        <f t="shared" si="70"/>
        <v>0.3649375547</v>
      </c>
      <c r="K187" s="138">
        <f t="shared" si="70"/>
        <v>0.346690677</v>
      </c>
      <c r="L187" s="138">
        <f t="shared" si="70"/>
        <v>0.3293561431</v>
      </c>
      <c r="M187" s="138">
        <f t="shared" si="70"/>
        <v>0.312888336</v>
      </c>
      <c r="N187" s="138">
        <f t="shared" si="70"/>
        <v>0.2972439192</v>
      </c>
      <c r="O187" s="138">
        <f t="shared" si="70"/>
        <v>0.2823817232</v>
      </c>
      <c r="P187" s="138">
        <f t="shared" si="70"/>
        <v>0.2682626371</v>
      </c>
      <c r="Q187" s="139">
        <f t="shared" si="70"/>
        <v>0.2548495052</v>
      </c>
    </row>
    <row r="188">
      <c r="A188" s="148" t="s">
        <v>176</v>
      </c>
      <c r="B188" s="129">
        <v>390.0</v>
      </c>
      <c r="C188" s="137">
        <f t="shared" ref="C188:Q188" si="71">C176/$B176</f>
        <v>0.6717948718</v>
      </c>
      <c r="D188" s="138">
        <f t="shared" si="71"/>
        <v>0.6247692308</v>
      </c>
      <c r="E188" s="138">
        <f t="shared" si="71"/>
        <v>0.5935307692</v>
      </c>
      <c r="F188" s="138">
        <f t="shared" si="71"/>
        <v>0.5638542308</v>
      </c>
      <c r="G188" s="138">
        <f t="shared" si="71"/>
        <v>0.5356615192</v>
      </c>
      <c r="H188" s="138">
        <f t="shared" si="71"/>
        <v>0.4820953673</v>
      </c>
      <c r="I188" s="138">
        <f t="shared" si="71"/>
        <v>0.4531696453</v>
      </c>
      <c r="J188" s="138">
        <f t="shared" si="71"/>
        <v>0.430511163</v>
      </c>
      <c r="K188" s="138">
        <f t="shared" si="71"/>
        <v>0.4089856049</v>
      </c>
      <c r="L188" s="138">
        <f t="shared" si="71"/>
        <v>0.3885363246</v>
      </c>
      <c r="M188" s="138">
        <f t="shared" si="71"/>
        <v>0.3691095084</v>
      </c>
      <c r="N188" s="138">
        <f t="shared" si="71"/>
        <v>0.350654033</v>
      </c>
      <c r="O188" s="138">
        <f t="shared" si="71"/>
        <v>0.3331213313</v>
      </c>
      <c r="P188" s="138">
        <f t="shared" si="71"/>
        <v>0.3164652647</v>
      </c>
      <c r="Q188" s="139">
        <f t="shared" si="71"/>
        <v>0.3006420015</v>
      </c>
    </row>
    <row r="189">
      <c r="A189" s="148" t="s">
        <v>177</v>
      </c>
      <c r="B189" s="129">
        <v>430.0</v>
      </c>
      <c r="C189" s="137">
        <f t="shared" ref="C189:Q189" si="72">C177/$B177</f>
        <v>0.6545454545</v>
      </c>
      <c r="D189" s="138">
        <f t="shared" si="72"/>
        <v>0.6087272727</v>
      </c>
      <c r="E189" s="138">
        <f t="shared" si="72"/>
        <v>0.5782909091</v>
      </c>
      <c r="F189" s="138">
        <f t="shared" si="72"/>
        <v>0.5493763636</v>
      </c>
      <c r="G189" s="138">
        <f t="shared" si="72"/>
        <v>0.5219075455</v>
      </c>
      <c r="H189" s="138">
        <f t="shared" si="72"/>
        <v>0.4958121682</v>
      </c>
      <c r="I189" s="138">
        <f t="shared" si="72"/>
        <v>0.4710215598</v>
      </c>
      <c r="J189" s="138">
        <f t="shared" si="72"/>
        <v>0.4474704818</v>
      </c>
      <c r="K189" s="138">
        <f t="shared" si="72"/>
        <v>0.4250969577</v>
      </c>
      <c r="L189" s="138">
        <f t="shared" si="72"/>
        <v>0.4038421098</v>
      </c>
      <c r="M189" s="138">
        <f t="shared" si="72"/>
        <v>0.3836500043</v>
      </c>
      <c r="N189" s="138">
        <f t="shared" si="72"/>
        <v>0.3644675041</v>
      </c>
      <c r="O189" s="138">
        <f t="shared" si="72"/>
        <v>0.3462441289</v>
      </c>
      <c r="P189" s="138">
        <f t="shared" si="72"/>
        <v>0.3289319225</v>
      </c>
      <c r="Q189" s="139">
        <f t="shared" si="72"/>
        <v>0.3124853263</v>
      </c>
    </row>
    <row r="190">
      <c r="A190" s="148" t="s">
        <v>178</v>
      </c>
      <c r="B190" s="129">
        <v>110.0</v>
      </c>
      <c r="C190" s="137">
        <f t="shared" ref="C190:Q190" si="73">C178/$B178</f>
        <v>0.2465116279</v>
      </c>
      <c r="D190" s="138">
        <f t="shared" si="73"/>
        <v>0.2391162791</v>
      </c>
      <c r="E190" s="138">
        <f t="shared" si="73"/>
        <v>0.2271604651</v>
      </c>
      <c r="F190" s="138">
        <f t="shared" si="73"/>
        <v>0.2158024419</v>
      </c>
      <c r="G190" s="138">
        <f t="shared" si="73"/>
        <v>0.2050123198</v>
      </c>
      <c r="H190" s="138">
        <f t="shared" si="73"/>
        <v>0.1947617038</v>
      </c>
      <c r="I190" s="138">
        <f t="shared" si="73"/>
        <v>0.1850236186</v>
      </c>
      <c r="J190" s="138">
        <f t="shared" si="73"/>
        <v>0.1757724377</v>
      </c>
      <c r="K190" s="138">
        <f t="shared" si="73"/>
        <v>0.1669838158</v>
      </c>
      <c r="L190" s="138">
        <f t="shared" si="73"/>
        <v>0.158634625</v>
      </c>
      <c r="M190" s="138">
        <f t="shared" si="73"/>
        <v>0.1507028937</v>
      </c>
      <c r="N190" s="138">
        <f t="shared" si="73"/>
        <v>0.1431677491</v>
      </c>
      <c r="O190" s="138">
        <f t="shared" si="73"/>
        <v>0.1360093616</v>
      </c>
      <c r="P190" s="138">
        <f t="shared" si="73"/>
        <v>0.1292088935</v>
      </c>
      <c r="Q190" s="139">
        <f t="shared" si="73"/>
        <v>0.1227484488</v>
      </c>
    </row>
    <row r="191">
      <c r="A191" s="153" t="s">
        <v>102</v>
      </c>
      <c r="B191" s="21"/>
      <c r="C191" s="154">
        <f t="shared" ref="C191:Q191" si="74">AVERAGE(C186:C190)</f>
        <v>0.5246865199</v>
      </c>
      <c r="D191" s="154">
        <f t="shared" si="74"/>
        <v>0.4909648791</v>
      </c>
      <c r="E191" s="154">
        <f t="shared" si="74"/>
        <v>0.4664166351</v>
      </c>
      <c r="F191" s="154">
        <f t="shared" si="74"/>
        <v>0.4430958034</v>
      </c>
      <c r="G191" s="154">
        <f t="shared" si="74"/>
        <v>0.4209410132</v>
      </c>
      <c r="H191" s="154">
        <f t="shared" si="74"/>
        <v>0.3945373474</v>
      </c>
      <c r="I191" s="154">
        <f t="shared" si="74"/>
        <v>0.3738462893</v>
      </c>
      <c r="J191" s="154">
        <f t="shared" si="74"/>
        <v>0.3551539748</v>
      </c>
      <c r="K191" s="154">
        <f t="shared" si="74"/>
        <v>0.3373962761</v>
      </c>
      <c r="L191" s="154">
        <f t="shared" si="74"/>
        <v>0.3205264623</v>
      </c>
      <c r="M191" s="154">
        <f t="shared" si="74"/>
        <v>0.3045001391</v>
      </c>
      <c r="N191" s="154">
        <f t="shared" si="74"/>
        <v>0.2892751322</v>
      </c>
      <c r="O191" s="154">
        <f t="shared" si="74"/>
        <v>0.2748113756</v>
      </c>
      <c r="P191" s="154">
        <f t="shared" si="74"/>
        <v>0.2610708068</v>
      </c>
      <c r="Q191" s="154">
        <f t="shared" si="74"/>
        <v>0.2480172665</v>
      </c>
    </row>
    <row r="194">
      <c r="B194" s="107"/>
      <c r="C194" s="71"/>
      <c r="D194" s="71"/>
      <c r="E194" s="71"/>
      <c r="F194" s="71"/>
      <c r="G194" s="71"/>
      <c r="H194" s="71"/>
      <c r="I194" s="71"/>
      <c r="J194" s="40"/>
      <c r="L194" s="155" t="s">
        <v>180</v>
      </c>
      <c r="M194" s="40"/>
      <c r="N194" s="157" t="s">
        <v>177</v>
      </c>
      <c r="O194" s="71"/>
      <c r="P194" s="40"/>
    </row>
    <row r="195">
      <c r="B195" s="42"/>
      <c r="J195" s="43"/>
      <c r="L195" s="44"/>
      <c r="M195" s="21"/>
      <c r="N195" s="44"/>
      <c r="O195" s="20"/>
      <c r="P195" s="21"/>
    </row>
    <row r="196">
      <c r="B196" s="42"/>
      <c r="J196" s="43"/>
      <c r="L196" s="144"/>
      <c r="M196" s="144"/>
    </row>
    <row r="197">
      <c r="B197" s="42"/>
      <c r="J197" s="43"/>
      <c r="L197" s="155" t="s">
        <v>181</v>
      </c>
      <c r="M197" s="40"/>
      <c r="N197" s="157" t="s">
        <v>178</v>
      </c>
      <c r="O197" s="71"/>
      <c r="P197" s="40"/>
    </row>
    <row r="198">
      <c r="B198" s="42"/>
      <c r="J198" s="43"/>
      <c r="L198" s="44"/>
      <c r="M198" s="21"/>
      <c r="N198" s="44"/>
      <c r="O198" s="20"/>
      <c r="P198" s="21"/>
    </row>
    <row r="199">
      <c r="B199" s="42"/>
      <c r="J199" s="43"/>
      <c r="L199" s="144"/>
      <c r="M199" s="144"/>
    </row>
    <row r="200">
      <c r="B200" s="42"/>
      <c r="J200" s="43"/>
      <c r="L200" s="155" t="s">
        <v>141</v>
      </c>
      <c r="M200" s="40"/>
      <c r="N200" s="41" t="s">
        <v>182</v>
      </c>
      <c r="O200" s="71"/>
      <c r="P200" s="71"/>
      <c r="Q200" s="40"/>
    </row>
    <row r="201">
      <c r="B201" s="42"/>
      <c r="J201" s="43"/>
      <c r="L201" s="42"/>
      <c r="M201" s="43"/>
      <c r="N201" s="42"/>
      <c r="Q201" s="43"/>
    </row>
    <row r="202">
      <c r="B202" s="42"/>
      <c r="J202" s="43"/>
      <c r="L202" s="42"/>
      <c r="M202" s="43"/>
      <c r="N202" s="42"/>
      <c r="Q202" s="43"/>
    </row>
    <row r="203">
      <c r="B203" s="42"/>
      <c r="J203" s="43"/>
      <c r="L203" s="42"/>
      <c r="M203" s="43"/>
      <c r="N203" s="42"/>
      <c r="Q203" s="43"/>
    </row>
    <row r="204">
      <c r="B204" s="42"/>
      <c r="J204" s="43"/>
      <c r="L204" s="42"/>
      <c r="M204" s="43"/>
      <c r="N204" s="42"/>
      <c r="Q204" s="43"/>
    </row>
    <row r="205">
      <c r="B205" s="42"/>
      <c r="J205" s="43"/>
      <c r="L205" s="44"/>
      <c r="M205" s="21"/>
      <c r="N205" s="44"/>
      <c r="O205" s="20"/>
      <c r="P205" s="20"/>
      <c r="Q205" s="21"/>
    </row>
    <row r="206">
      <c r="B206" s="42"/>
      <c r="J206" s="43"/>
    </row>
    <row r="207">
      <c r="B207" s="42"/>
      <c r="J207" s="43"/>
    </row>
    <row r="208">
      <c r="B208" s="42"/>
      <c r="J208" s="43"/>
    </row>
    <row r="209">
      <c r="B209" s="42"/>
      <c r="J209" s="43"/>
    </row>
    <row r="210">
      <c r="B210" s="42"/>
      <c r="J210" s="43"/>
    </row>
    <row r="211">
      <c r="B211" s="42"/>
      <c r="J211" s="43"/>
    </row>
    <row r="212">
      <c r="B212" s="42"/>
      <c r="J212" s="43"/>
    </row>
    <row r="213">
      <c r="B213" s="42"/>
      <c r="J213" s="43"/>
    </row>
    <row r="214">
      <c r="B214" s="44"/>
      <c r="C214" s="20"/>
      <c r="D214" s="20"/>
      <c r="E214" s="20"/>
      <c r="F214" s="20"/>
      <c r="G214" s="20"/>
      <c r="H214" s="20"/>
      <c r="I214" s="20"/>
      <c r="J214" s="21"/>
    </row>
  </sheetData>
  <mergeCells count="65">
    <mergeCell ref="A118:B119"/>
    <mergeCell ref="C118:Q118"/>
    <mergeCell ref="C119:Q119"/>
    <mergeCell ref="A132:B133"/>
    <mergeCell ref="C132:Q132"/>
    <mergeCell ref="C133:Q133"/>
    <mergeCell ref="A143:B143"/>
    <mergeCell ref="B146:J166"/>
    <mergeCell ref="L147:M148"/>
    <mergeCell ref="N147:P148"/>
    <mergeCell ref="L150:M151"/>
    <mergeCell ref="N150:P151"/>
    <mergeCell ref="L153:M158"/>
    <mergeCell ref="N153:Q158"/>
    <mergeCell ref="A1:Q1"/>
    <mergeCell ref="A2:M2"/>
    <mergeCell ref="A3:M3"/>
    <mergeCell ref="A4:M4"/>
    <mergeCell ref="A5:M5"/>
    <mergeCell ref="A6:M6"/>
    <mergeCell ref="A7:M7"/>
    <mergeCell ref="A8:M8"/>
    <mergeCell ref="A9:M9"/>
    <mergeCell ref="A11:B12"/>
    <mergeCell ref="C11:Q11"/>
    <mergeCell ref="C12:Q12"/>
    <mergeCell ref="C26:Q26"/>
    <mergeCell ref="C27:Q27"/>
    <mergeCell ref="L48:M53"/>
    <mergeCell ref="N48:Q53"/>
    <mergeCell ref="A26:B27"/>
    <mergeCell ref="A38:B38"/>
    <mergeCell ref="B41:J61"/>
    <mergeCell ref="L42:M43"/>
    <mergeCell ref="N42:P43"/>
    <mergeCell ref="L45:M46"/>
    <mergeCell ref="N45:P46"/>
    <mergeCell ref="A65:B66"/>
    <mergeCell ref="C65:Q65"/>
    <mergeCell ref="C66:Q66"/>
    <mergeCell ref="A80:B81"/>
    <mergeCell ref="C80:Q80"/>
    <mergeCell ref="C81:Q81"/>
    <mergeCell ref="A92:B92"/>
    <mergeCell ref="B95:J115"/>
    <mergeCell ref="L96:M97"/>
    <mergeCell ref="N96:P97"/>
    <mergeCell ref="L99:M100"/>
    <mergeCell ref="N99:P100"/>
    <mergeCell ref="L102:M107"/>
    <mergeCell ref="N102:Q107"/>
    <mergeCell ref="B194:J214"/>
    <mergeCell ref="L194:M195"/>
    <mergeCell ref="N194:P195"/>
    <mergeCell ref="L197:M198"/>
    <mergeCell ref="N197:P198"/>
    <mergeCell ref="L200:M205"/>
    <mergeCell ref="N200:Q205"/>
    <mergeCell ref="A170:B171"/>
    <mergeCell ref="C170:Q170"/>
    <mergeCell ref="C171:Q171"/>
    <mergeCell ref="A182:B183"/>
    <mergeCell ref="C182:Q182"/>
    <mergeCell ref="C183:Q183"/>
    <mergeCell ref="A191:B19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4" max="4" width="15.0"/>
    <col customWidth="1" min="5" max="5" width="21.14"/>
    <col customWidth="1" min="6" max="6" width="16.0"/>
    <col customWidth="1" min="7" max="7" width="18.57"/>
  </cols>
  <sheetData>
    <row r="1">
      <c r="A1" s="161" t="s">
        <v>14</v>
      </c>
      <c r="B1" s="3"/>
      <c r="C1" s="3"/>
      <c r="D1" s="3"/>
      <c r="E1" s="3"/>
      <c r="F1" s="3"/>
      <c r="G1" s="3"/>
      <c r="H1" s="3"/>
      <c r="I1" s="3"/>
      <c r="J1" s="3"/>
      <c r="K1" s="3"/>
      <c r="L1" s="3"/>
      <c r="M1" s="4"/>
    </row>
    <row r="2">
      <c r="A2" s="162" t="s">
        <v>183</v>
      </c>
      <c r="B2" s="3"/>
      <c r="C2" s="3"/>
      <c r="D2" s="3"/>
      <c r="E2" s="3"/>
      <c r="F2" s="3"/>
      <c r="G2" s="3"/>
      <c r="H2" s="4"/>
      <c r="K2" s="163"/>
      <c r="L2" s="163"/>
      <c r="M2" s="163"/>
    </row>
    <row r="3">
      <c r="A3" s="112" t="s">
        <v>184</v>
      </c>
      <c r="B3" s="71"/>
      <c r="C3" s="71"/>
      <c r="D3" s="71"/>
      <c r="E3" s="71"/>
      <c r="F3" s="71"/>
      <c r="G3" s="71"/>
      <c r="H3" s="40"/>
      <c r="K3" s="163"/>
      <c r="L3" s="163"/>
      <c r="M3" s="163"/>
    </row>
    <row r="4">
      <c r="A4" s="164" t="s">
        <v>20</v>
      </c>
      <c r="B4" s="71"/>
      <c r="C4" s="71"/>
      <c r="D4" s="71"/>
      <c r="E4" s="71"/>
      <c r="F4" s="71"/>
      <c r="G4" s="71"/>
      <c r="H4" s="40"/>
      <c r="K4" s="163"/>
      <c r="L4" s="163"/>
      <c r="M4" s="163"/>
    </row>
    <row r="5">
      <c r="A5" s="165" t="s">
        <v>185</v>
      </c>
      <c r="H5" s="43"/>
      <c r="K5" s="163"/>
      <c r="L5" s="163"/>
      <c r="M5" s="163"/>
    </row>
    <row r="6">
      <c r="A6" s="165" t="s">
        <v>186</v>
      </c>
      <c r="H6" s="43"/>
      <c r="K6" s="163"/>
      <c r="L6" s="163"/>
      <c r="M6" s="163"/>
    </row>
    <row r="7">
      <c r="A7" s="165" t="s">
        <v>187</v>
      </c>
      <c r="H7" s="43"/>
      <c r="K7" s="163"/>
      <c r="L7" s="163"/>
      <c r="M7" s="163"/>
    </row>
    <row r="8">
      <c r="A8" s="165" t="s">
        <v>188</v>
      </c>
      <c r="H8" s="43"/>
      <c r="K8" s="163"/>
      <c r="L8" s="163"/>
      <c r="M8" s="163"/>
    </row>
    <row r="9">
      <c r="A9" s="166" t="s">
        <v>189</v>
      </c>
      <c r="B9" s="20"/>
      <c r="C9" s="20"/>
      <c r="D9" s="20"/>
      <c r="E9" s="20"/>
      <c r="F9" s="20"/>
      <c r="G9" s="20"/>
      <c r="H9" s="21"/>
      <c r="K9" s="163"/>
      <c r="L9" s="163"/>
      <c r="M9" s="163"/>
    </row>
    <row r="10">
      <c r="A10" s="167" t="s">
        <v>122</v>
      </c>
      <c r="B10" s="3"/>
      <c r="C10" s="3"/>
      <c r="D10" s="3"/>
      <c r="E10" s="3"/>
      <c r="F10" s="3"/>
      <c r="G10" s="3"/>
      <c r="H10" s="4"/>
      <c r="I10" s="168"/>
      <c r="J10" s="168"/>
      <c r="K10" s="168"/>
      <c r="L10" s="168"/>
      <c r="M10" s="168"/>
    </row>
    <row r="11">
      <c r="A11" s="169" t="s">
        <v>97</v>
      </c>
      <c r="B11" s="20"/>
      <c r="C11" s="20"/>
      <c r="D11" s="20"/>
      <c r="E11" s="20"/>
      <c r="F11" s="20"/>
      <c r="G11" s="20"/>
      <c r="H11" s="20"/>
      <c r="I11" s="20"/>
      <c r="J11" s="20"/>
      <c r="K11" s="20"/>
      <c r="L11" s="20"/>
      <c r="M11" s="21"/>
    </row>
    <row r="12">
      <c r="A12" s="170" t="s">
        <v>98</v>
      </c>
      <c r="B12" s="171" t="s">
        <v>190</v>
      </c>
      <c r="C12" s="172" t="s">
        <v>100</v>
      </c>
      <c r="D12" s="3"/>
      <c r="E12" s="3"/>
      <c r="F12" s="3"/>
      <c r="G12" s="3"/>
      <c r="H12" s="3"/>
      <c r="I12" s="3"/>
      <c r="J12" s="3"/>
      <c r="K12" s="3"/>
      <c r="L12" s="3"/>
      <c r="M12" s="4"/>
    </row>
    <row r="13">
      <c r="A13" s="173"/>
      <c r="B13" s="174"/>
      <c r="C13" s="175">
        <v>0.0</v>
      </c>
      <c r="D13" s="175">
        <v>1.0</v>
      </c>
      <c r="E13" s="175">
        <v>2.0</v>
      </c>
      <c r="F13" s="175">
        <v>3.0</v>
      </c>
      <c r="G13" s="175">
        <v>4.0</v>
      </c>
      <c r="H13" s="175">
        <v>5.0</v>
      </c>
      <c r="I13" s="175">
        <v>6.0</v>
      </c>
      <c r="J13" s="175">
        <v>7.0</v>
      </c>
      <c r="K13" s="175">
        <v>8.0</v>
      </c>
      <c r="L13" s="175">
        <v>9.0</v>
      </c>
      <c r="M13" s="175">
        <v>10.0</v>
      </c>
    </row>
    <row r="14">
      <c r="A14" s="176">
        <v>43617.0</v>
      </c>
      <c r="B14" s="177">
        <v>240.0</v>
      </c>
      <c r="C14" s="178">
        <v>237.0</v>
      </c>
      <c r="D14" s="179">
        <f>224*0.8</f>
        <v>179.2</v>
      </c>
      <c r="E14" s="179">
        <f>217*0.8</f>
        <v>173.6</v>
      </c>
      <c r="F14" s="179">
        <f>203*0.8</f>
        <v>162.4</v>
      </c>
      <c r="G14" s="179">
        <f>192*0.8</f>
        <v>153.6</v>
      </c>
      <c r="H14" s="179">
        <f>179*0.8</f>
        <v>143.2</v>
      </c>
      <c r="I14" s="179">
        <f>163*0.8</f>
        <v>130.4</v>
      </c>
      <c r="J14" s="179">
        <f>158*0.8</f>
        <v>126.4</v>
      </c>
      <c r="K14" s="179">
        <f>150*0.8</f>
        <v>120</v>
      </c>
      <c r="L14" s="179">
        <f>147*0.8</f>
        <v>117.6</v>
      </c>
      <c r="M14" s="179">
        <f>143*0.8</f>
        <v>114.4</v>
      </c>
    </row>
    <row r="15">
      <c r="A15" s="176">
        <v>43623.0</v>
      </c>
      <c r="B15" s="177">
        <v>324.0</v>
      </c>
      <c r="C15" s="178">
        <v>307.0</v>
      </c>
      <c r="D15" s="179">
        <f>283*0.8</f>
        <v>226.4</v>
      </c>
      <c r="E15" s="179">
        <f>268*0.8</f>
        <v>214.4</v>
      </c>
      <c r="F15" s="179">
        <f>242*0.8</f>
        <v>193.6</v>
      </c>
      <c r="G15" s="179">
        <f>229*0.8</f>
        <v>183.2</v>
      </c>
      <c r="H15" s="179">
        <f>213*0.8</f>
        <v>170.4</v>
      </c>
      <c r="I15" s="179">
        <f>195*0.8</f>
        <v>156</v>
      </c>
      <c r="J15" s="179">
        <f>190*0.8</f>
        <v>152</v>
      </c>
      <c r="K15" s="179">
        <f>182*0.8</f>
        <v>145.6</v>
      </c>
      <c r="L15" s="179">
        <v>143.0</v>
      </c>
      <c r="M15" s="180"/>
    </row>
    <row r="16">
      <c r="A16" s="176">
        <v>43630.0</v>
      </c>
      <c r="B16" s="177">
        <v>425.0</v>
      </c>
      <c r="C16" s="178">
        <v>414.0</v>
      </c>
      <c r="D16" s="179">
        <f>392*0.8</f>
        <v>313.6</v>
      </c>
      <c r="E16" s="179">
        <f>378*0.8</f>
        <v>302.4</v>
      </c>
      <c r="F16" s="179">
        <f>353*0.8</f>
        <v>282.4</v>
      </c>
      <c r="G16" s="179">
        <f>337*0.8</f>
        <v>269.6</v>
      </c>
      <c r="H16" s="179">
        <f>305*0.8</f>
        <v>244</v>
      </c>
      <c r="I16" s="179">
        <f>293*0.8</f>
        <v>234.4</v>
      </c>
      <c r="J16" s="179">
        <f>285*0.8</f>
        <v>228</v>
      </c>
      <c r="K16" s="179">
        <f>271*0.8</f>
        <v>216.8</v>
      </c>
      <c r="L16" s="180"/>
      <c r="M16" s="180"/>
    </row>
    <row r="17">
      <c r="A17" s="176">
        <v>43637.0</v>
      </c>
      <c r="B17" s="177">
        <v>634.0</v>
      </c>
      <c r="C17" s="178">
        <v>618.0</v>
      </c>
      <c r="D17" s="179">
        <f>587*0.8</f>
        <v>469.6</v>
      </c>
      <c r="E17" s="179">
        <f>554*0.8</f>
        <v>443.2</v>
      </c>
      <c r="F17" s="179">
        <f>530*0.8</f>
        <v>424</v>
      </c>
      <c r="G17" s="179">
        <f>507*0.8</f>
        <v>405.6</v>
      </c>
      <c r="H17" s="179">
        <f>482*0.8</f>
        <v>385.6</v>
      </c>
      <c r="I17" s="179">
        <f>458*0.8</f>
        <v>366.4</v>
      </c>
      <c r="J17" s="179">
        <f>442*0.8</f>
        <v>353.6</v>
      </c>
      <c r="K17" s="180"/>
      <c r="L17" s="180"/>
      <c r="M17" s="180"/>
    </row>
    <row r="18">
      <c r="A18" s="176">
        <v>43644.0</v>
      </c>
      <c r="B18" s="177">
        <v>796.0</v>
      </c>
      <c r="C18" s="178">
        <v>772.0</v>
      </c>
      <c r="D18" s="179">
        <f>753*0.8</f>
        <v>602.4</v>
      </c>
      <c r="E18" s="179">
        <f>729*0.8</f>
        <v>583.2</v>
      </c>
      <c r="F18" s="179">
        <f>694*0.8</f>
        <v>555.2</v>
      </c>
      <c r="G18" s="179">
        <f>649*0.8</f>
        <v>519.2</v>
      </c>
      <c r="H18" s="179">
        <f>612*0.8</f>
        <v>489.6</v>
      </c>
      <c r="I18" s="179">
        <f>586*0.8</f>
        <v>468.8</v>
      </c>
      <c r="J18" s="181"/>
      <c r="K18" s="181"/>
      <c r="L18" s="181"/>
      <c r="M18" s="181"/>
    </row>
    <row r="19">
      <c r="A19" s="176">
        <v>43651.0</v>
      </c>
      <c r="B19" s="177">
        <v>918.0</v>
      </c>
      <c r="C19" s="178">
        <v>885.0</v>
      </c>
      <c r="D19" s="179">
        <f>840*0.8</f>
        <v>672</v>
      </c>
      <c r="E19" s="179">
        <f>803*0.8</f>
        <v>642.4</v>
      </c>
      <c r="F19" s="179">
        <f>773*0.8</f>
        <v>618.4</v>
      </c>
      <c r="G19" s="179">
        <f>748*0.8</f>
        <v>598.4</v>
      </c>
      <c r="H19" s="179">
        <f>704*0.8</f>
        <v>563.2</v>
      </c>
      <c r="I19" s="181"/>
      <c r="J19" s="181"/>
      <c r="K19" s="181"/>
      <c r="L19" s="181"/>
      <c r="M19" s="181"/>
    </row>
    <row r="20">
      <c r="A20" s="176">
        <v>43658.0</v>
      </c>
      <c r="B20" s="177">
        <v>1129.0</v>
      </c>
      <c r="C20" s="178">
        <v>1084.0</v>
      </c>
      <c r="D20" s="179">
        <f>1030*0.8</f>
        <v>824</v>
      </c>
      <c r="E20" s="179">
        <f>974*0.8</f>
        <v>779.2</v>
      </c>
      <c r="F20" s="179">
        <f>928*0.8</f>
        <v>742.4</v>
      </c>
      <c r="G20" s="179">
        <f>894*0.8</f>
        <v>715.2</v>
      </c>
      <c r="H20" s="181"/>
      <c r="I20" s="181"/>
      <c r="J20" s="181"/>
      <c r="K20" s="181"/>
      <c r="L20" s="181"/>
      <c r="M20" s="181"/>
    </row>
    <row r="21">
      <c r="A21" s="176">
        <v>43665.0</v>
      </c>
      <c r="B21" s="177">
        <v>1298.0</v>
      </c>
      <c r="C21" s="178">
        <v>1218.0</v>
      </c>
      <c r="D21" s="179">
        <f>1175*0.8</f>
        <v>940</v>
      </c>
      <c r="E21" s="179">
        <f>1085*0.8</f>
        <v>868</v>
      </c>
      <c r="F21" s="179">
        <f>1005*0.8</f>
        <v>804</v>
      </c>
      <c r="G21" s="181"/>
      <c r="H21" s="181"/>
      <c r="I21" s="181"/>
      <c r="J21" s="181"/>
      <c r="K21" s="181"/>
      <c r="L21" s="181"/>
      <c r="M21" s="181"/>
    </row>
    <row r="22">
      <c r="A22" s="176">
        <v>43672.0</v>
      </c>
      <c r="B22" s="177">
        <v>1420.0</v>
      </c>
      <c r="C22" s="178">
        <v>1350.0</v>
      </c>
      <c r="D22" s="179">
        <f>1297*0.8</f>
        <v>1037.6</v>
      </c>
      <c r="E22" s="179">
        <f>1207*0.8</f>
        <v>965.6</v>
      </c>
      <c r="F22" s="181"/>
      <c r="G22" s="181"/>
      <c r="H22" s="181"/>
      <c r="I22" s="181"/>
      <c r="J22" s="181"/>
      <c r="K22" s="181"/>
      <c r="L22" s="181"/>
      <c r="M22" s="181"/>
    </row>
    <row r="23">
      <c r="A23" s="176">
        <v>43680.0</v>
      </c>
      <c r="B23" s="177">
        <v>1670.0</v>
      </c>
      <c r="C23" s="178">
        <v>1587.0</v>
      </c>
      <c r="D23" s="179">
        <f>1502*0.8</f>
        <v>1201.6</v>
      </c>
      <c r="E23" s="181"/>
      <c r="F23" s="181"/>
      <c r="G23" s="181"/>
      <c r="H23" s="181"/>
      <c r="I23" s="181"/>
      <c r="J23" s="181"/>
      <c r="K23" s="181"/>
      <c r="L23" s="181"/>
      <c r="M23" s="181"/>
    </row>
    <row r="24">
      <c r="A24" s="176">
        <v>43687.0</v>
      </c>
      <c r="B24" s="177">
        <v>1820.0</v>
      </c>
      <c r="C24" s="178">
        <v>1718.0</v>
      </c>
      <c r="D24" s="181"/>
      <c r="E24" s="181"/>
      <c r="F24" s="181"/>
      <c r="G24" s="181"/>
      <c r="H24" s="181"/>
      <c r="I24" s="181"/>
      <c r="J24" s="181"/>
      <c r="K24" s="181"/>
      <c r="L24" s="181"/>
      <c r="M24" s="181"/>
    </row>
    <row r="25">
      <c r="A25" s="182"/>
      <c r="B25" s="178"/>
      <c r="C25" s="181"/>
      <c r="D25" s="181"/>
      <c r="E25" s="181"/>
      <c r="F25" s="181"/>
      <c r="G25" s="181"/>
      <c r="H25" s="181"/>
      <c r="I25" s="181"/>
      <c r="J25" s="181"/>
      <c r="K25" s="181"/>
      <c r="L25" s="181"/>
      <c r="M25" s="181"/>
    </row>
    <row r="26">
      <c r="A26" s="183"/>
      <c r="B26" s="168"/>
      <c r="C26" s="168"/>
      <c r="D26" s="168"/>
      <c r="E26" s="168"/>
      <c r="F26" s="168"/>
      <c r="G26" s="168"/>
      <c r="H26" s="168"/>
      <c r="I26" s="168"/>
      <c r="J26" s="168"/>
      <c r="K26" s="168"/>
      <c r="L26" s="168"/>
      <c r="M26" s="181"/>
    </row>
    <row r="27">
      <c r="A27" s="169" t="s">
        <v>191</v>
      </c>
      <c r="B27" s="20"/>
      <c r="C27" s="20"/>
      <c r="D27" s="20"/>
      <c r="E27" s="20"/>
      <c r="F27" s="20"/>
      <c r="G27" s="20"/>
      <c r="H27" s="20"/>
      <c r="I27" s="20"/>
      <c r="J27" s="20"/>
      <c r="K27" s="20"/>
      <c r="L27" s="20"/>
      <c r="M27" s="21"/>
    </row>
    <row r="28">
      <c r="A28" s="170" t="s">
        <v>98</v>
      </c>
      <c r="B28" s="171" t="s">
        <v>190</v>
      </c>
      <c r="C28" s="172" t="s">
        <v>192</v>
      </c>
      <c r="D28" s="3"/>
      <c r="E28" s="3"/>
      <c r="F28" s="3"/>
      <c r="G28" s="3"/>
      <c r="H28" s="3"/>
      <c r="I28" s="3"/>
      <c r="J28" s="3"/>
      <c r="K28" s="3"/>
      <c r="L28" s="3"/>
      <c r="M28" s="4"/>
    </row>
    <row r="29">
      <c r="A29" s="184"/>
      <c r="B29" s="185"/>
      <c r="C29" s="186">
        <v>0.0</v>
      </c>
      <c r="D29" s="186">
        <v>1.0</v>
      </c>
      <c r="E29" s="186">
        <v>2.0</v>
      </c>
      <c r="F29" s="186">
        <v>3.0</v>
      </c>
      <c r="G29" s="186">
        <v>4.0</v>
      </c>
      <c r="H29" s="186">
        <v>5.0</v>
      </c>
      <c r="I29" s="186">
        <v>6.0</v>
      </c>
      <c r="J29" s="186">
        <v>7.0</v>
      </c>
      <c r="K29" s="186">
        <v>8.0</v>
      </c>
      <c r="L29" s="186">
        <v>9.0</v>
      </c>
      <c r="M29" s="178">
        <v>10.0</v>
      </c>
    </row>
    <row r="30">
      <c r="A30" s="187">
        <v>43617.0</v>
      </c>
      <c r="B30" s="188">
        <v>240.0</v>
      </c>
      <c r="C30" s="189">
        <f t="shared" ref="C30:M30" si="1">B14-C14</f>
        <v>3</v>
      </c>
      <c r="D30" s="190">
        <f t="shared" si="1"/>
        <v>57.8</v>
      </c>
      <c r="E30" s="190">
        <f t="shared" si="1"/>
        <v>5.6</v>
      </c>
      <c r="F30" s="190">
        <f t="shared" si="1"/>
        <v>11.2</v>
      </c>
      <c r="G30" s="190">
        <f t="shared" si="1"/>
        <v>8.8</v>
      </c>
      <c r="H30" s="190">
        <f t="shared" si="1"/>
        <v>10.4</v>
      </c>
      <c r="I30" s="190">
        <f t="shared" si="1"/>
        <v>12.8</v>
      </c>
      <c r="J30" s="190">
        <f t="shared" si="1"/>
        <v>4</v>
      </c>
      <c r="K30" s="190">
        <f t="shared" si="1"/>
        <v>6.4</v>
      </c>
      <c r="L30" s="190">
        <f t="shared" si="1"/>
        <v>2.4</v>
      </c>
      <c r="M30" s="190">
        <f t="shared" si="1"/>
        <v>3.2</v>
      </c>
    </row>
    <row r="31">
      <c r="A31" s="176">
        <v>43623.0</v>
      </c>
      <c r="B31" s="177">
        <v>324.0</v>
      </c>
      <c r="C31" s="178">
        <f t="shared" ref="C31:L31" si="2">B15-C15</f>
        <v>17</v>
      </c>
      <c r="D31" s="179">
        <f t="shared" si="2"/>
        <v>80.6</v>
      </c>
      <c r="E31" s="179">
        <f t="shared" si="2"/>
        <v>12</v>
      </c>
      <c r="F31" s="179">
        <f t="shared" si="2"/>
        <v>20.8</v>
      </c>
      <c r="G31" s="179">
        <f t="shared" si="2"/>
        <v>10.4</v>
      </c>
      <c r="H31" s="179">
        <f t="shared" si="2"/>
        <v>12.8</v>
      </c>
      <c r="I31" s="179">
        <f t="shared" si="2"/>
        <v>14.4</v>
      </c>
      <c r="J31" s="179">
        <f t="shared" si="2"/>
        <v>4</v>
      </c>
      <c r="K31" s="179">
        <f t="shared" si="2"/>
        <v>6.4</v>
      </c>
      <c r="L31" s="179">
        <f t="shared" si="2"/>
        <v>2.6</v>
      </c>
      <c r="M31" s="181"/>
    </row>
    <row r="32">
      <c r="A32" s="176">
        <v>43630.0</v>
      </c>
      <c r="B32" s="177">
        <v>425.0</v>
      </c>
      <c r="C32" s="178">
        <f t="shared" ref="C32:K32" si="3">B16-C16</f>
        <v>11</v>
      </c>
      <c r="D32" s="179">
        <f t="shared" si="3"/>
        <v>100.4</v>
      </c>
      <c r="E32" s="179">
        <f t="shared" si="3"/>
        <v>11.2</v>
      </c>
      <c r="F32" s="179">
        <f t="shared" si="3"/>
        <v>20</v>
      </c>
      <c r="G32" s="179">
        <f t="shared" si="3"/>
        <v>12.8</v>
      </c>
      <c r="H32" s="179">
        <f t="shared" si="3"/>
        <v>25.6</v>
      </c>
      <c r="I32" s="179">
        <f t="shared" si="3"/>
        <v>9.6</v>
      </c>
      <c r="J32" s="179">
        <f t="shared" si="3"/>
        <v>6.4</v>
      </c>
      <c r="K32" s="179">
        <f t="shared" si="3"/>
        <v>11.2</v>
      </c>
      <c r="L32" s="181"/>
      <c r="M32" s="181"/>
    </row>
    <row r="33">
      <c r="A33" s="176">
        <v>43637.0</v>
      </c>
      <c r="B33" s="177">
        <v>634.0</v>
      </c>
      <c r="C33" s="178">
        <f t="shared" ref="C33:J33" si="4">B17-C17</f>
        <v>16</v>
      </c>
      <c r="D33" s="179">
        <f t="shared" si="4"/>
        <v>148.4</v>
      </c>
      <c r="E33" s="179">
        <f t="shared" si="4"/>
        <v>26.4</v>
      </c>
      <c r="F33" s="179">
        <f t="shared" si="4"/>
        <v>19.2</v>
      </c>
      <c r="G33" s="179">
        <f t="shared" si="4"/>
        <v>18.4</v>
      </c>
      <c r="H33" s="179">
        <f t="shared" si="4"/>
        <v>20</v>
      </c>
      <c r="I33" s="179">
        <f t="shared" si="4"/>
        <v>19.2</v>
      </c>
      <c r="J33" s="179">
        <f t="shared" si="4"/>
        <v>12.8</v>
      </c>
      <c r="K33" s="181"/>
      <c r="L33" s="181"/>
      <c r="M33" s="181"/>
    </row>
    <row r="34">
      <c r="A34" s="176">
        <v>43644.0</v>
      </c>
      <c r="B34" s="177">
        <v>796.0</v>
      </c>
      <c r="C34" s="178">
        <f t="shared" ref="C34:I34" si="5">B18-C18</f>
        <v>24</v>
      </c>
      <c r="D34" s="179">
        <f t="shared" si="5"/>
        <v>169.6</v>
      </c>
      <c r="E34" s="179">
        <f t="shared" si="5"/>
        <v>19.2</v>
      </c>
      <c r="F34" s="179">
        <f t="shared" si="5"/>
        <v>28</v>
      </c>
      <c r="G34" s="179">
        <f t="shared" si="5"/>
        <v>36</v>
      </c>
      <c r="H34" s="179">
        <f t="shared" si="5"/>
        <v>29.6</v>
      </c>
      <c r="I34" s="179">
        <f t="shared" si="5"/>
        <v>20.8</v>
      </c>
      <c r="J34" s="181"/>
      <c r="K34" s="181"/>
      <c r="L34" s="181"/>
      <c r="M34" s="181"/>
    </row>
    <row r="35">
      <c r="A35" s="176">
        <v>43651.0</v>
      </c>
      <c r="B35" s="177">
        <v>918.0</v>
      </c>
      <c r="C35" s="178">
        <f t="shared" ref="C35:H35" si="6">B19-C19</f>
        <v>33</v>
      </c>
      <c r="D35" s="179">
        <f t="shared" si="6"/>
        <v>213</v>
      </c>
      <c r="E35" s="179">
        <f t="shared" si="6"/>
        <v>29.6</v>
      </c>
      <c r="F35" s="179">
        <f t="shared" si="6"/>
        <v>24</v>
      </c>
      <c r="G35" s="179">
        <f t="shared" si="6"/>
        <v>20</v>
      </c>
      <c r="H35" s="179">
        <f t="shared" si="6"/>
        <v>35.2</v>
      </c>
      <c r="I35" s="181"/>
      <c r="J35" s="181"/>
      <c r="K35" s="181"/>
      <c r="L35" s="181"/>
      <c r="M35" s="181"/>
    </row>
    <row r="36">
      <c r="A36" s="176">
        <v>43658.0</v>
      </c>
      <c r="B36" s="177">
        <v>1129.0</v>
      </c>
      <c r="C36" s="178">
        <f t="shared" ref="C36:G36" si="7">B20-C20</f>
        <v>45</v>
      </c>
      <c r="D36" s="179">
        <f t="shared" si="7"/>
        <v>260</v>
      </c>
      <c r="E36" s="179">
        <f t="shared" si="7"/>
        <v>44.8</v>
      </c>
      <c r="F36" s="179">
        <f t="shared" si="7"/>
        <v>36.8</v>
      </c>
      <c r="G36" s="179">
        <f t="shared" si="7"/>
        <v>27.2</v>
      </c>
      <c r="H36" s="181"/>
      <c r="I36" s="181"/>
      <c r="J36" s="181"/>
      <c r="K36" s="181"/>
      <c r="L36" s="181"/>
      <c r="M36" s="181"/>
    </row>
    <row r="37">
      <c r="A37" s="176">
        <v>43665.0</v>
      </c>
      <c r="B37" s="177">
        <v>1298.0</v>
      </c>
      <c r="C37" s="178">
        <f t="shared" ref="C37:F37" si="8">B21-C21</f>
        <v>80</v>
      </c>
      <c r="D37" s="179">
        <f t="shared" si="8"/>
        <v>278</v>
      </c>
      <c r="E37" s="179">
        <f t="shared" si="8"/>
        <v>72</v>
      </c>
      <c r="F37" s="179">
        <f t="shared" si="8"/>
        <v>64</v>
      </c>
      <c r="G37" s="181"/>
      <c r="H37" s="181"/>
      <c r="I37" s="181"/>
      <c r="J37" s="181"/>
      <c r="K37" s="181"/>
      <c r="L37" s="181"/>
      <c r="M37" s="181"/>
    </row>
    <row r="38">
      <c r="A38" s="176">
        <v>43672.0</v>
      </c>
      <c r="B38" s="177">
        <v>1420.0</v>
      </c>
      <c r="C38" s="178">
        <f t="shared" ref="C38:E38" si="9">B22-C22</f>
        <v>70</v>
      </c>
      <c r="D38" s="179">
        <f t="shared" si="9"/>
        <v>312.4</v>
      </c>
      <c r="E38" s="179">
        <f t="shared" si="9"/>
        <v>72</v>
      </c>
      <c r="F38" s="181"/>
      <c r="G38" s="181"/>
      <c r="H38" s="181"/>
      <c r="I38" s="181"/>
      <c r="J38" s="181"/>
      <c r="K38" s="181"/>
      <c r="L38" s="181"/>
      <c r="M38" s="181"/>
    </row>
    <row r="39">
      <c r="A39" s="176">
        <v>43680.0</v>
      </c>
      <c r="B39" s="177">
        <v>1670.0</v>
      </c>
      <c r="C39" s="178">
        <f t="shared" ref="C39:D39" si="10">B23-C23</f>
        <v>83</v>
      </c>
      <c r="D39" s="179">
        <f t="shared" si="10"/>
        <v>385.4</v>
      </c>
      <c r="E39" s="181"/>
      <c r="F39" s="181"/>
      <c r="G39" s="181"/>
      <c r="H39" s="181"/>
      <c r="I39" s="181"/>
      <c r="J39" s="181"/>
      <c r="K39" s="181"/>
      <c r="L39" s="181"/>
      <c r="M39" s="181"/>
    </row>
    <row r="40">
      <c r="A40" s="191">
        <v>43687.0</v>
      </c>
      <c r="B40" s="178">
        <v>1820.0</v>
      </c>
      <c r="C40" s="178">
        <f>B24-C24</f>
        <v>102</v>
      </c>
      <c r="D40" s="181"/>
      <c r="E40" s="181"/>
      <c r="F40" s="181"/>
      <c r="G40" s="181"/>
      <c r="H40" s="181"/>
      <c r="I40" s="181"/>
      <c r="J40" s="181"/>
      <c r="K40" s="181"/>
      <c r="L40" s="181"/>
      <c r="M40" s="181"/>
    </row>
    <row r="41">
      <c r="A41" s="163"/>
      <c r="B41" s="163"/>
      <c r="C41" s="163"/>
      <c r="D41" s="163"/>
      <c r="E41" s="163"/>
      <c r="F41" s="163"/>
      <c r="G41" s="163"/>
      <c r="H41" s="163"/>
      <c r="I41" s="163"/>
      <c r="J41" s="163"/>
      <c r="K41" s="163"/>
      <c r="L41" s="163"/>
      <c r="M41" s="163"/>
    </row>
    <row r="42">
      <c r="A42" s="163"/>
      <c r="B42" s="163"/>
      <c r="C42" s="163"/>
      <c r="D42" s="163"/>
      <c r="E42" s="163"/>
      <c r="F42" s="163"/>
      <c r="G42" s="163"/>
      <c r="H42" s="163"/>
      <c r="I42" s="163"/>
      <c r="J42" s="163"/>
      <c r="K42" s="163"/>
      <c r="L42" s="163"/>
      <c r="M42" s="163"/>
    </row>
    <row r="43">
      <c r="A43" s="192" t="s">
        <v>98</v>
      </c>
      <c r="B43" s="193" t="s">
        <v>190</v>
      </c>
      <c r="C43" s="194" t="s">
        <v>193</v>
      </c>
      <c r="D43" s="193" t="s">
        <v>194</v>
      </c>
      <c r="E43" s="193" t="s">
        <v>195</v>
      </c>
      <c r="F43" s="193" t="s">
        <v>196</v>
      </c>
      <c r="G43" s="194" t="s">
        <v>197</v>
      </c>
      <c r="H43" s="163"/>
      <c r="I43" s="163"/>
      <c r="J43" s="163"/>
      <c r="K43" s="163"/>
      <c r="L43" s="163"/>
      <c r="M43" s="163"/>
    </row>
    <row r="44">
      <c r="A44" s="195">
        <v>43617.0</v>
      </c>
      <c r="B44" s="175">
        <v>240.0</v>
      </c>
      <c r="C44" s="196">
        <v>237.0</v>
      </c>
      <c r="D44" s="197">
        <f>C30</f>
        <v>3</v>
      </c>
      <c r="E44" s="196">
        <v>474.0</v>
      </c>
      <c r="F44" s="198">
        <f t="shared" ref="F44:F54" si="11">C44*0.97</f>
        <v>229.89</v>
      </c>
      <c r="G44" s="199">
        <v>7.0</v>
      </c>
      <c r="H44" s="163"/>
      <c r="I44" s="163"/>
      <c r="J44" s="163"/>
      <c r="K44" s="163"/>
      <c r="L44" s="163"/>
      <c r="M44" s="163"/>
    </row>
    <row r="45">
      <c r="A45" s="195">
        <v>43623.0</v>
      </c>
      <c r="B45" s="175">
        <v>324.0</v>
      </c>
      <c r="C45" s="199">
        <v>486.0</v>
      </c>
      <c r="D45" s="199">
        <v>75.0</v>
      </c>
      <c r="E45" s="199">
        <v>735.0</v>
      </c>
      <c r="F45" s="198">
        <f t="shared" si="11"/>
        <v>471.42</v>
      </c>
      <c r="G45" s="200">
        <f t="shared" ref="G45:G54" si="12">C45-F45</f>
        <v>14.58</v>
      </c>
      <c r="H45" s="163"/>
      <c r="I45" s="163"/>
      <c r="J45" s="163"/>
      <c r="K45" s="163"/>
      <c r="L45" s="163"/>
      <c r="M45" s="163"/>
    </row>
    <row r="46">
      <c r="A46" s="195">
        <v>43630.0</v>
      </c>
      <c r="B46" s="175">
        <v>425.0</v>
      </c>
      <c r="C46" s="201">
        <f>C16+D15+E14</f>
        <v>814</v>
      </c>
      <c r="D46" s="201">
        <f>C32+D31+E30</f>
        <v>97.2</v>
      </c>
      <c r="E46" s="201">
        <f t="shared" ref="E46:E54" si="13">B46+F46+G46-D46</f>
        <v>1141.8</v>
      </c>
      <c r="F46" s="198">
        <f t="shared" si="11"/>
        <v>789.58</v>
      </c>
      <c r="G46" s="201">
        <f t="shared" si="12"/>
        <v>24.42</v>
      </c>
      <c r="H46" s="163"/>
      <c r="I46" s="163"/>
      <c r="J46" s="163"/>
      <c r="K46" s="163"/>
      <c r="L46" s="163"/>
      <c r="M46" s="163"/>
    </row>
    <row r="47">
      <c r="A47" s="195">
        <v>43637.0</v>
      </c>
      <c r="B47" s="175">
        <v>634.0</v>
      </c>
      <c r="C47" s="201">
        <f>C17+D16+E15+F14</f>
        <v>1308.4</v>
      </c>
      <c r="D47" s="201">
        <f>C33+D32+E31+F30</f>
        <v>139.6</v>
      </c>
      <c r="E47" s="201">
        <f t="shared" si="13"/>
        <v>1802.8</v>
      </c>
      <c r="F47" s="198">
        <f t="shared" si="11"/>
        <v>1269.148</v>
      </c>
      <c r="G47" s="201">
        <f t="shared" si="12"/>
        <v>39.252</v>
      </c>
      <c r="H47" s="163"/>
      <c r="I47" s="163"/>
      <c r="J47" s="163"/>
      <c r="K47" s="163"/>
      <c r="L47" s="163"/>
      <c r="M47" s="163"/>
    </row>
    <row r="48">
      <c r="A48" s="195">
        <v>43644.0</v>
      </c>
      <c r="B48" s="175">
        <v>796.0</v>
      </c>
      <c r="C48" s="201">
        <f>C18+D17+E16+F15+G14</f>
        <v>1891.2</v>
      </c>
      <c r="D48" s="201">
        <f>C34+D33+E32+F31+G30</f>
        <v>213.2</v>
      </c>
      <c r="E48" s="201">
        <f t="shared" si="13"/>
        <v>2474</v>
      </c>
      <c r="F48" s="198">
        <f t="shared" si="11"/>
        <v>1834.464</v>
      </c>
      <c r="G48" s="201">
        <f t="shared" si="12"/>
        <v>56.736</v>
      </c>
      <c r="H48" s="163"/>
      <c r="I48" s="163"/>
      <c r="J48" s="163"/>
      <c r="K48" s="163"/>
      <c r="L48" s="163"/>
      <c r="M48" s="163"/>
    </row>
    <row r="49">
      <c r="A49" s="195">
        <v>43651.0</v>
      </c>
      <c r="B49" s="175">
        <v>918.0</v>
      </c>
      <c r="C49" s="201">
        <f>C19+D18+E17+F16+G15+H14</f>
        <v>2539.4</v>
      </c>
      <c r="D49" s="201">
        <f>C35+D34+E33+F32+G31+H30</f>
        <v>269.8</v>
      </c>
      <c r="E49" s="201">
        <f t="shared" si="13"/>
        <v>3187.6</v>
      </c>
      <c r="F49" s="198">
        <f t="shared" si="11"/>
        <v>2463.218</v>
      </c>
      <c r="G49" s="201">
        <f t="shared" si="12"/>
        <v>76.182</v>
      </c>
      <c r="H49" s="163"/>
      <c r="I49" s="163"/>
      <c r="J49" s="163"/>
      <c r="K49" s="163"/>
      <c r="L49" s="163"/>
      <c r="M49" s="163"/>
    </row>
    <row r="50">
      <c r="A50" s="195">
        <v>43658.0</v>
      </c>
      <c r="B50" s="175">
        <v>1129.0</v>
      </c>
      <c r="C50" s="201">
        <f>C20+D19+E18+F17+G16+H15+I14</f>
        <v>3333.6</v>
      </c>
      <c r="D50" s="201">
        <f>C36+D35+E34+F33+G32+H31+I30</f>
        <v>334.8</v>
      </c>
      <c r="E50" s="201">
        <f t="shared" si="13"/>
        <v>4127.8</v>
      </c>
      <c r="F50" s="198">
        <f t="shared" si="11"/>
        <v>3233.592</v>
      </c>
      <c r="G50" s="201">
        <f t="shared" si="12"/>
        <v>100.008</v>
      </c>
      <c r="H50" s="163"/>
      <c r="I50" s="163"/>
      <c r="J50" s="163"/>
      <c r="K50" s="163"/>
      <c r="L50" s="163"/>
      <c r="M50" s="163"/>
    </row>
    <row r="51">
      <c r="A51" s="195">
        <v>43665.0</v>
      </c>
      <c r="B51" s="175">
        <v>1298.0</v>
      </c>
      <c r="C51" s="201">
        <f>C21+D20+E19+F18+G17+H16+I15+J14</f>
        <v>4171.6</v>
      </c>
      <c r="D51" s="201">
        <f>C37+D36+E35+F34+G33+H32+I31+J30</f>
        <v>460</v>
      </c>
      <c r="E51" s="201">
        <f t="shared" si="13"/>
        <v>5009.6</v>
      </c>
      <c r="F51" s="198">
        <f t="shared" si="11"/>
        <v>4046.452</v>
      </c>
      <c r="G51" s="201">
        <f t="shared" si="12"/>
        <v>125.148</v>
      </c>
      <c r="H51" s="163"/>
      <c r="I51" s="163"/>
      <c r="J51" s="163"/>
      <c r="K51" s="163"/>
      <c r="L51" s="163"/>
      <c r="M51" s="163"/>
    </row>
    <row r="52">
      <c r="A52" s="195">
        <v>43672.0</v>
      </c>
      <c r="B52" s="175">
        <v>1420.0</v>
      </c>
      <c r="C52" s="201">
        <f>C22+D21+E20+F19+G18+H17+I16+J15+K14</f>
        <v>5098.8</v>
      </c>
      <c r="D52" s="201">
        <f>C38+D37+E36+F35+G34+H33+I32+J31+K30</f>
        <v>492.8</v>
      </c>
      <c r="E52" s="201">
        <f t="shared" si="13"/>
        <v>6026</v>
      </c>
      <c r="F52" s="198">
        <f t="shared" si="11"/>
        <v>4945.836</v>
      </c>
      <c r="G52" s="201">
        <f t="shared" si="12"/>
        <v>152.964</v>
      </c>
      <c r="H52" s="163"/>
      <c r="I52" s="163"/>
      <c r="J52" s="163"/>
      <c r="K52" s="163"/>
      <c r="L52" s="163"/>
      <c r="M52" s="163"/>
    </row>
    <row r="53">
      <c r="A53" s="195">
        <v>43680.0</v>
      </c>
      <c r="B53" s="175">
        <v>1670.0</v>
      </c>
      <c r="C53" s="201">
        <f>C23+D22+E21+F20+G19+H18+I17+J16+K15+L14</f>
        <v>6180.6</v>
      </c>
      <c r="D53" s="201">
        <f>C39+D38+E37+F36+G35+H34+I33+J32+K31+L30</f>
        <v>588.2</v>
      </c>
      <c r="E53" s="201">
        <f t="shared" si="13"/>
        <v>7262.4</v>
      </c>
      <c r="F53" s="198">
        <f t="shared" si="11"/>
        <v>5995.182</v>
      </c>
      <c r="G53" s="201">
        <f t="shared" si="12"/>
        <v>185.418</v>
      </c>
      <c r="H53" s="163"/>
      <c r="I53" s="163"/>
      <c r="J53" s="163"/>
      <c r="K53" s="163"/>
      <c r="L53" s="163"/>
      <c r="M53" s="163"/>
    </row>
    <row r="54">
      <c r="A54" s="195">
        <v>43687.0</v>
      </c>
      <c r="B54" s="175">
        <v>1820.0</v>
      </c>
      <c r="C54" s="201">
        <f>C24+D23+E22+F21+G20+H19+I18+J17+K16+L15+M14</f>
        <v>7264.2</v>
      </c>
      <c r="D54" s="201">
        <f>C40+D39+E38+F37+G36+H35+I34+J33+K32+L31+M30</f>
        <v>736.4</v>
      </c>
      <c r="E54" s="201">
        <f t="shared" si="13"/>
        <v>8347.8</v>
      </c>
      <c r="F54" s="198">
        <f t="shared" si="11"/>
        <v>7046.274</v>
      </c>
      <c r="G54" s="201">
        <f t="shared" si="12"/>
        <v>217.926</v>
      </c>
      <c r="H54" s="163"/>
      <c r="I54" s="163"/>
      <c r="J54" s="163"/>
      <c r="K54" s="163"/>
      <c r="L54" s="163"/>
      <c r="M54" s="163"/>
    </row>
    <row r="55">
      <c r="A55" s="163"/>
      <c r="B55" s="168"/>
      <c r="C55" s="168"/>
      <c r="D55" s="168"/>
      <c r="E55" s="168"/>
      <c r="F55" s="168"/>
      <c r="G55" s="163"/>
      <c r="H55" s="163"/>
      <c r="I55" s="163"/>
      <c r="J55" s="163"/>
      <c r="K55" s="163"/>
      <c r="L55" s="163"/>
      <c r="M55" s="163"/>
    </row>
    <row r="56">
      <c r="A56" s="202"/>
      <c r="B56" s="203" t="s">
        <v>198</v>
      </c>
      <c r="C56" s="71"/>
      <c r="D56" s="71"/>
      <c r="E56" s="71"/>
      <c r="F56" s="40"/>
      <c r="G56" s="163"/>
      <c r="H56" s="163"/>
      <c r="I56" s="163"/>
      <c r="J56" s="163"/>
      <c r="K56" s="163"/>
      <c r="L56" s="163"/>
      <c r="M56" s="163"/>
    </row>
    <row r="57">
      <c r="A57" s="202"/>
      <c r="B57" s="42"/>
      <c r="F57" s="43"/>
      <c r="G57" s="163"/>
      <c r="H57" s="163"/>
      <c r="I57" s="163"/>
      <c r="J57" s="163"/>
      <c r="K57" s="163"/>
      <c r="L57" s="163"/>
      <c r="M57" s="163"/>
    </row>
    <row r="58">
      <c r="A58" s="202"/>
      <c r="B58" s="42"/>
      <c r="F58" s="43"/>
      <c r="G58" s="163"/>
      <c r="H58" s="163"/>
      <c r="I58" s="163"/>
      <c r="J58" s="163"/>
      <c r="K58" s="163"/>
      <c r="L58" s="163"/>
      <c r="M58" s="163"/>
    </row>
    <row r="59">
      <c r="A59" s="202"/>
      <c r="B59" s="42"/>
      <c r="F59" s="43"/>
      <c r="G59" s="163"/>
      <c r="H59" s="163"/>
      <c r="I59" s="163"/>
      <c r="J59" s="163"/>
      <c r="K59" s="163"/>
      <c r="L59" s="163"/>
      <c r="M59" s="163"/>
    </row>
    <row r="60">
      <c r="A60" s="202"/>
      <c r="B60" s="42"/>
      <c r="F60" s="43"/>
      <c r="G60" s="163"/>
      <c r="H60" s="163"/>
      <c r="I60" s="163"/>
      <c r="J60" s="163"/>
      <c r="K60" s="163"/>
      <c r="L60" s="163"/>
      <c r="M60" s="163"/>
    </row>
    <row r="61">
      <c r="A61" s="202"/>
      <c r="B61" s="42"/>
      <c r="F61" s="43"/>
      <c r="G61" s="163"/>
      <c r="H61" s="163"/>
      <c r="I61" s="163"/>
      <c r="J61" s="163"/>
      <c r="K61" s="163"/>
      <c r="L61" s="163"/>
      <c r="M61" s="163"/>
    </row>
    <row r="62">
      <c r="A62" s="202"/>
      <c r="B62" s="42"/>
      <c r="F62" s="43"/>
      <c r="G62" s="163"/>
      <c r="H62" s="163"/>
      <c r="I62" s="163"/>
      <c r="J62" s="163"/>
      <c r="K62" s="163"/>
      <c r="L62" s="163"/>
      <c r="M62" s="163"/>
    </row>
    <row r="63">
      <c r="A63" s="202"/>
      <c r="B63" s="42"/>
      <c r="F63" s="43"/>
      <c r="G63" s="163"/>
      <c r="H63" s="163"/>
      <c r="I63" s="163"/>
      <c r="J63" s="163"/>
      <c r="K63" s="163"/>
      <c r="L63" s="163"/>
      <c r="M63" s="163"/>
    </row>
    <row r="64">
      <c r="A64" s="202"/>
      <c r="B64" s="42"/>
      <c r="F64" s="43"/>
      <c r="G64" s="163"/>
      <c r="H64" s="163"/>
      <c r="I64" s="163"/>
      <c r="J64" s="163"/>
      <c r="K64" s="163"/>
      <c r="L64" s="163"/>
      <c r="M64" s="163"/>
    </row>
    <row r="65">
      <c r="A65" s="202"/>
      <c r="B65" s="42"/>
      <c r="F65" s="43"/>
      <c r="G65" s="163"/>
      <c r="H65" s="163"/>
      <c r="I65" s="163"/>
      <c r="J65" s="163"/>
      <c r="K65" s="163"/>
      <c r="L65" s="163"/>
      <c r="M65" s="163"/>
    </row>
    <row r="66">
      <c r="A66" s="202"/>
      <c r="B66" s="42"/>
      <c r="F66" s="43"/>
      <c r="G66" s="163"/>
      <c r="H66" s="163"/>
      <c r="I66" s="163"/>
      <c r="J66" s="163"/>
      <c r="K66" s="163"/>
      <c r="L66" s="163"/>
      <c r="M66" s="163"/>
    </row>
    <row r="67">
      <c r="A67" s="202"/>
      <c r="B67" s="42"/>
      <c r="F67" s="43"/>
      <c r="G67" s="163"/>
      <c r="H67" s="163"/>
      <c r="I67" s="163"/>
      <c r="J67" s="163"/>
      <c r="K67" s="163"/>
      <c r="L67" s="163"/>
      <c r="M67" s="163"/>
    </row>
    <row r="68">
      <c r="A68" s="202"/>
      <c r="B68" s="42"/>
      <c r="F68" s="43"/>
      <c r="G68" s="163"/>
      <c r="H68" s="163"/>
      <c r="I68" s="163"/>
      <c r="J68" s="163"/>
      <c r="K68" s="163"/>
      <c r="L68" s="163"/>
      <c r="M68" s="163"/>
    </row>
    <row r="69">
      <c r="A69" s="202"/>
      <c r="B69" s="42"/>
      <c r="F69" s="43"/>
      <c r="G69" s="163"/>
      <c r="H69" s="204"/>
      <c r="I69" s="163"/>
      <c r="J69" s="163"/>
      <c r="K69" s="163"/>
      <c r="L69" s="163"/>
      <c r="M69" s="163"/>
    </row>
    <row r="70">
      <c r="A70" s="202"/>
      <c r="B70" s="42"/>
      <c r="F70" s="43"/>
      <c r="G70" s="163"/>
      <c r="H70" s="163"/>
      <c r="I70" s="163"/>
      <c r="J70" s="163"/>
      <c r="K70" s="163"/>
      <c r="L70" s="163"/>
      <c r="M70" s="163"/>
    </row>
    <row r="71">
      <c r="A71" s="202"/>
      <c r="B71" s="42"/>
      <c r="F71" s="43"/>
      <c r="G71" s="163"/>
      <c r="H71" s="163"/>
      <c r="I71" s="163"/>
      <c r="J71" s="163"/>
      <c r="K71" s="163"/>
      <c r="L71" s="163"/>
      <c r="M71" s="163"/>
    </row>
    <row r="72">
      <c r="A72" s="202"/>
      <c r="B72" s="42"/>
      <c r="F72" s="43"/>
      <c r="G72" s="163"/>
      <c r="H72" s="163"/>
      <c r="I72" s="163"/>
      <c r="J72" s="163"/>
      <c r="K72" s="163"/>
      <c r="L72" s="163"/>
      <c r="M72" s="163"/>
    </row>
    <row r="73">
      <c r="A73" s="202"/>
      <c r="B73" s="42"/>
      <c r="F73" s="43"/>
      <c r="G73" s="163"/>
      <c r="H73" s="163"/>
      <c r="I73" s="163"/>
      <c r="J73" s="163"/>
      <c r="K73" s="163"/>
      <c r="L73" s="163"/>
      <c r="M73" s="163"/>
    </row>
    <row r="74">
      <c r="A74" s="202"/>
      <c r="B74" s="44"/>
      <c r="C74" s="20"/>
      <c r="D74" s="20"/>
      <c r="E74" s="20"/>
      <c r="F74" s="21"/>
      <c r="G74" s="163"/>
      <c r="H74" s="163"/>
      <c r="I74" s="163"/>
      <c r="J74" s="163"/>
      <c r="K74" s="163"/>
      <c r="L74" s="163"/>
      <c r="M74" s="163"/>
    </row>
  </sheetData>
  <mergeCells count="15">
    <mergeCell ref="A8:H8"/>
    <mergeCell ref="A9:H9"/>
    <mergeCell ref="A10:H10"/>
    <mergeCell ref="A11:M11"/>
    <mergeCell ref="C12:M12"/>
    <mergeCell ref="A27:M27"/>
    <mergeCell ref="C28:M28"/>
    <mergeCell ref="B56:F74"/>
    <mergeCell ref="A1:M1"/>
    <mergeCell ref="A2:H2"/>
    <mergeCell ref="A3:H3"/>
    <mergeCell ref="A4:H4"/>
    <mergeCell ref="A5:H5"/>
    <mergeCell ref="A6:H6"/>
    <mergeCell ref="A7:H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8.57"/>
  </cols>
  <sheetData>
    <row r="1">
      <c r="A1" s="205" t="s">
        <v>15</v>
      </c>
      <c r="B1" s="20"/>
      <c r="C1" s="20"/>
      <c r="D1" s="20"/>
      <c r="E1" s="20"/>
      <c r="F1" s="20"/>
      <c r="G1" s="20"/>
      <c r="H1" s="20"/>
      <c r="I1" s="20"/>
      <c r="J1" s="20"/>
      <c r="K1" s="20"/>
      <c r="L1" s="20"/>
      <c r="M1" s="20"/>
    </row>
    <row r="2">
      <c r="A2" s="162" t="s">
        <v>199</v>
      </c>
      <c r="B2" s="3"/>
      <c r="C2" s="3"/>
      <c r="D2" s="3"/>
      <c r="E2" s="3"/>
      <c r="F2" s="3"/>
      <c r="G2" s="3"/>
      <c r="H2" s="4"/>
      <c r="K2" s="163"/>
      <c r="L2" s="163"/>
      <c r="M2" s="163"/>
    </row>
    <row r="3">
      <c r="A3" s="57" t="s">
        <v>200</v>
      </c>
      <c r="B3" s="3"/>
      <c r="C3" s="3"/>
      <c r="D3" s="3"/>
      <c r="E3" s="3"/>
      <c r="F3" s="3"/>
      <c r="G3" s="3"/>
      <c r="H3" s="4"/>
      <c r="K3" s="163"/>
      <c r="L3" s="163"/>
      <c r="M3" s="163"/>
    </row>
    <row r="4">
      <c r="A4" s="57" t="s">
        <v>201</v>
      </c>
      <c r="B4" s="3"/>
      <c r="C4" s="3"/>
      <c r="D4" s="3"/>
      <c r="E4" s="3"/>
      <c r="F4" s="3"/>
      <c r="G4" s="3"/>
      <c r="H4" s="4"/>
      <c r="K4" s="163"/>
      <c r="L4" s="163"/>
      <c r="M4" s="163"/>
    </row>
    <row r="5">
      <c r="A5" s="57" t="s">
        <v>202</v>
      </c>
      <c r="B5" s="3"/>
      <c r="C5" s="3"/>
      <c r="D5" s="3"/>
      <c r="E5" s="3"/>
      <c r="F5" s="3"/>
      <c r="G5" s="3"/>
      <c r="H5" s="4"/>
      <c r="K5" s="163"/>
      <c r="L5" s="163"/>
      <c r="M5" s="163"/>
    </row>
    <row r="6">
      <c r="A6" s="206" t="s">
        <v>203</v>
      </c>
      <c r="B6" s="71"/>
      <c r="C6" s="71"/>
      <c r="D6" s="71"/>
      <c r="E6" s="71"/>
      <c r="F6" s="71"/>
      <c r="G6" s="71"/>
      <c r="H6" s="40"/>
      <c r="K6" s="163"/>
      <c r="L6" s="163"/>
      <c r="M6" s="163"/>
    </row>
    <row r="7">
      <c r="A7" s="164" t="s">
        <v>204</v>
      </c>
      <c r="B7" s="71"/>
      <c r="C7" s="71"/>
      <c r="D7" s="71"/>
      <c r="E7" s="71"/>
      <c r="F7" s="71"/>
      <c r="G7" s="71"/>
      <c r="H7" s="40"/>
      <c r="K7" s="163"/>
      <c r="L7" s="163"/>
      <c r="M7" s="163"/>
    </row>
    <row r="8">
      <c r="A8" s="207" t="s">
        <v>205</v>
      </c>
      <c r="H8" s="43"/>
      <c r="K8" s="163"/>
      <c r="L8" s="163"/>
      <c r="M8" s="163"/>
    </row>
    <row r="9">
      <c r="A9" s="207" t="s">
        <v>206</v>
      </c>
      <c r="H9" s="43"/>
      <c r="K9" s="163"/>
      <c r="L9" s="163"/>
      <c r="M9" s="163"/>
    </row>
    <row r="10">
      <c r="A10" s="207" t="s">
        <v>207</v>
      </c>
      <c r="H10" s="43"/>
      <c r="K10" s="163"/>
      <c r="L10" s="163"/>
      <c r="M10" s="163"/>
    </row>
    <row r="11">
      <c r="A11" s="208" t="s">
        <v>208</v>
      </c>
      <c r="B11" s="20"/>
      <c r="C11" s="20"/>
      <c r="D11" s="20"/>
      <c r="E11" s="20"/>
      <c r="F11" s="20"/>
      <c r="G11" s="20"/>
      <c r="H11" s="21"/>
      <c r="K11" s="163"/>
      <c r="L11" s="163"/>
      <c r="M11" s="163"/>
    </row>
    <row r="12">
      <c r="A12" s="167" t="s">
        <v>122</v>
      </c>
      <c r="B12" s="3"/>
      <c r="C12" s="3"/>
      <c r="D12" s="3"/>
      <c r="E12" s="3"/>
      <c r="F12" s="3"/>
      <c r="G12" s="3"/>
      <c r="H12" s="4"/>
      <c r="I12" s="168"/>
      <c r="J12" s="168"/>
      <c r="K12" s="168"/>
      <c r="L12" s="168"/>
      <c r="M12" s="168"/>
    </row>
    <row r="13">
      <c r="A13" s="209" t="s">
        <v>209</v>
      </c>
      <c r="B13" s="178" t="s">
        <v>210</v>
      </c>
      <c r="C13" s="178" t="s">
        <v>211</v>
      </c>
      <c r="D13" s="178" t="s">
        <v>212</v>
      </c>
      <c r="E13" s="178" t="s">
        <v>213</v>
      </c>
      <c r="F13" s="178" t="s">
        <v>214</v>
      </c>
      <c r="G13" s="178" t="s">
        <v>215</v>
      </c>
      <c r="H13" s="178" t="s">
        <v>216</v>
      </c>
      <c r="I13" s="178" t="s">
        <v>217</v>
      </c>
      <c r="J13" s="178" t="s">
        <v>218</v>
      </c>
      <c r="K13" s="178" t="s">
        <v>219</v>
      </c>
      <c r="L13" s="178" t="s">
        <v>220</v>
      </c>
      <c r="M13" s="178" t="s">
        <v>221</v>
      </c>
    </row>
    <row r="14">
      <c r="A14" s="210" t="s">
        <v>222</v>
      </c>
      <c r="B14" s="179">
        <v>97.0</v>
      </c>
      <c r="C14" s="179">
        <f>B14*1.21</f>
        <v>117.37</v>
      </c>
      <c r="D14" s="179">
        <f>C14*1.27</f>
        <v>149.0599</v>
      </c>
      <c r="E14" s="179">
        <f>D14*1.22</f>
        <v>181.853078</v>
      </c>
      <c r="F14" s="179">
        <f>E14*1.26</f>
        <v>229.1348783</v>
      </c>
      <c r="G14" s="179">
        <f>F14*1.23</f>
        <v>281.8359003</v>
      </c>
      <c r="H14" s="179">
        <f t="shared" ref="H14:I14" si="1">G14*1.18</f>
        <v>332.5663623</v>
      </c>
      <c r="I14" s="179">
        <f t="shared" si="1"/>
        <v>392.4283076</v>
      </c>
      <c r="J14" s="179">
        <f>I14*1.28</f>
        <v>502.3082337</v>
      </c>
      <c r="K14" s="179">
        <f>J14*1.29</f>
        <v>647.9776214</v>
      </c>
      <c r="L14" s="179">
        <f>K14*1.19</f>
        <v>771.0933695</v>
      </c>
      <c r="M14" s="179">
        <f>L14*1.25</f>
        <v>963.8667119</v>
      </c>
    </row>
    <row r="15">
      <c r="A15" s="211" t="s">
        <v>223</v>
      </c>
      <c r="B15" s="178">
        <v>1523.0</v>
      </c>
      <c r="C15" s="179">
        <f t="shared" ref="C15:M15" si="2">B15*1.25</f>
        <v>1903.75</v>
      </c>
      <c r="D15" s="179">
        <f t="shared" si="2"/>
        <v>2379.6875</v>
      </c>
      <c r="E15" s="179">
        <f t="shared" si="2"/>
        <v>2974.609375</v>
      </c>
      <c r="F15" s="179">
        <f t="shared" si="2"/>
        <v>3718.261719</v>
      </c>
      <c r="G15" s="179">
        <f t="shared" si="2"/>
        <v>4647.827148</v>
      </c>
      <c r="H15" s="179">
        <f t="shared" si="2"/>
        <v>5809.783936</v>
      </c>
      <c r="I15" s="179">
        <f t="shared" si="2"/>
        <v>7262.229919</v>
      </c>
      <c r="J15" s="179">
        <f t="shared" si="2"/>
        <v>9077.787399</v>
      </c>
      <c r="K15" s="179">
        <f t="shared" si="2"/>
        <v>11347.23425</v>
      </c>
      <c r="L15" s="179">
        <f t="shared" si="2"/>
        <v>14184.04281</v>
      </c>
      <c r="M15" s="179">
        <f t="shared" si="2"/>
        <v>17730.05351</v>
      </c>
    </row>
    <row r="16">
      <c r="A16" s="211" t="s">
        <v>224</v>
      </c>
      <c r="B16" s="179">
        <f t="shared" ref="B16:M16" si="3">B15-B14</f>
        <v>1426</v>
      </c>
      <c r="C16" s="179">
        <f t="shared" si="3"/>
        <v>1786.38</v>
      </c>
      <c r="D16" s="179">
        <f t="shared" si="3"/>
        <v>2230.6276</v>
      </c>
      <c r="E16" s="179">
        <f t="shared" si="3"/>
        <v>2792.756297</v>
      </c>
      <c r="F16" s="179">
        <f t="shared" si="3"/>
        <v>3489.12684</v>
      </c>
      <c r="G16" s="179">
        <f t="shared" si="3"/>
        <v>4365.991248</v>
      </c>
      <c r="H16" s="179">
        <f t="shared" si="3"/>
        <v>5477.217573</v>
      </c>
      <c r="I16" s="179">
        <f t="shared" si="3"/>
        <v>6869.801612</v>
      </c>
      <c r="J16" s="179">
        <f t="shared" si="3"/>
        <v>8575.479166</v>
      </c>
      <c r="K16" s="179">
        <f t="shared" si="3"/>
        <v>10699.25663</v>
      </c>
      <c r="L16" s="179">
        <f t="shared" si="3"/>
        <v>13412.94944</v>
      </c>
      <c r="M16" s="179">
        <f t="shared" si="3"/>
        <v>16766.1868</v>
      </c>
    </row>
    <row r="17">
      <c r="A17" s="212" t="s">
        <v>225</v>
      </c>
      <c r="B17" s="213">
        <v>83.0</v>
      </c>
      <c r="C17" s="213">
        <f t="shared" ref="C17:M17" si="4">B17*1.13</f>
        <v>93.79</v>
      </c>
      <c r="D17" s="213">
        <f t="shared" si="4"/>
        <v>105.9827</v>
      </c>
      <c r="E17" s="213">
        <f t="shared" si="4"/>
        <v>119.760451</v>
      </c>
      <c r="F17" s="213">
        <f t="shared" si="4"/>
        <v>135.3293096</v>
      </c>
      <c r="G17" s="213">
        <f t="shared" si="4"/>
        <v>152.9221199</v>
      </c>
      <c r="H17" s="213">
        <f t="shared" si="4"/>
        <v>172.8019955</v>
      </c>
      <c r="I17" s="213">
        <f t="shared" si="4"/>
        <v>195.2662549</v>
      </c>
      <c r="J17" s="213">
        <f t="shared" si="4"/>
        <v>220.650868</v>
      </c>
      <c r="K17" s="213">
        <f t="shared" si="4"/>
        <v>249.3354809</v>
      </c>
      <c r="L17" s="213">
        <f t="shared" si="4"/>
        <v>281.7490934</v>
      </c>
      <c r="M17" s="213">
        <f t="shared" si="4"/>
        <v>318.3764755</v>
      </c>
    </row>
    <row r="18">
      <c r="A18" s="214" t="s">
        <v>226</v>
      </c>
      <c r="B18" s="215">
        <v>0.82</v>
      </c>
      <c r="C18" s="215">
        <v>0.82</v>
      </c>
      <c r="D18" s="215">
        <v>0.82</v>
      </c>
      <c r="E18" s="215">
        <v>0.82</v>
      </c>
      <c r="F18" s="215">
        <v>0.82</v>
      </c>
      <c r="G18" s="215">
        <v>0.82</v>
      </c>
      <c r="H18" s="215">
        <v>0.82</v>
      </c>
      <c r="I18" s="215">
        <v>0.82</v>
      </c>
      <c r="J18" s="215">
        <v>0.82</v>
      </c>
      <c r="K18" s="215">
        <v>0.82</v>
      </c>
      <c r="L18" s="215">
        <v>0.82</v>
      </c>
      <c r="M18" s="215">
        <v>0.82</v>
      </c>
    </row>
    <row r="19">
      <c r="A19" s="214" t="s">
        <v>227</v>
      </c>
      <c r="B19" s="216">
        <v>0.0637</v>
      </c>
      <c r="C19" s="217">
        <f t="shared" ref="C19:M19" si="5">C14/C15</f>
        <v>0.06165200263</v>
      </c>
      <c r="D19" s="217">
        <f t="shared" si="5"/>
        <v>0.06263843467</v>
      </c>
      <c r="E19" s="217">
        <f t="shared" si="5"/>
        <v>0.06113511224</v>
      </c>
      <c r="F19" s="217">
        <f t="shared" si="5"/>
        <v>0.06162419313</v>
      </c>
      <c r="G19" s="217">
        <f t="shared" si="5"/>
        <v>0.06063820604</v>
      </c>
      <c r="H19" s="217">
        <f t="shared" si="5"/>
        <v>0.05724246651</v>
      </c>
      <c r="I19" s="217">
        <f t="shared" si="5"/>
        <v>0.05403688838</v>
      </c>
      <c r="J19" s="217">
        <f t="shared" si="5"/>
        <v>0.0553337737</v>
      </c>
      <c r="K19" s="217">
        <f t="shared" si="5"/>
        <v>0.05710445446</v>
      </c>
      <c r="L19" s="217">
        <f t="shared" si="5"/>
        <v>0.05436344065</v>
      </c>
      <c r="M19" s="217">
        <f t="shared" si="5"/>
        <v>0.05436344065</v>
      </c>
    </row>
    <row r="20">
      <c r="A20" s="214" t="s">
        <v>228</v>
      </c>
      <c r="B20" s="216">
        <v>0.9363</v>
      </c>
      <c r="C20" s="217">
        <f t="shared" ref="C20:M20" si="6">1-C19</f>
        <v>0.9383479974</v>
      </c>
      <c r="D20" s="217">
        <f t="shared" si="6"/>
        <v>0.9373615653</v>
      </c>
      <c r="E20" s="217">
        <f t="shared" si="6"/>
        <v>0.9388648878</v>
      </c>
      <c r="F20" s="217">
        <f t="shared" si="6"/>
        <v>0.9383758069</v>
      </c>
      <c r="G20" s="217">
        <f t="shared" si="6"/>
        <v>0.939361794</v>
      </c>
      <c r="H20" s="217">
        <f t="shared" si="6"/>
        <v>0.9427575335</v>
      </c>
      <c r="I20" s="217">
        <f t="shared" si="6"/>
        <v>0.9459631116</v>
      </c>
      <c r="J20" s="217">
        <f t="shared" si="6"/>
        <v>0.9446662263</v>
      </c>
      <c r="K20" s="217">
        <f t="shared" si="6"/>
        <v>0.9428955455</v>
      </c>
      <c r="L20" s="217">
        <f t="shared" si="6"/>
        <v>0.9456365594</v>
      </c>
      <c r="M20" s="217">
        <f t="shared" si="6"/>
        <v>0.9456365594</v>
      </c>
    </row>
    <row r="21">
      <c r="A21" s="214" t="s">
        <v>229</v>
      </c>
      <c r="B21" s="218">
        <v>1068.45</v>
      </c>
      <c r="C21" s="219">
        <f t="shared" ref="C21:M21" si="7">C17/C19</f>
        <v>1521.280672</v>
      </c>
      <c r="D21" s="219">
        <f t="shared" si="7"/>
        <v>1691.975551</v>
      </c>
      <c r="E21" s="219">
        <f t="shared" si="7"/>
        <v>1958.947103</v>
      </c>
      <c r="F21" s="219">
        <f t="shared" si="7"/>
        <v>2196.041891</v>
      </c>
      <c r="G21" s="219">
        <f t="shared" si="7"/>
        <v>2521.877375</v>
      </c>
      <c r="H21" s="219">
        <f t="shared" si="7"/>
        <v>3018.772705</v>
      </c>
      <c r="I21" s="219">
        <f t="shared" si="7"/>
        <v>3613.573259</v>
      </c>
      <c r="J21" s="219">
        <f t="shared" si="7"/>
        <v>3987.634554</v>
      </c>
      <c r="K21" s="219">
        <f t="shared" si="7"/>
        <v>4366.305277</v>
      </c>
      <c r="L21" s="219">
        <f t="shared" si="7"/>
        <v>5182.694289</v>
      </c>
      <c r="M21" s="219">
        <f t="shared" si="7"/>
        <v>5856.444546</v>
      </c>
    </row>
    <row r="22">
      <c r="A22" s="163"/>
      <c r="B22" s="163"/>
      <c r="C22" s="163"/>
      <c r="D22" s="163"/>
      <c r="E22" s="163"/>
      <c r="F22" s="163"/>
      <c r="G22" s="163"/>
      <c r="H22" s="163"/>
      <c r="I22" s="163"/>
      <c r="J22" s="163"/>
      <c r="K22" s="163"/>
      <c r="L22" s="163"/>
      <c r="M22" s="163"/>
    </row>
    <row r="23">
      <c r="A23" s="163"/>
      <c r="B23" s="163"/>
      <c r="C23" s="163"/>
      <c r="D23" s="163"/>
      <c r="E23" s="163"/>
      <c r="F23" s="163"/>
      <c r="G23" s="163"/>
      <c r="H23" s="163"/>
      <c r="I23" s="163"/>
      <c r="J23" s="163"/>
      <c r="K23" s="163"/>
      <c r="L23" s="163"/>
      <c r="M23" s="163"/>
    </row>
    <row r="24">
      <c r="A24" s="168"/>
      <c r="B24" s="168"/>
      <c r="C24" s="168"/>
      <c r="D24" s="168"/>
      <c r="E24" s="168"/>
      <c r="F24" s="168"/>
      <c r="G24" s="168"/>
      <c r="H24" s="168"/>
      <c r="I24" s="168"/>
      <c r="J24" s="168"/>
      <c r="K24" s="163"/>
      <c r="L24" s="163"/>
      <c r="M24" s="163"/>
    </row>
    <row r="25">
      <c r="A25" s="220" t="s">
        <v>230</v>
      </c>
      <c r="B25" s="221" t="s">
        <v>231</v>
      </c>
      <c r="J25" s="43"/>
      <c r="K25" s="163"/>
      <c r="L25" s="163"/>
      <c r="M25" s="163"/>
    </row>
    <row r="26" ht="36.75" customHeight="1">
      <c r="A26" s="50"/>
      <c r="B26" s="20"/>
      <c r="C26" s="20"/>
      <c r="D26" s="20"/>
      <c r="E26" s="20"/>
      <c r="F26" s="20"/>
      <c r="G26" s="20"/>
      <c r="H26" s="20"/>
      <c r="I26" s="20"/>
      <c r="J26" s="21"/>
      <c r="K26" s="163"/>
      <c r="L26" s="163"/>
      <c r="M26" s="163"/>
    </row>
    <row r="27">
      <c r="A27" s="220" t="s">
        <v>232</v>
      </c>
      <c r="B27" s="221" t="s">
        <v>233</v>
      </c>
      <c r="J27" s="43"/>
      <c r="K27" s="163"/>
      <c r="L27" s="163"/>
      <c r="M27" s="163"/>
    </row>
    <row r="28">
      <c r="A28" s="47"/>
      <c r="J28" s="43"/>
      <c r="K28" s="163"/>
      <c r="L28" s="163"/>
      <c r="M28" s="163"/>
    </row>
    <row r="29">
      <c r="A29" s="50"/>
      <c r="B29" s="20"/>
      <c r="C29" s="20"/>
      <c r="D29" s="20"/>
      <c r="E29" s="20"/>
      <c r="F29" s="20"/>
      <c r="G29" s="20"/>
      <c r="H29" s="20"/>
      <c r="I29" s="20"/>
      <c r="J29" s="21"/>
      <c r="K29" s="163"/>
      <c r="L29" s="163"/>
      <c r="M29" s="163"/>
    </row>
    <row r="30">
      <c r="A30" s="220" t="s">
        <v>234</v>
      </c>
      <c r="B30" s="221" t="s">
        <v>235</v>
      </c>
      <c r="F30" s="43"/>
      <c r="G30" s="222"/>
      <c r="H30" s="222"/>
      <c r="I30" s="222"/>
      <c r="J30" s="222"/>
      <c r="K30" s="163"/>
      <c r="L30" s="163"/>
      <c r="M30" s="163"/>
    </row>
    <row r="31">
      <c r="A31" s="47"/>
      <c r="F31" s="43"/>
      <c r="G31" s="222"/>
      <c r="H31" s="222"/>
      <c r="I31" s="222"/>
      <c r="J31" s="222"/>
      <c r="K31" s="163"/>
      <c r="L31" s="163"/>
      <c r="M31" s="163"/>
    </row>
    <row r="32">
      <c r="A32" s="47"/>
      <c r="F32" s="43"/>
      <c r="G32" s="222"/>
      <c r="H32" s="222"/>
      <c r="I32" s="222"/>
      <c r="J32" s="222"/>
      <c r="K32" s="163"/>
      <c r="L32" s="163"/>
      <c r="M32" s="163"/>
    </row>
    <row r="33" ht="35.25" customHeight="1">
      <c r="A33" s="50"/>
      <c r="B33" s="20"/>
      <c r="C33" s="20"/>
      <c r="D33" s="20"/>
      <c r="E33" s="20"/>
      <c r="F33" s="21"/>
      <c r="G33" s="222"/>
      <c r="H33" s="222"/>
      <c r="I33" s="222"/>
      <c r="J33" s="222"/>
      <c r="K33" s="163"/>
      <c r="L33" s="163"/>
      <c r="M33" s="163"/>
    </row>
    <row r="34">
      <c r="A34" s="163"/>
      <c r="B34" s="163"/>
      <c r="C34" s="163"/>
      <c r="D34" s="163"/>
      <c r="E34" s="163"/>
      <c r="F34" s="163"/>
      <c r="G34" s="163"/>
      <c r="H34" s="163"/>
      <c r="I34" s="163"/>
      <c r="J34" s="163"/>
      <c r="K34" s="163"/>
      <c r="L34" s="163"/>
      <c r="M34" s="163"/>
    </row>
  </sheetData>
  <mergeCells count="18">
    <mergeCell ref="A1:M1"/>
    <mergeCell ref="A2:H2"/>
    <mergeCell ref="A3:H3"/>
    <mergeCell ref="A4:H4"/>
    <mergeCell ref="A5:H5"/>
    <mergeCell ref="A6:H6"/>
    <mergeCell ref="A7:H7"/>
    <mergeCell ref="A27:A29"/>
    <mergeCell ref="B27:J29"/>
    <mergeCell ref="A30:A33"/>
    <mergeCell ref="B30:F33"/>
    <mergeCell ref="A8:H8"/>
    <mergeCell ref="A9:H9"/>
    <mergeCell ref="A10:H10"/>
    <mergeCell ref="A11:H11"/>
    <mergeCell ref="A12:H12"/>
    <mergeCell ref="A25:A26"/>
    <mergeCell ref="B25:J2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46.86"/>
    <col customWidth="1" min="3" max="3" width="46.0"/>
    <col customWidth="1" min="4" max="4" width="27.29"/>
    <col customWidth="1" min="5" max="5" width="40.0"/>
    <col customWidth="1" min="6" max="6" width="30.57"/>
    <col customWidth="1" min="7" max="12" width="28.57"/>
  </cols>
  <sheetData>
    <row r="1">
      <c r="A1" s="205" t="s">
        <v>236</v>
      </c>
      <c r="B1" s="20"/>
      <c r="C1" s="20"/>
      <c r="D1" s="20"/>
      <c r="E1" s="20"/>
      <c r="F1" s="20"/>
      <c r="G1" s="20"/>
      <c r="H1" s="20"/>
      <c r="I1" s="223"/>
      <c r="J1" s="223"/>
      <c r="K1" s="223"/>
      <c r="L1" s="223"/>
    </row>
    <row r="2">
      <c r="A2" s="162" t="s">
        <v>237</v>
      </c>
      <c r="B2" s="3"/>
      <c r="C2" s="3"/>
      <c r="D2" s="3"/>
      <c r="E2" s="4"/>
      <c r="G2" s="163"/>
      <c r="H2" s="163"/>
      <c r="I2" s="163"/>
      <c r="J2" s="163"/>
      <c r="K2" s="163"/>
      <c r="L2" s="163"/>
    </row>
    <row r="3">
      <c r="A3" s="57" t="s">
        <v>238</v>
      </c>
      <c r="B3" s="3"/>
      <c r="C3" s="3"/>
      <c r="D3" s="3"/>
      <c r="E3" s="4"/>
      <c r="G3" s="163"/>
      <c r="H3" s="163"/>
      <c r="I3" s="163"/>
      <c r="J3" s="163"/>
      <c r="K3" s="163"/>
      <c r="L3" s="163"/>
    </row>
    <row r="4">
      <c r="A4" s="57" t="s">
        <v>239</v>
      </c>
      <c r="B4" s="3"/>
      <c r="C4" s="3"/>
      <c r="D4" s="3"/>
      <c r="E4" s="4"/>
      <c r="G4" s="163"/>
      <c r="H4" s="163"/>
      <c r="I4" s="163"/>
      <c r="J4" s="163"/>
      <c r="K4" s="163"/>
      <c r="L4" s="163"/>
    </row>
    <row r="5">
      <c r="A5" s="108" t="s">
        <v>240</v>
      </c>
      <c r="B5" s="71"/>
      <c r="C5" s="71"/>
      <c r="D5" s="71"/>
      <c r="E5" s="40"/>
      <c r="G5" s="110"/>
      <c r="H5" s="110"/>
      <c r="I5" s="110"/>
      <c r="J5" s="110"/>
      <c r="K5" s="110"/>
      <c r="L5" s="110"/>
    </row>
    <row r="6">
      <c r="A6" s="67" t="s">
        <v>20</v>
      </c>
      <c r="J6" s="67"/>
      <c r="K6" s="67"/>
      <c r="L6" s="67"/>
    </row>
    <row r="7">
      <c r="A7" s="67" t="s">
        <v>241</v>
      </c>
      <c r="J7" s="67"/>
      <c r="K7" s="67"/>
      <c r="L7" s="67"/>
    </row>
    <row r="8">
      <c r="A8" s="224" t="s">
        <v>242</v>
      </c>
      <c r="G8" s="67"/>
      <c r="H8" s="67"/>
      <c r="I8" s="67"/>
      <c r="J8" s="67"/>
      <c r="K8" s="67"/>
      <c r="L8" s="67"/>
    </row>
    <row r="9">
      <c r="A9" s="224" t="s">
        <v>243</v>
      </c>
      <c r="G9" s="67"/>
      <c r="H9" s="67"/>
      <c r="I9" s="67"/>
      <c r="J9" s="67"/>
      <c r="K9" s="67"/>
      <c r="L9" s="67"/>
    </row>
    <row r="10">
      <c r="A10" s="224" t="s">
        <v>244</v>
      </c>
      <c r="G10" s="67"/>
      <c r="H10" s="67"/>
      <c r="I10" s="67"/>
      <c r="J10" s="67"/>
      <c r="K10" s="67"/>
      <c r="L10" s="67"/>
    </row>
    <row r="11">
      <c r="A11" s="224" t="s">
        <v>245</v>
      </c>
      <c r="G11" s="67"/>
      <c r="H11" s="67"/>
      <c r="I11" s="67"/>
      <c r="J11" s="67"/>
      <c r="K11" s="67"/>
      <c r="L11" s="67"/>
    </row>
    <row r="12">
      <c r="A12" s="224" t="s">
        <v>246</v>
      </c>
      <c r="G12" s="67"/>
      <c r="H12" s="67"/>
      <c r="I12" s="67"/>
      <c r="J12" s="67"/>
      <c r="K12" s="67"/>
      <c r="L12" s="67"/>
    </row>
    <row r="13">
      <c r="A13" s="224" t="s">
        <v>247</v>
      </c>
      <c r="G13" s="67"/>
      <c r="H13" s="67"/>
      <c r="I13" s="67"/>
      <c r="J13" s="67"/>
      <c r="K13" s="67"/>
      <c r="L13" s="67"/>
    </row>
    <row r="14">
      <c r="A14" s="225" t="s">
        <v>248</v>
      </c>
      <c r="G14" s="67"/>
      <c r="H14" s="67"/>
      <c r="I14" s="67"/>
      <c r="J14" s="67"/>
      <c r="K14" s="67"/>
      <c r="L14" s="67"/>
    </row>
    <row r="15">
      <c r="A15" s="168"/>
      <c r="B15" s="168"/>
      <c r="C15" s="168"/>
      <c r="D15" s="168"/>
      <c r="E15" s="168"/>
      <c r="F15" s="168"/>
      <c r="G15" s="168"/>
      <c r="H15" s="168"/>
      <c r="I15" s="163"/>
      <c r="J15" s="163"/>
      <c r="K15" s="163"/>
      <c r="L15" s="163"/>
    </row>
    <row r="16">
      <c r="A16" s="226"/>
      <c r="B16" s="227" t="s">
        <v>236</v>
      </c>
      <c r="C16" s="227" t="s">
        <v>249</v>
      </c>
      <c r="D16" s="227" t="s">
        <v>250</v>
      </c>
      <c r="E16" s="227" t="s">
        <v>251</v>
      </c>
      <c r="F16" s="227" t="s">
        <v>252</v>
      </c>
      <c r="G16" s="227" t="s">
        <v>253</v>
      </c>
      <c r="H16" s="227" t="s">
        <v>254</v>
      </c>
      <c r="I16" s="228" t="s">
        <v>255</v>
      </c>
      <c r="J16" s="229" t="s">
        <v>256</v>
      </c>
      <c r="K16" s="229" t="s">
        <v>257</v>
      </c>
      <c r="L16" s="229" t="s">
        <v>258</v>
      </c>
    </row>
    <row r="17" ht="188.25" customHeight="1">
      <c r="A17" s="230">
        <v>1.0</v>
      </c>
      <c r="B17" s="231" t="s">
        <v>259</v>
      </c>
      <c r="C17" s="231" t="s">
        <v>260</v>
      </c>
      <c r="D17" s="231" t="s">
        <v>261</v>
      </c>
      <c r="E17" s="231" t="s">
        <v>262</v>
      </c>
      <c r="F17" s="231" t="s">
        <v>263</v>
      </c>
      <c r="G17" s="231" t="s">
        <v>264</v>
      </c>
      <c r="H17" s="231" t="s">
        <v>265</v>
      </c>
      <c r="I17" s="232">
        <v>8.0</v>
      </c>
      <c r="J17" s="232">
        <v>9.0</v>
      </c>
      <c r="K17" s="232">
        <v>6.0</v>
      </c>
      <c r="L17" s="233">
        <f t="shared" ref="L17:L19" si="1">AVERAGE(I17:K17)</f>
        <v>7.666666667</v>
      </c>
    </row>
    <row r="18" ht="179.25" customHeight="1">
      <c r="A18" s="230">
        <v>2.0</v>
      </c>
      <c r="B18" s="231" t="s">
        <v>266</v>
      </c>
      <c r="C18" s="231" t="s">
        <v>267</v>
      </c>
      <c r="D18" s="231" t="s">
        <v>268</v>
      </c>
      <c r="E18" s="231" t="s">
        <v>269</v>
      </c>
      <c r="F18" s="231" t="s">
        <v>270</v>
      </c>
      <c r="G18" s="231" t="s">
        <v>271</v>
      </c>
      <c r="H18" s="231" t="s">
        <v>272</v>
      </c>
      <c r="I18" s="232">
        <v>9.0</v>
      </c>
      <c r="J18" s="234">
        <v>3.0</v>
      </c>
      <c r="K18" s="234">
        <v>8.0</v>
      </c>
      <c r="L18" s="235">
        <f t="shared" si="1"/>
        <v>6.666666667</v>
      </c>
    </row>
    <row r="19" ht="126.0" customHeight="1">
      <c r="A19" s="236">
        <v>3.0</v>
      </c>
      <c r="B19" s="231" t="s">
        <v>273</v>
      </c>
      <c r="C19" s="237" t="s">
        <v>274</v>
      </c>
      <c r="D19" s="231" t="s">
        <v>275</v>
      </c>
      <c r="E19" s="231" t="s">
        <v>276</v>
      </c>
      <c r="F19" s="231" t="s">
        <v>277</v>
      </c>
      <c r="G19" s="231" t="s">
        <v>278</v>
      </c>
      <c r="H19" s="231" t="s">
        <v>279</v>
      </c>
      <c r="I19" s="232">
        <v>9.0</v>
      </c>
      <c r="J19" s="234">
        <v>9.0</v>
      </c>
      <c r="K19" s="234">
        <v>3.0</v>
      </c>
      <c r="L19" s="235">
        <f t="shared" si="1"/>
        <v>7</v>
      </c>
    </row>
    <row r="20">
      <c r="I20" s="238"/>
      <c r="J20" s="238"/>
      <c r="K20" s="238"/>
      <c r="L20" s="239"/>
    </row>
    <row r="21">
      <c r="I21" s="238"/>
      <c r="J21" s="238"/>
      <c r="K21" s="238"/>
    </row>
  </sheetData>
  <mergeCells count="14">
    <mergeCell ref="A8:F8"/>
    <mergeCell ref="A9:F9"/>
    <mergeCell ref="A10:F10"/>
    <mergeCell ref="A11:F11"/>
    <mergeCell ref="A12:F12"/>
    <mergeCell ref="A13:F13"/>
    <mergeCell ref="A14:F14"/>
    <mergeCell ref="A1:H1"/>
    <mergeCell ref="A2:E2"/>
    <mergeCell ref="A3:E3"/>
    <mergeCell ref="A4:E4"/>
    <mergeCell ref="A5:E5"/>
    <mergeCell ref="A6:I6"/>
    <mergeCell ref="A7:I7"/>
  </mergeCells>
  <drawing r:id="rId1"/>
</worksheet>
</file>