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202300"/>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CC48CBCB-2D8E-4C4F-BB1A-8763FF9FA41C}" xr6:coauthVersionLast="47" xr6:coauthVersionMax="47" xr10:uidLastSave="{00000000-0000-0000-0000-000000000000}"/>
  <bookViews>
    <workbookView xWindow="-38400" yWindow="1440" windowWidth="37620" windowHeight="19180" xr2:uid="{FF880EED-EA60-9E49-B15D-179496B980D1}"/>
  </bookViews>
  <sheets>
    <sheet name="Foglio1" sheetId="1" r:id="rId1"/>
    <sheet name="Foglio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C3" i="1" l="1" a="1"/>
  <c r="DC3" i="1" s="1"/>
  <c r="DA22" i="1" a="1"/>
  <c r="DA22" i="1" s="1"/>
  <c r="DA10" i="1" a="1"/>
  <c r="DA10" i="1" s="1"/>
  <c r="DA9" i="1" a="1"/>
  <c r="DA9" i="1" s="1"/>
  <c r="DA8" i="1" a="1"/>
  <c r="DA8" i="1" s="1"/>
  <c r="DA7" i="1" a="1"/>
  <c r="DA7" i="1" s="1"/>
  <c r="DA6" i="1" a="1"/>
  <c r="DA6" i="1" s="1"/>
  <c r="DA5" i="1" a="1"/>
  <c r="DA5" i="1" s="1"/>
  <c r="DA4" i="1" a="1"/>
  <c r="DA4" i="1" s="1"/>
  <c r="DA3" i="1" a="1"/>
  <c r="DA3" i="1" s="1"/>
  <c r="BN14" i="1" a="1"/>
  <c r="BN14" i="1" s="1"/>
  <c r="BM14" i="1" a="1"/>
  <c r="BM14" i="1" s="1"/>
  <c r="BL14" i="1" a="1"/>
  <c r="BL14" i="1" s="1"/>
  <c r="BK14" i="1" a="1"/>
  <c r="BK14" i="1" s="1"/>
  <c r="BJ14" i="1" a="1"/>
  <c r="BJ14" i="1" s="1"/>
  <c r="BI14" i="1" a="1"/>
  <c r="BI14" i="1" s="1"/>
  <c r="BN13" i="1" a="1"/>
  <c r="BN13" i="1" s="1"/>
  <c r="BM13" i="1" a="1"/>
  <c r="BM13" i="1" s="1"/>
  <c r="BL13" i="1" a="1"/>
  <c r="BL13" i="1" s="1"/>
  <c r="BK13" i="1" a="1"/>
  <c r="BK13" i="1" s="1"/>
  <c r="BJ13" i="1" a="1"/>
  <c r="BJ13" i="1" s="1"/>
  <c r="BI13" i="1" a="1"/>
  <c r="BI13" i="1" s="1"/>
  <c r="BN12" i="1" a="1"/>
  <c r="BN12" i="1" s="1"/>
  <c r="BM12" i="1" a="1"/>
  <c r="BM12" i="1" s="1"/>
  <c r="BL12" i="1" a="1"/>
  <c r="BL12" i="1" s="1"/>
  <c r="BK12" i="1" a="1"/>
  <c r="BK12" i="1" s="1"/>
  <c r="BJ12" i="1" a="1"/>
  <c r="BJ12" i="1" s="1"/>
  <c r="BI12" i="1" a="1"/>
  <c r="BI12" i="1" s="1"/>
  <c r="BN11" i="1" a="1"/>
  <c r="BN11" i="1" s="1"/>
  <c r="BM11" i="1" a="1"/>
  <c r="BM11" i="1" s="1"/>
  <c r="BL11" i="1" a="1"/>
  <c r="BL11" i="1" s="1"/>
  <c r="BK11" i="1" a="1"/>
  <c r="BK11" i="1" s="1"/>
  <c r="BJ11" i="1" a="1"/>
  <c r="BJ11" i="1" s="1"/>
  <c r="BI11" i="1" a="1"/>
  <c r="BI11" i="1" s="1"/>
  <c r="BN10" i="1" a="1"/>
  <c r="BN10" i="1" s="1"/>
  <c r="BM10" i="1" a="1"/>
  <c r="BM10" i="1" s="1"/>
  <c r="BL10" i="1" a="1"/>
  <c r="BL10" i="1" s="1"/>
  <c r="BK10" i="1" a="1"/>
  <c r="BK10" i="1" s="1"/>
  <c r="BJ10" i="1" a="1"/>
  <c r="BJ10" i="1" s="1"/>
  <c r="BI10" i="1" a="1"/>
  <c r="BI10" i="1" s="1"/>
  <c r="BN9" i="1" a="1"/>
  <c r="BN9" i="1" s="1"/>
  <c r="BM9" i="1" a="1"/>
  <c r="BM9" i="1" s="1"/>
  <c r="BL9" i="1" a="1"/>
  <c r="BL9" i="1" s="1"/>
  <c r="BK9" i="1" a="1"/>
  <c r="BK9" i="1" s="1"/>
  <c r="BJ9" i="1" a="1"/>
  <c r="BJ9" i="1" s="1"/>
  <c r="BI9" i="1" a="1"/>
  <c r="BI9" i="1" s="1"/>
  <c r="BN8" i="1" a="1"/>
  <c r="BN8" i="1" s="1"/>
  <c r="BM8" i="1" a="1"/>
  <c r="BM8" i="1" s="1"/>
  <c r="BL8" i="1" a="1"/>
  <c r="BL8" i="1" s="1"/>
  <c r="BK8" i="1" a="1"/>
  <c r="BK8" i="1" s="1"/>
  <c r="BJ8" i="1" a="1"/>
  <c r="BJ8" i="1" s="1"/>
  <c r="BI8" i="1" a="1"/>
  <c r="BI8" i="1" s="1"/>
  <c r="BN7" i="1" a="1"/>
  <c r="BN7" i="1" s="1"/>
  <c r="BM7" i="1" a="1"/>
  <c r="BM7" i="1" s="1"/>
  <c r="BL7" i="1" a="1"/>
  <c r="BL7" i="1" s="1"/>
  <c r="AZ7" i="1" a="1"/>
  <c r="AZ7" i="1" s="1"/>
  <c r="BA7" i="1" a="1"/>
  <c r="BA7" i="1" s="1"/>
  <c r="BK7" i="1" a="1"/>
  <c r="BK7" i="1" s="1"/>
  <c r="BJ7" i="1" a="1"/>
  <c r="BJ7" i="1" s="1"/>
  <c r="BI7" i="1" a="1"/>
  <c r="BI7" i="1" s="1"/>
  <c r="BN6" i="1" a="1"/>
  <c r="BN6" i="1" s="1"/>
  <c r="BM6" i="1" a="1"/>
  <c r="BM6" i="1" s="1"/>
  <c r="BL6" i="1" a="1"/>
  <c r="BL6" i="1" s="1"/>
  <c r="BK6" i="1" a="1"/>
  <c r="BK6" i="1" s="1"/>
  <c r="BJ6" i="1" a="1"/>
  <c r="BJ6" i="1" s="1"/>
  <c r="BI6" i="1" a="1"/>
  <c r="BI6" i="1" s="1"/>
  <c r="BN5" i="1" a="1"/>
  <c r="BN5" i="1" s="1"/>
  <c r="BM5" i="1" a="1"/>
  <c r="BM5" i="1" s="1"/>
  <c r="BL5" i="1" a="1"/>
  <c r="BL5" i="1" s="1"/>
  <c r="BK5" i="1" a="1"/>
  <c r="BK5" i="1" s="1"/>
  <c r="BJ5" i="1" a="1"/>
  <c r="BJ5" i="1" s="1"/>
  <c r="BI5" i="1" a="1"/>
  <c r="BI5" i="1" s="1"/>
  <c r="BN4" i="1" a="1"/>
  <c r="BN4" i="1" s="1"/>
  <c r="BM4" i="1" a="1"/>
  <c r="BM4" i="1" s="1"/>
  <c r="BL4" i="1" a="1"/>
  <c r="BL4" i="1" s="1"/>
  <c r="BK4" i="1" a="1"/>
  <c r="BK4" i="1" s="1"/>
  <c r="BJ4" i="1" a="1"/>
  <c r="BJ4" i="1" s="1"/>
  <c r="BI4" i="1" a="1"/>
  <c r="BI4" i="1" s="1"/>
  <c r="BN3" i="1" a="1"/>
  <c r="BN3" i="1" s="1"/>
  <c r="BM3" i="1" a="1"/>
  <c r="BM3" i="1" s="1"/>
  <c r="BL3" i="1" a="1"/>
  <c r="BL3" i="1" s="1"/>
  <c r="BK3" i="1" a="1"/>
  <c r="BK3" i="1" s="1"/>
  <c r="BJ3" i="1" a="1"/>
  <c r="BJ3" i="1" s="1"/>
  <c r="BI3" i="1" a="1"/>
  <c r="BI3" i="1" s="1"/>
  <c r="BN2" i="1" a="1"/>
  <c r="BN2" i="1" s="1"/>
  <c r="BM2" i="1" a="1"/>
  <c r="BM2" i="1" s="1"/>
  <c r="BL2" i="1" a="1"/>
  <c r="BL2" i="1" s="1"/>
  <c r="BK2" i="1" a="1"/>
  <c r="BK2" i="1" s="1"/>
  <c r="BJ2" i="1" a="1"/>
  <c r="BJ2" i="1" s="1"/>
  <c r="BI2" i="1" a="1"/>
  <c r="BI2" i="1" s="1"/>
  <c r="BE11" i="1" a="1"/>
  <c r="BE11" i="1" s="1"/>
  <c r="BD11" i="1" a="1"/>
  <c r="BD11" i="1" s="1"/>
  <c r="BC11" i="1" a="1"/>
  <c r="BC11" i="1" s="1"/>
  <c r="BB11" i="1" a="1"/>
  <c r="BB11" i="1" s="1"/>
  <c r="BA11" i="1" a="1"/>
  <c r="BA11" i="1" s="1"/>
  <c r="AZ11" i="1" a="1"/>
  <c r="AZ11" i="1" s="1"/>
  <c r="BE10" i="1" a="1"/>
  <c r="BE10" i="1" s="1"/>
  <c r="BD10" i="1" a="1"/>
  <c r="BD10" i="1" s="1"/>
  <c r="BC10" i="1" a="1"/>
  <c r="BC10" i="1" s="1"/>
  <c r="BB10" i="1" a="1"/>
  <c r="BB10" i="1" s="1"/>
  <c r="BA10" i="1" a="1"/>
  <c r="BA10" i="1" s="1"/>
  <c r="AZ10" i="1" a="1"/>
  <c r="AZ10" i="1" s="1"/>
  <c r="BE9" i="1" a="1"/>
  <c r="BE9" i="1" s="1"/>
  <c r="BD9" i="1" a="1"/>
  <c r="BD9" i="1" s="1"/>
  <c r="BC9" i="1" a="1"/>
  <c r="BC9" i="1" s="1"/>
  <c r="BB9" i="1" a="1"/>
  <c r="BB9" i="1" s="1"/>
  <c r="BA9" i="1" a="1"/>
  <c r="BA9" i="1" s="1"/>
  <c r="AZ9" i="1" a="1"/>
  <c r="AZ9" i="1" s="1"/>
  <c r="BE8" i="1" a="1"/>
  <c r="BE8" i="1" s="1"/>
  <c r="BD8" i="1" a="1"/>
  <c r="BD8" i="1" s="1"/>
  <c r="BC8" i="1" a="1"/>
  <c r="BC8" i="1" s="1"/>
  <c r="BB8" i="1" a="1"/>
  <c r="BB8" i="1" s="1"/>
  <c r="BA8" i="1" a="1"/>
  <c r="BA8" i="1" s="1"/>
  <c r="AZ8" i="1" a="1"/>
  <c r="AZ8" i="1" s="1"/>
  <c r="BE7" i="1" a="1"/>
  <c r="BE7" i="1" s="1"/>
  <c r="BD7" i="1" a="1"/>
  <c r="BD7" i="1" s="1"/>
  <c r="BC7" i="1" a="1"/>
  <c r="BC7" i="1" s="1"/>
  <c r="BB7" i="1" a="1"/>
  <c r="BB7" i="1" s="1"/>
  <c r="BE6" i="1" a="1"/>
  <c r="BE6" i="1" s="1"/>
  <c r="BD6" i="1" a="1"/>
  <c r="BD6" i="1" s="1"/>
  <c r="BC6" i="1" a="1"/>
  <c r="BC6" i="1" s="1"/>
  <c r="BB6" i="1" a="1"/>
  <c r="BB6" i="1" s="1"/>
  <c r="BA6" i="1" a="1"/>
  <c r="BA6" i="1" s="1"/>
  <c r="AZ6" i="1" a="1"/>
  <c r="AZ6" i="1" s="1"/>
  <c r="BE5" i="1" a="1"/>
  <c r="BE5" i="1" s="1"/>
  <c r="BD5" i="1" a="1"/>
  <c r="BD5" i="1" s="1"/>
  <c r="BC5" i="1" a="1"/>
  <c r="BC5" i="1" s="1"/>
  <c r="BB5" i="1" a="1"/>
  <c r="BB5" i="1" s="1"/>
  <c r="BA5" i="1" a="1"/>
  <c r="BA5" i="1" s="1"/>
  <c r="AZ5" i="1" a="1"/>
  <c r="AZ5" i="1" s="1"/>
  <c r="BE4" i="1" a="1"/>
  <c r="BE4" i="1" s="1"/>
  <c r="BD4" i="1" a="1"/>
  <c r="BD4" i="1" s="1"/>
  <c r="BC4" i="1" a="1"/>
  <c r="BC4" i="1" s="1"/>
  <c r="BB4" i="1" a="1"/>
  <c r="BB4" i="1" s="1"/>
  <c r="BA4" i="1" a="1"/>
  <c r="BA4" i="1" s="1"/>
  <c r="AZ4" i="1" a="1"/>
  <c r="AZ4" i="1" s="1"/>
  <c r="BE3" i="1" a="1"/>
  <c r="BE3" i="1" s="1"/>
  <c r="BD3" i="1" a="1"/>
  <c r="BD3" i="1" s="1"/>
  <c r="BC3" i="1" a="1"/>
  <c r="BC3" i="1" s="1"/>
  <c r="BB3" i="1" a="1"/>
  <c r="BB3" i="1" s="1"/>
  <c r="BA3" i="1" a="1"/>
  <c r="BA3" i="1" s="1"/>
  <c r="AZ3" i="1" a="1"/>
  <c r="AZ3" i="1" s="1"/>
  <c r="BE2" i="1" a="1"/>
  <c r="BE2" i="1" s="1"/>
  <c r="BD2" i="1" a="1"/>
  <c r="BD2" i="1" s="1"/>
  <c r="BC2" i="1" a="1"/>
  <c r="BC2" i="1" s="1"/>
  <c r="BB2" i="1" a="1"/>
  <c r="BB2" i="1" s="1"/>
  <c r="BA2" i="1" a="1"/>
  <c r="BA2" i="1" s="1"/>
  <c r="AZ2" i="1" a="1"/>
  <c r="AZ2" i="1" s="1"/>
  <c r="EV15" i="1" l="1" a="1"/>
  <c r="EV15" i="1" s="1"/>
  <c r="EV14" i="1" a="1"/>
  <c r="EV14" i="1" s="1"/>
  <c r="EV13" i="1" a="1"/>
  <c r="EV13" i="1" s="1"/>
  <c r="EV12" i="1" a="1"/>
  <c r="EV12" i="1" s="1"/>
  <c r="EV11" i="1" a="1"/>
  <c r="EV11" i="1" s="1"/>
  <c r="EV10" i="1" a="1"/>
  <c r="EV10" i="1" s="1"/>
  <c r="EV9" i="1" a="1"/>
  <c r="EV9" i="1" s="1"/>
  <c r="EV8" i="1" a="1"/>
  <c r="EV8" i="1" s="1"/>
  <c r="EV7" i="1" a="1"/>
  <c r="EV7" i="1" s="1"/>
  <c r="EV6" i="1" a="1"/>
  <c r="EV6" i="1" s="1"/>
  <c r="EV5" i="1" a="1"/>
  <c r="EV5" i="1" s="1"/>
  <c r="EU15" i="1" a="1"/>
  <c r="EU15" i="1" s="1"/>
  <c r="EU14" i="1" a="1"/>
  <c r="EU14" i="1" s="1"/>
  <c r="EU13" i="1" a="1"/>
  <c r="EU13" i="1" s="1"/>
  <c r="EU12" i="1" a="1"/>
  <c r="EU12" i="1" s="1"/>
  <c r="EU11" i="1" a="1"/>
  <c r="EU11" i="1" s="1"/>
  <c r="EU10" i="1" a="1"/>
  <c r="EU10" i="1" s="1"/>
  <c r="EU9" i="1" a="1"/>
  <c r="EU9" i="1" s="1"/>
  <c r="EU8" i="1" a="1"/>
  <c r="EU8" i="1" s="1"/>
  <c r="EU7" i="1" a="1"/>
  <c r="EU7" i="1" s="1"/>
  <c r="EU6" i="1" a="1"/>
  <c r="EU6" i="1" s="1"/>
  <c r="EU5" i="1" a="1"/>
  <c r="EU5" i="1" s="1"/>
  <c r="ET15" i="1" a="1"/>
  <c r="ET15" i="1" s="1"/>
  <c r="ET14" i="1" a="1"/>
  <c r="ET14" i="1" s="1"/>
  <c r="ET13" i="1" a="1"/>
  <c r="ET13" i="1" s="1"/>
  <c r="ET12" i="1" a="1"/>
  <c r="ET12" i="1" s="1"/>
  <c r="ET11" i="1" a="1"/>
  <c r="ET11" i="1" s="1"/>
  <c r="ET10" i="1" a="1"/>
  <c r="ET10" i="1" s="1"/>
  <c r="ET9" i="1" a="1"/>
  <c r="ET9" i="1" s="1"/>
  <c r="ET8" i="1" a="1"/>
  <c r="ET8" i="1" s="1"/>
  <c r="ET6" i="1" a="1"/>
  <c r="ET6" i="1" s="1"/>
  <c r="ET7" i="1" a="1"/>
  <c r="ET7" i="1" s="1"/>
  <c r="ET5" i="1" a="1"/>
  <c r="ET5" i="1" s="1"/>
  <c r="ET4" i="1" a="1"/>
  <c r="ET4" i="1" s="1"/>
  <c r="EV4" i="1" a="1"/>
  <c r="EV4" i="1" s="1"/>
  <c r="EV3" i="1" a="1"/>
  <c r="EV3" i="1" s="1"/>
  <c r="EV16" i="1" s="1"/>
  <c r="EU4" i="1" a="1"/>
  <c r="EU4" i="1" s="1"/>
  <c r="EU3" i="1" a="1"/>
  <c r="EU3" i="1" s="1"/>
  <c r="EU16" i="1" s="1"/>
  <c r="ET3" i="1" a="1"/>
  <c r="ET3" i="1" s="1"/>
  <c r="ET16" i="1" s="1"/>
  <c r="EW16" i="1" s="1"/>
  <c r="EN3" i="1" a="1"/>
  <c r="EN3" i="1" s="1"/>
  <c r="EO3" i="1" a="1"/>
  <c r="EO3" i="1" s="1"/>
  <c r="EN4" i="1" a="1"/>
  <c r="EN4" i="1" s="1"/>
  <c r="EN20" i="1" a="1"/>
  <c r="EN20" i="1" s="1"/>
  <c r="EO22" i="1" a="1"/>
  <c r="EO22" i="1" s="1"/>
  <c r="EP22" i="1" a="1"/>
  <c r="EP22" i="1" s="1"/>
  <c r="EO23" i="1" a="1"/>
  <c r="EO23" i="1" s="1"/>
  <c r="EP23" i="1" a="1"/>
  <c r="EP23" i="1" s="1"/>
  <c r="EO24" i="1" a="1"/>
  <c r="EO24" i="1" s="1"/>
  <c r="EP24" i="1" a="1"/>
  <c r="EP24" i="1" s="1"/>
  <c r="EO25" i="1" a="1"/>
  <c r="EO25" i="1" s="1"/>
  <c r="EP25" i="1" a="1"/>
  <c r="EP25" i="1" s="1"/>
  <c r="EO26" i="1" a="1"/>
  <c r="EO26" i="1" s="1"/>
  <c r="EP26" i="1" a="1"/>
  <c r="EP26" i="1" s="1"/>
  <c r="EO27" i="1" a="1"/>
  <c r="EO27" i="1" s="1"/>
  <c r="EP27" i="1" a="1"/>
  <c r="EP27" i="1" s="1"/>
  <c r="EO28" i="1" a="1"/>
  <c r="EO28" i="1" s="1"/>
  <c r="EP28" i="1" a="1"/>
  <c r="EP28" i="1" s="1"/>
  <c r="EO29" i="1" a="1"/>
  <c r="EO29" i="1" s="1"/>
  <c r="EP29" i="1" a="1"/>
  <c r="EP29" i="1" s="1"/>
  <c r="EO30" i="1" a="1"/>
  <c r="EO30" i="1" s="1"/>
  <c r="EP30" i="1" a="1"/>
  <c r="EP30" i="1" s="1"/>
  <c r="EO31" i="1" a="1"/>
  <c r="EO31" i="1" s="1"/>
  <c r="EP31" i="1" a="1"/>
  <c r="EP31" i="1" s="1"/>
  <c r="EO32" i="1" a="1"/>
  <c r="EO32" i="1" s="1"/>
  <c r="EP32" i="1" a="1"/>
  <c r="EP32" i="1" s="1"/>
  <c r="EO21" i="1" a="1"/>
  <c r="EO21" i="1" s="1"/>
  <c r="EP21" i="1" a="1"/>
  <c r="EP21" i="1" s="1"/>
  <c r="EN29" i="1" a="1"/>
  <c r="EN29" i="1" s="1"/>
  <c r="EN30" i="1" a="1"/>
  <c r="EN30" i="1" s="1"/>
  <c r="EN31" i="1" a="1"/>
  <c r="EN31" i="1" s="1"/>
  <c r="EN32" i="1" a="1"/>
  <c r="EN32" i="1" s="1"/>
  <c r="EN22" i="1" a="1"/>
  <c r="EN22" i="1" s="1"/>
  <c r="EN23" i="1" a="1"/>
  <c r="EN23" i="1" s="1"/>
  <c r="EN24" i="1" a="1"/>
  <c r="EN24" i="1" s="1"/>
  <c r="EN25" i="1" a="1"/>
  <c r="EN25" i="1" s="1"/>
  <c r="EN26" i="1" a="1"/>
  <c r="EN26" i="1" s="1"/>
  <c r="EN27" i="1" a="1"/>
  <c r="EN27" i="1" s="1"/>
  <c r="EN28" i="1" a="1"/>
  <c r="EN28" i="1" s="1"/>
  <c r="EN21" i="1" a="1"/>
  <c r="EN21" i="1" s="1"/>
  <c r="EO20" i="1" a="1"/>
  <c r="EO20" i="1" s="1"/>
  <c r="EP20" i="1" a="1"/>
  <c r="EP20" i="1" s="1"/>
  <c r="EO4" i="1" a="1"/>
  <c r="EO4" i="1" s="1"/>
  <c r="EP4" i="1" a="1"/>
  <c r="EP4" i="1" s="1"/>
  <c r="EN5" i="1" a="1"/>
  <c r="EN5" i="1" s="1"/>
  <c r="EO5" i="1" a="1"/>
  <c r="EO5" i="1" s="1"/>
  <c r="EP5" i="1" a="1"/>
  <c r="EP5" i="1" s="1"/>
  <c r="EN6" i="1" a="1"/>
  <c r="EN6" i="1" s="1"/>
  <c r="EO6" i="1" a="1"/>
  <c r="EO6" i="1" s="1"/>
  <c r="EP6" i="1" a="1"/>
  <c r="EP6" i="1" s="1"/>
  <c r="EN7" i="1" a="1"/>
  <c r="EN7" i="1" s="1"/>
  <c r="EO7" i="1" a="1"/>
  <c r="EO7" i="1" s="1"/>
  <c r="EP7" i="1" a="1"/>
  <c r="EP7" i="1" s="1"/>
  <c r="EN8" i="1" a="1"/>
  <c r="EN8" i="1" s="1"/>
  <c r="EO8" i="1" a="1"/>
  <c r="EO8" i="1" s="1"/>
  <c r="EP8" i="1" a="1"/>
  <c r="EP8" i="1" s="1"/>
  <c r="EN9" i="1" a="1"/>
  <c r="EN9" i="1" s="1"/>
  <c r="EO9" i="1" a="1"/>
  <c r="EO9" i="1" s="1"/>
  <c r="EP9" i="1" a="1"/>
  <c r="EP9" i="1" s="1"/>
  <c r="EN10" i="1" a="1"/>
  <c r="EN10" i="1" s="1"/>
  <c r="EO10" i="1" a="1"/>
  <c r="EO10" i="1" s="1"/>
  <c r="EP10" i="1" a="1"/>
  <c r="EP10" i="1" s="1"/>
  <c r="EN11" i="1" a="1"/>
  <c r="EN11" i="1" s="1"/>
  <c r="EO11" i="1" a="1"/>
  <c r="EO11" i="1" s="1"/>
  <c r="EP11" i="1" a="1"/>
  <c r="EP11" i="1" s="1"/>
  <c r="EN12" i="1" a="1"/>
  <c r="EN12" i="1" s="1"/>
  <c r="EO12" i="1" a="1"/>
  <c r="EO12" i="1" s="1"/>
  <c r="EP12" i="1" a="1"/>
  <c r="EP12" i="1" s="1"/>
  <c r="EN13" i="1" a="1"/>
  <c r="EN13" i="1" s="1"/>
  <c r="EO13" i="1" a="1"/>
  <c r="EO13" i="1" s="1"/>
  <c r="EP13" i="1" a="1"/>
  <c r="EP13" i="1" s="1"/>
  <c r="EN14" i="1" a="1"/>
  <c r="EN14" i="1" s="1"/>
  <c r="EO14" i="1" a="1"/>
  <c r="EO14" i="1" s="1"/>
  <c r="EP14" i="1" a="1"/>
  <c r="EP14" i="1" s="1"/>
  <c r="EN15" i="1" a="1"/>
  <c r="EN15" i="1" s="1"/>
  <c r="EO15" i="1" a="1"/>
  <c r="EO15" i="1" s="1"/>
  <c r="EP15" i="1" a="1"/>
  <c r="EP15" i="1" s="1"/>
  <c r="EP3" i="1" a="1"/>
  <c r="EP3" i="1" s="1"/>
  <c r="HA3" i="1" a="1"/>
  <c r="HA3" i="1" s="1"/>
  <c r="HD3" i="1" a="1"/>
  <c r="HD3" i="1" s="1"/>
  <c r="GI3" i="1" a="1"/>
  <c r="GI3" i="1" s="1"/>
  <c r="FY4" i="1" a="1"/>
  <c r="FY4" i="1" s="1"/>
  <c r="FY5" i="1" a="1"/>
  <c r="FY5" i="1" s="1"/>
  <c r="FY6" i="1" a="1"/>
  <c r="FY6" i="1" s="1"/>
  <c r="FY7" i="1" a="1"/>
  <c r="FY7" i="1" s="1"/>
  <c r="FY8" i="1" a="1"/>
  <c r="FY8" i="1" s="1"/>
  <c r="FY9" i="1" a="1"/>
  <c r="FY9" i="1" s="1"/>
  <c r="FY10" i="1" a="1"/>
  <c r="FY10" i="1" s="1"/>
  <c r="FY11" i="1" a="1"/>
  <c r="FY11" i="1" s="1"/>
  <c r="FY12" i="1" a="1"/>
  <c r="FY12" i="1" s="1"/>
  <c r="FY13" i="1" a="1"/>
  <c r="FY13" i="1" s="1"/>
  <c r="FY14" i="1" a="1"/>
  <c r="FY14" i="1" s="1"/>
  <c r="FY15" i="1" a="1"/>
  <c r="FY15" i="1" s="1"/>
  <c r="FY3" i="1" a="1"/>
  <c r="FY3" i="1" s="1"/>
  <c r="HA21" i="1" a="1"/>
  <c r="HA21" i="1" s="1"/>
  <c r="HB21" i="1" a="1"/>
  <c r="HB21" i="1" s="1"/>
  <c r="HC21" i="1" a="1"/>
  <c r="HC21" i="1" s="1"/>
  <c r="HD21" i="1" a="1"/>
  <c r="HD21" i="1" s="1"/>
  <c r="HE21" i="1" a="1"/>
  <c r="HE21" i="1" s="1"/>
  <c r="HF21" i="1" a="1"/>
  <c r="HF21" i="1" s="1"/>
  <c r="HG21" i="1" a="1"/>
  <c r="HG21" i="1" s="1"/>
  <c r="HH21" i="1" a="1"/>
  <c r="HH21" i="1" s="1"/>
  <c r="HI21" i="1" a="1"/>
  <c r="HI21" i="1" s="1"/>
  <c r="HJ21" i="1" a="1"/>
  <c r="HJ21" i="1" s="1"/>
  <c r="HK21" i="1" a="1"/>
  <c r="HK21" i="1" s="1"/>
  <c r="HL21" i="1" a="1"/>
  <c r="HL21" i="1" s="1"/>
  <c r="HM21" i="1" a="1"/>
  <c r="HM21" i="1" s="1"/>
  <c r="HA22" i="1" a="1"/>
  <c r="HA22" i="1" s="1"/>
  <c r="HB22" i="1" a="1"/>
  <c r="HB22" i="1" s="1"/>
  <c r="HC22" i="1" a="1"/>
  <c r="HC22" i="1" s="1"/>
  <c r="HD22" i="1" a="1"/>
  <c r="HD22" i="1" s="1"/>
  <c r="HE22" i="1" a="1"/>
  <c r="HE22" i="1" s="1"/>
  <c r="HF22" i="1" a="1"/>
  <c r="HF22" i="1" s="1"/>
  <c r="HG22" i="1" a="1"/>
  <c r="HG22" i="1" s="1"/>
  <c r="HH22" i="1" a="1"/>
  <c r="HH22" i="1" s="1"/>
  <c r="HI22" i="1" a="1"/>
  <c r="HI22" i="1" s="1"/>
  <c r="HJ22" i="1" a="1"/>
  <c r="HJ22" i="1" s="1"/>
  <c r="HK22" i="1" a="1"/>
  <c r="HK22" i="1" s="1"/>
  <c r="HL22" i="1" a="1"/>
  <c r="HL22" i="1" s="1"/>
  <c r="HM22" i="1" a="1"/>
  <c r="HM22" i="1" s="1"/>
  <c r="HA23" i="1" a="1"/>
  <c r="HA23" i="1" s="1"/>
  <c r="HB23" i="1" a="1"/>
  <c r="HB23" i="1" s="1"/>
  <c r="HC23" i="1" a="1"/>
  <c r="HC23" i="1" s="1"/>
  <c r="HD23" i="1" a="1"/>
  <c r="HD23" i="1" s="1"/>
  <c r="HE23" i="1" a="1"/>
  <c r="HE23" i="1" s="1"/>
  <c r="HF23" i="1" a="1"/>
  <c r="HF23" i="1" s="1"/>
  <c r="HG23" i="1" a="1"/>
  <c r="HG23" i="1" s="1"/>
  <c r="HH23" i="1" a="1"/>
  <c r="HH23" i="1" s="1"/>
  <c r="HI23" i="1" a="1"/>
  <c r="HI23" i="1" s="1"/>
  <c r="HJ23" i="1" a="1"/>
  <c r="HJ23" i="1" s="1"/>
  <c r="HK23" i="1" a="1"/>
  <c r="HK23" i="1" s="1"/>
  <c r="HL23" i="1" a="1"/>
  <c r="HL23" i="1" s="1"/>
  <c r="HM23" i="1" a="1"/>
  <c r="HM23" i="1" s="1"/>
  <c r="HA24" i="1" a="1"/>
  <c r="HA24" i="1" s="1"/>
  <c r="HB24" i="1" a="1"/>
  <c r="HB24" i="1" s="1"/>
  <c r="HC24" i="1" a="1"/>
  <c r="HC24" i="1" s="1"/>
  <c r="HD24" i="1" a="1"/>
  <c r="HD24" i="1" s="1"/>
  <c r="HE24" i="1" a="1"/>
  <c r="HE24" i="1" s="1"/>
  <c r="HF24" i="1" a="1"/>
  <c r="HF24" i="1" s="1"/>
  <c r="HG24" i="1" a="1"/>
  <c r="HG24" i="1" s="1"/>
  <c r="HH24" i="1" a="1"/>
  <c r="HH24" i="1" s="1"/>
  <c r="HI24" i="1" a="1"/>
  <c r="HI24" i="1" s="1"/>
  <c r="HJ24" i="1" a="1"/>
  <c r="HJ24" i="1" s="1"/>
  <c r="HK24" i="1" a="1"/>
  <c r="HK24" i="1" s="1"/>
  <c r="HL24" i="1" a="1"/>
  <c r="HL24" i="1" s="1"/>
  <c r="HM24" i="1" a="1"/>
  <c r="HM24" i="1" s="1"/>
  <c r="HA25" i="1" a="1"/>
  <c r="HA25" i="1" s="1"/>
  <c r="HB25" i="1" a="1"/>
  <c r="HB25" i="1" s="1"/>
  <c r="HC25" i="1" a="1"/>
  <c r="HC25" i="1" s="1"/>
  <c r="HD25" i="1" a="1"/>
  <c r="HD25" i="1" s="1"/>
  <c r="HE25" i="1" a="1"/>
  <c r="HE25" i="1" s="1"/>
  <c r="HF25" i="1" a="1"/>
  <c r="HF25" i="1" s="1"/>
  <c r="HG25" i="1" a="1"/>
  <c r="HG25" i="1" s="1"/>
  <c r="HH25" i="1" a="1"/>
  <c r="HH25" i="1" s="1"/>
  <c r="HI25" i="1" a="1"/>
  <c r="HI25" i="1" s="1"/>
  <c r="HJ25" i="1" a="1"/>
  <c r="HJ25" i="1" s="1"/>
  <c r="HK25" i="1" a="1"/>
  <c r="HK25" i="1" s="1"/>
  <c r="HL25" i="1" a="1"/>
  <c r="HL25" i="1" s="1"/>
  <c r="HM25" i="1" a="1"/>
  <c r="HM25" i="1" s="1"/>
  <c r="HA26" i="1" a="1"/>
  <c r="HA26" i="1" s="1"/>
  <c r="HB26" i="1" a="1"/>
  <c r="HB26" i="1" s="1"/>
  <c r="HC26" i="1" a="1"/>
  <c r="HC26" i="1" s="1"/>
  <c r="HD26" i="1" a="1"/>
  <c r="HD26" i="1" s="1"/>
  <c r="HE26" i="1" a="1"/>
  <c r="HE26" i="1" s="1"/>
  <c r="HF26" i="1" a="1"/>
  <c r="HF26" i="1" s="1"/>
  <c r="HG26" i="1" a="1"/>
  <c r="HG26" i="1" s="1"/>
  <c r="HH26" i="1" a="1"/>
  <c r="HH26" i="1" s="1"/>
  <c r="HI26" i="1" a="1"/>
  <c r="HI26" i="1" s="1"/>
  <c r="HJ26" i="1" a="1"/>
  <c r="HJ26" i="1" s="1"/>
  <c r="HK26" i="1" a="1"/>
  <c r="HK26" i="1" s="1"/>
  <c r="HL26" i="1" a="1"/>
  <c r="HL26" i="1" s="1"/>
  <c r="HM26" i="1" a="1"/>
  <c r="HM26" i="1" s="1"/>
  <c r="HA27" i="1" a="1"/>
  <c r="HA27" i="1" s="1"/>
  <c r="HB27" i="1" a="1"/>
  <c r="HB27" i="1" s="1"/>
  <c r="HC27" i="1" a="1"/>
  <c r="HC27" i="1" s="1"/>
  <c r="HD27" i="1" a="1"/>
  <c r="HD27" i="1" s="1"/>
  <c r="HE27" i="1" a="1"/>
  <c r="HE27" i="1" s="1"/>
  <c r="HF27" i="1" a="1"/>
  <c r="HF27" i="1" s="1"/>
  <c r="HG27" i="1" a="1"/>
  <c r="HG27" i="1" s="1"/>
  <c r="HH27" i="1" a="1"/>
  <c r="HH27" i="1" s="1"/>
  <c r="HI27" i="1" a="1"/>
  <c r="HI27" i="1" s="1"/>
  <c r="HJ27" i="1" a="1"/>
  <c r="HJ27" i="1" s="1"/>
  <c r="HK27" i="1" a="1"/>
  <c r="HK27" i="1" s="1"/>
  <c r="HL27" i="1" a="1"/>
  <c r="HL27" i="1" s="1"/>
  <c r="HM27" i="1" a="1"/>
  <c r="HM27" i="1" s="1"/>
  <c r="HA28" i="1" a="1"/>
  <c r="HA28" i="1" s="1"/>
  <c r="HB28" i="1" a="1"/>
  <c r="HB28" i="1" s="1"/>
  <c r="HC28" i="1" a="1"/>
  <c r="HC28" i="1" s="1"/>
  <c r="HD28" i="1" a="1"/>
  <c r="HD28" i="1" s="1"/>
  <c r="HE28" i="1" a="1"/>
  <c r="HE28" i="1" s="1"/>
  <c r="HF28" i="1" a="1"/>
  <c r="HF28" i="1" s="1"/>
  <c r="HG28" i="1" a="1"/>
  <c r="HG28" i="1" s="1"/>
  <c r="HH28" i="1" a="1"/>
  <c r="HH28" i="1" s="1"/>
  <c r="HI28" i="1" a="1"/>
  <c r="HI28" i="1" s="1"/>
  <c r="HJ28" i="1" a="1"/>
  <c r="HJ28" i="1" s="1"/>
  <c r="HK28" i="1" a="1"/>
  <c r="HK28" i="1" s="1"/>
  <c r="HL28" i="1" a="1"/>
  <c r="HL28" i="1" s="1"/>
  <c r="HM28" i="1" a="1"/>
  <c r="HM28" i="1" s="1"/>
  <c r="HA29" i="1" a="1"/>
  <c r="HA29" i="1" s="1"/>
  <c r="HB29" i="1" a="1"/>
  <c r="HB29" i="1" s="1"/>
  <c r="HC29" i="1" a="1"/>
  <c r="HC29" i="1" s="1"/>
  <c r="HD29" i="1" a="1"/>
  <c r="HD29" i="1" s="1"/>
  <c r="HE29" i="1" a="1"/>
  <c r="HE29" i="1" s="1"/>
  <c r="HF29" i="1" a="1"/>
  <c r="HF29" i="1" s="1"/>
  <c r="HG29" i="1" a="1"/>
  <c r="HG29" i="1" s="1"/>
  <c r="HH29" i="1" a="1"/>
  <c r="HH29" i="1" s="1"/>
  <c r="HI29" i="1" a="1"/>
  <c r="HI29" i="1" s="1"/>
  <c r="HJ29" i="1" a="1"/>
  <c r="HJ29" i="1" s="1"/>
  <c r="HK29" i="1" a="1"/>
  <c r="HK29" i="1" s="1"/>
  <c r="HL29" i="1" a="1"/>
  <c r="HL29" i="1" s="1"/>
  <c r="HM29" i="1" a="1"/>
  <c r="HM29" i="1" s="1"/>
  <c r="HA30" i="1" a="1"/>
  <c r="HA30" i="1" s="1"/>
  <c r="HB30" i="1" a="1"/>
  <c r="HB30" i="1" s="1"/>
  <c r="HC30" i="1" a="1"/>
  <c r="HC30" i="1" s="1"/>
  <c r="HD30" i="1" a="1"/>
  <c r="HD30" i="1" s="1"/>
  <c r="HE30" i="1" a="1"/>
  <c r="HE30" i="1" s="1"/>
  <c r="HF30" i="1" a="1"/>
  <c r="HF30" i="1" s="1"/>
  <c r="HG30" i="1" a="1"/>
  <c r="HG30" i="1" s="1"/>
  <c r="HH30" i="1" a="1"/>
  <c r="HH30" i="1" s="1"/>
  <c r="HI30" i="1" a="1"/>
  <c r="HI30" i="1" s="1"/>
  <c r="HJ30" i="1" a="1"/>
  <c r="HJ30" i="1" s="1"/>
  <c r="HK30" i="1" a="1"/>
  <c r="HK30" i="1" s="1"/>
  <c r="HL30" i="1" a="1"/>
  <c r="HL30" i="1" s="1"/>
  <c r="HM30" i="1" a="1"/>
  <c r="HM30" i="1" s="1"/>
  <c r="HA31" i="1" a="1"/>
  <c r="HA31" i="1" s="1"/>
  <c r="HB31" i="1" a="1"/>
  <c r="HB31" i="1" s="1"/>
  <c r="HC31" i="1" a="1"/>
  <c r="HC31" i="1" s="1"/>
  <c r="HD31" i="1" a="1"/>
  <c r="HD31" i="1" s="1"/>
  <c r="HE31" i="1" a="1"/>
  <c r="HE31" i="1" s="1"/>
  <c r="HF31" i="1" a="1"/>
  <c r="HF31" i="1" s="1"/>
  <c r="HG31" i="1" a="1"/>
  <c r="HG31" i="1" s="1"/>
  <c r="HH31" i="1" a="1"/>
  <c r="HH31" i="1" s="1"/>
  <c r="HI31" i="1" a="1"/>
  <c r="HI31" i="1" s="1"/>
  <c r="HJ31" i="1" a="1"/>
  <c r="HJ31" i="1" s="1"/>
  <c r="HK31" i="1" a="1"/>
  <c r="HK31" i="1" s="1"/>
  <c r="HL31" i="1" a="1"/>
  <c r="HL31" i="1" s="1"/>
  <c r="HM31" i="1" a="1"/>
  <c r="HM31" i="1" s="1"/>
  <c r="HA32" i="1" a="1"/>
  <c r="HA32" i="1" s="1"/>
  <c r="HB32" i="1" a="1"/>
  <c r="HB32" i="1" s="1"/>
  <c r="HC32" i="1" a="1"/>
  <c r="HC32" i="1" s="1"/>
  <c r="HD32" i="1" a="1"/>
  <c r="HD32" i="1" s="1"/>
  <c r="HE32" i="1" a="1"/>
  <c r="HE32" i="1" s="1"/>
  <c r="HF32" i="1" a="1"/>
  <c r="HF32" i="1" s="1"/>
  <c r="HG32" i="1" a="1"/>
  <c r="HG32" i="1" s="1"/>
  <c r="HH32" i="1" a="1"/>
  <c r="HH32" i="1" s="1"/>
  <c r="HI32" i="1" a="1"/>
  <c r="HI32" i="1" s="1"/>
  <c r="HJ32" i="1" a="1"/>
  <c r="HJ32" i="1" s="1"/>
  <c r="HK32" i="1" a="1"/>
  <c r="HK32" i="1" s="1"/>
  <c r="HL32" i="1" a="1"/>
  <c r="HL32" i="1" s="1"/>
  <c r="HM32" i="1" a="1"/>
  <c r="HM32" i="1" s="1"/>
  <c r="HM20" i="1" a="1"/>
  <c r="HM20" i="1" s="1"/>
  <c r="HL20" i="1" a="1"/>
  <c r="HL20" i="1" s="1"/>
  <c r="HK20" i="1" a="1"/>
  <c r="HK20" i="1" s="1"/>
  <c r="HJ20" i="1" a="1"/>
  <c r="HJ20" i="1" s="1"/>
  <c r="HI20" i="1" a="1"/>
  <c r="HI20" i="1" s="1"/>
  <c r="HH20" i="1" a="1"/>
  <c r="HH20" i="1" s="1"/>
  <c r="HG20" i="1" a="1"/>
  <c r="HG20" i="1" s="1"/>
  <c r="HF20" i="1" a="1"/>
  <c r="HF20" i="1" s="1"/>
  <c r="HE20" i="1" a="1"/>
  <c r="HE20" i="1" s="1"/>
  <c r="HD20" i="1" a="1"/>
  <c r="HD20" i="1" s="1"/>
  <c r="HC20" i="1" a="1"/>
  <c r="HC20" i="1" s="1"/>
  <c r="HB20" i="1" a="1"/>
  <c r="HB20" i="1" s="1"/>
  <c r="HA20" i="1" a="1"/>
  <c r="HA20" i="1" s="1"/>
  <c r="HA4" i="1" a="1"/>
  <c r="HA4" i="1" s="1"/>
  <c r="HB4" i="1" a="1"/>
  <c r="HB4" i="1" s="1"/>
  <c r="HC4" i="1" a="1"/>
  <c r="HC4" i="1" s="1"/>
  <c r="HD4" i="1" a="1"/>
  <c r="HD4" i="1" s="1"/>
  <c r="HE4" i="1" a="1"/>
  <c r="HE4" i="1" s="1"/>
  <c r="HF4" i="1" a="1"/>
  <c r="HF4" i="1" s="1"/>
  <c r="HG4" i="1" a="1"/>
  <c r="HG4" i="1" s="1"/>
  <c r="HH4" i="1" a="1"/>
  <c r="HH4" i="1" s="1"/>
  <c r="HI4" i="1" a="1"/>
  <c r="HI4" i="1" s="1"/>
  <c r="HJ4" i="1" a="1"/>
  <c r="HJ4" i="1" s="1"/>
  <c r="HK4" i="1" a="1"/>
  <c r="HK4" i="1" s="1"/>
  <c r="HL4" i="1" a="1"/>
  <c r="HL4" i="1" s="1"/>
  <c r="HM4" i="1" a="1"/>
  <c r="HM4" i="1" s="1"/>
  <c r="HA5" i="1" a="1"/>
  <c r="HA5" i="1" s="1"/>
  <c r="HB5" i="1" a="1"/>
  <c r="HB5" i="1" s="1"/>
  <c r="HC5" i="1" a="1"/>
  <c r="HC5" i="1" s="1"/>
  <c r="HD5" i="1" a="1"/>
  <c r="HD5" i="1" s="1"/>
  <c r="HE5" i="1" a="1"/>
  <c r="HE5" i="1" s="1"/>
  <c r="HF5" i="1" a="1"/>
  <c r="HF5" i="1" s="1"/>
  <c r="HG5" i="1" a="1"/>
  <c r="HG5" i="1" s="1"/>
  <c r="HH5" i="1" a="1"/>
  <c r="HH5" i="1" s="1"/>
  <c r="HI5" i="1" a="1"/>
  <c r="HI5" i="1" s="1"/>
  <c r="HJ5" i="1" a="1"/>
  <c r="HJ5" i="1" s="1"/>
  <c r="HK5" i="1" a="1"/>
  <c r="HK5" i="1" s="1"/>
  <c r="HL5" i="1" a="1"/>
  <c r="HL5" i="1" s="1"/>
  <c r="HM5" i="1" a="1"/>
  <c r="HM5" i="1" s="1"/>
  <c r="HA6" i="1" a="1"/>
  <c r="HA6" i="1" s="1"/>
  <c r="HB6" i="1" a="1"/>
  <c r="HB6" i="1" s="1"/>
  <c r="HC6" i="1" a="1"/>
  <c r="HC6" i="1" s="1"/>
  <c r="HD6" i="1" a="1"/>
  <c r="HD6" i="1" s="1"/>
  <c r="HE6" i="1" a="1"/>
  <c r="HE6" i="1" s="1"/>
  <c r="HF6" i="1" a="1"/>
  <c r="HF6" i="1" s="1"/>
  <c r="HG6" i="1" a="1"/>
  <c r="HG6" i="1" s="1"/>
  <c r="HH6" i="1" a="1"/>
  <c r="HH6" i="1" s="1"/>
  <c r="HI6" i="1" a="1"/>
  <c r="HI6" i="1" s="1"/>
  <c r="HJ6" i="1" a="1"/>
  <c r="HJ6" i="1" s="1"/>
  <c r="HK6" i="1" a="1"/>
  <c r="HK6" i="1" s="1"/>
  <c r="HL6" i="1" a="1"/>
  <c r="HL6" i="1" s="1"/>
  <c r="HM6" i="1" a="1"/>
  <c r="HM6" i="1" s="1"/>
  <c r="HA7" i="1" a="1"/>
  <c r="HA7" i="1" s="1"/>
  <c r="HB7" i="1" a="1"/>
  <c r="HB7" i="1" s="1"/>
  <c r="HC7" i="1" a="1"/>
  <c r="HC7" i="1" s="1"/>
  <c r="HD7" i="1" a="1"/>
  <c r="HD7" i="1" s="1"/>
  <c r="HE7" i="1" a="1"/>
  <c r="HE7" i="1" s="1"/>
  <c r="HF7" i="1" a="1"/>
  <c r="HF7" i="1" s="1"/>
  <c r="HG7" i="1" a="1"/>
  <c r="HG7" i="1" s="1"/>
  <c r="HH7" i="1" a="1"/>
  <c r="HH7" i="1" s="1"/>
  <c r="HI7" i="1" a="1"/>
  <c r="HI7" i="1" s="1"/>
  <c r="HJ7" i="1" a="1"/>
  <c r="HJ7" i="1" s="1"/>
  <c r="HK7" i="1" a="1"/>
  <c r="HK7" i="1" s="1"/>
  <c r="HL7" i="1" a="1"/>
  <c r="HL7" i="1" s="1"/>
  <c r="HM7" i="1" a="1"/>
  <c r="HM7" i="1" s="1"/>
  <c r="HA8" i="1" a="1"/>
  <c r="HA8" i="1" s="1"/>
  <c r="HB8" i="1" a="1"/>
  <c r="HB8" i="1" s="1"/>
  <c r="HC8" i="1" a="1"/>
  <c r="HC8" i="1" s="1"/>
  <c r="HD8" i="1" a="1"/>
  <c r="HD8" i="1" s="1"/>
  <c r="HE8" i="1" a="1"/>
  <c r="HE8" i="1" s="1"/>
  <c r="HF8" i="1" a="1"/>
  <c r="HF8" i="1" s="1"/>
  <c r="HG8" i="1" a="1"/>
  <c r="HG8" i="1" s="1"/>
  <c r="HH8" i="1" a="1"/>
  <c r="HH8" i="1" s="1"/>
  <c r="HI8" i="1" a="1"/>
  <c r="HI8" i="1" s="1"/>
  <c r="HJ8" i="1" a="1"/>
  <c r="HJ8" i="1" s="1"/>
  <c r="HK8" i="1" a="1"/>
  <c r="HK8" i="1" s="1"/>
  <c r="HL8" i="1" a="1"/>
  <c r="HL8" i="1" s="1"/>
  <c r="HM8" i="1" a="1"/>
  <c r="HM8" i="1" s="1"/>
  <c r="HA9" i="1" a="1"/>
  <c r="HA9" i="1" s="1"/>
  <c r="HB9" i="1" a="1"/>
  <c r="HB9" i="1" s="1"/>
  <c r="HC9" i="1" a="1"/>
  <c r="HC9" i="1" s="1"/>
  <c r="HD9" i="1" a="1"/>
  <c r="HD9" i="1" s="1"/>
  <c r="HE9" i="1" a="1"/>
  <c r="HE9" i="1" s="1"/>
  <c r="HF9" i="1" a="1"/>
  <c r="HF9" i="1" s="1"/>
  <c r="HG9" i="1" a="1"/>
  <c r="HG9" i="1" s="1"/>
  <c r="HH9" i="1" a="1"/>
  <c r="HH9" i="1" s="1"/>
  <c r="HI9" i="1" a="1"/>
  <c r="HI9" i="1" s="1"/>
  <c r="HJ9" i="1" a="1"/>
  <c r="HJ9" i="1" s="1"/>
  <c r="HK9" i="1" a="1"/>
  <c r="HK9" i="1" s="1"/>
  <c r="HL9" i="1" a="1"/>
  <c r="HL9" i="1" s="1"/>
  <c r="HM9" i="1" a="1"/>
  <c r="HM9" i="1" s="1"/>
  <c r="HA10" i="1" a="1"/>
  <c r="HA10" i="1" s="1"/>
  <c r="HB10" i="1" a="1"/>
  <c r="HB10" i="1" s="1"/>
  <c r="HC10" i="1" a="1"/>
  <c r="HC10" i="1" s="1"/>
  <c r="HD10" i="1" a="1"/>
  <c r="HD10" i="1" s="1"/>
  <c r="HE10" i="1" a="1"/>
  <c r="HE10" i="1" s="1"/>
  <c r="HF10" i="1" a="1"/>
  <c r="HF10" i="1" s="1"/>
  <c r="HG10" i="1" a="1"/>
  <c r="HG10" i="1" s="1"/>
  <c r="HH10" i="1" a="1"/>
  <c r="HH10" i="1" s="1"/>
  <c r="HI10" i="1" a="1"/>
  <c r="HI10" i="1" s="1"/>
  <c r="HJ10" i="1" a="1"/>
  <c r="HJ10" i="1" s="1"/>
  <c r="HK10" i="1" a="1"/>
  <c r="HK10" i="1" s="1"/>
  <c r="HL10" i="1" a="1"/>
  <c r="HL10" i="1" s="1"/>
  <c r="HM10" i="1" a="1"/>
  <c r="HM10" i="1" s="1"/>
  <c r="HA11" i="1" a="1"/>
  <c r="HA11" i="1" s="1"/>
  <c r="HB11" i="1" a="1"/>
  <c r="HB11" i="1" s="1"/>
  <c r="HC11" i="1" a="1"/>
  <c r="HC11" i="1" s="1"/>
  <c r="HD11" i="1" a="1"/>
  <c r="HD11" i="1" s="1"/>
  <c r="HE11" i="1" a="1"/>
  <c r="HE11" i="1" s="1"/>
  <c r="HF11" i="1" a="1"/>
  <c r="HF11" i="1" s="1"/>
  <c r="HG11" i="1" a="1"/>
  <c r="HG11" i="1" s="1"/>
  <c r="HH11" i="1" a="1"/>
  <c r="HH11" i="1" s="1"/>
  <c r="HI11" i="1" a="1"/>
  <c r="HI11" i="1" s="1"/>
  <c r="HJ11" i="1" a="1"/>
  <c r="HJ11" i="1" s="1"/>
  <c r="HK11" i="1" a="1"/>
  <c r="HK11" i="1" s="1"/>
  <c r="HL11" i="1" a="1"/>
  <c r="HL11" i="1" s="1"/>
  <c r="HM11" i="1" a="1"/>
  <c r="HM11" i="1" s="1"/>
  <c r="HA12" i="1" a="1"/>
  <c r="HA12" i="1" s="1"/>
  <c r="HB12" i="1" a="1"/>
  <c r="HB12" i="1" s="1"/>
  <c r="HC12" i="1" a="1"/>
  <c r="HC12" i="1" s="1"/>
  <c r="HD12" i="1" a="1"/>
  <c r="HD12" i="1" s="1"/>
  <c r="HE12" i="1" a="1"/>
  <c r="HE12" i="1" s="1"/>
  <c r="HF12" i="1" a="1"/>
  <c r="HF12" i="1" s="1"/>
  <c r="HG12" i="1" a="1"/>
  <c r="HG12" i="1" s="1"/>
  <c r="HH12" i="1" a="1"/>
  <c r="HH12" i="1" s="1"/>
  <c r="HI12" i="1" a="1"/>
  <c r="HI12" i="1" s="1"/>
  <c r="HJ12" i="1" a="1"/>
  <c r="HJ12" i="1" s="1"/>
  <c r="HK12" i="1" a="1"/>
  <c r="HK12" i="1" s="1"/>
  <c r="HL12" i="1" a="1"/>
  <c r="HL12" i="1" s="1"/>
  <c r="HM12" i="1" a="1"/>
  <c r="HM12" i="1" s="1"/>
  <c r="HA13" i="1" a="1"/>
  <c r="HA13" i="1" s="1"/>
  <c r="HB13" i="1" a="1"/>
  <c r="HB13" i="1" s="1"/>
  <c r="HC13" i="1" a="1"/>
  <c r="HC13" i="1" s="1"/>
  <c r="HD13" i="1" a="1"/>
  <c r="HD13" i="1" s="1"/>
  <c r="HE13" i="1" a="1"/>
  <c r="HE13" i="1" s="1"/>
  <c r="HF13" i="1" a="1"/>
  <c r="HF13" i="1" s="1"/>
  <c r="HG13" i="1" a="1"/>
  <c r="HG13" i="1" s="1"/>
  <c r="HH13" i="1" a="1"/>
  <c r="HH13" i="1" s="1"/>
  <c r="HI13" i="1" a="1"/>
  <c r="HI13" i="1" s="1"/>
  <c r="HJ13" i="1" a="1"/>
  <c r="HJ13" i="1" s="1"/>
  <c r="HK13" i="1" a="1"/>
  <c r="HK13" i="1" s="1"/>
  <c r="HL13" i="1" a="1"/>
  <c r="HL13" i="1" s="1"/>
  <c r="HM13" i="1" a="1"/>
  <c r="HM13" i="1" s="1"/>
  <c r="HA14" i="1" a="1"/>
  <c r="HA14" i="1" s="1"/>
  <c r="HB14" i="1" a="1"/>
  <c r="HB14" i="1" s="1"/>
  <c r="HC14" i="1" a="1"/>
  <c r="HC14" i="1" s="1"/>
  <c r="HD14" i="1" a="1"/>
  <c r="HD14" i="1" s="1"/>
  <c r="HE14" i="1" a="1"/>
  <c r="HE14" i="1" s="1"/>
  <c r="HF14" i="1" a="1"/>
  <c r="HF14" i="1" s="1"/>
  <c r="HG14" i="1" a="1"/>
  <c r="HG14" i="1" s="1"/>
  <c r="HH14" i="1" a="1"/>
  <c r="HH14" i="1" s="1"/>
  <c r="HI14" i="1" a="1"/>
  <c r="HI14" i="1" s="1"/>
  <c r="HJ14" i="1" a="1"/>
  <c r="HJ14" i="1" s="1"/>
  <c r="HK14" i="1" a="1"/>
  <c r="HK14" i="1" s="1"/>
  <c r="HL14" i="1" a="1"/>
  <c r="HL14" i="1" s="1"/>
  <c r="HM14" i="1" a="1"/>
  <c r="HM14" i="1" s="1"/>
  <c r="HA15" i="1" a="1"/>
  <c r="HA15" i="1" s="1"/>
  <c r="HB15" i="1" a="1"/>
  <c r="HB15" i="1" s="1"/>
  <c r="HC15" i="1" a="1"/>
  <c r="HC15" i="1" s="1"/>
  <c r="HD15" i="1" a="1"/>
  <c r="HD15" i="1" s="1"/>
  <c r="HE15" i="1" a="1"/>
  <c r="HE15" i="1" s="1"/>
  <c r="HF15" i="1" a="1"/>
  <c r="HF15" i="1" s="1"/>
  <c r="HG15" i="1" a="1"/>
  <c r="HG15" i="1" s="1"/>
  <c r="HH15" i="1" a="1"/>
  <c r="HH15" i="1" s="1"/>
  <c r="HI15" i="1" a="1"/>
  <c r="HI15" i="1" s="1"/>
  <c r="HJ15" i="1" a="1"/>
  <c r="HJ15" i="1" s="1"/>
  <c r="HK15" i="1" a="1"/>
  <c r="HK15" i="1" s="1"/>
  <c r="HL15" i="1" a="1"/>
  <c r="HL15" i="1" s="1"/>
  <c r="HM15" i="1" a="1"/>
  <c r="HM15" i="1" s="1"/>
  <c r="HM3" i="1" a="1"/>
  <c r="HM3" i="1" s="1"/>
  <c r="HL3" i="1" a="1"/>
  <c r="HL3" i="1" s="1"/>
  <c r="HK3" i="1" a="1"/>
  <c r="HK3" i="1" s="1"/>
  <c r="HJ3" i="1" a="1"/>
  <c r="HJ3" i="1" s="1"/>
  <c r="HI3" i="1" a="1"/>
  <c r="HI3" i="1" s="1"/>
  <c r="HG3" i="1" a="1"/>
  <c r="HG3" i="1" s="1"/>
  <c r="HE3" i="1" a="1"/>
  <c r="HE3" i="1" s="1"/>
  <c r="HC3" i="1" a="1"/>
  <c r="HC3" i="1" s="1"/>
  <c r="HB3" i="1" a="1"/>
  <c r="HB3" i="1" s="1"/>
  <c r="FW3" i="1" a="1"/>
  <c r="FW3" i="1" s="1"/>
  <c r="GR37" i="1" a="1"/>
  <c r="GR37" i="1" s="1"/>
  <c r="GP4" i="1" a="1"/>
  <c r="GP4" i="1" s="1"/>
  <c r="GP5" i="1" a="1"/>
  <c r="GP5" i="1" s="1"/>
  <c r="GP6" i="1" a="1"/>
  <c r="GP6" i="1" s="1"/>
  <c r="GP7" i="1" a="1"/>
  <c r="GP7" i="1" s="1"/>
  <c r="GP8" i="1" a="1"/>
  <c r="GP8" i="1" s="1"/>
  <c r="GP9" i="1" a="1"/>
  <c r="GP9" i="1" s="1"/>
  <c r="GP10" i="1" a="1"/>
  <c r="GP10" i="1" s="1"/>
  <c r="GP11" i="1" a="1"/>
  <c r="GP11" i="1" s="1"/>
  <c r="GP12" i="1" a="1"/>
  <c r="GP12" i="1" s="1"/>
  <c r="GP13" i="1" a="1"/>
  <c r="GP13" i="1" s="1"/>
  <c r="GP14" i="1" a="1"/>
  <c r="GP14" i="1" s="1"/>
  <c r="GP15" i="1" a="1"/>
  <c r="GP15" i="1" s="1"/>
  <c r="GP3" i="1" a="1"/>
  <c r="GP3" i="1" s="1"/>
  <c r="DI9" i="1" a="1"/>
  <c r="DI9" i="1" s="1"/>
  <c r="DI15" i="1" a="1"/>
  <c r="DI15" i="1" s="1"/>
  <c r="DI14" i="1" a="1"/>
  <c r="DI14" i="1" s="1"/>
  <c r="DI13" i="1" a="1"/>
  <c r="DI13" i="1" s="1"/>
  <c r="DI12" i="1" a="1"/>
  <c r="DI12" i="1" s="1"/>
  <c r="DI11" i="1" a="1"/>
  <c r="DI11" i="1" s="1"/>
  <c r="DI10" i="1" a="1"/>
  <c r="DI10" i="1" s="1"/>
  <c r="DI8" i="1" a="1"/>
  <c r="DI8" i="1" s="1"/>
  <c r="DI7" i="1" a="1"/>
  <c r="DI7" i="1" s="1"/>
  <c r="DI6" i="1" a="1"/>
  <c r="DI6" i="1" s="1"/>
  <c r="DI5" i="1" a="1"/>
  <c r="DI5" i="1" s="1"/>
  <c r="DI4" i="1" a="1"/>
  <c r="DI4" i="1" s="1"/>
  <c r="DI3" i="1" a="1"/>
  <c r="DI3" i="1" s="1"/>
  <c r="DB3" i="1" a="1"/>
  <c r="DB3" i="1" s="1"/>
  <c r="DD3" i="1" a="1"/>
  <c r="DD3" i="1" s="1"/>
  <c r="DB4" i="1" a="1"/>
  <c r="DB4" i="1" s="1"/>
  <c r="DC4" i="1" a="1"/>
  <c r="DC4" i="1" s="1"/>
  <c r="DD4" i="1" a="1"/>
  <c r="DD4" i="1" s="1"/>
  <c r="DB6" i="1" a="1"/>
  <c r="DB6" i="1" s="1"/>
  <c r="DC6" i="1" a="1"/>
  <c r="DC6" i="1" s="1"/>
  <c r="DD6" i="1" a="1"/>
  <c r="DD6" i="1" s="1"/>
  <c r="DB22" i="1" a="1"/>
  <c r="DB22" i="1" s="1"/>
  <c r="DC22" i="1" a="1"/>
  <c r="DC22" i="1" s="1"/>
  <c r="DD22" i="1" a="1"/>
  <c r="DD22" i="1" s="1"/>
  <c r="DB10" i="1" a="1"/>
  <c r="DB10" i="1" s="1"/>
  <c r="DC10" i="1" a="1"/>
  <c r="DC10" i="1" s="1"/>
  <c r="DD10" i="1" a="1"/>
  <c r="DD10" i="1" s="1"/>
  <c r="DA17" i="1" a="1"/>
  <c r="DA17" i="1" s="1"/>
  <c r="DB17" i="1" a="1"/>
  <c r="DB17" i="1" s="1"/>
  <c r="DC17" i="1" a="1"/>
  <c r="DC17" i="1" s="1"/>
  <c r="DD17" i="1" a="1"/>
  <c r="DD17" i="1" s="1"/>
  <c r="DA11" i="1" a="1"/>
  <c r="DA11" i="1" s="1"/>
  <c r="DB11" i="1" a="1"/>
  <c r="DB11" i="1" s="1"/>
  <c r="DC11" i="1" a="1"/>
  <c r="DC11" i="1" s="1"/>
  <c r="DD11" i="1" a="1"/>
  <c r="DD11" i="1" s="1"/>
  <c r="DA12" i="1" a="1"/>
  <c r="DA12" i="1" s="1"/>
  <c r="DB12" i="1" a="1"/>
  <c r="DB12" i="1" s="1"/>
  <c r="DC12" i="1" a="1"/>
  <c r="DC12" i="1" s="1"/>
  <c r="DD12" i="1" a="1"/>
  <c r="DD12" i="1" s="1"/>
  <c r="DA13" i="1" a="1"/>
  <c r="DA13" i="1" s="1"/>
  <c r="DB13" i="1" a="1"/>
  <c r="DB13" i="1" s="1"/>
  <c r="DC13" i="1" a="1"/>
  <c r="DC13" i="1" s="1"/>
  <c r="DD13" i="1" a="1"/>
  <c r="DD13" i="1" s="1"/>
  <c r="DA18" i="1" a="1"/>
  <c r="DA18" i="1" s="1"/>
  <c r="DB18" i="1" a="1"/>
  <c r="DB18" i="1" s="1"/>
  <c r="DC18" i="1" a="1"/>
  <c r="DC18" i="1" s="1"/>
  <c r="DD18" i="1" a="1"/>
  <c r="DD18" i="1" s="1"/>
  <c r="DA14" i="1" a="1"/>
  <c r="DA14" i="1" s="1"/>
  <c r="DB14" i="1" a="1"/>
  <c r="DB14" i="1" s="1"/>
  <c r="DC14" i="1" a="1"/>
  <c r="DC14" i="1" s="1"/>
  <c r="DD14" i="1" a="1"/>
  <c r="DD14" i="1" s="1"/>
  <c r="DA19" i="1" a="1"/>
  <c r="DA19" i="1" s="1"/>
  <c r="DB19" i="1" a="1"/>
  <c r="DB19" i="1" s="1"/>
  <c r="DC19" i="1" a="1"/>
  <c r="DC19" i="1" s="1"/>
  <c r="DD19" i="1" a="1"/>
  <c r="DD19" i="1" s="1"/>
  <c r="DA15" i="1" a="1"/>
  <c r="DA15" i="1" s="1"/>
  <c r="DB15" i="1" a="1"/>
  <c r="DB15" i="1" s="1"/>
  <c r="DC15" i="1" a="1"/>
  <c r="DC15" i="1" s="1"/>
  <c r="DD15" i="1" a="1"/>
  <c r="DD15" i="1" s="1"/>
  <c r="DB7" i="1" a="1"/>
  <c r="DB7" i="1" s="1"/>
  <c r="DC7" i="1" a="1"/>
  <c r="DC7" i="1" s="1"/>
  <c r="DD7" i="1" a="1"/>
  <c r="DD7" i="1" s="1"/>
  <c r="DB9" i="1" a="1"/>
  <c r="DB9" i="1" s="1"/>
  <c r="DC9" i="1" a="1"/>
  <c r="DC9" i="1" s="1"/>
  <c r="DD9" i="1" a="1"/>
  <c r="DD9" i="1" s="1"/>
  <c r="DA20" i="1" a="1"/>
  <c r="DA20" i="1" s="1"/>
  <c r="DB20" i="1" a="1"/>
  <c r="DB20" i="1" s="1"/>
  <c r="DC20" i="1" a="1"/>
  <c r="DC20" i="1" s="1"/>
  <c r="DD20" i="1" a="1"/>
  <c r="DD20" i="1" s="1"/>
  <c r="DB8" i="1" a="1"/>
  <c r="DB8" i="1" s="1"/>
  <c r="DC8" i="1" a="1"/>
  <c r="DC8" i="1" s="1"/>
  <c r="DD8" i="1" a="1"/>
  <c r="DD8" i="1" s="1"/>
  <c r="DA16" i="1" a="1"/>
  <c r="DA16" i="1" s="1"/>
  <c r="DB16" i="1" a="1"/>
  <c r="DB16" i="1" s="1"/>
  <c r="DC16" i="1" a="1"/>
  <c r="DC16" i="1" s="1"/>
  <c r="DD16" i="1" a="1"/>
  <c r="DD16" i="1" s="1"/>
  <c r="DA21" i="1" a="1"/>
  <c r="DA21" i="1" s="1"/>
  <c r="DB21" i="1" a="1"/>
  <c r="DB21" i="1" s="1"/>
  <c r="DC21" i="1" a="1"/>
  <c r="DC21" i="1" s="1"/>
  <c r="DD21" i="1" a="1"/>
  <c r="DD21" i="1" s="1"/>
  <c r="DD5" i="1" a="1"/>
  <c r="DD5" i="1" s="1"/>
  <c r="DC5" i="1" a="1"/>
  <c r="DC5" i="1" s="1"/>
  <c r="DB5" i="1" a="1"/>
  <c r="DB5" i="1" s="1"/>
  <c r="HA38" i="1" a="1"/>
  <c r="HA38" i="1" s="1"/>
  <c r="HB38" i="1" a="1"/>
  <c r="HB38" i="1" s="1"/>
  <c r="HC38" i="1" a="1"/>
  <c r="HC38" i="1" s="1"/>
  <c r="HD38" i="1" a="1"/>
  <c r="HD38" i="1" s="1"/>
  <c r="HE38" i="1" a="1"/>
  <c r="HE38" i="1" s="1"/>
  <c r="HF38" i="1" a="1"/>
  <c r="HF38" i="1" s="1"/>
  <c r="HG38" i="1" a="1"/>
  <c r="HG38" i="1" s="1"/>
  <c r="HH38" i="1" a="1"/>
  <c r="HH38" i="1" s="1"/>
  <c r="HI38" i="1" a="1"/>
  <c r="HI38" i="1" s="1"/>
  <c r="HJ38" i="1" a="1"/>
  <c r="HJ38" i="1" s="1"/>
  <c r="HK38" i="1" a="1"/>
  <c r="HK38" i="1" s="1"/>
  <c r="HL38" i="1" a="1"/>
  <c r="HL38" i="1" s="1"/>
  <c r="HM38" i="1" a="1"/>
  <c r="HM38" i="1" s="1"/>
  <c r="HA39" i="1" a="1"/>
  <c r="HA39" i="1" s="1"/>
  <c r="HB39" i="1" a="1"/>
  <c r="HB39" i="1" s="1"/>
  <c r="HC39" i="1" a="1"/>
  <c r="HC39" i="1" s="1"/>
  <c r="HD39" i="1" a="1"/>
  <c r="HD39" i="1" s="1"/>
  <c r="HE39" i="1" a="1"/>
  <c r="HE39" i="1" s="1"/>
  <c r="HF39" i="1" a="1"/>
  <c r="HF39" i="1" s="1"/>
  <c r="HG39" i="1" a="1"/>
  <c r="HG39" i="1" s="1"/>
  <c r="HH39" i="1" a="1"/>
  <c r="HH39" i="1" s="1"/>
  <c r="HI39" i="1" a="1"/>
  <c r="HI39" i="1" s="1"/>
  <c r="HJ39" i="1" a="1"/>
  <c r="HJ39" i="1" s="1"/>
  <c r="HK39" i="1" a="1"/>
  <c r="HK39" i="1" s="1"/>
  <c r="HL39" i="1" a="1"/>
  <c r="HL39" i="1" s="1"/>
  <c r="HM39" i="1" a="1"/>
  <c r="HM39" i="1" s="1"/>
  <c r="HA40" i="1" a="1"/>
  <c r="HA40" i="1" s="1"/>
  <c r="HB40" i="1" a="1"/>
  <c r="HB40" i="1" s="1"/>
  <c r="HC40" i="1" a="1"/>
  <c r="HC40" i="1" s="1"/>
  <c r="HD40" i="1" a="1"/>
  <c r="HD40" i="1" s="1"/>
  <c r="HE40" i="1" a="1"/>
  <c r="HE40" i="1" s="1"/>
  <c r="HF40" i="1" a="1"/>
  <c r="HF40" i="1" s="1"/>
  <c r="HG40" i="1" a="1"/>
  <c r="HG40" i="1" s="1"/>
  <c r="HH40" i="1" a="1"/>
  <c r="HH40" i="1" s="1"/>
  <c r="HI40" i="1" a="1"/>
  <c r="HI40" i="1" s="1"/>
  <c r="HJ40" i="1" a="1"/>
  <c r="HJ40" i="1" s="1"/>
  <c r="HK40" i="1" a="1"/>
  <c r="HK40" i="1" s="1"/>
  <c r="HL40" i="1" a="1"/>
  <c r="HL40" i="1" s="1"/>
  <c r="HM40" i="1" a="1"/>
  <c r="HM40" i="1" s="1"/>
  <c r="HA41" i="1" a="1"/>
  <c r="HA41" i="1" s="1"/>
  <c r="HB41" i="1" a="1"/>
  <c r="HB41" i="1" s="1"/>
  <c r="HC41" i="1" a="1"/>
  <c r="HC41" i="1" s="1"/>
  <c r="HD41" i="1" a="1"/>
  <c r="HD41" i="1" s="1"/>
  <c r="HE41" i="1" a="1"/>
  <c r="HE41" i="1" s="1"/>
  <c r="HF41" i="1" a="1"/>
  <c r="HF41" i="1" s="1"/>
  <c r="HG41" i="1" a="1"/>
  <c r="HG41" i="1" s="1"/>
  <c r="HH41" i="1" a="1"/>
  <c r="HH41" i="1" s="1"/>
  <c r="HI41" i="1" a="1"/>
  <c r="HI41" i="1" s="1"/>
  <c r="HJ41" i="1" a="1"/>
  <c r="HJ41" i="1" s="1"/>
  <c r="HK41" i="1" a="1"/>
  <c r="HK41" i="1" s="1"/>
  <c r="HL41" i="1" a="1"/>
  <c r="HL41" i="1" s="1"/>
  <c r="HM41" i="1" a="1"/>
  <c r="HM41" i="1" s="1"/>
  <c r="HA42" i="1" a="1"/>
  <c r="HA42" i="1" s="1"/>
  <c r="HB42" i="1" a="1"/>
  <c r="HB42" i="1" s="1"/>
  <c r="HC42" i="1" a="1"/>
  <c r="HC42" i="1" s="1"/>
  <c r="HD42" i="1" a="1"/>
  <c r="HD42" i="1" s="1"/>
  <c r="HE42" i="1" a="1"/>
  <c r="HE42" i="1" s="1"/>
  <c r="HF42" i="1" a="1"/>
  <c r="HF42" i="1" s="1"/>
  <c r="HG42" i="1" a="1"/>
  <c r="HG42" i="1" s="1"/>
  <c r="HH42" i="1" a="1"/>
  <c r="HH42" i="1" s="1"/>
  <c r="HI42" i="1" a="1"/>
  <c r="HI42" i="1" s="1"/>
  <c r="HJ42" i="1" a="1"/>
  <c r="HJ42" i="1" s="1"/>
  <c r="HK42" i="1" a="1"/>
  <c r="HK42" i="1" s="1"/>
  <c r="HL42" i="1" a="1"/>
  <c r="HL42" i="1" s="1"/>
  <c r="HM42" i="1" a="1"/>
  <c r="HM42" i="1" s="1"/>
  <c r="HA43" i="1" a="1"/>
  <c r="HA43" i="1" s="1"/>
  <c r="HB43" i="1" a="1"/>
  <c r="HB43" i="1" s="1"/>
  <c r="HC43" i="1" a="1"/>
  <c r="HC43" i="1" s="1"/>
  <c r="HD43" i="1" a="1"/>
  <c r="HD43" i="1" s="1"/>
  <c r="HE43" i="1" a="1"/>
  <c r="HE43" i="1" s="1"/>
  <c r="HF43" i="1" a="1"/>
  <c r="HF43" i="1" s="1"/>
  <c r="HG43" i="1" a="1"/>
  <c r="HG43" i="1" s="1"/>
  <c r="HH43" i="1" a="1"/>
  <c r="HH43" i="1" s="1"/>
  <c r="HI43" i="1" a="1"/>
  <c r="HI43" i="1" s="1"/>
  <c r="HJ43" i="1" a="1"/>
  <c r="HJ43" i="1" s="1"/>
  <c r="HK43" i="1" a="1"/>
  <c r="HK43" i="1" s="1"/>
  <c r="HL43" i="1" a="1"/>
  <c r="HL43" i="1" s="1"/>
  <c r="HM43" i="1" a="1"/>
  <c r="HM43" i="1" s="1"/>
  <c r="HA44" i="1" a="1"/>
  <c r="HA44" i="1" s="1"/>
  <c r="HB44" i="1" a="1"/>
  <c r="HB44" i="1" s="1"/>
  <c r="HC44" i="1" a="1"/>
  <c r="HC44" i="1" s="1"/>
  <c r="HD44" i="1" a="1"/>
  <c r="HD44" i="1" s="1"/>
  <c r="HE44" i="1" a="1"/>
  <c r="HE44" i="1" s="1"/>
  <c r="HF44" i="1" a="1"/>
  <c r="HF44" i="1" s="1"/>
  <c r="HG44" i="1" a="1"/>
  <c r="HG44" i="1" s="1"/>
  <c r="HH44" i="1" a="1"/>
  <c r="HH44" i="1" s="1"/>
  <c r="HI44" i="1" a="1"/>
  <c r="HI44" i="1" s="1"/>
  <c r="HJ44" i="1" a="1"/>
  <c r="HJ44" i="1" s="1"/>
  <c r="HK44" i="1" a="1"/>
  <c r="HK44" i="1" s="1"/>
  <c r="HL44" i="1" a="1"/>
  <c r="HL44" i="1" s="1"/>
  <c r="HM44" i="1" a="1"/>
  <c r="HM44" i="1" s="1"/>
  <c r="HA45" i="1" a="1"/>
  <c r="HA45" i="1" s="1"/>
  <c r="HB45" i="1" a="1"/>
  <c r="HB45" i="1" s="1"/>
  <c r="HC45" i="1" a="1"/>
  <c r="HC45" i="1" s="1"/>
  <c r="HD45" i="1" a="1"/>
  <c r="HD45" i="1" s="1"/>
  <c r="HE45" i="1" a="1"/>
  <c r="HE45" i="1" s="1"/>
  <c r="HF45" i="1" a="1"/>
  <c r="HF45" i="1" s="1"/>
  <c r="HG45" i="1" a="1"/>
  <c r="HG45" i="1" s="1"/>
  <c r="HH45" i="1" a="1"/>
  <c r="HH45" i="1" s="1"/>
  <c r="HI45" i="1" a="1"/>
  <c r="HI45" i="1" s="1"/>
  <c r="HJ45" i="1" a="1"/>
  <c r="HJ45" i="1" s="1"/>
  <c r="HK45" i="1" a="1"/>
  <c r="HK45" i="1" s="1"/>
  <c r="HL45" i="1" a="1"/>
  <c r="HL45" i="1" s="1"/>
  <c r="HM45" i="1" a="1"/>
  <c r="HM45" i="1" s="1"/>
  <c r="HA46" i="1" a="1"/>
  <c r="HA46" i="1" s="1"/>
  <c r="HB46" i="1" a="1"/>
  <c r="HB46" i="1" s="1"/>
  <c r="HC46" i="1" a="1"/>
  <c r="HC46" i="1" s="1"/>
  <c r="HD46" i="1" a="1"/>
  <c r="HD46" i="1" s="1"/>
  <c r="HE46" i="1" a="1"/>
  <c r="HE46" i="1" s="1"/>
  <c r="HF46" i="1" a="1"/>
  <c r="HF46" i="1" s="1"/>
  <c r="HG46" i="1" a="1"/>
  <c r="HG46" i="1" s="1"/>
  <c r="HH46" i="1" a="1"/>
  <c r="HH46" i="1" s="1"/>
  <c r="HI46" i="1" a="1"/>
  <c r="HI46" i="1" s="1"/>
  <c r="HJ46" i="1" a="1"/>
  <c r="HJ46" i="1" s="1"/>
  <c r="HK46" i="1" a="1"/>
  <c r="HK46" i="1" s="1"/>
  <c r="HL46" i="1" a="1"/>
  <c r="HL46" i="1" s="1"/>
  <c r="HM46" i="1" a="1"/>
  <c r="HM46" i="1" s="1"/>
  <c r="HA47" i="1" a="1"/>
  <c r="HA47" i="1" s="1"/>
  <c r="HB47" i="1" a="1"/>
  <c r="HB47" i="1" s="1"/>
  <c r="HC47" i="1" a="1"/>
  <c r="HC47" i="1" s="1"/>
  <c r="HD47" i="1" a="1"/>
  <c r="HD47" i="1" s="1"/>
  <c r="HE47" i="1" a="1"/>
  <c r="HE47" i="1" s="1"/>
  <c r="HF47" i="1" a="1"/>
  <c r="HF47" i="1" s="1"/>
  <c r="HG47" i="1" a="1"/>
  <c r="HG47" i="1" s="1"/>
  <c r="HH47" i="1" a="1"/>
  <c r="HH47" i="1" s="1"/>
  <c r="HI47" i="1" a="1"/>
  <c r="HI47" i="1" s="1"/>
  <c r="HJ47" i="1" a="1"/>
  <c r="HJ47" i="1" s="1"/>
  <c r="HK47" i="1" a="1"/>
  <c r="HK47" i="1" s="1"/>
  <c r="HL47" i="1" a="1"/>
  <c r="HL47" i="1" s="1"/>
  <c r="HM47" i="1" a="1"/>
  <c r="HM47" i="1" s="1"/>
  <c r="HA48" i="1" a="1"/>
  <c r="HA48" i="1" s="1"/>
  <c r="HB48" i="1" a="1"/>
  <c r="HB48" i="1" s="1"/>
  <c r="HC48" i="1" a="1"/>
  <c r="HC48" i="1" s="1"/>
  <c r="HD48" i="1" a="1"/>
  <c r="HD48" i="1" s="1"/>
  <c r="HE48" i="1" a="1"/>
  <c r="HE48" i="1" s="1"/>
  <c r="HF48" i="1" a="1"/>
  <c r="HF48" i="1" s="1"/>
  <c r="HG48" i="1" a="1"/>
  <c r="HG48" i="1" s="1"/>
  <c r="HH48" i="1" a="1"/>
  <c r="HH48" i="1" s="1"/>
  <c r="HI48" i="1" a="1"/>
  <c r="HI48" i="1" s="1"/>
  <c r="HJ48" i="1" a="1"/>
  <c r="HJ48" i="1" s="1"/>
  <c r="HK48" i="1" a="1"/>
  <c r="HK48" i="1" s="1"/>
  <c r="HL48" i="1" a="1"/>
  <c r="HL48" i="1" s="1"/>
  <c r="HM48" i="1" a="1"/>
  <c r="HM48" i="1" s="1"/>
  <c r="HA49" i="1" a="1"/>
  <c r="HA49" i="1" s="1"/>
  <c r="HB49" i="1" a="1"/>
  <c r="HB49" i="1" s="1"/>
  <c r="HC49" i="1" a="1"/>
  <c r="HC49" i="1" s="1"/>
  <c r="HD49" i="1" a="1"/>
  <c r="HD49" i="1" s="1"/>
  <c r="HE49" i="1" a="1"/>
  <c r="HE49" i="1" s="1"/>
  <c r="HF49" i="1" a="1"/>
  <c r="HF49" i="1" s="1"/>
  <c r="HG49" i="1" a="1"/>
  <c r="HG49" i="1" s="1"/>
  <c r="HH49" i="1" a="1"/>
  <c r="HH49" i="1" s="1"/>
  <c r="HI49" i="1" a="1"/>
  <c r="HI49" i="1" s="1"/>
  <c r="HJ49" i="1" a="1"/>
  <c r="HJ49" i="1" s="1"/>
  <c r="HK49" i="1" a="1"/>
  <c r="HK49" i="1" s="1"/>
  <c r="HL49" i="1" a="1"/>
  <c r="HL49" i="1" s="1"/>
  <c r="HM49" i="1" a="1"/>
  <c r="HM49" i="1" s="1"/>
  <c r="HM37" i="1" a="1"/>
  <c r="HM37" i="1" s="1"/>
  <c r="HL37" i="1" a="1"/>
  <c r="HL37" i="1" s="1"/>
  <c r="HK37" i="1" a="1"/>
  <c r="HK37" i="1" s="1"/>
  <c r="HJ37" i="1" a="1"/>
  <c r="HJ37" i="1" s="1"/>
  <c r="HI37" i="1" a="1"/>
  <c r="HI37" i="1" s="1"/>
  <c r="HH37" i="1" a="1"/>
  <c r="HH37" i="1" s="1"/>
  <c r="HG37" i="1" a="1"/>
  <c r="HG37" i="1" s="1"/>
  <c r="HF37" i="1" a="1"/>
  <c r="HF37" i="1" s="1"/>
  <c r="HE37" i="1" a="1"/>
  <c r="HE37" i="1" s="1"/>
  <c r="HD37" i="1" a="1"/>
  <c r="HD37" i="1" s="1"/>
  <c r="HC37" i="1" a="1"/>
  <c r="HC37" i="1" s="1"/>
  <c r="HB37" i="1" a="1"/>
  <c r="HB37" i="1" s="1"/>
  <c r="HA37" i="1" a="1"/>
  <c r="HA37" i="1" s="1"/>
  <c r="HH3" i="1" a="1"/>
  <c r="HH3" i="1" s="1"/>
  <c r="HF3" i="1" a="1"/>
  <c r="HF3" i="1" s="1"/>
  <c r="FX72" i="1" a="1"/>
  <c r="FX72" i="1" s="1"/>
  <c r="FR28" i="1" a="1"/>
  <c r="FR28" i="1" s="1"/>
  <c r="GO37" i="1" a="1"/>
  <c r="GO37" i="1" s="1"/>
  <c r="GR38" i="1" a="1"/>
  <c r="GR38" i="1" s="1"/>
  <c r="GR39" i="1" a="1"/>
  <c r="GR39" i="1" s="1"/>
  <c r="GR40" i="1" a="1"/>
  <c r="GR40" i="1" s="1"/>
  <c r="GR41" i="1" a="1"/>
  <c r="GR41" i="1" s="1"/>
  <c r="GR42" i="1" a="1"/>
  <c r="GR42" i="1" s="1"/>
  <c r="GR43" i="1" a="1"/>
  <c r="GR43" i="1" s="1"/>
  <c r="GR44" i="1" a="1"/>
  <c r="GR44" i="1" s="1"/>
  <c r="GR45" i="1" a="1"/>
  <c r="GR45" i="1" s="1"/>
  <c r="GR46" i="1" a="1"/>
  <c r="GR46" i="1" s="1"/>
  <c r="GR47" i="1" a="1"/>
  <c r="GR47" i="1" s="1"/>
  <c r="GR48" i="1" a="1"/>
  <c r="GR48" i="1" s="1"/>
  <c r="GR49" i="1" a="1"/>
  <c r="GR49" i="1" s="1"/>
  <c r="FW73" i="1" a="1"/>
  <c r="FW73" i="1" s="1"/>
  <c r="FX73" i="1" a="1"/>
  <c r="FX73" i="1" s="1"/>
  <c r="FW74" i="1" a="1"/>
  <c r="FW74" i="1" s="1"/>
  <c r="FX74" i="1" a="1"/>
  <c r="FX74" i="1" s="1"/>
  <c r="FW75" i="1" a="1"/>
  <c r="FW75" i="1" s="1"/>
  <c r="FX75" i="1" a="1"/>
  <c r="FX75" i="1" s="1"/>
  <c r="FW76" i="1" a="1"/>
  <c r="FW76" i="1" s="1"/>
  <c r="FX76" i="1" a="1"/>
  <c r="FX76" i="1" s="1"/>
  <c r="FW77" i="1" a="1"/>
  <c r="FW77" i="1" s="1"/>
  <c r="FX77" i="1" a="1"/>
  <c r="FX77" i="1" s="1"/>
  <c r="FW78" i="1" a="1"/>
  <c r="FW78" i="1" s="1"/>
  <c r="FX78" i="1" a="1"/>
  <c r="FX78" i="1" s="1"/>
  <c r="FW79" i="1" a="1"/>
  <c r="FW79" i="1" s="1"/>
  <c r="FX79" i="1" a="1"/>
  <c r="FX79" i="1" s="1"/>
  <c r="FW80" i="1" a="1"/>
  <c r="FW80" i="1" s="1"/>
  <c r="FX80" i="1" a="1"/>
  <c r="FX80" i="1" s="1"/>
  <c r="FW81" i="1" a="1"/>
  <c r="FW81" i="1" s="1"/>
  <c r="FX81" i="1" a="1"/>
  <c r="FX81" i="1" s="1"/>
  <c r="FW82" i="1" a="1"/>
  <c r="FW82" i="1" s="1"/>
  <c r="FX82" i="1" a="1"/>
  <c r="FX82" i="1" s="1"/>
  <c r="FW83" i="1" a="1"/>
  <c r="FW83" i="1" s="1"/>
  <c r="FX83" i="1" a="1"/>
  <c r="FX83" i="1" s="1"/>
  <c r="FW84" i="1" a="1"/>
  <c r="FW84" i="1" s="1"/>
  <c r="FX84" i="1" a="1"/>
  <c r="FX84" i="1" s="1"/>
  <c r="FW72" i="1" a="1"/>
  <c r="FW72" i="1" s="1"/>
  <c r="FW38" i="1" a="1"/>
  <c r="FW38" i="1" s="1"/>
  <c r="FX38" i="1" a="1"/>
  <c r="FX38" i="1" s="1"/>
  <c r="FY38" i="1" a="1"/>
  <c r="FY38" i="1" s="1"/>
  <c r="FZ38" i="1" a="1"/>
  <c r="FZ38" i="1" s="1"/>
  <c r="GA38" i="1" a="1"/>
  <c r="GA38" i="1" s="1"/>
  <c r="GB38" i="1" a="1"/>
  <c r="GB38" i="1" s="1"/>
  <c r="GC38" i="1" a="1"/>
  <c r="GC38" i="1" s="1"/>
  <c r="GD38" i="1" a="1"/>
  <c r="GD38" i="1" s="1"/>
  <c r="GE38" i="1" a="1"/>
  <c r="GE38" i="1" s="1"/>
  <c r="GF38" i="1" a="1"/>
  <c r="GF38" i="1" s="1"/>
  <c r="GG38" i="1" a="1"/>
  <c r="GG38" i="1" s="1"/>
  <c r="GH38" i="1" a="1"/>
  <c r="GH38" i="1" s="1"/>
  <c r="GI38" i="1" a="1"/>
  <c r="GI38" i="1" s="1"/>
  <c r="GJ38" i="1" a="1"/>
  <c r="GJ38" i="1" s="1"/>
  <c r="GK38" i="1" a="1"/>
  <c r="GK38" i="1" s="1"/>
  <c r="GL38" i="1" a="1"/>
  <c r="GL38" i="1" s="1"/>
  <c r="GM38" i="1" a="1"/>
  <c r="GM38" i="1" s="1"/>
  <c r="GN38" i="1" a="1"/>
  <c r="GN38" i="1" s="1"/>
  <c r="GO38" i="1" a="1"/>
  <c r="GO38" i="1" s="1"/>
  <c r="GP38" i="1" a="1"/>
  <c r="GP38" i="1" s="1"/>
  <c r="GQ38" i="1" a="1"/>
  <c r="GQ38" i="1" s="1"/>
  <c r="FW39" i="1" a="1"/>
  <c r="FW39" i="1" s="1"/>
  <c r="FX39" i="1" a="1"/>
  <c r="FX39" i="1" s="1"/>
  <c r="FY39" i="1" a="1"/>
  <c r="FY39" i="1" s="1"/>
  <c r="FZ39" i="1" a="1"/>
  <c r="FZ39" i="1" s="1"/>
  <c r="GA39" i="1" a="1"/>
  <c r="GA39" i="1" s="1"/>
  <c r="GB39" i="1" a="1"/>
  <c r="GB39" i="1" s="1"/>
  <c r="GC39" i="1" a="1"/>
  <c r="GC39" i="1" s="1"/>
  <c r="GD39" i="1" a="1"/>
  <c r="GD39" i="1" s="1"/>
  <c r="GE39" i="1" a="1"/>
  <c r="GE39" i="1" s="1"/>
  <c r="GF39" i="1" a="1"/>
  <c r="GF39" i="1" s="1"/>
  <c r="GG39" i="1" a="1"/>
  <c r="GG39" i="1" s="1"/>
  <c r="GH39" i="1" a="1"/>
  <c r="GH39" i="1" s="1"/>
  <c r="GI39" i="1" a="1"/>
  <c r="GI39" i="1" s="1"/>
  <c r="GJ39" i="1" a="1"/>
  <c r="GJ39" i="1" s="1"/>
  <c r="GK39" i="1" a="1"/>
  <c r="GK39" i="1" s="1"/>
  <c r="GL39" i="1" a="1"/>
  <c r="GL39" i="1" s="1"/>
  <c r="GM39" i="1" a="1"/>
  <c r="GM39" i="1" s="1"/>
  <c r="GN39" i="1" a="1"/>
  <c r="GN39" i="1" s="1"/>
  <c r="GO39" i="1" a="1"/>
  <c r="GO39" i="1" s="1"/>
  <c r="GP39" i="1" a="1"/>
  <c r="GP39" i="1" s="1"/>
  <c r="GQ39" i="1" a="1"/>
  <c r="GQ39" i="1" s="1"/>
  <c r="FW40" i="1" a="1"/>
  <c r="FW40" i="1" s="1"/>
  <c r="FX40" i="1" a="1"/>
  <c r="FX40" i="1" s="1"/>
  <c r="FY40" i="1" a="1"/>
  <c r="FY40" i="1" s="1"/>
  <c r="FZ40" i="1" a="1"/>
  <c r="FZ40" i="1" s="1"/>
  <c r="GA40" i="1" a="1"/>
  <c r="GA40" i="1" s="1"/>
  <c r="GB40" i="1" a="1"/>
  <c r="GB40" i="1" s="1"/>
  <c r="GC40" i="1" a="1"/>
  <c r="GC40" i="1" s="1"/>
  <c r="GD40" i="1" a="1"/>
  <c r="GD40" i="1" s="1"/>
  <c r="GE40" i="1" a="1"/>
  <c r="GE40" i="1" s="1"/>
  <c r="GF40" i="1" a="1"/>
  <c r="GF40" i="1" s="1"/>
  <c r="GG40" i="1" a="1"/>
  <c r="GG40" i="1" s="1"/>
  <c r="GH40" i="1" a="1"/>
  <c r="GH40" i="1" s="1"/>
  <c r="GI40" i="1" a="1"/>
  <c r="GI40" i="1" s="1"/>
  <c r="GJ40" i="1" a="1"/>
  <c r="GJ40" i="1" s="1"/>
  <c r="GK40" i="1" a="1"/>
  <c r="GK40" i="1" s="1"/>
  <c r="GL40" i="1" a="1"/>
  <c r="GL40" i="1" s="1"/>
  <c r="GM40" i="1" a="1"/>
  <c r="GM40" i="1" s="1"/>
  <c r="GN40" i="1" a="1"/>
  <c r="GN40" i="1" s="1"/>
  <c r="GO40" i="1" a="1"/>
  <c r="GO40" i="1" s="1"/>
  <c r="GP40" i="1" a="1"/>
  <c r="GP40" i="1" s="1"/>
  <c r="GQ40" i="1" a="1"/>
  <c r="GQ40" i="1" s="1"/>
  <c r="FW41" i="1" a="1"/>
  <c r="FW41" i="1" s="1"/>
  <c r="FX41" i="1" a="1"/>
  <c r="FX41" i="1" s="1"/>
  <c r="FY41" i="1" a="1"/>
  <c r="FY41" i="1" s="1"/>
  <c r="FZ41" i="1" a="1"/>
  <c r="FZ41" i="1" s="1"/>
  <c r="GA41" i="1" a="1"/>
  <c r="GA41" i="1" s="1"/>
  <c r="GB41" i="1" a="1"/>
  <c r="GB41" i="1" s="1"/>
  <c r="GC41" i="1" a="1"/>
  <c r="GC41" i="1" s="1"/>
  <c r="GD41" i="1" a="1"/>
  <c r="GD41" i="1" s="1"/>
  <c r="GE41" i="1" a="1"/>
  <c r="GE41" i="1" s="1"/>
  <c r="GF41" i="1" a="1"/>
  <c r="GF41" i="1" s="1"/>
  <c r="GG41" i="1" a="1"/>
  <c r="GG41" i="1" s="1"/>
  <c r="GH41" i="1" a="1"/>
  <c r="GH41" i="1" s="1"/>
  <c r="GI41" i="1" a="1"/>
  <c r="GI41" i="1" s="1"/>
  <c r="GJ41" i="1" a="1"/>
  <c r="GJ41" i="1" s="1"/>
  <c r="GK41" i="1" a="1"/>
  <c r="GK41" i="1" s="1"/>
  <c r="GL41" i="1" a="1"/>
  <c r="GL41" i="1" s="1"/>
  <c r="GM41" i="1" a="1"/>
  <c r="GM41" i="1" s="1"/>
  <c r="GN41" i="1" a="1"/>
  <c r="GN41" i="1" s="1"/>
  <c r="GO41" i="1" a="1"/>
  <c r="GO41" i="1" s="1"/>
  <c r="GP41" i="1" a="1"/>
  <c r="GP41" i="1" s="1"/>
  <c r="GQ41" i="1" a="1"/>
  <c r="GQ41" i="1" s="1"/>
  <c r="FW42" i="1" a="1"/>
  <c r="FW42" i="1" s="1"/>
  <c r="FX42" i="1" a="1"/>
  <c r="FX42" i="1" s="1"/>
  <c r="FY42" i="1" a="1"/>
  <c r="FY42" i="1" s="1"/>
  <c r="FZ42" i="1" a="1"/>
  <c r="FZ42" i="1" s="1"/>
  <c r="GA42" i="1" a="1"/>
  <c r="GA42" i="1" s="1"/>
  <c r="GB42" i="1" a="1"/>
  <c r="GB42" i="1" s="1"/>
  <c r="GC42" i="1" a="1"/>
  <c r="GC42" i="1" s="1"/>
  <c r="GD42" i="1" a="1"/>
  <c r="GD42" i="1" s="1"/>
  <c r="GE42" i="1" a="1"/>
  <c r="GE42" i="1" s="1"/>
  <c r="GF42" i="1" a="1"/>
  <c r="GF42" i="1" s="1"/>
  <c r="GG42" i="1" a="1"/>
  <c r="GG42" i="1" s="1"/>
  <c r="GH42" i="1" a="1"/>
  <c r="GH42" i="1" s="1"/>
  <c r="GI42" i="1" a="1"/>
  <c r="GI42" i="1" s="1"/>
  <c r="GJ42" i="1" a="1"/>
  <c r="GJ42" i="1" s="1"/>
  <c r="GK42" i="1" a="1"/>
  <c r="GK42" i="1" s="1"/>
  <c r="GL42" i="1" a="1"/>
  <c r="GL42" i="1" s="1"/>
  <c r="GM42" i="1" a="1"/>
  <c r="GM42" i="1" s="1"/>
  <c r="GN42" i="1" a="1"/>
  <c r="GN42" i="1" s="1"/>
  <c r="GO42" i="1" a="1"/>
  <c r="GO42" i="1" s="1"/>
  <c r="GP42" i="1" a="1"/>
  <c r="GP42" i="1" s="1"/>
  <c r="GQ42" i="1" a="1"/>
  <c r="GQ42" i="1" s="1"/>
  <c r="FW43" i="1" a="1"/>
  <c r="FW43" i="1" s="1"/>
  <c r="FX43" i="1" a="1"/>
  <c r="FX43" i="1" s="1"/>
  <c r="FY43" i="1" a="1"/>
  <c r="FY43" i="1" s="1"/>
  <c r="FZ43" i="1" a="1"/>
  <c r="FZ43" i="1" s="1"/>
  <c r="GA43" i="1" a="1"/>
  <c r="GA43" i="1" s="1"/>
  <c r="GB43" i="1" a="1"/>
  <c r="GB43" i="1" s="1"/>
  <c r="GC43" i="1" a="1"/>
  <c r="GC43" i="1" s="1"/>
  <c r="GD43" i="1" a="1"/>
  <c r="GD43" i="1" s="1"/>
  <c r="GE43" i="1" a="1"/>
  <c r="GE43" i="1" s="1"/>
  <c r="GF43" i="1" a="1"/>
  <c r="GF43" i="1" s="1"/>
  <c r="GG43" i="1" a="1"/>
  <c r="GG43" i="1" s="1"/>
  <c r="GH43" i="1" a="1"/>
  <c r="GH43" i="1" s="1"/>
  <c r="GI43" i="1" a="1"/>
  <c r="GI43" i="1" s="1"/>
  <c r="GJ43" i="1" a="1"/>
  <c r="GJ43" i="1" s="1"/>
  <c r="GK43" i="1" a="1"/>
  <c r="GK43" i="1" s="1"/>
  <c r="GL43" i="1" a="1"/>
  <c r="GL43" i="1" s="1"/>
  <c r="GM43" i="1" a="1"/>
  <c r="GM43" i="1" s="1"/>
  <c r="GN43" i="1" a="1"/>
  <c r="GN43" i="1" s="1"/>
  <c r="GO43" i="1" a="1"/>
  <c r="GO43" i="1" s="1"/>
  <c r="GP43" i="1" a="1"/>
  <c r="GP43" i="1" s="1"/>
  <c r="GQ43" i="1" a="1"/>
  <c r="GQ43" i="1" s="1"/>
  <c r="FW44" i="1" a="1"/>
  <c r="FW44" i="1" s="1"/>
  <c r="FX44" i="1" a="1"/>
  <c r="FX44" i="1" s="1"/>
  <c r="FY44" i="1" a="1"/>
  <c r="FY44" i="1" s="1"/>
  <c r="FZ44" i="1" a="1"/>
  <c r="FZ44" i="1" s="1"/>
  <c r="GA44" i="1" a="1"/>
  <c r="GA44" i="1" s="1"/>
  <c r="GB44" i="1" a="1"/>
  <c r="GB44" i="1" s="1"/>
  <c r="GC44" i="1" a="1"/>
  <c r="GC44" i="1" s="1"/>
  <c r="GD44" i="1" a="1"/>
  <c r="GD44" i="1" s="1"/>
  <c r="GE44" i="1" a="1"/>
  <c r="GE44" i="1" s="1"/>
  <c r="GF44" i="1" a="1"/>
  <c r="GF44" i="1" s="1"/>
  <c r="GG44" i="1" a="1"/>
  <c r="GG44" i="1" s="1"/>
  <c r="GH44" i="1" a="1"/>
  <c r="GH44" i="1" s="1"/>
  <c r="GI44" i="1" a="1"/>
  <c r="GI44" i="1" s="1"/>
  <c r="GJ44" i="1" a="1"/>
  <c r="GJ44" i="1" s="1"/>
  <c r="GK44" i="1" a="1"/>
  <c r="GK44" i="1" s="1"/>
  <c r="GL44" i="1" a="1"/>
  <c r="GL44" i="1" s="1"/>
  <c r="GM44" i="1" a="1"/>
  <c r="GM44" i="1" s="1"/>
  <c r="GN44" i="1" a="1"/>
  <c r="GN44" i="1" s="1"/>
  <c r="GO44" i="1" a="1"/>
  <c r="GO44" i="1" s="1"/>
  <c r="GP44" i="1" a="1"/>
  <c r="GP44" i="1" s="1"/>
  <c r="GQ44" i="1" a="1"/>
  <c r="GQ44" i="1" s="1"/>
  <c r="FW45" i="1" a="1"/>
  <c r="FW45" i="1" s="1"/>
  <c r="FX45" i="1" a="1"/>
  <c r="FX45" i="1" s="1"/>
  <c r="FY45" i="1" a="1"/>
  <c r="FY45" i="1" s="1"/>
  <c r="FZ45" i="1" a="1"/>
  <c r="FZ45" i="1" s="1"/>
  <c r="GA45" i="1" a="1"/>
  <c r="GA45" i="1" s="1"/>
  <c r="GB45" i="1" a="1"/>
  <c r="GB45" i="1" s="1"/>
  <c r="GC45" i="1" a="1"/>
  <c r="GC45" i="1" s="1"/>
  <c r="GD45" i="1" a="1"/>
  <c r="GD45" i="1" s="1"/>
  <c r="GE45" i="1" a="1"/>
  <c r="GE45" i="1" s="1"/>
  <c r="GF45" i="1" a="1"/>
  <c r="GF45" i="1" s="1"/>
  <c r="GG45" i="1" a="1"/>
  <c r="GG45" i="1" s="1"/>
  <c r="GH45" i="1" a="1"/>
  <c r="GH45" i="1" s="1"/>
  <c r="GI45" i="1" a="1"/>
  <c r="GI45" i="1" s="1"/>
  <c r="GJ45" i="1" a="1"/>
  <c r="GJ45" i="1" s="1"/>
  <c r="GK45" i="1" a="1"/>
  <c r="GK45" i="1" s="1"/>
  <c r="GL45" i="1" a="1"/>
  <c r="GL45" i="1" s="1"/>
  <c r="GM45" i="1" a="1"/>
  <c r="GM45" i="1" s="1"/>
  <c r="GN45" i="1" a="1"/>
  <c r="GN45" i="1" s="1"/>
  <c r="GO45" i="1" a="1"/>
  <c r="GO45" i="1" s="1"/>
  <c r="GP45" i="1" a="1"/>
  <c r="GP45" i="1" s="1"/>
  <c r="GQ45" i="1" a="1"/>
  <c r="GQ45" i="1" s="1"/>
  <c r="FW46" i="1" a="1"/>
  <c r="FW46" i="1" s="1"/>
  <c r="FX46" i="1" a="1"/>
  <c r="FX46" i="1" s="1"/>
  <c r="FY46" i="1" a="1"/>
  <c r="FY46" i="1" s="1"/>
  <c r="FZ46" i="1" a="1"/>
  <c r="FZ46" i="1" s="1"/>
  <c r="GA46" i="1" a="1"/>
  <c r="GA46" i="1" s="1"/>
  <c r="GB46" i="1" a="1"/>
  <c r="GB46" i="1" s="1"/>
  <c r="GC46" i="1" a="1"/>
  <c r="GC46" i="1" s="1"/>
  <c r="GD46" i="1" a="1"/>
  <c r="GD46" i="1" s="1"/>
  <c r="GE46" i="1" a="1"/>
  <c r="GE46" i="1" s="1"/>
  <c r="GF46" i="1" a="1"/>
  <c r="GF46" i="1" s="1"/>
  <c r="GG46" i="1" a="1"/>
  <c r="GG46" i="1" s="1"/>
  <c r="GH46" i="1" a="1"/>
  <c r="GH46" i="1" s="1"/>
  <c r="GI46" i="1" a="1"/>
  <c r="GI46" i="1" s="1"/>
  <c r="GJ46" i="1" a="1"/>
  <c r="GJ46" i="1" s="1"/>
  <c r="GK46" i="1" a="1"/>
  <c r="GK46" i="1" s="1"/>
  <c r="GL46" i="1" a="1"/>
  <c r="GL46" i="1" s="1"/>
  <c r="GM46" i="1" a="1"/>
  <c r="GM46" i="1" s="1"/>
  <c r="GN46" i="1" a="1"/>
  <c r="GN46" i="1" s="1"/>
  <c r="GO46" i="1" a="1"/>
  <c r="GO46" i="1" s="1"/>
  <c r="GP46" i="1" a="1"/>
  <c r="GP46" i="1" s="1"/>
  <c r="GQ46" i="1" a="1"/>
  <c r="GQ46" i="1" s="1"/>
  <c r="FW47" i="1" a="1"/>
  <c r="FW47" i="1" s="1"/>
  <c r="FX47" i="1" a="1"/>
  <c r="FX47" i="1" s="1"/>
  <c r="FY47" i="1" a="1"/>
  <c r="FY47" i="1" s="1"/>
  <c r="FZ47" i="1" a="1"/>
  <c r="FZ47" i="1" s="1"/>
  <c r="GA47" i="1" a="1"/>
  <c r="GA47" i="1" s="1"/>
  <c r="GB47" i="1" a="1"/>
  <c r="GB47" i="1" s="1"/>
  <c r="GC47" i="1" a="1"/>
  <c r="GC47" i="1" s="1"/>
  <c r="GD47" i="1" a="1"/>
  <c r="GD47" i="1" s="1"/>
  <c r="GE47" i="1" a="1"/>
  <c r="GE47" i="1" s="1"/>
  <c r="GF47" i="1" a="1"/>
  <c r="GF47" i="1" s="1"/>
  <c r="GG47" i="1" a="1"/>
  <c r="GG47" i="1" s="1"/>
  <c r="GH47" i="1" a="1"/>
  <c r="GH47" i="1" s="1"/>
  <c r="GI47" i="1" a="1"/>
  <c r="GI47" i="1" s="1"/>
  <c r="GJ47" i="1" a="1"/>
  <c r="GJ47" i="1" s="1"/>
  <c r="GK47" i="1" a="1"/>
  <c r="GK47" i="1" s="1"/>
  <c r="GL47" i="1" a="1"/>
  <c r="GL47" i="1" s="1"/>
  <c r="GM47" i="1" a="1"/>
  <c r="GM47" i="1" s="1"/>
  <c r="GN47" i="1" a="1"/>
  <c r="GN47" i="1" s="1"/>
  <c r="GO47" i="1" a="1"/>
  <c r="GO47" i="1" s="1"/>
  <c r="GP47" i="1" a="1"/>
  <c r="GP47" i="1" s="1"/>
  <c r="GQ47" i="1" a="1"/>
  <c r="GQ47" i="1" s="1"/>
  <c r="FW48" i="1" a="1"/>
  <c r="FW48" i="1" s="1"/>
  <c r="FX48" i="1" a="1"/>
  <c r="FX48" i="1" s="1"/>
  <c r="FY48" i="1" a="1"/>
  <c r="FY48" i="1" s="1"/>
  <c r="FZ48" i="1" a="1"/>
  <c r="FZ48" i="1" s="1"/>
  <c r="GA48" i="1" a="1"/>
  <c r="GA48" i="1" s="1"/>
  <c r="GB48" i="1" a="1"/>
  <c r="GB48" i="1" s="1"/>
  <c r="GC48" i="1" a="1"/>
  <c r="GC48" i="1" s="1"/>
  <c r="GD48" i="1" a="1"/>
  <c r="GD48" i="1" s="1"/>
  <c r="GE48" i="1" a="1"/>
  <c r="GE48" i="1" s="1"/>
  <c r="GF48" i="1" a="1"/>
  <c r="GF48" i="1" s="1"/>
  <c r="GG48" i="1" a="1"/>
  <c r="GG48" i="1" s="1"/>
  <c r="GH48" i="1" a="1"/>
  <c r="GH48" i="1" s="1"/>
  <c r="GI48" i="1" a="1"/>
  <c r="GI48" i="1" s="1"/>
  <c r="GJ48" i="1" a="1"/>
  <c r="GJ48" i="1" s="1"/>
  <c r="GK48" i="1" a="1"/>
  <c r="GK48" i="1" s="1"/>
  <c r="GL48" i="1" a="1"/>
  <c r="GL48" i="1" s="1"/>
  <c r="GM48" i="1" a="1"/>
  <c r="GM48" i="1" s="1"/>
  <c r="GN48" i="1" a="1"/>
  <c r="GN48" i="1" s="1"/>
  <c r="GO48" i="1" a="1"/>
  <c r="GO48" i="1" s="1"/>
  <c r="GP48" i="1" a="1"/>
  <c r="GP48" i="1" s="1"/>
  <c r="GQ48" i="1" a="1"/>
  <c r="GQ48" i="1" s="1"/>
  <c r="FW49" i="1" a="1"/>
  <c r="FW49" i="1" s="1"/>
  <c r="FX49" i="1" a="1"/>
  <c r="FX49" i="1" s="1"/>
  <c r="FY49" i="1" a="1"/>
  <c r="FY49" i="1" s="1"/>
  <c r="FZ49" i="1" a="1"/>
  <c r="FZ49" i="1" s="1"/>
  <c r="GA49" i="1" a="1"/>
  <c r="GA49" i="1" s="1"/>
  <c r="GB49" i="1" a="1"/>
  <c r="GB49" i="1" s="1"/>
  <c r="GC49" i="1" a="1"/>
  <c r="GC49" i="1" s="1"/>
  <c r="GD49" i="1" a="1"/>
  <c r="GD49" i="1" s="1"/>
  <c r="GE49" i="1" a="1"/>
  <c r="GE49" i="1" s="1"/>
  <c r="GF49" i="1" a="1"/>
  <c r="GF49" i="1" s="1"/>
  <c r="GG49" i="1" a="1"/>
  <c r="GG49" i="1" s="1"/>
  <c r="GH49" i="1" a="1"/>
  <c r="GH49" i="1" s="1"/>
  <c r="GI49" i="1" a="1"/>
  <c r="GI49" i="1" s="1"/>
  <c r="GJ49" i="1" a="1"/>
  <c r="GJ49" i="1" s="1"/>
  <c r="GK49" i="1" a="1"/>
  <c r="GK49" i="1" s="1"/>
  <c r="GL49" i="1" a="1"/>
  <c r="GL49" i="1" s="1"/>
  <c r="GM49" i="1" a="1"/>
  <c r="GM49" i="1" s="1"/>
  <c r="GN49" i="1" a="1"/>
  <c r="GN49" i="1" s="1"/>
  <c r="GO49" i="1" a="1"/>
  <c r="GO49" i="1" s="1"/>
  <c r="GP49" i="1" a="1"/>
  <c r="GP49" i="1" s="1"/>
  <c r="GQ49" i="1" a="1"/>
  <c r="GQ49" i="1" s="1"/>
  <c r="FR53" i="1" a="1"/>
  <c r="FR53" i="1" s="1"/>
  <c r="GQ37" i="1" a="1"/>
  <c r="GQ37" i="1" s="1"/>
  <c r="GP37" i="1" a="1"/>
  <c r="GP37" i="1" s="1"/>
  <c r="GN37" i="1" a="1"/>
  <c r="GN37" i="1" s="1"/>
  <c r="GM37" i="1" a="1"/>
  <c r="GM37" i="1" s="1"/>
  <c r="GL37" i="1" a="1"/>
  <c r="GL37" i="1" s="1"/>
  <c r="GK37" i="1" a="1"/>
  <c r="GK37" i="1" s="1"/>
  <c r="GJ37" i="1" a="1"/>
  <c r="GJ37" i="1" s="1"/>
  <c r="GI37" i="1" a="1"/>
  <c r="GI37" i="1" s="1"/>
  <c r="GH37" i="1" a="1"/>
  <c r="GH37" i="1" s="1"/>
  <c r="GG37" i="1" a="1"/>
  <c r="GG37" i="1" s="1"/>
  <c r="GF37" i="1" a="1"/>
  <c r="GF37" i="1" s="1"/>
  <c r="GE37" i="1" a="1"/>
  <c r="GE37" i="1" s="1"/>
  <c r="GD37" i="1" a="1"/>
  <c r="GD37" i="1" s="1"/>
  <c r="GC37" i="1" a="1"/>
  <c r="GC37" i="1" s="1"/>
  <c r="GB37" i="1" a="1"/>
  <c r="GB37" i="1" s="1"/>
  <c r="GA37" i="1" a="1"/>
  <c r="GA37" i="1" s="1"/>
  <c r="FZ37" i="1" a="1"/>
  <c r="FZ37" i="1" s="1"/>
  <c r="FY37" i="1" a="1"/>
  <c r="FY37" i="1" s="1"/>
  <c r="FX37" i="1" a="1"/>
  <c r="FX37" i="1" s="1"/>
  <c r="FW37" i="1" a="1"/>
  <c r="FW37" i="1" s="1"/>
  <c r="FW4" i="1" a="1"/>
  <c r="FW4" i="1" s="1"/>
  <c r="FX4" i="1" a="1"/>
  <c r="FX4" i="1" s="1"/>
  <c r="FZ4" i="1" a="1"/>
  <c r="FZ4" i="1" s="1"/>
  <c r="GA4" i="1" a="1"/>
  <c r="GA4" i="1" s="1"/>
  <c r="GB4" i="1" a="1"/>
  <c r="GB4" i="1" s="1"/>
  <c r="GC4" i="1" a="1"/>
  <c r="GC4" i="1" s="1"/>
  <c r="GD4" i="1" a="1"/>
  <c r="GD4" i="1" s="1"/>
  <c r="GE4" i="1" a="1"/>
  <c r="GE4" i="1" s="1"/>
  <c r="GF4" i="1" a="1"/>
  <c r="GF4" i="1" s="1"/>
  <c r="GG4" i="1" a="1"/>
  <c r="GG4" i="1" s="1"/>
  <c r="GH4" i="1" a="1"/>
  <c r="GH4" i="1" s="1"/>
  <c r="GI4" i="1" a="1"/>
  <c r="GI4" i="1" s="1"/>
  <c r="GJ4" i="1" a="1"/>
  <c r="GJ4" i="1" s="1"/>
  <c r="GK4" i="1" a="1"/>
  <c r="GK4" i="1" s="1"/>
  <c r="GL4" i="1" a="1"/>
  <c r="GL4" i="1" s="1"/>
  <c r="GM4" i="1" a="1"/>
  <c r="GM4" i="1" s="1"/>
  <c r="GN4" i="1" a="1"/>
  <c r="GN4" i="1" s="1"/>
  <c r="GO4" i="1" a="1"/>
  <c r="GO4" i="1" s="1"/>
  <c r="FW5" i="1" a="1"/>
  <c r="FW5" i="1" s="1"/>
  <c r="FX5" i="1" a="1"/>
  <c r="FX5" i="1" s="1"/>
  <c r="FZ5" i="1" a="1"/>
  <c r="FZ5" i="1" s="1"/>
  <c r="GA5" i="1" a="1"/>
  <c r="GA5" i="1" s="1"/>
  <c r="GB5" i="1" a="1"/>
  <c r="GB5" i="1" s="1"/>
  <c r="GC5" i="1" a="1"/>
  <c r="GC5" i="1" s="1"/>
  <c r="GD5" i="1" a="1"/>
  <c r="GD5" i="1" s="1"/>
  <c r="GE5" i="1" a="1"/>
  <c r="GE5" i="1" s="1"/>
  <c r="GF5" i="1" a="1"/>
  <c r="GF5" i="1" s="1"/>
  <c r="GG5" i="1" a="1"/>
  <c r="GG5" i="1" s="1"/>
  <c r="GH5" i="1" a="1"/>
  <c r="GH5" i="1" s="1"/>
  <c r="GI5" i="1" a="1"/>
  <c r="GI5" i="1" s="1"/>
  <c r="GJ5" i="1" a="1"/>
  <c r="GJ5" i="1" s="1"/>
  <c r="GK5" i="1" a="1"/>
  <c r="GK5" i="1" s="1"/>
  <c r="GL5" i="1" a="1"/>
  <c r="GL5" i="1" s="1"/>
  <c r="GM5" i="1" a="1"/>
  <c r="GM5" i="1" s="1"/>
  <c r="GN5" i="1" a="1"/>
  <c r="GN5" i="1" s="1"/>
  <c r="GO5" i="1" a="1"/>
  <c r="GO5" i="1" s="1"/>
  <c r="FW6" i="1" a="1"/>
  <c r="FW6" i="1" s="1"/>
  <c r="FX6" i="1" a="1"/>
  <c r="FX6" i="1" s="1"/>
  <c r="FZ6" i="1" a="1"/>
  <c r="FZ6" i="1" s="1"/>
  <c r="GA6" i="1" a="1"/>
  <c r="GA6" i="1" s="1"/>
  <c r="GB6" i="1" a="1"/>
  <c r="GB6" i="1" s="1"/>
  <c r="GC6" i="1" a="1"/>
  <c r="GC6" i="1" s="1"/>
  <c r="GD6" i="1" a="1"/>
  <c r="GD6" i="1" s="1"/>
  <c r="GE6" i="1" a="1"/>
  <c r="GE6" i="1" s="1"/>
  <c r="GF6" i="1" a="1"/>
  <c r="GF6" i="1" s="1"/>
  <c r="GG6" i="1" a="1"/>
  <c r="GG6" i="1" s="1"/>
  <c r="GH6" i="1" a="1"/>
  <c r="GH6" i="1" s="1"/>
  <c r="GI6" i="1" a="1"/>
  <c r="GI6" i="1" s="1"/>
  <c r="GJ6" i="1" a="1"/>
  <c r="GJ6" i="1" s="1"/>
  <c r="GK6" i="1" a="1"/>
  <c r="GK6" i="1" s="1"/>
  <c r="GL6" i="1" a="1"/>
  <c r="GL6" i="1" s="1"/>
  <c r="GM6" i="1" a="1"/>
  <c r="GM6" i="1" s="1"/>
  <c r="GN6" i="1" a="1"/>
  <c r="GN6" i="1" s="1"/>
  <c r="GO6" i="1" a="1"/>
  <c r="GO6" i="1" s="1"/>
  <c r="FW7" i="1" a="1"/>
  <c r="FW7" i="1" s="1"/>
  <c r="FX7" i="1" a="1"/>
  <c r="FX7" i="1" s="1"/>
  <c r="FZ7" i="1" a="1"/>
  <c r="FZ7" i="1" s="1"/>
  <c r="GA7" i="1" a="1"/>
  <c r="GA7" i="1" s="1"/>
  <c r="GB7" i="1" a="1"/>
  <c r="GB7" i="1" s="1"/>
  <c r="GC7" i="1" a="1"/>
  <c r="GC7" i="1" s="1"/>
  <c r="GD7" i="1" a="1"/>
  <c r="GD7" i="1" s="1"/>
  <c r="GE7" i="1" a="1"/>
  <c r="GE7" i="1" s="1"/>
  <c r="GF7" i="1" a="1"/>
  <c r="GF7" i="1" s="1"/>
  <c r="GG7" i="1" a="1"/>
  <c r="GG7" i="1" s="1"/>
  <c r="GH7" i="1" a="1"/>
  <c r="GH7" i="1" s="1"/>
  <c r="GI7" i="1" a="1"/>
  <c r="GI7" i="1" s="1"/>
  <c r="GJ7" i="1" a="1"/>
  <c r="GJ7" i="1" s="1"/>
  <c r="GK7" i="1" a="1"/>
  <c r="GK7" i="1" s="1"/>
  <c r="GL7" i="1" a="1"/>
  <c r="GL7" i="1" s="1"/>
  <c r="GM7" i="1" a="1"/>
  <c r="GM7" i="1" s="1"/>
  <c r="GN7" i="1" a="1"/>
  <c r="GN7" i="1" s="1"/>
  <c r="GO7" i="1" a="1"/>
  <c r="GO7" i="1" s="1"/>
  <c r="FW8" i="1" a="1"/>
  <c r="FW8" i="1" s="1"/>
  <c r="FX8" i="1" a="1"/>
  <c r="FX8" i="1" s="1"/>
  <c r="FZ8" i="1" a="1"/>
  <c r="FZ8" i="1" s="1"/>
  <c r="GA8" i="1" a="1"/>
  <c r="GA8" i="1" s="1"/>
  <c r="GB8" i="1" a="1"/>
  <c r="GB8" i="1" s="1"/>
  <c r="GC8" i="1" a="1"/>
  <c r="GC8" i="1" s="1"/>
  <c r="GD8" i="1" a="1"/>
  <c r="GD8" i="1" s="1"/>
  <c r="GE8" i="1" a="1"/>
  <c r="GE8" i="1" s="1"/>
  <c r="GF8" i="1" a="1"/>
  <c r="GF8" i="1" s="1"/>
  <c r="GG8" i="1" a="1"/>
  <c r="GG8" i="1" s="1"/>
  <c r="GH8" i="1" a="1"/>
  <c r="GH8" i="1" s="1"/>
  <c r="GI8" i="1" a="1"/>
  <c r="GI8" i="1" s="1"/>
  <c r="GJ8" i="1" a="1"/>
  <c r="GJ8" i="1" s="1"/>
  <c r="GK8" i="1" a="1"/>
  <c r="GK8" i="1" s="1"/>
  <c r="GL8" i="1" a="1"/>
  <c r="GL8" i="1" s="1"/>
  <c r="GM8" i="1" a="1"/>
  <c r="GM8" i="1" s="1"/>
  <c r="GN8" i="1" a="1"/>
  <c r="GN8" i="1" s="1"/>
  <c r="GO8" i="1" a="1"/>
  <c r="GO8" i="1" s="1"/>
  <c r="FW9" i="1" a="1"/>
  <c r="FW9" i="1" s="1"/>
  <c r="FX9" i="1" a="1"/>
  <c r="FX9" i="1" s="1"/>
  <c r="FZ9" i="1" a="1"/>
  <c r="FZ9" i="1" s="1"/>
  <c r="GA9" i="1" a="1"/>
  <c r="GA9" i="1" s="1"/>
  <c r="GB9" i="1" a="1"/>
  <c r="GB9" i="1" s="1"/>
  <c r="GC9" i="1" a="1"/>
  <c r="GC9" i="1" s="1"/>
  <c r="GD9" i="1" a="1"/>
  <c r="GD9" i="1" s="1"/>
  <c r="GE9" i="1" a="1"/>
  <c r="GE9" i="1" s="1"/>
  <c r="GF9" i="1" a="1"/>
  <c r="GF9" i="1" s="1"/>
  <c r="GG9" i="1" a="1"/>
  <c r="GG9" i="1" s="1"/>
  <c r="GH9" i="1" a="1"/>
  <c r="GH9" i="1" s="1"/>
  <c r="GI9" i="1" a="1"/>
  <c r="GI9" i="1" s="1"/>
  <c r="GJ9" i="1" a="1"/>
  <c r="GJ9" i="1" s="1"/>
  <c r="GK9" i="1" a="1"/>
  <c r="GK9" i="1" s="1"/>
  <c r="GL9" i="1" a="1"/>
  <c r="GL9" i="1" s="1"/>
  <c r="GM9" i="1" a="1"/>
  <c r="GM9" i="1" s="1"/>
  <c r="GN9" i="1" a="1"/>
  <c r="GN9" i="1" s="1"/>
  <c r="GO9" i="1" a="1"/>
  <c r="GO9" i="1" s="1"/>
  <c r="FW10" i="1" a="1"/>
  <c r="FW10" i="1" s="1"/>
  <c r="FX10" i="1" a="1"/>
  <c r="FX10" i="1" s="1"/>
  <c r="FZ10" i="1" a="1"/>
  <c r="FZ10" i="1" s="1"/>
  <c r="GA10" i="1" a="1"/>
  <c r="GA10" i="1" s="1"/>
  <c r="GB10" i="1" a="1"/>
  <c r="GB10" i="1" s="1"/>
  <c r="GC10" i="1" a="1"/>
  <c r="GC10" i="1" s="1"/>
  <c r="GD10" i="1" a="1"/>
  <c r="GD10" i="1" s="1"/>
  <c r="GE10" i="1" a="1"/>
  <c r="GE10" i="1" s="1"/>
  <c r="GF10" i="1" a="1"/>
  <c r="GF10" i="1" s="1"/>
  <c r="GG10" i="1" a="1"/>
  <c r="GG10" i="1" s="1"/>
  <c r="GH10" i="1" a="1"/>
  <c r="GH10" i="1" s="1"/>
  <c r="GI10" i="1" a="1"/>
  <c r="GI10" i="1" s="1"/>
  <c r="GJ10" i="1" a="1"/>
  <c r="GJ10" i="1" s="1"/>
  <c r="GK10" i="1" a="1"/>
  <c r="GK10" i="1" s="1"/>
  <c r="GL10" i="1" a="1"/>
  <c r="GL10" i="1" s="1"/>
  <c r="GM10" i="1" a="1"/>
  <c r="GM10" i="1" s="1"/>
  <c r="GN10" i="1" a="1"/>
  <c r="GN10" i="1" s="1"/>
  <c r="GO10" i="1" a="1"/>
  <c r="GO10" i="1" s="1"/>
  <c r="FW11" i="1" a="1"/>
  <c r="FW11" i="1" s="1"/>
  <c r="FX11" i="1" a="1"/>
  <c r="FX11" i="1" s="1"/>
  <c r="FZ11" i="1" a="1"/>
  <c r="FZ11" i="1" s="1"/>
  <c r="GA11" i="1" a="1"/>
  <c r="GA11" i="1" s="1"/>
  <c r="GB11" i="1" a="1"/>
  <c r="GB11" i="1" s="1"/>
  <c r="GC11" i="1" a="1"/>
  <c r="GC11" i="1" s="1"/>
  <c r="GD11" i="1" a="1"/>
  <c r="GD11" i="1" s="1"/>
  <c r="GE11" i="1" a="1"/>
  <c r="GE11" i="1" s="1"/>
  <c r="GF11" i="1" a="1"/>
  <c r="GF11" i="1" s="1"/>
  <c r="GG11" i="1" a="1"/>
  <c r="GG11" i="1" s="1"/>
  <c r="GH11" i="1" a="1"/>
  <c r="GH11" i="1" s="1"/>
  <c r="GI11" i="1" a="1"/>
  <c r="GI11" i="1" s="1"/>
  <c r="GJ11" i="1" a="1"/>
  <c r="GJ11" i="1" s="1"/>
  <c r="GK11" i="1" a="1"/>
  <c r="GK11" i="1" s="1"/>
  <c r="GL11" i="1" a="1"/>
  <c r="GL11" i="1" s="1"/>
  <c r="GM11" i="1" a="1"/>
  <c r="GM11" i="1" s="1"/>
  <c r="GN11" i="1" a="1"/>
  <c r="GN11" i="1" s="1"/>
  <c r="GO11" i="1" a="1"/>
  <c r="GO11" i="1" s="1"/>
  <c r="FW12" i="1" a="1"/>
  <c r="FW12" i="1" s="1"/>
  <c r="FX12" i="1" a="1"/>
  <c r="FX12" i="1" s="1"/>
  <c r="FZ12" i="1" a="1"/>
  <c r="FZ12" i="1" s="1"/>
  <c r="GA12" i="1" a="1"/>
  <c r="GA12" i="1" s="1"/>
  <c r="GB12" i="1" a="1"/>
  <c r="GB12" i="1" s="1"/>
  <c r="GC12" i="1" a="1"/>
  <c r="GC12" i="1" s="1"/>
  <c r="GD12" i="1" a="1"/>
  <c r="GD12" i="1" s="1"/>
  <c r="GE12" i="1" a="1"/>
  <c r="GE12" i="1" s="1"/>
  <c r="GF12" i="1" a="1"/>
  <c r="GF12" i="1" s="1"/>
  <c r="GG12" i="1" a="1"/>
  <c r="GG12" i="1" s="1"/>
  <c r="GH12" i="1" a="1"/>
  <c r="GH12" i="1" s="1"/>
  <c r="GI12" i="1" a="1"/>
  <c r="GI12" i="1" s="1"/>
  <c r="GJ12" i="1" a="1"/>
  <c r="GJ12" i="1" s="1"/>
  <c r="GK12" i="1" a="1"/>
  <c r="GK12" i="1" s="1"/>
  <c r="GL12" i="1" a="1"/>
  <c r="GL12" i="1" s="1"/>
  <c r="GM12" i="1" a="1"/>
  <c r="GM12" i="1" s="1"/>
  <c r="GN12" i="1" a="1"/>
  <c r="GN12" i="1" s="1"/>
  <c r="GO12" i="1" a="1"/>
  <c r="GO12" i="1" s="1"/>
  <c r="FW13" i="1" a="1"/>
  <c r="FW13" i="1" s="1"/>
  <c r="FX13" i="1" a="1"/>
  <c r="FX13" i="1" s="1"/>
  <c r="FZ13" i="1" a="1"/>
  <c r="FZ13" i="1" s="1"/>
  <c r="GA13" i="1" a="1"/>
  <c r="GA13" i="1" s="1"/>
  <c r="GB13" i="1" a="1"/>
  <c r="GB13" i="1" s="1"/>
  <c r="GC13" i="1" a="1"/>
  <c r="GC13" i="1" s="1"/>
  <c r="GD13" i="1" a="1"/>
  <c r="GD13" i="1" s="1"/>
  <c r="GE13" i="1" a="1"/>
  <c r="GE13" i="1" s="1"/>
  <c r="GF13" i="1" a="1"/>
  <c r="GF13" i="1" s="1"/>
  <c r="GG13" i="1" a="1"/>
  <c r="GG13" i="1" s="1"/>
  <c r="GH13" i="1" a="1"/>
  <c r="GH13" i="1" s="1"/>
  <c r="GI13" i="1" a="1"/>
  <c r="GI13" i="1" s="1"/>
  <c r="GJ13" i="1" a="1"/>
  <c r="GJ13" i="1" s="1"/>
  <c r="GK13" i="1" a="1"/>
  <c r="GK13" i="1" s="1"/>
  <c r="GL13" i="1" a="1"/>
  <c r="GL13" i="1" s="1"/>
  <c r="GM13" i="1" a="1"/>
  <c r="GM13" i="1" s="1"/>
  <c r="GN13" i="1" a="1"/>
  <c r="GN13" i="1" s="1"/>
  <c r="GO13" i="1" a="1"/>
  <c r="GO13" i="1" s="1"/>
  <c r="FW14" i="1" a="1"/>
  <c r="FW14" i="1" s="1"/>
  <c r="FX14" i="1" a="1"/>
  <c r="FX14" i="1" s="1"/>
  <c r="FZ14" i="1" a="1"/>
  <c r="FZ14" i="1" s="1"/>
  <c r="GA14" i="1" a="1"/>
  <c r="GA14" i="1" s="1"/>
  <c r="GB14" i="1" a="1"/>
  <c r="GB14" i="1" s="1"/>
  <c r="GC14" i="1" a="1"/>
  <c r="GC14" i="1" s="1"/>
  <c r="GD14" i="1" a="1"/>
  <c r="GD14" i="1" s="1"/>
  <c r="GE14" i="1" a="1"/>
  <c r="GE14" i="1" s="1"/>
  <c r="GF14" i="1" a="1"/>
  <c r="GF14" i="1" s="1"/>
  <c r="GG14" i="1" a="1"/>
  <c r="GG14" i="1" s="1"/>
  <c r="GH14" i="1" a="1"/>
  <c r="GH14" i="1" s="1"/>
  <c r="GI14" i="1" a="1"/>
  <c r="GI14" i="1" s="1"/>
  <c r="GJ14" i="1" a="1"/>
  <c r="GJ14" i="1" s="1"/>
  <c r="GK14" i="1" a="1"/>
  <c r="GK14" i="1" s="1"/>
  <c r="GL14" i="1" a="1"/>
  <c r="GL14" i="1" s="1"/>
  <c r="GM14" i="1" a="1"/>
  <c r="GM14" i="1" s="1"/>
  <c r="GN14" i="1" a="1"/>
  <c r="GN14" i="1" s="1"/>
  <c r="GO14" i="1" a="1"/>
  <c r="GO14" i="1" s="1"/>
  <c r="FW15" i="1" a="1"/>
  <c r="FW15" i="1" s="1"/>
  <c r="FX15" i="1" a="1"/>
  <c r="FX15" i="1" s="1"/>
  <c r="FZ15" i="1" a="1"/>
  <c r="FZ15" i="1" s="1"/>
  <c r="GA15" i="1" a="1"/>
  <c r="GA15" i="1" s="1"/>
  <c r="GB15" i="1" a="1"/>
  <c r="GB15" i="1" s="1"/>
  <c r="GC15" i="1" a="1"/>
  <c r="GC15" i="1" s="1"/>
  <c r="GD15" i="1" a="1"/>
  <c r="GD15" i="1" s="1"/>
  <c r="GE15" i="1" a="1"/>
  <c r="GE15" i="1" s="1"/>
  <c r="GF15" i="1" a="1"/>
  <c r="GF15" i="1" s="1"/>
  <c r="GG15" i="1" a="1"/>
  <c r="GG15" i="1" s="1"/>
  <c r="GH15" i="1" a="1"/>
  <c r="GH15" i="1" s="1"/>
  <c r="GI15" i="1" a="1"/>
  <c r="GI15" i="1" s="1"/>
  <c r="GJ15" i="1" a="1"/>
  <c r="GJ15" i="1" s="1"/>
  <c r="GK15" i="1" a="1"/>
  <c r="GK15" i="1" s="1"/>
  <c r="GL15" i="1" a="1"/>
  <c r="GL15" i="1" s="1"/>
  <c r="GM15" i="1" a="1"/>
  <c r="GM15" i="1" s="1"/>
  <c r="GN15" i="1" a="1"/>
  <c r="GN15" i="1" s="1"/>
  <c r="GO15" i="1" a="1"/>
  <c r="GO15" i="1" s="1"/>
  <c r="GO3" i="1" a="1"/>
  <c r="GO3" i="1" s="1"/>
  <c r="GN3" i="1" a="1"/>
  <c r="GN3" i="1" s="1"/>
  <c r="GM3" i="1" a="1"/>
  <c r="GM3" i="1" s="1"/>
  <c r="GL3" i="1" a="1"/>
  <c r="GL3" i="1" s="1"/>
  <c r="GK3" i="1" a="1"/>
  <c r="GK3" i="1" s="1"/>
  <c r="GJ3" i="1" a="1"/>
  <c r="GJ3" i="1" s="1"/>
  <c r="GH3" i="1" a="1"/>
  <c r="GH3" i="1" s="1"/>
  <c r="GG3" i="1" a="1"/>
  <c r="GG3" i="1" s="1"/>
  <c r="GF3" i="1" a="1"/>
  <c r="GF3" i="1" s="1"/>
  <c r="GE3" i="1" a="1"/>
  <c r="GE3" i="1" s="1"/>
  <c r="GD3" i="1" a="1"/>
  <c r="GD3" i="1" s="1"/>
  <c r="GC3" i="1" a="1"/>
  <c r="GC3" i="1" s="1"/>
  <c r="GB3" i="1" a="1"/>
  <c r="GB3" i="1" s="1"/>
  <c r="GA3" i="1" a="1"/>
  <c r="GA3" i="1" s="1"/>
  <c r="FZ3" i="1" a="1"/>
  <c r="FZ3" i="1" s="1"/>
  <c r="FX3" i="1" a="1"/>
  <c r="FX3" i="1" s="1"/>
  <c r="FR23" i="1" a="1"/>
  <c r="FR23" i="1" s="1"/>
  <c r="FR22" i="1" a="1"/>
  <c r="FR22" i="1" s="1"/>
  <c r="FR52" i="1" a="1"/>
  <c r="FR52" i="1" s="1"/>
  <c r="FR47" i="1" a="1"/>
  <c r="FR47" i="1" s="1"/>
  <c r="FR27" i="1" a="1"/>
  <c r="FR27" i="1" s="1"/>
  <c r="FR29" i="1" a="1"/>
  <c r="FR29" i="1" s="1"/>
  <c r="FR30" i="1" a="1"/>
  <c r="FR30" i="1" s="1"/>
  <c r="FR31" i="1" a="1"/>
  <c r="FR31" i="1" s="1"/>
  <c r="FR32" i="1" a="1"/>
  <c r="FR32" i="1" s="1"/>
  <c r="FR33" i="1" a="1"/>
  <c r="FR33" i="1" s="1"/>
  <c r="FR34" i="1" a="1"/>
  <c r="FR34" i="1" s="1"/>
  <c r="FR35" i="1" a="1"/>
  <c r="FR35" i="1" s="1"/>
  <c r="FR36" i="1" a="1"/>
  <c r="FR36" i="1" s="1"/>
  <c r="FR37" i="1" a="1"/>
  <c r="FR37" i="1" s="1"/>
  <c r="FR38" i="1" a="1"/>
  <c r="FR38" i="1" s="1"/>
  <c r="FR39" i="1" a="1"/>
  <c r="FR39" i="1" s="1"/>
  <c r="FR40" i="1" a="1"/>
  <c r="FR40" i="1" s="1"/>
  <c r="FR41" i="1" a="1"/>
  <c r="FR41" i="1" s="1"/>
  <c r="FR42" i="1" a="1"/>
  <c r="FR42" i="1" s="1"/>
  <c r="FR43" i="1" a="1"/>
  <c r="FR43" i="1" s="1"/>
  <c r="FR44" i="1" a="1"/>
  <c r="FR44" i="1" s="1"/>
  <c r="FR45" i="1" a="1"/>
  <c r="FR45" i="1" s="1"/>
  <c r="FR46" i="1" a="1"/>
  <c r="FR46" i="1" s="1"/>
  <c r="FR26" i="1" a="1"/>
  <c r="FR26" i="1" s="1"/>
  <c r="FR3" i="1" a="1"/>
  <c r="FR3" i="1" s="1"/>
  <c r="FR4" i="1" a="1"/>
  <c r="FR4" i="1" s="1"/>
  <c r="FR5" i="1" a="1"/>
  <c r="FR5" i="1" s="1"/>
  <c r="FR6" i="1" a="1"/>
  <c r="FR6" i="1" s="1"/>
  <c r="FR7" i="1" a="1"/>
  <c r="FR7" i="1" s="1"/>
  <c r="FR8" i="1" a="1"/>
  <c r="FR8" i="1" s="1"/>
  <c r="FR9" i="1" a="1"/>
  <c r="FR9" i="1" s="1"/>
  <c r="FR10" i="1" a="1"/>
  <c r="FR10" i="1" s="1"/>
  <c r="FR11" i="1" a="1"/>
  <c r="FR11" i="1" s="1"/>
  <c r="FR12" i="1" a="1"/>
  <c r="FR12" i="1" s="1"/>
  <c r="FR13" i="1" a="1"/>
  <c r="FR13" i="1" s="1"/>
  <c r="FR14" i="1" a="1"/>
  <c r="FR14" i="1" s="1"/>
  <c r="FR15" i="1" a="1"/>
  <c r="FR15" i="1" s="1"/>
  <c r="FR16" i="1" a="1"/>
  <c r="FR16" i="1" s="1"/>
  <c r="FR17" i="1" a="1"/>
  <c r="FR17" i="1" s="1"/>
  <c r="FR18" i="1" a="1"/>
  <c r="FR18" i="1" s="1"/>
  <c r="FR19" i="1" a="1"/>
  <c r="FR19" i="1" s="1"/>
  <c r="FR20" i="1" a="1"/>
  <c r="FR20" i="1" s="1"/>
  <c r="FR21" i="1" a="1"/>
  <c r="FR21" i="1" s="1"/>
  <c r="DG9" i="1" l="1"/>
  <c r="EP33" i="1"/>
  <c r="EO33" i="1"/>
  <c r="EN33" i="1"/>
  <c r="EQ33" i="1" s="1"/>
  <c r="GQ11" i="1"/>
  <c r="GQ7" i="1"/>
  <c r="GQ3" i="1"/>
  <c r="GQ12" i="1"/>
  <c r="GQ8" i="1"/>
  <c r="GQ4" i="1"/>
  <c r="GQ15" i="1"/>
  <c r="GQ14" i="1"/>
  <c r="GQ10" i="1"/>
  <c r="GQ6" i="1"/>
  <c r="GQ13" i="1"/>
  <c r="GQ9" i="1"/>
  <c r="GQ5" i="1"/>
  <c r="EO16" i="1"/>
  <c r="EP16" i="1"/>
  <c r="EN16" i="1"/>
  <c r="AL3" i="1"/>
  <c r="AM3" i="1"/>
  <c r="AN3" i="1"/>
  <c r="AL4" i="1"/>
  <c r="AM4" i="1"/>
  <c r="AN4" i="1"/>
  <c r="AL5" i="1"/>
  <c r="AM5" i="1"/>
  <c r="AN5" i="1"/>
  <c r="AL6" i="1"/>
  <c r="AM6" i="1"/>
  <c r="AN6" i="1"/>
  <c r="AL7" i="1"/>
  <c r="AM7" i="1"/>
  <c r="AN7" i="1"/>
  <c r="AL8" i="1"/>
  <c r="AM8" i="1"/>
  <c r="AN8" i="1"/>
  <c r="AL9" i="1"/>
  <c r="AM9" i="1"/>
  <c r="AN9" i="1"/>
  <c r="AL10" i="1"/>
  <c r="AM10" i="1"/>
  <c r="AN10" i="1"/>
  <c r="AL11" i="1"/>
  <c r="AM11" i="1"/>
  <c r="AN11" i="1"/>
  <c r="AL12" i="1"/>
  <c r="AM12" i="1"/>
  <c r="AN12" i="1"/>
  <c r="AL13" i="1"/>
  <c r="AM13" i="1"/>
  <c r="AN13" i="1"/>
  <c r="AL14" i="1"/>
  <c r="AM14" i="1"/>
  <c r="AN14" i="1"/>
  <c r="AL15" i="1"/>
  <c r="AM15" i="1"/>
  <c r="AN15" i="1"/>
  <c r="AL16" i="1"/>
  <c r="AM16" i="1"/>
  <c r="AN16" i="1"/>
  <c r="AL17" i="1"/>
  <c r="AM17" i="1"/>
  <c r="AN17" i="1"/>
  <c r="AL18" i="1"/>
  <c r="AM18" i="1"/>
  <c r="AN18" i="1"/>
  <c r="AL19" i="1"/>
  <c r="AM19" i="1"/>
  <c r="AN19" i="1"/>
  <c r="AL20" i="1"/>
  <c r="AM20" i="1"/>
  <c r="AN20" i="1"/>
  <c r="AL21" i="1"/>
  <c r="AM21" i="1"/>
  <c r="AN21" i="1"/>
  <c r="AL22" i="1"/>
  <c r="AM22" i="1"/>
  <c r="AN22" i="1"/>
  <c r="AL23" i="1"/>
  <c r="AM23" i="1"/>
  <c r="AN23" i="1"/>
  <c r="AL24" i="1"/>
  <c r="AM24" i="1"/>
  <c r="AN24" i="1"/>
  <c r="AL25" i="1"/>
  <c r="AM25" i="1"/>
  <c r="AN25" i="1"/>
  <c r="AL26" i="1"/>
  <c r="AM26" i="1"/>
  <c r="AN26" i="1"/>
  <c r="AL27" i="1"/>
  <c r="AM27" i="1"/>
  <c r="AN27" i="1"/>
  <c r="AL28" i="1"/>
  <c r="AM28" i="1"/>
  <c r="AN28" i="1"/>
  <c r="AL29" i="1"/>
  <c r="AM29" i="1"/>
  <c r="AN29" i="1"/>
  <c r="AL30" i="1"/>
  <c r="AM30" i="1"/>
  <c r="AN30" i="1"/>
  <c r="AL31" i="1"/>
  <c r="AM31" i="1"/>
  <c r="AN31" i="1"/>
  <c r="AL32" i="1"/>
  <c r="AM32" i="1"/>
  <c r="AN32" i="1"/>
  <c r="AL33" i="1"/>
  <c r="AM33" i="1"/>
  <c r="AN33" i="1"/>
  <c r="AL34" i="1"/>
  <c r="AM34" i="1"/>
  <c r="AN34" i="1"/>
  <c r="AL35" i="1"/>
  <c r="AM35" i="1"/>
  <c r="AN35" i="1"/>
  <c r="AL36" i="1"/>
  <c r="AM36" i="1"/>
  <c r="AN36" i="1"/>
  <c r="AL37" i="1"/>
  <c r="AM37" i="1"/>
  <c r="AN37" i="1"/>
  <c r="AL38" i="1"/>
  <c r="AM38" i="1"/>
  <c r="AN38" i="1"/>
  <c r="AL39" i="1"/>
  <c r="AM39" i="1"/>
  <c r="AN39" i="1"/>
  <c r="AL40" i="1"/>
  <c r="AM40" i="1"/>
  <c r="AN40" i="1"/>
  <c r="AL41" i="1"/>
  <c r="AM41" i="1"/>
  <c r="AN41" i="1"/>
  <c r="AL42" i="1"/>
  <c r="AM42" i="1"/>
  <c r="AN42" i="1"/>
  <c r="AL43" i="1"/>
  <c r="AM43" i="1"/>
  <c r="AN43" i="1"/>
  <c r="AL44" i="1"/>
  <c r="AM44" i="1"/>
  <c r="AN44" i="1"/>
  <c r="AL45" i="1"/>
  <c r="AM45" i="1"/>
  <c r="AN45" i="1"/>
  <c r="AL46" i="1"/>
  <c r="AM46" i="1"/>
  <c r="AN46" i="1"/>
  <c r="AL47" i="1"/>
  <c r="AM47" i="1"/>
  <c r="AN47" i="1"/>
  <c r="AL48" i="1"/>
  <c r="AM48" i="1"/>
  <c r="AN48" i="1"/>
  <c r="AL49" i="1"/>
  <c r="AM49" i="1"/>
  <c r="AN49" i="1"/>
  <c r="AL50" i="1"/>
  <c r="AM50" i="1"/>
  <c r="AN50" i="1"/>
  <c r="AL51" i="1"/>
  <c r="AM51" i="1"/>
  <c r="AN51" i="1"/>
  <c r="AL52" i="1"/>
  <c r="AM52" i="1"/>
  <c r="AN52" i="1"/>
  <c r="AL53" i="1"/>
  <c r="AM53" i="1"/>
  <c r="AN53" i="1"/>
  <c r="AL54" i="1"/>
  <c r="AM54" i="1"/>
  <c r="AN54" i="1"/>
  <c r="AL55" i="1"/>
  <c r="AM55" i="1"/>
  <c r="AN55" i="1"/>
  <c r="AL56" i="1"/>
  <c r="AM56" i="1"/>
  <c r="AN56" i="1"/>
  <c r="AL57" i="1"/>
  <c r="AM57" i="1"/>
  <c r="AN57" i="1"/>
  <c r="AL58" i="1"/>
  <c r="AM58" i="1"/>
  <c r="AN58" i="1"/>
  <c r="AL59" i="1"/>
  <c r="AM59" i="1"/>
  <c r="AN59" i="1"/>
  <c r="AL60" i="1"/>
  <c r="AM60" i="1"/>
  <c r="AN60" i="1"/>
  <c r="AL61" i="1"/>
  <c r="AM61" i="1"/>
  <c r="AN61" i="1"/>
  <c r="AL62" i="1"/>
  <c r="AM62" i="1"/>
  <c r="AN62" i="1"/>
  <c r="AL63" i="1"/>
  <c r="AM63" i="1"/>
  <c r="AN63" i="1"/>
  <c r="AL64" i="1"/>
  <c r="AM64" i="1"/>
  <c r="AN64" i="1"/>
  <c r="AL65" i="1"/>
  <c r="AR10" i="1" s="1"/>
  <c r="AM65" i="1"/>
  <c r="AN65" i="1"/>
  <c r="AL66" i="1"/>
  <c r="AM66" i="1"/>
  <c r="AN66" i="1"/>
  <c r="AL67" i="1"/>
  <c r="AM67" i="1"/>
  <c r="AN67" i="1"/>
  <c r="AL68" i="1"/>
  <c r="AM68" i="1"/>
  <c r="AN68" i="1"/>
  <c r="AL69" i="1"/>
  <c r="AM69" i="1"/>
  <c r="AN69" i="1"/>
  <c r="AL70" i="1"/>
  <c r="AM70" i="1"/>
  <c r="AN70" i="1"/>
  <c r="AL71" i="1"/>
  <c r="AM71" i="1"/>
  <c r="AN71" i="1"/>
  <c r="AL72" i="1"/>
  <c r="AM72" i="1"/>
  <c r="AN72" i="1"/>
  <c r="AL73" i="1"/>
  <c r="AM73" i="1"/>
  <c r="AN73" i="1"/>
  <c r="AL74" i="1"/>
  <c r="AM74" i="1"/>
  <c r="AN74" i="1"/>
  <c r="AL75" i="1"/>
  <c r="AM75" i="1"/>
  <c r="AN75" i="1"/>
  <c r="AL76" i="1"/>
  <c r="AM76" i="1"/>
  <c r="AN76" i="1"/>
  <c r="AL77" i="1"/>
  <c r="AR15" i="1" s="1"/>
  <c r="AM77" i="1"/>
  <c r="AS15" i="1" s="1"/>
  <c r="AN77" i="1"/>
  <c r="AT15" i="1" s="1"/>
  <c r="AL78" i="1"/>
  <c r="AM78" i="1"/>
  <c r="AN78" i="1"/>
  <c r="AL79" i="1"/>
  <c r="AM79" i="1"/>
  <c r="AN79" i="1"/>
  <c r="AL80" i="1"/>
  <c r="AM80" i="1"/>
  <c r="AN80" i="1"/>
  <c r="AL81" i="1"/>
  <c r="AM81" i="1"/>
  <c r="AN81" i="1"/>
  <c r="AL82" i="1"/>
  <c r="AM82" i="1"/>
  <c r="AN82" i="1"/>
  <c r="AL83" i="1"/>
  <c r="AM83" i="1"/>
  <c r="AN83" i="1"/>
  <c r="AL84" i="1"/>
  <c r="AM84" i="1"/>
  <c r="AN84" i="1"/>
  <c r="AL85" i="1"/>
  <c r="AM85" i="1"/>
  <c r="AN85" i="1"/>
  <c r="AL86" i="1"/>
  <c r="AM86" i="1"/>
  <c r="AN86" i="1"/>
  <c r="AL87" i="1"/>
  <c r="AM87" i="1"/>
  <c r="AN87" i="1"/>
  <c r="AL88" i="1"/>
  <c r="AM88" i="1"/>
  <c r="AN88" i="1"/>
  <c r="AL89" i="1"/>
  <c r="AM89" i="1"/>
  <c r="AN89" i="1"/>
  <c r="AL90" i="1"/>
  <c r="AM90" i="1"/>
  <c r="AN90" i="1"/>
  <c r="AL91" i="1"/>
  <c r="AM91" i="1"/>
  <c r="AN91" i="1"/>
  <c r="AL92" i="1"/>
  <c r="AM92" i="1"/>
  <c r="AN92" i="1"/>
  <c r="AL93" i="1"/>
  <c r="AM93" i="1"/>
  <c r="AN93" i="1"/>
  <c r="AL94" i="1"/>
  <c r="AM94" i="1"/>
  <c r="AN94" i="1"/>
  <c r="AL95" i="1"/>
  <c r="AM95" i="1"/>
  <c r="AN95" i="1"/>
  <c r="AL96" i="1"/>
  <c r="AM96" i="1"/>
  <c r="AN96" i="1"/>
  <c r="AL97" i="1"/>
  <c r="AM97" i="1"/>
  <c r="AN97" i="1"/>
  <c r="AL98" i="1"/>
  <c r="AM98" i="1"/>
  <c r="AN98" i="1"/>
  <c r="AL99" i="1"/>
  <c r="AM99" i="1"/>
  <c r="AN99" i="1"/>
  <c r="AL100" i="1"/>
  <c r="AM100" i="1"/>
  <c r="AN100" i="1"/>
  <c r="AL101" i="1"/>
  <c r="AM101" i="1"/>
  <c r="AN101" i="1"/>
  <c r="AL102" i="1"/>
  <c r="AM102" i="1"/>
  <c r="AN102" i="1"/>
  <c r="AL103" i="1"/>
  <c r="AM103" i="1"/>
  <c r="AN103" i="1"/>
  <c r="AL104" i="1"/>
  <c r="AM104" i="1"/>
  <c r="AN104" i="1"/>
  <c r="AL105" i="1"/>
  <c r="AM105" i="1"/>
  <c r="AN105" i="1"/>
  <c r="AL106" i="1"/>
  <c r="AM106" i="1"/>
  <c r="AN106" i="1"/>
  <c r="AL107" i="1"/>
  <c r="AM107" i="1"/>
  <c r="AN107" i="1"/>
  <c r="AL108" i="1"/>
  <c r="AM108" i="1"/>
  <c r="AN108" i="1"/>
  <c r="AL109" i="1"/>
  <c r="AM109" i="1"/>
  <c r="AN109" i="1"/>
  <c r="AL110" i="1"/>
  <c r="AM110" i="1"/>
  <c r="AN110" i="1"/>
  <c r="AL111" i="1"/>
  <c r="AM111" i="1"/>
  <c r="AN111" i="1"/>
  <c r="AL112" i="1"/>
  <c r="AM112" i="1"/>
  <c r="AN112" i="1"/>
  <c r="AL113" i="1"/>
  <c r="AM113" i="1"/>
  <c r="AN113" i="1"/>
  <c r="AL114" i="1"/>
  <c r="AM114" i="1"/>
  <c r="AN114" i="1"/>
  <c r="AL115" i="1"/>
  <c r="AM115" i="1"/>
  <c r="AN115" i="1"/>
  <c r="AL116" i="1"/>
  <c r="AM116" i="1"/>
  <c r="AN116" i="1"/>
  <c r="AL117" i="1"/>
  <c r="AM117" i="1"/>
  <c r="AN117" i="1"/>
  <c r="AL118" i="1"/>
  <c r="AM118" i="1"/>
  <c r="AN118" i="1"/>
  <c r="AL119" i="1"/>
  <c r="AR5" i="1" s="1"/>
  <c r="AM119" i="1"/>
  <c r="AN119" i="1"/>
  <c r="AL120" i="1"/>
  <c r="AM120" i="1"/>
  <c r="AN120" i="1"/>
  <c r="AL121" i="1"/>
  <c r="AM121" i="1"/>
  <c r="AN121" i="1"/>
  <c r="AL122" i="1"/>
  <c r="AM122" i="1"/>
  <c r="AN122" i="1"/>
  <c r="AL123" i="1"/>
  <c r="AM123" i="1"/>
  <c r="AN123" i="1"/>
  <c r="AL124" i="1"/>
  <c r="AM124" i="1"/>
  <c r="AN124" i="1"/>
  <c r="AL125" i="1"/>
  <c r="AM125" i="1"/>
  <c r="AN125" i="1"/>
  <c r="AL126" i="1"/>
  <c r="AM126" i="1"/>
  <c r="AN126" i="1"/>
  <c r="AN2" i="1"/>
  <c r="AM2" i="1"/>
  <c r="AL2" i="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Q15" i="1" s="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3" i="1"/>
  <c r="AQ8" i="1" s="1"/>
  <c r="AK2" i="1"/>
  <c r="EQ16" i="1" l="1"/>
  <c r="AS4" i="1"/>
  <c r="AR9" i="1"/>
  <c r="AT5" i="1"/>
  <c r="AT9" i="1"/>
  <c r="AS7" i="1"/>
  <c r="AR4" i="1"/>
  <c r="AR3" i="1"/>
  <c r="AS9" i="1"/>
  <c r="AR7" i="1"/>
  <c r="AS3" i="1"/>
  <c r="AQ12" i="1"/>
  <c r="AS6" i="1"/>
  <c r="AQ6" i="1"/>
  <c r="AQ7" i="1"/>
  <c r="AQ5" i="1"/>
  <c r="AQ4" i="1"/>
  <c r="AQ9" i="1"/>
  <c r="AQ14" i="1"/>
  <c r="AR11" i="1"/>
  <c r="AT10" i="1"/>
  <c r="AT14" i="1"/>
  <c r="AS12" i="1"/>
  <c r="AS13" i="1"/>
  <c r="AR13" i="1"/>
  <c r="AQ10" i="1"/>
  <c r="AQ11" i="1"/>
  <c r="AT13" i="1"/>
  <c r="AQ13" i="1"/>
  <c r="AQ3" i="1"/>
  <c r="AS10" i="1"/>
  <c r="AS11" i="1"/>
  <c r="AS14" i="1"/>
  <c r="AT4" i="1"/>
  <c r="AR14" i="1"/>
  <c r="AT3" i="1"/>
  <c r="AS5" i="1"/>
  <c r="AT7" i="1"/>
  <c r="AT6" i="1"/>
  <c r="AR12" i="1"/>
  <c r="AR6" i="1"/>
  <c r="AT12" i="1"/>
  <c r="AR8" i="1"/>
  <c r="AT11" i="1"/>
  <c r="AS8" i="1"/>
  <c r="AT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<sst xmlns="http://schemas.openxmlformats.org/spreadsheetml/2006/main" count="2202" uniqueCount="1461">
  <si>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</si>
  <si>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</si>
  <si>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</si>
  <si>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</si>
  <si>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</si>
  <si>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</si>
  <si>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</si>
  <si>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</si>
  <si>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</si>
  <si>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</si>
  <si>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</si>
  <si>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</si>
  <si>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</si>
  <si>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</si>
  <si>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</si>
  <si>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</si>
  <si>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</si>
  <si>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</si>
  <si>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</si>
  <si>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</si>
  <si>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</si>
  <si>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</si>
  <si>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</si>
  <si>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text</t>
  </si>
  <si>
    <t>Type</t>
  </si>
  <si>
    <t>RQ1.1</t>
  </si>
  <si>
    <t>RQ1.2</t>
  </si>
  <si>
    <t>RQ1.3</t>
  </si>
  <si>
    <t>RQ1.3a</t>
  </si>
  <si>
    <t>RQ2.1</t>
  </si>
  <si>
    <t>RQ2.2</t>
  </si>
  <si>
    <t>RQ2.3</t>
  </si>
  <si>
    <t>RQ3.1</t>
  </si>
  <si>
    <t>RQ3.2</t>
  </si>
  <si>
    <t>INPROCEEDINGS</t>
  </si>
  <si>
    <t>Chaudhary, Sonam and Choudhary, Ankur and Seth, Jyotsna</t>
  </si>
  <si>
    <t>2023 13th International Conference on Cloud Computing, Data Science &amp; Engineering (Confluence)</t>
  </si>
  <si>
    <t>Nature Inspired Approaches for Test Case Selection in Regression Testing: A Review</t>
  </si>
  <si>
    <t>644-649</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</si>
  <si>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</si>
  <si>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Software testing;Costs;Software algorithms;Metaheuristics;Search problems;Software;Computational intelligence;Software Testing;Regression Testing;Test Case Selection;Nature Inspired Approaches</t>
  </si>
  <si>
    <t>10.1109/Confluence56041.2023.10048797</t>
  </si>
  <si>
    <t>Jan</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</si>
  <si>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</si>
  <si>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SR</t>
  </si>
  <si>
    <t>2023,selection</t>
  </si>
  <si>
    <t>Metaheuristic-based</t>
  </si>
  <si>
    <t>SIR</t>
  </si>
  <si>
    <t>Ren, Yijie and Yin, Bei-Bei and Wang, Bin</t>
  </si>
  <si>
    <t>2018 IEEE 42nd Annual Computer Software and Applications Conference (COMPSAC)</t>
  </si>
  <si>
    <t>Test Case Prioritization for GUI Regression Testing Based on Centrality Measures</t>
  </si>
  <si>
    <t>454-459</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</si>
  <si>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</si>
  <si>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Graphical user interfaces;Software;Object oriented modeling;Complex networks;Software testing;Regression tree analysis;GUI Testing, Regression Testing, Test Case Prioritization, Event Handler Tree, Complex Network</t>
  </si>
  <si>
    <t>10.1109/COMPSAC.2018.10275</t>
  </si>
  <si>
    <t>0730-3157</t>
  </si>
  <si>
    <t>July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</si>
  <si>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</si>
  <si>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PS</t>
  </si>
  <si>
    <t>{2018,Prioritization}</t>
  </si>
  <si>
    <t>Model-based</t>
  </si>
  <si>
    <t>Search-based</t>
  </si>
  <si>
    <t>Single-Objective</t>
  </si>
  <si>
    <t>TerpPaint, TerpSpreadSheet</t>
  </si>
  <si>
    <t>{"TerpPaint":[16 windows,301 widgets,11803 loc,330 classes, 1253 metodi,263 faults],"TerpSpreadSheet":[9,176,5381,135,764,234]}</t>
  </si>
  <si>
    <t>Faults</t>
  </si>
  <si>
    <t>APFD</t>
  </si>
  <si>
    <t>Xiao, Zhengxinchao and Xiao, Lei</t>
  </si>
  <si>
    <t>2023 IEEE/ACIS 21st International Conference on Software Engineering Research, Management and Applications (SERA)</t>
  </si>
  <si>
    <t>A Systematic Literature Review on Test Case Prioritization and Regression Test Selection</t>
  </si>
  <si>
    <t>235-242</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</si>
  <si>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</si>
  <si>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Software testing;Productivity;Costs;Systematics;Bibliographies;Soft sensors;Optimization methods;Regression testing;Test case prioritization;Test case selection;Systematic literature review</t>
  </si>
  <si>
    <t>10.1109/SERA57763.2023.10197719</t>
  </si>
  <si>
    <t>2770-8209</t>
  </si>
  <si>
    <t>May</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</si>
  <si>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</si>
  <si>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SLR</t>
  </si>
  <si>
    <t>2023,selection+prioritization</t>
  </si>
  <si>
    <t>Defects4J,SIR</t>
  </si>
  <si>
    <t>APFC, APBC, APSC, APTC, APMK, NRPA</t>
  </si>
  <si>
    <t>Ma, Tingting and Zeng, Hongwei and Wang, Xiaolin</t>
  </si>
  <si>
    <t>2016 17th IEEE/ACIS International Conference on Software Engineering, Artificial Intelligence, Networking and Parallel/Distributed Computing (SNPD)</t>
  </si>
  <si>
    <t>Test case prioritization based on requirement correlations</t>
  </si>
  <si>
    <t>419-424</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</si>
  <si>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</si>
  <si>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Software;Correlation;Software testing;Heuristic algorithms;Complexity theory;Cognition;Test case prioritization;Requirement correlations;Fault detection rate;Regression Testing</t>
  </si>
  <si>
    <t>10.1109/SNPD.2016.7515934</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</si>
  <si>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</si>
  <si>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{2016,Prioritization}</t>
  </si>
  <si>
    <t>Requirement-based</t>
  </si>
  <si>
    <t>Heuristic-based</t>
  </si>
  <si>
    <t>//</t>
  </si>
  <si>
    <t>[59 func. requirements, 42 test cases, 18 faults]</t>
  </si>
  <si>
    <t>AFDP</t>
  </si>
  <si>
    <t>Wang, Xiaolin and Zeng, Hongwei</t>
  </si>
  <si>
    <t>15th IEEE/ACIS International Conference on Software Engineering, Artificial Intelligence, Networking and Parallel/Distributed Computing (SNPD)</t>
  </si>
  <si>
    <t>Dynamic test case prioritization based on multi-objective</t>
  </si>
  <si>
    <t>1-6</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</si>
  <si>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</si>
  <si>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History;Testing;Software;Fault detection;Databases;Measurement;Probability;Test case prioritization;Multi-objective;Dynamic;Regression testing</t>
  </si>
  <si>
    <t>10.1109/SNPD.2014.6888744</t>
  </si>
  <si>
    <t>June</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</si>
  <si>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</si>
  <si>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{2014,Prioritization}</t>
  </si>
  <si>
    <t>Multi-obj</t>
  </si>
  <si>
    <t>APBC(Average Percentage Block Coverage)</t>
  </si>
  <si>
    <t>2016 IEEE/ACM International Workshop on Continuous Software Evolution and Delivery (CSED)</t>
  </si>
  <si>
    <t>History-Based Dynamic Test Case Prioritization for Requirement Properties in Regression Testing</t>
  </si>
  <si>
    <t>41-47</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</si>
  <si>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</si>
  <si>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Software;History;Fault detection;Complexity theory;Software testing;Time factors;Test Case Prioritization; Requirement Property; History Data; Regression Testing</t>
  </si>
  <si>
    <t>10.1145/2896941.2896949</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</si>
  <si>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</si>
  <si>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History-based</t>
  </si>
  <si>
    <t>Single-objective</t>
  </si>
  <si>
    <t>CPMISS</t>
  </si>
  <si>
    <t xml:space="preserve">440,000 lines of Java code (LOC), 500 atomic test cases,71 requirement properties, </t>
  </si>
  <si>
    <t>APFD,FDR(fault detection rate)</t>
  </si>
  <si>
    <t>Buchgeher, Georg and Ernstbrunner, Christian and Ramler, Rudolf and Lusser, Michael</t>
  </si>
  <si>
    <t>2013 IEEE Sixth International Conference on Software Testing, Verification and Validation Workshops</t>
  </si>
  <si>
    <t>Towards Tool-Support for Test Case Selection in Manual Regression Testing</t>
  </si>
  <si>
    <t>74-79</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</si>
  <si>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</si>
  <si>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Testing;Manuals;User interfaces;Software systems;Hardware;Context;regression testing;test suite reduction;test case selection;manual testing</t>
  </si>
  <si>
    <t>10.1109/ICSTW.2013.16</t>
  </si>
  <si>
    <t>March</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</si>
  <si>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</si>
  <si>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2013,selection</t>
  </si>
  <si>
    <t>Modification-based</t>
  </si>
  <si>
    <t>heuristic-based</t>
  </si>
  <si>
    <t>single-objective</t>
  </si>
  <si>
    <t>Azizi, Maral</t>
  </si>
  <si>
    <t>2021 IEEE International Conference on Software Testing, Verification and Validation Workshops (ICSTW)</t>
  </si>
  <si>
    <t>A Tag-based Recommender System for Regression Test Case Prioritization</t>
  </si>
  <si>
    <t>146-157</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</si>
  <si>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</si>
  <si>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Software testing;Conferences;Computer bugs;Maintenance engineering;Information retrieval;Software;Software reliability;Regression Testing;Test Case Prioritization;IR-based Regression Testing;Recommender Systems;Continuous Integration;Tag-based Recommender System</t>
  </si>
  <si>
    <t>10.1109/ICSTW52544.2021.00035</t>
  </si>
  <si>
    <t>April</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</si>
  <si>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</si>
  <si>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{2021,prioritization}</t>
  </si>
  <si>
    <t>Probability-based</t>
  </si>
  <si>
    <t>(Non classificato, o comunque single-objective)</t>
  </si>
  <si>
    <t>nopCommerce,Umbraco,XStream,JFreeChart,Joda-Time,Commons-
Lang,</t>
  </si>
  <si>
    <t>“Version pair”
(the program versions that we used for the experiment), “LOC”
(the number of lines of code), “TstMethod” (the number of
test cases in method level), “TstClass” (the number of test
cases in class level), “Faults” (the number of faults), “Queries”
(the number of queries that we built from the program change
files), “SrcToken” (the number of tokens of source code), and
“TstToken” (the number tokens of test files)</t>
  </si>
  <si>
    <t>Precision, Recall, and F-Measure, (APFD</t>
  </si>
  <si>
    <t>Wang, Hongda and Xing, Jianchun and Yang, Qiliang and Han, Deshuai and Zhang, Xuewei</t>
  </si>
  <si>
    <t>2015 IEEE 39th Annual Computer Software and Applications Conference</t>
  </si>
  <si>
    <t>Modification Impact Analysis Based Test Case Prioritization for Regression Testing of Service-Oriented Workflow Applications</t>
  </si>
  <si>
    <t>288-297</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</si>
  <si>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</si>
  <si>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Testing;Correlation;Software;Synchronization;Schedules;Fault detection;Programmable logic arrays;test case prioritization;dependence analysis;service-oriented workflow applications;modification impact</t>
  </si>
  <si>
    <t>10.1109/COMPSAC.2015.11</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</si>
  <si>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</si>
  <si>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{2015,prioritization}</t>
  </si>
  <si>
    <t xml:space="preserve">Heuristic-based  </t>
  </si>
  <si>
    <t>Travel,ATM,GYMLocker,LoanApproval,MarketPlace,Auction,RiskAssessment,Loan</t>
  </si>
  <si>
    <t>“Application,”
“Source,” “Element,” and “LOC” represent the name of
BPEL applications, the source of BPEL applications, the
number of XML elements, and the number of lines of
code of each application, respectively. In addition, the
columns “COR” and “Link” depict whether or not
correlation sets and links have been used in the BPEL
workflow applications</t>
  </si>
  <si>
    <t xml:space="preserve">APFD </t>
  </si>
  <si>
    <t>Fu, Wenhao and Yu, Huiqun and Fan, Guisheng and Ji, Xiang and Pei, Xin</t>
  </si>
  <si>
    <t>2017 24th Asia-Pacific Software Engineering Conference (APSEC)</t>
  </si>
  <si>
    <t>A Regression Test Case Prioritization Algorithm Based on Program Changes and Method Invocation Relationship</t>
  </si>
  <si>
    <t>169-178</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</si>
  <si>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</si>
  <si>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Fault detection;Testing;Greedy algorithms;Software;Software algorithms;Complexity theory;Heuristic algorithms;regression testing;test case prioritization;program changes;method invocation</t>
  </si>
  <si>
    <t>10.1109/APSEC.2017.23</t>
  </si>
  <si>
    <t>Dec</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</si>
  <si>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</si>
  <si>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2017,prioritization</t>
  </si>
  <si>
    <t>9 SIR programs: print_tokens ,print_tokens 2,replace,schedule,schedule2,tcas,totinfo,flex,sed,xml-security ,commons lang</t>
  </si>
  <si>
    <t>LOC Methods Test Cases Versions</t>
  </si>
  <si>
    <t>Mutation faults</t>
  </si>
  <si>
    <t>Greca, Renan and Miranda, Breno and Gligoric, Milos and Bertolino, Antonia</t>
  </si>
  <si>
    <t>2022 IEEE/ACM International Conference on Automation of Software Test (AST)</t>
  </si>
  <si>
    <t>Comparing and Combining File-based Selection and Similarity-based Prioritization towards Regression Test Orchestration</t>
  </si>
  <si>
    <t>115-125</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</si>
  <si>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</si>
  <si>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Costs;Automation;Statistical analysis;Diversity reception;Debugging;Open source software;Testing;regression testing;test case selection;test case prioritization;test orchestration;Fastazi</t>
  </si>
  <si>
    <t>10.1145/3524481.3527223</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</si>
  <si>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</si>
  <si>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2022,prioritization+selection</t>
  </si>
  <si>
    <t>12Defect4j projects:chart,cli,closure,codec,collections,compress,gson,jsoup,jxpath,lang,math,time</t>
  </si>
  <si>
    <t>#versions,min#tests,max#tests</t>
  </si>
  <si>
    <t>faults</t>
  </si>
  <si>
    <t>Time to first failure,apfd,user+system execution time</t>
  </si>
  <si>
    <t>Choudhary, Ankur and Agrawal, Arun Prakash and Kaur, Arvinder</t>
  </si>
  <si>
    <t>2018 IEEE/ACM 11th International Workshop on Search-Based Software Testing (SBST)</t>
  </si>
  <si>
    <t>An Effective Approach for Regression Test Case Selection Using Pareto Based Multi-Objective Harmony Search</t>
  </si>
  <si>
    <t>13-20</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</si>
  <si>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</si>
  <si>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Optimization;Search problems;Software;Genetic algorithms;Software testing;Software algorithms;Software testing;Regression testing;Optimization;Harmony Search;Bat Search Optimization;Cuckoo Search Optimization;Test case selection</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</si>
  <si>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</si>
  <si>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2018,selection</t>
  </si>
  <si>
    <t>multi-objective</t>
  </si>
  <si>
    <t>(SIR)flex(5 versions),grep,gzip,5 versions of nano-xml, xml-security</t>
  </si>
  <si>
    <t>Total number
of seeded
faults
Total number
of test cases
Test suite type</t>
  </si>
  <si>
    <t>%age calculated on the basis of max. Faults coverable and max
faults covered for each subject program</t>
  </si>
  <si>
    <t>Zhao, Xiaobin and Wang, Zan and Fan, Xiangyu and Wang, Zhenhua</t>
  </si>
  <si>
    <t>A Clustering-Bayesian Network Based Approach for Test Case Prioritization</t>
  </si>
  <si>
    <t>542-547</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</si>
  <si>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</si>
  <si>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Fault detection;Measurement;Testing;Bayes methods;Software quality;Java;Clustering algorithms;Regression testing; Test case prioritization (TCP); Clustering; Bayesian Network (BN)</t>
  </si>
  <si>
    <t>10.1109/COMPSAC.2015.154</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</si>
  <si>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</si>
  <si>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2015,prioritization</t>
  </si>
  <si>
    <t>Probability-based+Distribution-based</t>
  </si>
  <si>
    <t>ML-based</t>
  </si>
  <si>
    <t>Non classificato ma al più single</t>
  </si>
  <si>
    <t>xml-security,jtopas,ant taken from SIR</t>
  </si>
  <si>
    <t>KLoC Number
of Classes
Number of
Methods
Class-
level
Tests
Hand-
seeded
Faults</t>
  </si>
  <si>
    <t>Abdelkarim, Mohamed and ElAdawi, Reem</t>
  </si>
  <si>
    <t>2022 IEEE International Conference on Software Testing, Verification and Validation Workshops (ICSTW)</t>
  </si>
  <si>
    <t>TCP-Net: Test Case Prioritization using End-to-End Deep Neural Networks</t>
  </si>
  <si>
    <t>122-129</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</si>
  <si>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</si>
  <si>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Deep learning;Software testing;Correlation;Software packages;Conferences;Neural networks;Metadata;regression testing;test case prioritization;neural networks;deep learning;fusion network;incremental learning;hyperparameter optimization</t>
  </si>
  <si>
    <t>10.1109/ICSTW55395.2022.00034</t>
  </si>
  <si>
    <t>2159-4848</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</si>
  <si>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</si>
  <si>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2022,prioritization</t>
  </si>
  <si>
    <t>Calibre Auto-Waivers,Calibre PERC,Calibre nmDRC</t>
  </si>
  <si>
    <t>No. test cases No. source files No. builds Final dataset size Failure %</t>
  </si>
  <si>
    <t>AFDP, accuracy F1 recall precision,trainable parameters</t>
  </si>
  <si>
    <t>Zhang, Weixiang and Qi, Yuhua and Zhang, Xuebo and Wei, Bo and Zhang, Min and Dou, Zhaohui</t>
  </si>
  <si>
    <t>2019 IEEE 21st International Conference on High Performance Computing and Communications; IEEE 17th International Conference on Smart City; IEEE 5th International Conference on Data Science and Systems (HPCC/SmartCity/DSS)</t>
  </si>
  <si>
    <t>On Test Case Prioritization Using Ant Colony Optimization Algorithm</t>
  </si>
  <si>
    <t>2767-2773</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</si>
  <si>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</si>
  <si>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Testing;Optimization;Urban areas;Software;Sorting;Software algorithms;Indexes;Software Testing, Test Case Prioritization, Ant Colony Algorithm, Black Box Testing, Regression Testing</t>
  </si>
  <si>
    <t>10.1109/HPCC/SmartCity/DSS.2019.00388</t>
  </si>
  <si>
    <t>Aug</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</si>
  <si>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</si>
  <si>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2019,prioritization</t>
  </si>
  <si>
    <t>A triangle classification program</t>
  </si>
  <si>
    <t>7 test points and 6 test cases</t>
  </si>
  <si>
    <t>eAPWC-1 ,eAPWC-2,use case distance</t>
  </si>
  <si>
    <t>Huang, Rubing and Zhou, Yunan and Zong, Weiwen and Towey, Dave and Chen, Jinfu</t>
  </si>
  <si>
    <t>2017 IEEE 41st Annual Computer Software and Applications Conference (COMPSAC)</t>
  </si>
  <si>
    <t>An Empirical Comparison of Similarity Measures for Abstract Test Case Prioritization</t>
  </si>
  <si>
    <t>3-12</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</si>
  <si>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</si>
  <si>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Testing;Fault detection;Software;Computer science;Software product lines;Fault diagnosis;Algorithm design and analysis;Software testing;test case prioritization;abstract test case;similarity</t>
  </si>
  <si>
    <t>10.1109/COMPSAC.2017.271</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</si>
  <si>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</si>
  <si>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flex,grep,sed,gzip,make(all from SIR)</t>
  </si>
  <si>
    <t>Test Pool, for each version V0 V1 V2 V3 V4 V5 LOC e #Faults</t>
  </si>
  <si>
    <t>faults,interaction coverage</t>
  </si>
  <si>
    <t>average percentage of
λ-wise combinations covered (APCC),APFD,</t>
  </si>
  <si>
    <t>Lachmann, Remo and Schulze, Sandro and Nieke, Manuel and Seidl, Christoph and Schaefer, Ina</t>
  </si>
  <si>
    <t>2016 15th IEEE International Conference on Machine Learning and Applications (ICMLA)</t>
  </si>
  <si>
    <t>System-Level Test Case Prioritization Using Machine Learning</t>
  </si>
  <si>
    <t>361-368</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</si>
  <si>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</si>
  <si>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Testing;Support vector machines;Software;Training data;Natural languages;Dictionaries;Training;System-Level Testing;Black-Box Testing;Test Case Prioritization;Supervised Machine Learning</t>
  </si>
  <si>
    <t>10.1109/ICMLA.2016.0065</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</si>
  <si>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</si>
  <si>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2016,prioritization</t>
  </si>
  <si>
    <t>Single-obj</t>
  </si>
  <si>
    <t>Body Comfort System,Automotive Industry Data</t>
  </si>
  <si>
    <t>Body Comfort System (97 requirements and 128
test cases are defined,180 words after preprocessing,7
failures has been seeded),Automotive Industry Data(more than 10, 000 requirements, 10, 000 test cases,
and 1, 000 reported failures)</t>
  </si>
  <si>
    <t>Arafeen, Md. Junaid and Do, Hyunsook</t>
  </si>
  <si>
    <t>2013 IEEE Sixth International Conference on Software Testing, Verification and Validation</t>
  </si>
  <si>
    <t>Test Case Prioritization Using Requirements-Based Clustering</t>
  </si>
  <si>
    <t>312-321</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</si>
  <si>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</si>
  <si>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Testing;Software;Measurement;Complexity theory;Fault detection;Educational institutions;Java;regression testing;test case prioritization;requirements-based clustering;empirical study</t>
  </si>
  <si>
    <t>10.1109/ICST.2013.12</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</si>
  <si>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</si>
  <si>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2013,prioritization</t>
  </si>
  <si>
    <t>Hybrid: Requirement-Based + Distribution-Based + Coverage-Based</t>
  </si>
  <si>
    <t xml:space="preserve">ML-Based </t>
  </si>
  <si>
    <t>Capstone,iTrust</t>
  </si>
  <si>
    <t>Req. Ver. Classes Size (KLOCs) Test Cases Mutation
Faults</t>
  </si>
  <si>
    <t>Hettiarachchi, Charitha and Do, Hyunsook</t>
  </si>
  <si>
    <t>2019 IEEE 19th International Conference on Software Quality, Reliability and Security (QRS)</t>
  </si>
  <si>
    <t>A Systematic Requirements and Risks-Based Test Case Prioritization Using a Fuzzy Expert System</t>
  </si>
  <si>
    <t>374-385</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</si>
  <si>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</si>
  <si>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</si>
  <si>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</si>
  <si>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</si>
  <si>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iTrust,PasswordSafe,Capstone</t>
  </si>
  <si>
    <t>V er. Size (KLOCs) Req. Test Cases Mutation Faults Mutation
Groups</t>
  </si>
  <si>
    <t>Jiang, Bo and Chan, W.K. and Tse, T.H.</t>
  </si>
  <si>
    <t>2015 IEEE International Conference on Software Quality, Reliability and Security</t>
  </si>
  <si>
    <t>PORA: Proportion-Oriented Randomized Algorithm for Test Case Prioritization</t>
  </si>
  <si>
    <t>131-140</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</si>
  <si>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</si>
  <si>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Testing;Subspace constraints;Fault detection;Greedy algorithms;Resource management;Clustering algorithms;Genetic algorithms;Test case prioritization;randomized algorithm;proportional sampling strategy;multi-objective optimization</t>
  </si>
  <si>
    <t>10.1109/QRS.2015.28</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</si>
  <si>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</si>
  <si>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Input-based</t>
  </si>
  <si>
    <t>flex,grep,gzip,sed (SIR)</t>
  </si>
  <si>
    <t>No. of
Faulty
Versions
Executable
Source LOC
Size
of
Test
Pool</t>
  </si>
  <si>
    <t>APFD, prioritization execution time(seconds)</t>
  </si>
  <si>
    <t>Yang, Yu and Wang, Lu and Cha, Na and Li, Hua</t>
  </si>
  <si>
    <t>2023 IEEE 47th Annual Computers, Software, and Applications Conference (COMPSAC)</t>
  </si>
  <si>
    <t>A Test Case Prioritization Based on Genetic Algorithm With Ant Colony and Reinforcement Learning Improvement</t>
  </si>
  <si>
    <t>1588-1593</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</si>
  <si>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</si>
  <si>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Q-learning;Software algorithms;Sociology;Genetics;Software;Statistics;Genetic algorithms;test case prioritization;reinforcement learning;genetic algorithm;ant colony algorithm</t>
  </si>
  <si>
    <t>10.1109/COMPSAC57700.2023.00245</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</si>
  <si>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</si>
  <si>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2023,prioritization</t>
  </si>
  <si>
    <t>Meta-Heuristic/Hybrid</t>
  </si>
  <si>
    <t>loud-network
convergence platform</t>
  </si>
  <si>
    <t>cloud-network convergence platform</t>
  </si>
  <si>
    <t>Target Test Path Finding Rate</t>
  </si>
  <si>
    <t>Zhang, Xiaofang and Xie, Xiaoyuan and Chen, Tsong Yueh</t>
  </si>
  <si>
    <t>2016 IEEE International Conference on Software Quality, Reliability and Security (QRS)</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</si>
  <si>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</si>
  <si>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</si>
  <si>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Random sequences;Measurement;Testing;Subspace constraints;Fault detection;Algorithm design and analysis;Semantics;test case prioritization;adaptive random sequence;random sequence;catergory partition;string distance</t>
  </si>
  <si>
    <t>10.1109/QRS.2016.49</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</si>
  <si>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</si>
  <si>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from unix utilities and the SIR: cal,comm,look,spline,uniq,print_tokens,print_tokens2,replace,schedule,schedule2,tot_info</t>
  </si>
  <si>
    <t>LOC # mutants # test cases # categories #
*
failed test cases
Rf =
#
test cases
of TS_C</t>
  </si>
  <si>
    <t>Rf</t>
  </si>
  <si>
    <t>APFD,CP and Manhattan distance, time for prioritization (milliseconds)</t>
  </si>
  <si>
    <t>Noor, Tanzeem Bin and Hemmati, Hadi</t>
  </si>
  <si>
    <t>2015 IEEE 26th International Symposium on Software Reliability Engineering (ISSRE)</t>
  </si>
  <si>
    <t>A similarity-based approach for test case prioritization using historical failure data</t>
  </si>
  <si>
    <t>58-68</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</si>
  <si>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</si>
  <si>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Measurement;Testing;Fault detection;History;Context;Software quality;Test case prioritization;Test quality metric;Similarity;Execution trace;Distance function;Historical data;Code coverage;Test size</t>
  </si>
  <si>
    <t>10.1109/ISSRE.2015.7381799</t>
  </si>
  <si>
    <t>Nov</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</si>
  <si>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</si>
  <si>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defects4j datasets:commons lang, jfrechart,commons math,joda time,closure compiler</t>
  </si>
  <si>
    <t>#Studied
Versions
#Versions
(TM works)</t>
  </si>
  <si>
    <t>Hamming Distance (HD), traditional history based (TM),basic counting,edit distance,improved basic counting,test case sizes,method coverage,changed method coverage</t>
  </si>
  <si>
    <t>Găceanu, Radu and Szederjesi-Dragomir, Arnold and Vescan, Andreea</t>
  </si>
  <si>
    <t>2024 IEEE International Conference on Software Analysis, Evolution and Reengineering - Companion (SANER-C)</t>
  </si>
  <si>
    <t>Leveraging Rough Sets for Enhanced Test Case Prioritization in a Continuous Integration Context</t>
  </si>
  <si>
    <t>175-182</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</si>
  <si>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</si>
  <si>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Software testing;Uncertainty;Heuristic algorithms;Supervised learning;Rough sets;Clustering algorithms;Reinforcement learning;Test Case Prioritization;Continuous Integration;Rough Sets;Clustering;Faults;Duration;Cycles</t>
  </si>
  <si>
    <t>10.1109/SANER-C62648.2024.00030</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</si>
  <si>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</si>
  <si>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2024,prioritization</t>
  </si>
  <si>
    <t>Non classificato ma al più multi</t>
  </si>
  <si>
    <t>Paint Control,
IOF/ROL and GSDTSR</t>
  </si>
  <si>
    <t>Duration, Fault Rate, Cycles count, and Total runs count</t>
  </si>
  <si>
    <t>NAFPD,</t>
  </si>
  <si>
    <t>Luo, Qi and Moran, Kevin and Poshyvanyk, Denys and Di Penta, Massimiliano</t>
  </si>
  <si>
    <t>2018 IEEE International Conference on Software Maintenance and Evolution (ICSME)</t>
  </si>
  <si>
    <t>Assessing Test Case Prioritization on Real Faults and Mutants</t>
  </si>
  <si>
    <t>240-251</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</si>
  <si>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</si>
  <si>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Testing;Software;Fault detection;Genetic algorithms;Correlation;Measurement;Data mining;Test Case Prioritization;Empirical Study;TCP;Mutation Analysis;Mutation Testing;Mutants</t>
  </si>
  <si>
    <t>10.1109/ICSME.2018.00033</t>
  </si>
  <si>
    <t>2576-3148</t>
  </si>
  <si>
    <t>Sep.</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</si>
  <si>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</si>
  <si>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2018,prioritization</t>
  </si>
  <si>
    <t>Coverage- and History-based</t>
  </si>
  <si>
    <t>Multi/single obj</t>
  </si>
  <si>
    <t xml:space="preserve">JFreeChart,closure compiler,commons math,joda-time,commons lang  </t>
  </si>
  <si>
    <t>#REAL: #REAL-WORLD
FAULTS; #ALL: #ALL MUTATION FAULTS; #DETECTED:
#MUTATION FAULTS CAN BE DETECTED BY TEST CASES;
#SUBSUMING: SUBSUMING MUTANTS</t>
  </si>
  <si>
    <t>all faults types collected</t>
  </si>
  <si>
    <t>APFD,APFDc,Kendall τ rank,coupling between real faults and mutants,mutation operator type</t>
  </si>
  <si>
    <t>Da Roza, Enrique A. and Lima, Jackson A. Prado and Silva, Rogério C. and Vergilio, Silvia Regina</t>
  </si>
  <si>
    <t>2022 IEEE International Conference on Software Analysis, Evolution and Reengineering (SANER)</t>
  </si>
  <si>
    <t>Machine Learning Regression Techniques for Test Case Prioritization in Continuous Integration Environment</t>
  </si>
  <si>
    <t>196-206</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</si>
  <si>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</si>
  <si>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Radio frequency;Machine learning algorithms;Recurrent neural networks;Software algorithms;Reinforcement learning;Software;History;Recurrent Neural Networks;Machine Learning;Continuous Integration;Regression Testing</t>
  </si>
  <si>
    <t>10.1109/SANER53432.2022.00034</t>
  </si>
  <si>
    <t>1534-5351</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</si>
  <si>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</si>
  <si>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 xml:space="preserve">ML-based </t>
  </si>
  <si>
    <t>Druid,fatjson,deeplearning4jdspace,guava,iof/rol,lexisnexis,okhttp,paintcontrol,retrofit,zxing</t>
  </si>
  <si>
    <t>Period Builds I Failures I Test Cases I Duration (min) I Interval (min)</t>
  </si>
  <si>
    <t>NAPFD,average percentage of Faults Detected with cost consideration (APFDc)</t>
  </si>
  <si>
    <t>Marijan, Dusica</t>
  </si>
  <si>
    <t>Multi-perspective Regression Test Prioritization for Time-Constrained Environments</t>
  </si>
  <si>
    <t>157-162</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</si>
  <si>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</si>
  <si>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Testing;Fault detection;Manuals;Software;Business;Time factors;Time-frequency analysis;software testing;regression testing;test case prioritization</t>
  </si>
  <si>
    <t>10.1109/QRS.2015.31</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</si>
  <si>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</si>
  <si>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2015, prioritization</t>
  </si>
  <si>
    <t>Heuristic-based (weighted sum)</t>
  </si>
  <si>
    <t>Multi-objective</t>
  </si>
  <si>
    <t xml:space="preserve">Size, LOC Test suite size Min feature interaction coverage Max feature interaction coverage </t>
  </si>
  <si>
    <t>Azizi, Maral and Do, Hyunsook</t>
  </si>
  <si>
    <t>2018 IEEE International Symposium on Software Reliability Engineering Workshops (ISSREW)</t>
  </si>
  <si>
    <t>Graphite: A Greedy Graph-Based Technique for Regression Test Case Prioritization</t>
  </si>
  <si>
    <t>245-251</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</si>
  <si>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</si>
  <si>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Graphite;Testing;Measurement;Feature extraction;Task analysis;Fault detection;Genetic algorithms;Regression Testing</t>
  </si>
  <si>
    <t>10.1109/ISSREW.2018.00014</t>
  </si>
  <si>
    <t>Oct</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</si>
  <si>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</si>
  <si>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Structure-based</t>
  </si>
  <si>
    <t>nopCommerce,Umbraco-CMS ,jmeter,jtopas</t>
  </si>
  <si>
    <t>“LOC” (the
number of lines of code), “Faults” (the number of faults),
“Version” (the number of versions), and Test Cases (the
number of test cases)</t>
  </si>
  <si>
    <t>test case execution time,percentage of suite runned,APFD</t>
  </si>
  <si>
    <t>Jia, Changjiang and Mei, Lijun and Chan, W.K. and Yu, Y.T. and Tse, T.H.</t>
  </si>
  <si>
    <t>2014 IEEE International Conference on Web Services</t>
  </si>
  <si>
    <t>Is XML-Based Test Case Prioritization for Validating WS-BPEL Evolution Effective in Both Average and Adverse Scenarios?</t>
  </si>
  <si>
    <t>233-240</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</si>
  <si>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</si>
  <si>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Testing;XML;Fault detection;Web services;Educational institutions;Indexes;Cities and towns;XML-based factor;WS-BPEL;adaptation;adverse</t>
  </si>
  <si>
    <t>10.1109/ICWS.2014.43</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</si>
  <si>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</si>
  <si>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2014,prioritization</t>
  </si>
  <si>
    <t>Coverage-based</t>
  </si>
  <si>
    <t>Heuristic</t>
  </si>
  <si>
    <t>atm,buybook,dslservice,gymlocker,loanapprovalò,marketplace,purchase,triphandling</t>
  </si>
  <si>
    <t>Modified
Versions Elements LOC XPath XRG
Branches
WSDL
Elements
Used
Versions</t>
  </si>
  <si>
    <t>Kwon, Jung-Hyun and Ko, In-Young and Rothermel, Gregg and Staats, Matt</t>
  </si>
  <si>
    <t>2014 21st Asia-Pacific Software Engineering Conference</t>
  </si>
  <si>
    <t>Test Case Prioritization Based on Information Retrieval Concepts</t>
  </si>
  <si>
    <t>19-26</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</si>
  <si>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</si>
  <si>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Testing;Fault detection;Training;Java;Mathematical model;Linear regression;Information retrieval</t>
  </si>
  <si>
    <t>10.1109/APSEC.2014.12</t>
  </si>
  <si>
    <t>1530-1362</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</si>
  <si>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</si>
  <si>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Xml-Security(from sir),  Commons-CLI, Commons-Collections,Joda-Time</t>
  </si>
  <si>
    <t>Versions LOC Test Classes Test Methods Mutants</t>
  </si>
  <si>
    <t>Faults injected</t>
  </si>
  <si>
    <t>AFPD</t>
  </si>
  <si>
    <t>Zhao, Yifan and Hao, Dan and Zhang, Lu</t>
  </si>
  <si>
    <t>2023 IEEE International Conference on Software Maintenance and Evolution (ICSME)</t>
  </si>
  <si>
    <t>Revisiting Machine Learning based Test Case Prioritization for Continuous Integration</t>
  </si>
  <si>
    <t>232-244</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</si>
  <si>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</si>
  <si>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Measurement;Bridges;Software maintenance;Costs;Codes;Training data;Machine learning;test prioritization;machine learning;continuous integration</t>
  </si>
  <si>
    <t>10.1109/ICSME58846.2023.00032</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</si>
  <si>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</si>
  <si>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Non class ma multi/single</t>
  </si>
  <si>
    <t>bcel,csv,dhcp,text,java-faker,jedis,jsoup,jspirit,maxwell,nfe,spring-data-redis</t>
  </si>
  <si>
    <t>SLOC Selected classes Failing classes CI cycle Failing CI cycle Failure rate (%) Avg commit interval (s) Test duration (s) Time period (months)</t>
  </si>
  <si>
    <t>everything about faults</t>
  </si>
  <si>
    <t>Normalized Time Reduction (NTR),AFPD,NRPA,RPA,(milliseconds)prediction time</t>
  </si>
  <si>
    <t>Wang, Dingbang and Zhao, Yu and Xiao, Lu and Yu, Tingting</t>
  </si>
  <si>
    <t>2023 ACM/IEEE International Symposium on Empirical Software Engineering and Measurement (ESEM)</t>
  </si>
  <si>
    <t>An Empirical Study of Regression Testing for Android Apps in Continuous Integration Environment</t>
  </si>
  <si>
    <t>1-11</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</si>
  <si>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</si>
  <si>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Codes;Automation;User interfaces;Software;Mobile applications;Software measurement;Cost benefit analysis;Regression testing;Android apps;Empirical study</t>
  </si>
  <si>
    <t>10.1109/ESEM56168.2023.10304799</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</si>
  <si>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</si>
  <si>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Altiero, Francesco and Colella, Giovanni and Corazza, Anna and Di Martino, Sergio and Peron, Adriano and Starace, Luigi L. L.</t>
  </si>
  <si>
    <t>2022 48th Euromicro Conference on Software Engineering and Advanced Applications (SEAA)</t>
  </si>
  <si>
    <t>Change-Aware Regression Test Prioritization using Genetic Algorithms</t>
  </si>
  <si>
    <t>125-132</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</si>
  <si>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</si>
  <si>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Measurement;Software maintenance;Codes;Software algorithms;Software systems;Linear programming;Time factors;Regression Testing;Test Case Prioritization;Genetic Algorithms</t>
  </si>
  <si>
    <t>10.1109/SEAA56994.2022.00028</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</si>
  <si>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</si>
  <si>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Change-based</t>
  </si>
  <si>
    <t>AssertJ,JOpt,Metrics</t>
  </si>
  <si>
    <t>Avg.
LoCs
Avg.
Tests
Shared
Tests Description</t>
  </si>
  <si>
    <t>Faultes injected</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</si>
  <si>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</si>
  <si>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</si>
  <si>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</si>
  <si>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</si>
  <si>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Pub Year = 2022
Method = Prioritization</t>
  </si>
  <si>
    <t>ML-based algorithms</t>
  </si>
  <si>
    <t xml:space="preserve"> tcp-ci-dataset</t>
  </si>
  <si>
    <t>Domain = CI-based OSS
#Test Cases = non esplicito, ma 2.5k failed builds totali
LOC = non specificato</t>
  </si>
  <si>
    <t>execution time, fault detection, code complexity, change history, coverage</t>
  </si>
  <si>
    <t>APFD, retrain frequency, feature impact</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</si>
  <si>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</si>
  <si>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</si>
  <si>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</si>
  <si>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</si>
  <si>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Pub Year = 2018
Method = Selection</t>
  </si>
  <si>
    <t>SUT usati:
K9-Mail
Music (Android built-in)
Open Sudoku
Tomdroid
Mozilla Firefox Mobile</t>
  </si>
  <si>
    <t>App: K9-Mail — Domain: Email — Test Cases: 200 — LOC: 24.5K
App: Music — Domain: Multimedia — Test Cases: 200 — LOC: 11.9K
App: Open Sudoku — Domain: Game — Test Cases: 200 — LOC: 3.4K
App: Tomdroid — Domain: Notes — Test Cases: 200 — LOC: 4.9K
App: Mozilla Firefox Mobile — Domain: Browser — Test Cases: 200 — LOC: 86.9K</t>
  </si>
  <si>
    <t xml:space="preserve"> Control flow coverage, Structural changes, Code coverage matrix</t>
  </si>
  <si>
    <t>Safety, % di test selezionati, Test suite execution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</si>
  <si>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</si>
  <si>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</si>
  <si>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</si>
  <si>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</si>
  <si>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Pub Year = 2016
Method = Prioritization</t>
  </si>
  <si>
    <t>jasmine-maven, java-apns, jopt-simple, la4j, scribe-java, vraptor-core, assertj-core, metrics-core</t>
  </si>
  <si>
    <t>LOC = 1.3K–67K
Test Cases = 7–5,269
Domain = Librerie Java reali</t>
  </si>
  <si>
    <t>code coverage, execution time, fault detection, test history</t>
  </si>
  <si>
    <t xml:space="preserve"> APFD, var. APFD, statistical significance tests</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</si>
  <si>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</si>
  <si>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</si>
  <si>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</si>
  <si>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</si>
  <si>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Pub Year = 2019
Method = Selection</t>
  </si>
  <si>
    <t>Loan Composite Service</t>
  </si>
  <si>
    <t>Dominio = Servizi Web / SOA
#Test Cases = non specificato
LOC = non specificato</t>
  </si>
  <si>
    <t xml:space="preserve"> data-flow info, interface info, process/binding/interface changes</t>
  </si>
  <si>
    <t>Qualitative/Effectiveness</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</si>
  <si>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</si>
  <si>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</si>
  <si>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</si>
  <si>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</si>
  <si>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Pub Year = 2016
Method = Selection</t>
  </si>
  <si>
    <t>invokebinder, logback-encoder, compile-testing, commons-cli, commons-dbutils, commons-fileupload, commons-validator, asterisk-java, commons-codec, commons-compress, commons-email, commons-collections, commons-lang, commons-imaging, commons-dbcp, HikariCP, commons-io, addthis.stream-lib, commons-math, OpenTripPlanner, commons-pool2, jankotek.mapdb</t>
  </si>
  <si>
    <t>LOC = 2k–185k
#Test = 2–450+
Domain = Java OSS libraries/tools</t>
  </si>
  <si>
    <t>static dependencies, call graphs, bytecode change detection</t>
  </si>
  <si>
    <t xml:space="preserve"> #Tests selected, Time, Safety %, Precision %</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</si>
  <si>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</si>
  <si>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</si>
  <si>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</si>
  <si>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</si>
  <si>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invokebinder, compile-testing, logstash-logback-encoder, commons-cli, joda-time, commons-dbutils, commons-validator, commons-fileupload, asterisk-java, commons-functor, la4j, commons-jxpath, commons-email, commons-compress, commons-codec, jfreechart, commons-collections, commons-lang, commons-imaging, commons-configuration, commons-net, closure-compiler, java-apns, commons-io, commons-math, commons-dbcp, log4j, stream-lib, HikariCP, OpenTripPlanner, commons-pool, mapdb</t>
  </si>
  <si>
    <t>Domain = Java Open-Source Libraries / Applications
#Test Cases = 2-16k
LOC = 214k-29m</t>
  </si>
  <si>
    <t xml:space="preserve"> Bytecode-level checksums, Method-level code changes, Runtime test dependencies</t>
  </si>
  <si>
    <t>Selected Test Ratio; AE time (Analysis + Execution); AEC time (Analysis + Execution + Collection)</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</si>
  <si>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</si>
  <si>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</si>
  <si>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</si>
  <si>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</si>
  <si>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Pub Year = 2021
Method = Prioritization</t>
  </si>
  <si>
    <t>Software-artifact Infrastructure Repository (SIR), GTSP</t>
  </si>
  <si>
    <t>Domain = Java / C / LISP CLI-based applications
#Test Cases = 400-2700
LOC = 1000-8000</t>
  </si>
  <si>
    <t>Basic-block coverage, Code changes (add/modify/delete), Relevance score, Confinedness score, Execution cost, Regression version pairs, Failure labels (pass/fail vectors), Prioritization permutations, Kendall-tau/Hansie distance metrics, Tie-handling and rank-based voting heuristics</t>
  </si>
  <si>
    <t>APFD, APFDc, EPS , ECC,  EPLω, Kendall-τ and Hansie distances for consensus quality</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</si>
  <si>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</si>
  <si>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</si>
  <si>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</si>
  <si>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</si>
  <si>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Pub Year = 2024
Method = Minimization</t>
  </si>
  <si>
    <t>Search-based, Quantum, Minimization</t>
  </si>
  <si>
    <t>PaintControl, GSDTSR, IOF/ROL</t>
  </si>
  <si>
    <t>#Test Cases= 89–1663
Domain = Robotics / CI pipelines
LOC= non specificato</t>
  </si>
  <si>
    <t xml:space="preserve"> Execution time, failure rate</t>
  </si>
  <si>
    <t>FV, exTime, Embedding time, significance tests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</si>
  <si>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</si>
  <si>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</si>
  <si>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</si>
  <si>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</si>
  <si>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Pub Year = 2023
Method = None (Survey)</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</si>
  <si>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</si>
  <si>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</si>
  <si>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</si>
  <si>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</si>
  <si>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Pub Year = 2024
Method = Prioritization</t>
  </si>
  <si>
    <t>Siemens suite</t>
  </si>
  <si>
    <t>LOC: 3.7k–18k
#Test cases: 1052–5542
Dominio = Benchmark C programs</t>
  </si>
  <si>
    <t>string similarity, test input diversity, clustering output</t>
  </si>
  <si>
    <t>APFD, execution time, first-fault position, p-value</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</si>
  <si>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</si>
  <si>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</si>
  <si>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</si>
  <si>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</si>
  <si>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Pub Year: 2022
Method= Prioritization</t>
  </si>
  <si>
    <t>Greedy algorithms</t>
  </si>
  <si>
    <t>simulato</t>
  </si>
  <si>
    <t>Domain = synthetic test–requirement matrices
#Test Cases: da 50 a 100,000
LOC:  Non applicabile (no codice reale)</t>
  </si>
  <si>
    <t xml:space="preserve">Test–Requirement traceability matrix, </t>
  </si>
  <si>
    <t>Test cases needed to cover all requirements, execution time per algorithm (in seconds), % of requirements covered, Comparison against GA, ACO, PSO</t>
  </si>
  <si>
    <t>0.5
(Gli autori dichiarano che i codici sono disponibili su richiesta, ma non sono pubblicamente accessibili)</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</si>
  <si>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</si>
  <si>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</si>
  <si>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</si>
  <si>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</si>
  <si>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Pub Year: 2021
Method: Prioritization</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</si>
  <si>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</si>
  <si>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</si>
  <si>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</si>
  <si>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</si>
  <si>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</si>
  <si>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</si>
  <si>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</si>
  <si>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</si>
  <si>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Pub Year: 2024
Method: Prioritization</t>
  </si>
  <si>
    <t xml:space="preserve">addressbook, claroline, dimeshift, pagekit, phoenix, ppma,  juice_shop , mattermost, moodle </t>
  </si>
  <si>
    <t>Domain = Web Applications (UI-based)
#Test Cases = 27–314
LOC = N/A (non riportato)</t>
  </si>
  <si>
    <t>Segment-based DOM analysis, segment coverage, object coverage, object-type coverage , sibling object coverage, dynamically extracted XPath, URL and object type</t>
  </si>
  <si>
    <t>APFD, APFDc, MTFD, NAPFD, FDR</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</si>
  <si>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</si>
  <si>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</si>
  <si>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</si>
  <si>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</si>
  <si>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Search-based, Cost-aware</t>
  </si>
  <si>
    <t>SUT usati:
flex
grep
gzip
sed
space</t>
  </si>
  <si>
    <t>Domain = Command-line C Utilities (SIR Benchmark)
#Test Cases = 316–1,004
LOC = 5.7K–13.6K</t>
  </si>
  <si>
    <t>Fault detection history, execution time, test similarity (Levenshtein distance), cost-aware prioritization, mutation faults, test ID mapping, fault severity level</t>
  </si>
  <si>
    <t xml:space="preserve">APFD, APFDc (cost-aware), MTD, RE, FEM, FSE,  </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</si>
  <si>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</si>
  <si>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</si>
  <si>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</si>
  <si>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</si>
  <si>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Pub Year = 2019
Method = Prioritization</t>
  </si>
  <si>
    <t>OMTBS, CRS, TAS</t>
  </si>
  <si>
    <t>Test: 8–12
LOC: n.d.
Dominio: sistemi informativi simulati</t>
  </si>
  <si>
    <t>test similarity</t>
  </si>
  <si>
    <t>APFD, execution time</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</si>
  <si>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</si>
  <si>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</si>
  <si>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</si>
  <si>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</si>
  <si>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Tetris, Ant, Jasmine, GCT, Zen, Freemind, Empi, Redraw</t>
  </si>
  <si>
    <t>LOC: ~variabile
#Test: 100+
Dominio = OSS + educational</t>
  </si>
  <si>
    <t xml:space="preserve"> coverage (stmt, branch), FEP, fault history</t>
  </si>
  <si>
    <t>APFD, fault detection rate</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</si>
  <si>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</si>
  <si>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</si>
  <si>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</si>
  <si>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</si>
  <si>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Pub Year = 2022
Method = Prioritization, Minimization</t>
  </si>
  <si>
    <t>ATM, LMS, CMS</t>
  </si>
  <si>
    <t>LOC: n.d.
#Test = 21–35
Dominio = Sistemi informativi simulati</t>
  </si>
  <si>
    <t>coverage, diversity, redundancy, cost</t>
  </si>
  <si>
    <t>APFD, test set reduction, execution cost, diversity</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</si>
  <si>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</si>
  <si>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</si>
  <si>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</si>
  <si>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</si>
  <si>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Pub Year: 2022
Method: Prioritization</t>
  </si>
  <si>
    <t>Smart Irrigation System</t>
  </si>
  <si>
    <t>Domain = Cyber-Physical System / IoT
#Test Cases = 20
LOC = 500+</t>
  </si>
  <si>
    <t>Requirement priority, Test execution time, Dynamic re-ranking feedback</t>
  </si>
  <si>
    <t>APFD, AET</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</si>
  <si>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</si>
  <si>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</si>
  <si>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</si>
  <si>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</si>
  <si>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Pub Year: 2023
Method: Prioritization</t>
  </si>
  <si>
    <t>commons-math, commons-lang, commons-io, commons-codec, joda-time, mockito</t>
  </si>
  <si>
    <t>Domain = Open-source Java libraries
#Test Cases: tra 300 e 10,000+
LOC: tra 10,000 e 150,000</t>
  </si>
  <si>
    <t>Cost-Aware APFDc, nDCG, F1-score, Execution cost, Training time / Inference time</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</si>
  <si>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</si>
  <si>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</si>
  <si>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</si>
  <si>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</si>
  <si>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Human-based, Distribution-based</t>
  </si>
  <si>
    <t>Time, Math, Lang, Mockito, Closure</t>
  </si>
  <si>
    <t>Domain = Java Open-Source Libraries / Applications
#Test Cases = 400–2000
LOC = n/d</t>
  </si>
  <si>
    <t>Test method name, TF-IDF vectorization, code coverage information, execution time, flaky test detection, cosine similarity,</t>
  </si>
  <si>
    <t xml:space="preserve">APFD,  APFDc,  Effectiveness on flaky tests, Execution time </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</si>
  <si>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</si>
  <si>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</si>
  <si>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</si>
  <si>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</si>
  <si>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 xml:space="preserve">FreeMind , jEdit </t>
  </si>
  <si>
    <t>Domain = Java Desktop Applications
#Test Cases = 1,600 (FreeMind), 3,000 (jEdit)
LOC = 35K (FreeMind), 55K (jEdit)</t>
  </si>
  <si>
    <t>Call graph information, statement coverage, execution time, fault detection history, test case dissimilarity</t>
  </si>
  <si>
    <t>APFD, APFDc. Mean Fault Detection Time. F1-score (per cluster quality). Pareto dominance comparisons. Wilcoxon signed-rank test</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</si>
  <si>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</si>
  <si>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</si>
  <si>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</si>
  <si>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</si>
  <si>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Software embedded automotive reale (fornito da azienda partner)</t>
  </si>
  <si>
    <t>Domain = Embedded Automotive Systems
#Test Cases = 1,178
LOC = n/d</t>
  </si>
  <si>
    <t>Test execution time, faultsAPFD-S</t>
  </si>
  <si>
    <t>Time to Risk Detection, Number of High-severity Faults Detected Early, Execution time of prioritization method</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</si>
  <si>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</si>
  <si>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</si>
  <si>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</si>
  <si>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</si>
  <si>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Segnato come PS ma é una SLR</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</si>
  <si>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</si>
  <si>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</si>
  <si>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</si>
  <si>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Pub Year = 2023
Method = Prioritization</t>
  </si>
  <si>
    <t>ATM, Banking, Reservation</t>
  </si>
  <si>
    <t>Test: 8–10
LOC: n.d.
Dominio: Simulated transaction systems</t>
  </si>
  <si>
    <t>input similarity, input size, diversity heuristics</t>
  </si>
  <si>
    <t>execution time, redundancy rate</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</si>
  <si>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</si>
  <si>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</si>
  <si>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</si>
  <si>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</si>
  <si>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Banking, ATM</t>
  </si>
  <si>
    <t>#Test: 30–40
Dominio = simulato (IS)</t>
  </si>
  <si>
    <t>requirement similarity, requirement–test mapping, functional coverage</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</si>
  <si>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</si>
  <si>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</si>
  <si>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</si>
  <si>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</si>
  <si>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Three-objective</t>
  </si>
  <si>
    <t>dataset sintetici</t>
  </si>
  <si>
    <t>Domain = Synthetic
#Test Cases: da 10 a 100
LOC: n/d</t>
  </si>
  <si>
    <t>Test–requirement coverage matrix, Requirement weights, Test redundancy levels, Execution cost of test cases, Similarity between test cases, Fitness score of test case ordering</t>
  </si>
  <si>
    <t>APFD, execution time, redundancy metrics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</si>
  <si>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</si>
  <si>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</si>
  <si>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</si>
  <si>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</si>
  <si>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Pub Year: 2024
Method: Selection</t>
  </si>
  <si>
    <t>Banking Management System, Library Management System, Online Voting System</t>
  </si>
  <si>
    <t>Domain = Business / Web Applications
#Test Cases: 25-30
LOC: 1200-1500</t>
  </si>
  <si>
    <t>Faults, execution time</t>
  </si>
  <si>
    <t>F-measure, Time saving percentage, Detection effectiveness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</si>
  <si>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</si>
  <si>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</si>
  <si>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</si>
  <si>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Commons-math, Commons-io, Apache Avro, H2, etc</t>
  </si>
  <si>
    <t>Domain = Java Microbenchmark Suites (JMH-based)
#Test Cases = 267</t>
  </si>
  <si>
    <t>Execution time, regression sensitivity,historical performance data, benchmark metadata, diversity metrics, cost models</t>
  </si>
  <si>
    <t>Performance Degradation Detection Rate, Execution Cost, Utility Score, Pareto Front, Wilcoxon signed-rank test</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</si>
  <si>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</si>
  <si>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</si>
  <si>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</si>
  <si>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Pub Year: 2015
Method: Prioritization</t>
  </si>
  <si>
    <t>JTopas, XML-Security, Ant, JMeter, JParsec, JFreeChart</t>
  </si>
  <si>
    <t>Domain = Java Open-Source Libraries / Tools
#Test Cases = 372–2,100
LOC = 7K–96K</t>
  </si>
  <si>
    <t>Code coverage, mutation faults, test execution time, fault detection history, test diversity, APFD score, test length</t>
  </si>
  <si>
    <t>APFD, Mutation Score, Test Suite Size, Execution Time, Wilcoxon signed-rank test, Effect size analysis</t>
  </si>
  <si>
    <t> </t>
  </si>
  <si>
    <t>Shi, Tingting and Xiao, Lei and Wu, Keshou</t>
  </si>
  <si>
    <t>2020 IEEE 7th International Conference on Data Science and Advanced Analytics (DSAA)</t>
  </si>
  <si>
    <t>Reinforcement Learning Based Test Case Prioritization for Enhancing the Security of Software</t>
  </si>
  <si>
    <t>663-672</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</si>
  <si>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</si>
  <si>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Testing;Reinforcement learning;Sorting;Software;History;Erbium;Security;continuous integration;reinforcement learning;fault detection rate;reward function;historical execution information;multi-objective sorting</t>
  </si>
  <si>
    <t>10.1109/DSAA49011.2020.00076</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</si>
  <si>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</si>
  <si>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1. 2020; 2. Prioritization</t>
  </si>
  <si>
    <t>ABB Robotics Norway2, Google Open Source Data Set</t>
  </si>
  <si>
    <t>Industrial datasets. The datasets have 114, 2086, and 5555 test cases, respectively.</t>
  </si>
  <si>
    <t>Previous failure history</t>
  </si>
  <si>
    <t>Normalized APFD</t>
  </si>
  <si>
    <t>Silva, Dennis Sávio and Rabelo, Ricardo and Neto, Pedro Santos and Britto, Ricardo and Oliveira, Pedro Almir</t>
  </si>
  <si>
    <t>2019 IEEE International Conference on Systems, Man and Cybernetics (SMC)</t>
  </si>
  <si>
    <t>A Test Case Prioritization Approach Based on Software Component Metrics</t>
  </si>
  <si>
    <t>2939-2945</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</si>
  <si>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</si>
  <si>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Fault detection;Testing;Software;Fuzzy logic;Measurement;History;Fuzzy sets</t>
  </si>
  <si>
    <t>10.1109/SMC.2019.8914670</t>
  </si>
  <si>
    <t>2577-1655</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</si>
  <si>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</si>
  <si>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1. 2019; 2. Prioritization</t>
  </si>
  <si>
    <t>Single</t>
  </si>
  <si>
    <t>C program, 35k test cases, 8k LOC</t>
  </si>
  <si>
    <t>Software component metrics, coverage, fault detection history, execution time of the test cases</t>
  </si>
  <si>
    <t>Kwon, Jung-Hyun and Ko, In-Young</t>
  </si>
  <si>
    <t>Cost-Effective Regression Testing Using Bloom Filters in Continuous Integration Development Environments</t>
  </si>
  <si>
    <t>160-168</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</si>
  <si>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</si>
  <si>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Testing;Microsoft Windows;Google;Instruments;History;Fault detection</t>
  </si>
  <si>
    <t>10.1109/APSEC.2017.22</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</si>
  <si>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</si>
  <si>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1. 2017; 2. Selection and Prioritization</t>
  </si>
  <si>
    <t>Google Open Source Data Set</t>
  </si>
  <si>
    <t>https://code.google.
com/p/google-shared-dataset-of-test-suite-results</t>
  </si>
  <si>
    <t>Failure-detection efficiency</t>
  </si>
  <si>
    <t>Kwon, Jung-Hyun and Ko, In-Young and Rothermel, Gregg</t>
  </si>
  <si>
    <t>2018 IEEE/ACM 40th International Conference on Software Engineering (ICSE)</t>
  </si>
  <si>
    <t>Prioritizing Browser Environments for Web Application Test Execution</t>
  </si>
  <si>
    <t>468-479</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</si>
  <si>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</si>
  <si>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Browsers;Testing;History;Schedules;Optimal scheduling;Operating systems;Production;Web application testing;Regression testing;Browser environments</t>
  </si>
  <si>
    <t>10.1145/3180155.3180244</t>
  </si>
  <si>
    <t>1558-1225</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</si>
  <si>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</si>
  <si>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We should have skipped this paper in the quality appraisal phase, as it is not related.</t>
  </si>
  <si>
    <t>Torres, Wesley N. M. and Alves, Everton L. G. and Machado, Patrícia D. L.</t>
  </si>
  <si>
    <t>2019 IEEE 43rd Annual Computer Software and Applications Conference (COMPSAC)</t>
  </si>
  <si>
    <t>An Empirical Study on the Spreading of Fault Revealing Test Cases in Prioritized Suites</t>
  </si>
  <si>
    <t>129-138</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</si>
  <si>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</si>
  <si>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Measurement;Fault detection;Software;Testing;Mathematical model;Guidelines;Conferences;prioritization;test case;metric;evaluation</t>
  </si>
  <si>
    <t>10.1109/COMPSAC.2019.00027</t>
  </si>
  <si>
    <t>Jul</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</si>
  <si>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</si>
  <si>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https://dl.acm.org/doi/abs/10.1145/2884781.2884874</t>
  </si>
  <si>
    <t>8 opensource java projects ranging between 1k and 67k tests and 7 and 5k tests</t>
  </si>
  <si>
    <t>Statement coverage, method coverage, branch coverage</t>
  </si>
  <si>
    <t>APFD and M-Spreading</t>
  </si>
  <si>
    <t>Guo, Shengjian and Kusano, Markus and Wang, Chao</t>
  </si>
  <si>
    <t>2016 31st IEEE/ACM International Conference on Automated Software Engineering (ASE)</t>
  </si>
  <si>
    <t>Conc-iSE: Incremental symbolic execution of concurrent software</t>
  </si>
  <si>
    <t>531-542</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</si>
  <si>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</si>
  <si>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Software;Testing;Concurrent computing;Algorithm design and analysis;Software algorithms;Computer bugs;Programming;Symbolic execution;Concurrency;Partial order reduction;Weakest precondition</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</si>
  <si>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</si>
  <si>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10.1145/3019612.3019831</t>
  </si>
  <si>
    <t>inproceedings</t>
  </si>
  <si>
    <t>Kim, Jeongho and Jeong, Hohyeon and Lee, Eunseok</t>
  </si>
  <si>
    <t>Proceedings of the Symposium on Applied Computing</t>
  </si>
  <si>
    <t>Failure history data-based test case prioritization for effective regression test</t>
  </si>
  <si>
    <t>1409–1415</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</si>
  <si>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</si>
  <si>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 case prioritization, regression test, flipped result of test case data, failure history data, failed test case history data, correlation data, continuous integration environments</t>
  </si>
  <si>
    <t>Association for Computing Machinery</t>
  </si>
  <si>
    <t>New York, NY, USA</t>
  </si>
  <si>
    <t>https://doi.org/10.1145/3019612.3019831</t>
  </si>
  <si>
    <t>Marrakech, Morocco</t>
  </si>
  <si>
    <t>SAC '17</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</si>
  <si>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</si>
  <si>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1. 2017; 2. Prioritization</t>
  </si>
  <si>
    <t>Greedy algorithm</t>
  </si>
  <si>
    <t>Two Apache projects: Tomcat and Camel</t>
  </si>
  <si>
    <t>205k and 562k LOC, 624 and 3970 test cases</t>
  </si>
  <si>
    <t>MUKHERJEE20211041</t>
  </si>
  <si>
    <t>article</t>
  </si>
  <si>
    <t>Rajendrani Mukherjee and K. Sridhar Patnaik</t>
  </si>
  <si>
    <t>A survey on different approaches for software test case prioritization</t>
  </si>
  <si>
    <t>1041-1054</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</si>
  <si>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</si>
  <si>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Prioritization, Techniques, Program, Fault, Coverage</t>
  </si>
  <si>
    <t>https://doi.org/10.1016/j.jksuci.2018.09.005</t>
  </si>
  <si>
    <t>1319-1578</t>
  </si>
  <si>
    <t>Journal of King Saud University - Computer and Information Sciences</t>
  </si>
  <si>
    <t>https://www.sciencedirect.com/science/article/pii/S1319157818303616</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</si>
  <si>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</si>
  <si>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1. 2021; 2. Prioritization</t>
  </si>
  <si>
    <t>PRADHAN201986</t>
  </si>
  <si>
    <t>Dipesh Pradhan and Shuai Wang and Shaukat Ali and Tao Yue and Marius Liaaen</t>
  </si>
  <si>
    <t>Employing rule mining and multi-objective search for dynamic test case prioritization</t>
  </si>
  <si>
    <t>86-104</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</si>
  <si>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</si>
  <si>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Multi-objective optimization, Rule mining, Dynamic test case prioritization, Search, Black-box regression testing</t>
  </si>
  <si>
    <t>https://doi.org/10.1016/j.jss.2019.03.064</t>
  </si>
  <si>
    <t>0164-1212</t>
  </si>
  <si>
    <t>https://www.sciencedirect.com/science/article/pii/S016412121930072X</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</si>
  <si>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</si>
  <si>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t>
  </si>
  <si>
    <t>Cisco datasets related to VCS products, ABB Robotics Norway2, Google Open Source Data Set</t>
  </si>
  <si>
    <t>Industrial dataset. The datasets span from 60 to 5555 test cases, respectively.</t>
  </si>
  <si>
    <t>Fault detection capability and test reliance score, estimated execution time</t>
  </si>
  <si>
    <t>Average Percentage of Fault Detected per Cost</t>
  </si>
  <si>
    <t>CHEN2018107</t>
  </si>
  <si>
    <t>Jinfu Chen and Lili Zhu and Tsong Yueh Chen and Dave Towey and Fei-Ching Kuo and Rubing Huang and Yuchi Guo</t>
  </si>
  <si>
    <t>Test case prioritization for object-oriented software: An adaptive random sequence approach based on clustering</t>
  </si>
  <si>
    <t>107-125</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</si>
  <si>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</si>
  <si>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Object-oriented software, Adaptive random sequence, Test cases prioritization, Cluster analysis, Test cases selection</t>
  </si>
  <si>
    <t>https://doi.org/10.1016/j.jss.2017.09.031</t>
  </si>
  <si>
    <t>https://www.sciencedirect.com/science/article/pii/S0164121217302170</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</si>
  <si>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</si>
  <si>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Open source dataset</t>
  </si>
  <si>
    <t xml:space="preserve">120 to 406k lines of code. </t>
  </si>
  <si>
    <t>Objects and methods</t>
  </si>
  <si>
    <t>Number of the test cases executed before finding the first fault; number of distinct faults detected by a specific number of test cases; APFD</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</si>
  <si>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</si>
  <si>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</si>
  <si>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</si>
  <si>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</si>
  <si>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</si>
  <si>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</si>
  <si>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</si>
  <si>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</si>
  <si>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</si>
  <si>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</si>
  <si>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BibTeX2DocBook, UML2ER, CPL2SPL, Ecore2Maude</t>
  </si>
  <si>
    <t>53 to 1k LOC, 100 test input models</t>
  </si>
  <si>
    <t>Rule coverage</t>
  </si>
  <si>
    <t>CHI2020110539</t>
  </si>
  <si>
    <t>Jianlei Chi and Yu Qu and Qinghua Zheng and Zijiang Yang and Wuxia Jin and Di Cui and Ting Liu</t>
  </si>
  <si>
    <t>Relation-based test case prioritization for regression testing</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</si>
  <si>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</si>
  <si>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</si>
  <si>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</si>
  <si>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</si>
  <si>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</si>
  <si>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</si>
  <si>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1.2020; 2. Prioritization</t>
  </si>
  <si>
    <t>26k to 140k LOC, 137 to 510 test cases</t>
  </si>
  <si>
    <t>Functions coverage, method call sequence, statement coverage, branch coverage</t>
  </si>
  <si>
    <t>ALREFAI2025103343</t>
  </si>
  <si>
    <t>Mohammed Al-Refai and Mahmoud M. Hammad</t>
  </si>
  <si>
    <t>Component-based architectural regression test selection for modularized software systems</t>
  </si>
  <si>
    <t>103343</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</si>
  <si>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</si>
  <si>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selection, Static analysis, Component-based architecture, Java platform module system, Software architecture</t>
  </si>
  <si>
    <t>https://doi.org/10.1016/j.sysarc.2025.103343</t>
  </si>
  <si>
    <t>1383-7621</t>
  </si>
  <si>
    <t>Journal of Systems Architecture</t>
  </si>
  <si>
    <t>https://www.sciencedirect.com/science/article/pii/S1383762125000153</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</si>
  <si>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</si>
  <si>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1. 2025; 2. Selection</t>
  </si>
  <si>
    <t>Graph-walk</t>
  </si>
  <si>
    <t>48 to 1099 classes, 26 to 485 test cases</t>
  </si>
  <si>
    <t>-</t>
  </si>
  <si>
    <t>Number of detected safety violations, precision of the detected safety violations, test suite reduction</t>
  </si>
  <si>
    <t>HUANG2020110712</t>
  </si>
  <si>
    <t>Rubing Huang and Quanjun Zhang and Dave Towey and Weifeng Sun and Jinfu Chen</t>
  </si>
  <si>
    <t>Regression test case prioritization by code combinations coverage</t>
  </si>
  <si>
    <t>110712</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</si>
  <si>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</si>
  <si>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Software testing, Regression testing, Test case prioritization, Code combinations coverage</t>
  </si>
  <si>
    <t>https://doi.org/10.1016/j.jss.2020.110712</t>
  </si>
  <si>
    <t>https://www.sciencedirect.com/science/article/pii/S0164121220301540</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</si>
  <si>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</si>
  <si>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14 versions of four Java programs downloaded from the Software-artifact Infrastructure Repository</t>
  </si>
  <si>
    <t>1.89 to 58.34 KLOC, 78 to 500 test cases</t>
  </si>
  <si>
    <t>APFD, Average Percentage of Fault Detected per Cost</t>
  </si>
  <si>
    <t>ZHANG2022183</t>
  </si>
  <si>
    <t>Hanxiao Zhang and Yan-Fu Li</t>
  </si>
  <si>
    <t>Integrated optimization of test case selection and sequencing for reliability testing of the mainboard of Internet backbone routers</t>
  </si>
  <si>
    <t>183-194</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</si>
  <si>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</si>
  <si>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Reliability, Reliability testing plan, Test case selection, Test case sequencing, Branch-and-price</t>
  </si>
  <si>
    <t>https://doi.org/10.1016/j.ejor.2021.06.028</t>
  </si>
  <si>
    <t>0377-2217</t>
  </si>
  <si>
    <t>European Journal of Operational Research</t>
  </si>
  <si>
    <t>https://www.sciencedirect.com/science/article/pii/S0377221721005440</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</si>
  <si>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</si>
  <si>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DOBSLAW2023111802</t>
  </si>
  <si>
    <t>Felix Dobslaw and Ruiyuan Wan and Yuechan Hao</t>
  </si>
  <si>
    <t>Generic and industrial scale many-criteria regression test selection</t>
  </si>
  <si>
    <t>111802</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</si>
  <si>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</si>
  <si>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Software testing, Regression testing, Test case selection, Industrial-scale optimization</t>
  </si>
  <si>
    <t>https://doi.org/10.1016/j.jss.2023.111802</t>
  </si>
  <si>
    <t>https://www.sciencedirect.com/science/article/pii/S0164121223001978</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</si>
  <si>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</si>
  <si>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1. 2023; 2. Selection</t>
  </si>
  <si>
    <t>Two proprietary systems</t>
  </si>
  <si>
    <t>3k to 11k test cases</t>
  </si>
  <si>
    <t>Function coverage, test size, failure rate, several additonal coverages</t>
  </si>
  <si>
    <t>Hypervolume indicator</t>
  </si>
  <si>
    <t>ZHANG2022111419</t>
  </si>
  <si>
    <t>Quanjun Zhang and Chunrong Fang and Weisong Sun and Shengcheng Yu and Yutao Xu and Yulei Liu</t>
  </si>
  <si>
    <t>Test case prioritization using partial attention</t>
  </si>
  <si>
    <t>111419</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</si>
  <si>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</si>
  <si>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 testing, Regression testing, Test case prioritization, Greedy algorithm</t>
  </si>
  <si>
    <t>https://doi.org/10.1016/j.jss.2022.111419</t>
  </si>
  <si>
    <t>https://www.sciencedirect.com/science/article/pii/S0164121222001285</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</si>
  <si>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</si>
  <si>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1.2022; 2. Prioritization</t>
  </si>
  <si>
    <t>19 versions of four Java programs downloaded from the Software-artifact Infrastructure Repository</t>
  </si>
  <si>
    <t>1.89 to 80.40 KLOC, 78 to 500 test cases</t>
  </si>
  <si>
    <t>Statement, branch, and method coverage</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</si>
  <si>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</si>
  <si>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</si>
  <si>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</si>
  <si>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</si>
  <si>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1. 2018; 2. Prioritization</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</si>
  <si>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</si>
  <si>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</si>
  <si>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</si>
  <si>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</si>
  <si>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33 versions of seven open source Java projects</t>
  </si>
  <si>
    <t>24 to 2,516 test cases</t>
  </si>
  <si>
    <t>Static and dynamic stetement and  method coverage</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</si>
  <si>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</si>
  <si>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</si>
  <si>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</si>
  <si>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</si>
  <si>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1.2018; 2. Prioritization</t>
  </si>
  <si>
    <t>7 systems from Defects4J</t>
  </si>
  <si>
    <t>5k to 553k test cases</t>
  </si>
  <si>
    <t>Average percentage of mutants killed, average percentage of mutation distinguished</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</si>
  <si>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</si>
  <si>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</si>
  <si>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</si>
  <si>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</si>
  <si>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Two</t>
  </si>
  <si>
    <t>5 faults of each of the 7 systems from Defects4J</t>
  </si>
  <si>
    <t>Statement coverage</t>
  </si>
  <si>
    <t>The greedy algorithm is used as a secondary objective together with defect proneness</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</si>
  <si>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</si>
  <si>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</si>
  <si>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</si>
  <si>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</si>
  <si>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1. 2016; 2. Prioritization</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</si>
  <si>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</si>
  <si>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</si>
  <si>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</si>
  <si>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</si>
  <si>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</si>
  <si>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</si>
  <si>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</si>
  <si>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</si>
  <si>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</si>
  <si>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</si>
  <si>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</si>
  <si>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Others</t>
  </si>
  <si>
    <t>An industrial case study</t>
  </si>
  <si>
    <t>9 to 54 test cases</t>
  </si>
  <si>
    <t>Location information</t>
  </si>
  <si>
    <t>APFD and APFDc</t>
  </si>
  <si>
    <t>It could be out of scope</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</si>
  <si>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</si>
  <si>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</si>
  <si>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</si>
  <si>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</si>
  <si>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1. 2019; 2. Selection and Prioritization</t>
  </si>
  <si>
    <t>Dynamic programming</t>
  </si>
  <si>
    <t>A manually developed case study</t>
  </si>
  <si>
    <t>1,000 scenarios</t>
  </si>
  <si>
    <t>memory consumption</t>
  </si>
  <si>
    <t>MJ Arafeen, H Do</t>
  </si>
  <si>
    <t>Test case prioritization using requirements-based clustering</t>
  </si>
  <si>
    <t>1. 2013; 2. Prioritization</t>
  </si>
  <si>
    <t>Two systems</t>
  </si>
  <si>
    <t>6.82 to 30.30 KLOC, 42 to 142 test cases</t>
  </si>
  <si>
    <t>Requirement-test case traceability matrix</t>
  </si>
  <si>
    <t>Christopher Henard, Mike Papadakis, Mark Harman, Yue Jia, Yves Le Traon</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</si>
  <si>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</si>
  <si>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</si>
  <si>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5 programs from the SIR repository - each with 5 versions</t>
  </si>
  <si>
    <t>4k to 58k test cases</t>
  </si>
  <si>
    <t>statement, branch, method coverages, spanning statements and branches, branch diversity, t-wise, input model diversity, input model mutation, output diversity, …</t>
  </si>
  <si>
    <t>APFD and Jaccard coefficient</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</si>
  <si>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</si>
  <si>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</si>
  <si>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</si>
  <si>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</si>
  <si>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1. 2012; 2. Prioritization</t>
  </si>
  <si>
    <t>SMS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</si>
  <si>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</si>
  <si>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</si>
  <si>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</si>
  <si>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</si>
  <si>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1. 2015; 2. Selection</t>
  </si>
  <si>
    <t>5 programs from the SIR repository</t>
  </si>
  <si>
    <t>374 to 122K LOC; 215 to 13,583 test cases</t>
  </si>
  <si>
    <t>Statement coverage, execution cost, past faults</t>
  </si>
  <si>
    <t>Size of Pareto frontier, number of non-dominated solutions, hypervolume</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</si>
  <si>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</si>
  <si>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</si>
  <si>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</si>
  <si>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</si>
  <si>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1. 2017; 2. Selection</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</si>
  <si>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</si>
  <si>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</si>
  <si>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</si>
  <si>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</si>
  <si>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Selection</t>
  </si>
  <si>
    <t>Two-objectives (?) Not clear</t>
  </si>
  <si>
    <t>SIR (subset with 12 versions of 5 projects)</t>
  </si>
  <si>
    <t>Different domains; between 600 and 15 test cases; LOC not provided;</t>
  </si>
  <si>
    <t>Apparently none. They seed faults, and only seem to use fault coverage and execution time as objectives (!)</t>
  </si>
  <si>
    <t>Number of faults detected and execution time</t>
  </si>
  <si>
    <t>This is a low-quality work. Might have slipped through the QA</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</si>
  <si>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</si>
  <si>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</si>
  <si>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</si>
  <si>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</si>
  <si>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Selection and Prioritization</t>
  </si>
  <si>
    <t>Two-objectives</t>
  </si>
  <si>
    <t>Custom (five programs)</t>
  </si>
  <si>
    <t>Different domains; Between 50 and 10 test cases per project; LOC not provided (OO metrics such as num of classes provided)</t>
  </si>
  <si>
    <t>Code changes</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</si>
  <si>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</si>
  <si>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</si>
  <si>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</si>
  <si>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</si>
  <si>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Prioritization and Selection</t>
  </si>
  <si>
    <t>Not applicable for SLR?</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</si>
  <si>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</si>
  <si>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</si>
  <si>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</si>
  <si>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</si>
  <si>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Prioritization, Selection, Minimization</t>
  </si>
  <si>
    <t>Custom (7 event driven systems, 4 gui and 3 web apps)</t>
  </si>
  <si>
    <t>7 event driven systems, 4 gui and 3 web apps, LOC ranging from 1000 to 20k; tests ranging from  125 to 890 per app</t>
  </si>
  <si>
    <t>Seeded faults, number of faults discovered by tests</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</si>
  <si>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</si>
  <si>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</si>
  <si>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</si>
  <si>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</si>
  <si>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Prioritization</t>
  </si>
  <si>
    <t>Custom</t>
  </si>
  <si>
    <t>Not clear</t>
  </si>
  <si>
    <t>Coverage</t>
  </si>
  <si>
    <t>Code coverage, time (no faults it seems)</t>
  </si>
  <si>
    <t>Low quality work, not entirely clear</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</si>
  <si>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</si>
  <si>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</si>
  <si>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</si>
  <si>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</si>
  <si>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History-based, Requirements-based; Others</t>
  </si>
  <si>
    <t>3 subject systems from Automotive domain; no LOC; test cases from 1700 to 10k</t>
  </si>
  <si>
    <t>Failure history, linked requirements; test case age; description in natural language of the test, test case execution time</t>
  </si>
  <si>
    <t>Mojtaba Bagherzadeh; Nafiseh Kahani; Lionel Briand</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</si>
  <si>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</si>
  <si>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</si>
  <si>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History-based, Others</t>
  </si>
  <si>
    <t>ML-based (Reinforcement Learning)</t>
  </si>
  <si>
    <t>Two dataset (one from previous work with two projects) one enriched consisting of six projects from the Apache Commons project</t>
  </si>
  <si>
    <t>9 projects total; CI execution traces</t>
  </si>
  <si>
    <t>History</t>
  </si>
  <si>
    <t>NRPA, APFD</t>
  </si>
  <si>
    <t>Github repo, no proper archival https://github.com/moji1/tp_rl</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</si>
  <si>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</si>
  <si>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</si>
  <si>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</si>
  <si>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</si>
  <si>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Coverage-based, Other: Fault-proneness estimation</t>
  </si>
  <si>
    <t>Defects4J</t>
  </si>
  <si>
    <t>5 Java projects from different domains; Test classes ranging from 112 to 384 per project</t>
  </si>
  <si>
    <t>Defect, bug history</t>
  </si>
  <si>
    <t>data and code available in two separate github repos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</si>
  <si>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</si>
  <si>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</si>
  <si>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</si>
  <si>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</si>
  <si>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Coverage-based, History-based; Diversity-based;</t>
  </si>
  <si>
    <t>5 projects, different domains, java</t>
  </si>
  <si>
    <t>Coverage, history</t>
  </si>
  <si>
    <t>First-failing metric</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</si>
  <si>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</si>
  <si>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</si>
  <si>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</si>
  <si>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</si>
  <si>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Single-</t>
  </si>
  <si>
    <t>APFD; APBC; APFC</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</si>
  <si>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</si>
  <si>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</si>
  <si>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</si>
  <si>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</si>
  <si>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Two apps, used in their prior work. Three versions per app; 400-500 tests per version</t>
  </si>
  <si>
    <t>changed requirements, method size and complexity</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</si>
  <si>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</si>
  <si>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</si>
  <si>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</si>
  <si>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Heuristic-based (greedy)</t>
  </si>
  <si>
    <t>8 projects used in prior studies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</si>
  <si>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</si>
  <si>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</si>
  <si>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</si>
  <si>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</si>
  <si>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Three-objectives</t>
  </si>
  <si>
    <t>Industrial (proprietary)</t>
  </si>
  <si>
    <t>Defense industry?</t>
  </si>
  <si>
    <t>Fault detection ability, number of detected faults</t>
  </si>
  <si>
    <t>only code available on zenodo (no data)</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</si>
  <si>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</si>
  <si>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</si>
  <si>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</si>
  <si>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</si>
  <si>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SIR (subset with 4 projects)</t>
  </si>
  <si>
    <t>4 projects GNU LINUX utilities; 360 to 1000 tests</t>
  </si>
  <si>
    <t>Multiple versions, seeded faults</t>
  </si>
  <si>
    <t>Fault-detection capability</t>
  </si>
  <si>
    <t>available on zenodo</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</si>
  <si>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</si>
  <si>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</si>
  <si>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</si>
  <si>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</si>
  <si>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Custom (two apps)</t>
  </si>
  <si>
    <t>Two apps, different domains, airline reservation and xml parser, 700 to 6000 loc, 61 to 91 tests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</si>
  <si>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</si>
  <si>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</si>
  <si>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</si>
  <si>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</si>
  <si>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Custom (single app)</t>
  </si>
  <si>
    <t>Single app, airline reservation</t>
  </si>
  <si>
    <t>Models</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</si>
  <si>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</si>
  <si>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</si>
  <si>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</si>
  <si>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</si>
  <si>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Up to three</t>
  </si>
  <si>
    <t>SIR (5 GNU utils)</t>
  </si>
  <si>
    <t>Five gnu utils; LOCS from 6k to 60k, tests from 200 to 1000, implemented using C</t>
  </si>
  <si>
    <t>Seeded faults</t>
  </si>
  <si>
    <t>APFD corrected; running time</t>
  </si>
  <si>
    <t>available on figshare</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</si>
  <si>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</si>
  <si>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</si>
  <si>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</si>
  <si>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</si>
  <si>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xml:space="preserve">History-based; Cost-aware; </t>
  </si>
  <si>
    <t>Three projects (open source, industry), GSDTSR</t>
  </si>
  <si>
    <t>each project contains historic information on data executin in ci-like envs for about 300 cycles</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</si>
  <si>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</si>
  <si>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</si>
  <si>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</si>
  <si>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</si>
  <si>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Custom (9 programs)</t>
  </si>
  <si>
    <t>very simple programs, 19 to 300 loc with assertions within</t>
  </si>
  <si>
    <t>assertions in code?</t>
  </si>
  <si>
    <t>APVA (assertion violations?)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</si>
  <si>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</si>
  <si>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</si>
  <si>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</si>
  <si>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</si>
  <si>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Selection; Prioritization</t>
  </si>
  <si>
    <t>History-based;</t>
  </si>
  <si>
    <t>Google Dataset</t>
  </si>
  <si>
    <t>3.5M records of test suite executions at google</t>
  </si>
  <si>
    <t>execution times and status of tests</t>
  </si>
  <si>
    <t>Fault-detection capability; APFD</t>
  </si>
  <si>
    <t>dataset available</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</si>
  <si>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</si>
  <si>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</si>
  <si>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</si>
  <si>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</si>
  <si>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 xml:space="preserve">Prioritization; </t>
  </si>
  <si>
    <t>seeded faults</t>
  </si>
  <si>
    <t>no code nor artifacts (dataset public)</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</si>
  <si>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</si>
  <si>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</si>
  <si>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</si>
  <si>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</si>
  <si>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Heuristic-based (multiple variants)</t>
  </si>
  <si>
    <t>Custom (10 projects from github)</t>
  </si>
  <si>
    <t>10 projects from github, different domains, locs from 6k to 200k</t>
  </si>
  <si>
    <t>possibility of getting logs (not possible in defect 4j)</t>
  </si>
  <si>
    <t xml:space="preserve">artifacts available on github </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</si>
  <si>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</si>
  <si>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</si>
  <si>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</si>
  <si>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</si>
  <si>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Several version of Apache Ant and Apache Derby</t>
  </si>
  <si>
    <t>availability of text data</t>
  </si>
  <si>
    <t>artifacts not found</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</si>
  <si>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</si>
  <si>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</si>
  <si>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</si>
  <si>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</si>
  <si>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Multi-</t>
  </si>
  <si>
    <t>Custom (PARTLY FROM SIR)</t>
  </si>
  <si>
    <t>Six c/c++ software including mysql (largest one); TC ranging from 200 to 2k; LOC from 5k to 1M</t>
  </si>
  <si>
    <t>APFD_C</t>
  </si>
  <si>
    <t>some results still avilable on custom link https://www.epitropakis.co.uk/issta2015/</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</si>
  <si>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</si>
  <si>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</si>
  <si>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</si>
  <si>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</si>
  <si>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ML-based (Deep Learning)</t>
  </si>
  <si>
    <t>GSDTSR, ABB Robotics, One Proprietary by CISCO</t>
  </si>
  <si>
    <t>Multiple apps, different domains, executions from CI-like envs</t>
  </si>
  <si>
    <t>history data</t>
  </si>
  <si>
    <t>APDF and NAPFD</t>
  </si>
  <si>
    <t>originally available on github, now 404</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</si>
  <si>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</si>
  <si>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</si>
  <si>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</si>
  <si>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</si>
  <si>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ML-based (clustering-unsupervised); Heuristic-based</t>
  </si>
  <si>
    <t>SIR (4 projects)</t>
  </si>
  <si>
    <t>9 to 51 tests, heterogeneous domain</t>
  </si>
  <si>
    <t>seeded faults, history</t>
  </si>
  <si>
    <t>APFD; APFD_C</t>
  </si>
  <si>
    <t>available upon request</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</si>
  <si>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</si>
  <si>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</si>
  <si>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</si>
  <si>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</si>
  <si>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Other; History-based</t>
  </si>
  <si>
    <t>Defects4J and SIR (22 projects)</t>
  </si>
  <si>
    <t>Different domains, ranging from 80 to 190k LOC, 15 to 1300 tests)</t>
  </si>
  <si>
    <t>not very high quality work</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</si>
  <si>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</si>
  <si>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</si>
  <si>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</si>
  <si>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</si>
  <si>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Custom (simulation.-based testing)</t>
  </si>
  <si>
    <t>Six simulink models (120 to 150 tests)</t>
  </si>
  <si>
    <t>APFD_c</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</si>
  <si>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</si>
  <si>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</si>
  <si>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</si>
  <si>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21 apps from different domains (open source), loc from 2k to 138k, tests from 33 to 2,3k</t>
  </si>
  <si>
    <t>Qi Luo, Kevin Moran, Denys Poshyvanyk</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</si>
  <si>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</si>
  <si>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</si>
  <si>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30 Java program from github, different domains, locs from  3k to 80k</t>
  </si>
  <si>
    <t>ponline appendix: https://www.cs.wm.edu/semeru/data/FSE16-TCPSTUDY/#tools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</si>
  <si>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</si>
  <si>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</si>
  <si>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</si>
  <si>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Heuristic (greedy)</t>
  </si>
  <si>
    <t>55 java projects from github</t>
  </si>
  <si>
    <t>APFD, time effectiveness</t>
  </si>
  <si>
    <t>figshare</t>
  </si>
  <si>
    <t>Anno</t>
  </si>
  <si>
    <t>PS_Valido</t>
  </si>
  <si>
    <t>Minimization</t>
  </si>
  <si>
    <t>Totale_PS</t>
  </si>
  <si>
    <t>Tot</t>
  </si>
  <si>
    <t>coverage,history,requirements,cost</t>
  </si>
  <si>
    <t>analisi prioritization</t>
  </si>
  <si>
    <t>classe</t>
  </si>
  <si>
    <t>#papers</t>
  </si>
  <si>
    <t>titoli</t>
  </si>
  <si>
    <t>anni</t>
  </si>
  <si>
    <t>coverage</t>
  </si>
  <si>
    <t>requirements</t>
  </si>
  <si>
    <t>probabilistic</t>
  </si>
  <si>
    <t>distribution</t>
  </si>
  <si>
    <t>clustering</t>
  </si>
  <si>
    <t>history</t>
  </si>
  <si>
    <t>model</t>
  </si>
  <si>
    <t>cost-aware</t>
  </si>
  <si>
    <t>similarity</t>
  </si>
  <si>
    <t>input</t>
  </si>
  <si>
    <t>structure</t>
  </si>
  <si>
    <t>change</t>
  </si>
  <si>
    <t>ml</t>
  </si>
  <si>
    <t>heuristic</t>
  </si>
  <si>
    <t>search</t>
  </si>
  <si>
    <t>transfer</t>
  </si>
  <si>
    <t>nlp</t>
  </si>
  <si>
    <t>design</t>
  </si>
  <si>
    <t>selection</t>
  </si>
  <si>
    <t>integer</t>
  </si>
  <si>
    <t>data-flow</t>
  </si>
  <si>
    <t>symbolic</t>
  </si>
  <si>
    <t>dynamic</t>
  </si>
  <si>
    <t>graph</t>
  </si>
  <si>
    <t>textual</t>
  </si>
  <si>
    <t>sdg</t>
  </si>
  <si>
    <t>path</t>
  </si>
  <si>
    <t>mod</t>
  </si>
  <si>
    <t>firewall</t>
  </si>
  <si>
    <t>cluster</t>
  </si>
  <si>
    <t>hybrid</t>
  </si>
  <si>
    <t>detection</t>
  </si>
  <si>
    <t>others</t>
  </si>
  <si>
    <t>minimization</t>
  </si>
  <si>
    <t>search-based</t>
  </si>
  <si>
    <t>others+</t>
  </si>
  <si>
    <t>grafico p</t>
  </si>
  <si>
    <t>anno</t>
  </si>
  <si>
    <t>risk</t>
  </si>
  <si>
    <t>dati selection</t>
  </si>
  <si>
    <t>prioritization</t>
  </si>
  <si>
    <t>metaheuristic</t>
  </si>
  <si>
    <t>rule</t>
  </si>
  <si>
    <t>dependency</t>
  </si>
  <si>
    <t>quantum</t>
  </si>
  <si>
    <t>genetic</t>
  </si>
  <si>
    <t>greedy</t>
  </si>
  <si>
    <t>analisi sut</t>
  </si>
  <si>
    <t>sut</t>
  </si>
  <si>
    <t>Open Source</t>
  </si>
  <si>
    <t>Apache</t>
  </si>
  <si>
    <t>Industrial</t>
  </si>
  <si>
    <t>Proprietary</t>
  </si>
  <si>
    <t>ABB Robotics</t>
  </si>
  <si>
    <t>GSDTSR</t>
  </si>
  <si>
    <t>Cisco</t>
  </si>
  <si>
    <t>Commons-Math</t>
  </si>
  <si>
    <t>Commons-Lang</t>
  </si>
  <si>
    <t>Commons-IO</t>
  </si>
  <si>
    <t>Joda-Time</t>
  </si>
  <si>
    <t>JFreeChart</t>
  </si>
  <si>
    <t>Closure Compiler</t>
  </si>
  <si>
    <t>ATM</t>
  </si>
  <si>
    <t>Banking</t>
  </si>
  <si>
    <t>Mockito</t>
  </si>
  <si>
    <t>torta</t>
  </si>
  <si>
    <t>domini</t>
  </si>
  <si>
    <t>domain</t>
  </si>
  <si>
    <t>Java Libraries</t>
  </si>
  <si>
    <t>Web Applications</t>
  </si>
  <si>
    <t>Mobile Applications</t>
  </si>
  <si>
    <t>Command-line Utilities</t>
  </si>
  <si>
    <t>Embedded/Automotive</t>
  </si>
  <si>
    <t>Business/Enterprise</t>
  </si>
  <si>
    <t>Robotics/Industrial</t>
  </si>
  <si>
    <t>Open Source Projects</t>
  </si>
  <si>
    <t>Benchmark/Synthetic</t>
  </si>
  <si>
    <t>Desktop Applications</t>
  </si>
  <si>
    <t>CI/CD Systems</t>
  </si>
  <si>
    <t>Multimedia</t>
  </si>
  <si>
    <t>Games</t>
  </si>
  <si>
    <t>type</t>
  </si>
  <si>
    <t>call graph</t>
  </si>
  <si>
    <t>ee</t>
  </si>
  <si>
    <t>test diversity</t>
  </si>
  <si>
    <t>requirement coverage</t>
  </si>
  <si>
    <t xml:space="preserve">dependecy </t>
  </si>
  <si>
    <t>bytecode analysis</t>
  </si>
  <si>
    <t>traceability matrix</t>
  </si>
  <si>
    <t>Fault History</t>
  </si>
  <si>
    <t>Execution Time</t>
  </si>
  <si>
    <t>Injected Faults</t>
  </si>
  <si>
    <t>metric</t>
  </si>
  <si>
    <t>APFDc</t>
  </si>
  <si>
    <t>NAPFD</t>
  </si>
  <si>
    <t>F1</t>
  </si>
  <si>
    <t>APBC</t>
  </si>
  <si>
    <t>Requirements-based</t>
  </si>
  <si>
    <t>Distribution-based</t>
  </si>
  <si>
    <t>Clustering-based</t>
  </si>
  <si>
    <t>Cost-aware</t>
  </si>
  <si>
    <t>Similarity-based</t>
  </si>
  <si>
    <t>Risk-based</t>
  </si>
  <si>
    <t>NLP-based</t>
  </si>
  <si>
    <t>Design-based</t>
  </si>
  <si>
    <t>Integer Programming</t>
  </si>
  <si>
    <t>Data-flow Analysis</t>
  </si>
  <si>
    <t>Symbolic Execution</t>
  </si>
  <si>
    <t>Dynamic clicing-based</t>
  </si>
  <si>
    <t>Textual difference</t>
  </si>
  <si>
    <t>SDG slicing</t>
  </si>
  <si>
    <t>Path analysis</t>
  </si>
  <si>
    <t>Modification-aware</t>
  </si>
  <si>
    <t>Firewall</t>
  </si>
  <si>
    <t>Cluster identification</t>
  </si>
  <si>
    <t>Hybrid</t>
  </si>
  <si>
    <t>Selection-based</t>
  </si>
  <si>
    <t>Detection-based</t>
  </si>
  <si>
    <t>Hystory-based</t>
  </si>
  <si>
    <t>Machine Learning-based</t>
  </si>
  <si>
    <t>Rule-based</t>
  </si>
  <si>
    <t>Dependency-based</t>
  </si>
  <si>
    <t>Quantum-based</t>
  </si>
  <si>
    <t>Genetic-based</t>
  </si>
  <si>
    <t>Graph-based</t>
  </si>
  <si>
    <t>Greedy</t>
  </si>
  <si>
    <t>Dynamic Programming</t>
  </si>
  <si>
    <t>Genetic Algorithm</t>
  </si>
  <si>
    <t>Greedy Algorithm</t>
  </si>
  <si>
    <t>Transfer Learning-based</t>
  </si>
  <si>
    <t>AI-based</t>
  </si>
  <si>
    <t>algorithm</t>
  </si>
  <si>
    <t>#multi obj</t>
  </si>
  <si>
    <t>#single obj</t>
  </si>
  <si>
    <t>tot</t>
  </si>
  <si>
    <t>totale</t>
  </si>
  <si>
    <t xml:space="preserve">Coverage-based </t>
  </si>
  <si>
    <t>distribution,history</t>
  </si>
  <si>
    <t xml:space="preserve">human </t>
  </si>
  <si>
    <t>distribution-based</t>
  </si>
  <si>
    <t>coverage,cost</t>
  </si>
  <si>
    <t>Model-based prioritization, coverage-based</t>
  </si>
  <si>
    <t>Search-based, Cost-aware, coverage</t>
  </si>
  <si>
    <t xml:space="preserve"> Cost-aware </t>
  </si>
  <si>
    <t>Coverage-based;</t>
  </si>
  <si>
    <t>Probability-based;</t>
  </si>
  <si>
    <t xml:space="preserve"> Coverage-based</t>
  </si>
  <si>
    <t>Modification-based,</t>
  </si>
  <si>
    <t>graph-walk</t>
  </si>
  <si>
    <t>integer programming</t>
  </si>
  <si>
    <t xml:space="preserve">Design-based </t>
  </si>
  <si>
    <t>Design-based;</t>
  </si>
  <si>
    <t xml:space="preserve"> Other</t>
  </si>
  <si>
    <t>graph-based</t>
  </si>
  <si>
    <t xml:space="preserve">Heuristic-based </t>
  </si>
  <si>
    <r>
      <t>ML-based / IR-based</t>
    </r>
    <r>
      <rPr>
        <sz val="14"/>
        <color rgb="FFFF0000"/>
        <rFont val="-webkit-standard"/>
      </rPr>
      <t>: Utilizza tecniche di Machine Learning, Information Retrieval, o Natural Language Processing per prioritizzare/selezionare test case. Include approcci basati su topic modeling (LDA), recommender systems, TF-IDF, similarity measures su testo/codice, clustering, classification, etc.</t>
    </r>
  </si>
  <si>
    <t>ML-based Transfer Learning-based</t>
  </si>
  <si>
    <t>Heuristic-based greedy</t>
  </si>
  <si>
    <t>greed y</t>
  </si>
  <si>
    <t xml:space="preserve"> greedy</t>
  </si>
  <si>
    <t>Taxonomy</t>
  </si>
  <si>
    <t>Ml-based</t>
  </si>
  <si>
    <t>Non-Clustering-based</t>
  </si>
  <si>
    <t>Data-flow analysis</t>
  </si>
  <si>
    <t>Dynamic slicing-based</t>
  </si>
  <si>
    <t>meta-heuristic-based</t>
  </si>
  <si>
    <t>meta-heuristic</t>
  </si>
  <si>
    <t>greed heuristic graph meta-heuristic</t>
  </si>
  <si>
    <t>meta-heuristic-based heuristic-based</t>
  </si>
  <si>
    <t>greedy meta-heuristic</t>
  </si>
  <si>
    <t>Heuristic-based meta-heuristic</t>
  </si>
  <si>
    <t>Heuristic greedy meta-heuristic</t>
  </si>
  <si>
    <t>F-Measure</t>
  </si>
  <si>
    <t>Statement Coverage</t>
  </si>
  <si>
    <t>Method Coverage</t>
  </si>
  <si>
    <t xml:space="preserve"> </t>
  </si>
  <si>
    <t>numero test selezionati</t>
  </si>
  <si>
    <t>Industrial / Proprietary</t>
  </si>
  <si>
    <t>Paper Count</t>
  </si>
  <si>
    <t>Custom / Synthetic / Manually Developed</t>
  </si>
  <si>
    <t>Apache Commons</t>
  </si>
  <si>
    <t>Other Specific Open Source Projects</t>
  </si>
  <si>
    <t>Other / Unspecified Open Source</t>
  </si>
  <si>
    <t>IOF/ROL</t>
  </si>
  <si>
    <t>PaintControl</t>
  </si>
  <si>
    <t>SIR &amp; Defects4J (combined)</t>
  </si>
  <si>
    <t>Android Apps</t>
  </si>
  <si>
    <t>tcp-ci-dataset</t>
  </si>
  <si>
    <t>GTSP</t>
  </si>
  <si>
    <t>Model Transformation Systems</t>
  </si>
  <si>
    <t>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</si>
</sst>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sz val="12"/>
      <color rgb="FF9C0006"/>
      <name val="Aptos Narrow"/>
      <family val="2"/>
      <scheme val="minor"/>
    </font>
    <font>
      <b/>
      <sz val="11"/>
      <color theme="1"/>
      <name val="Aptos Narrow"/>
      <family val="2"/>
      <scheme val="minor"/>
    </font>
    <font>
      <sz val="11"/>
      <color rgb="FF000000"/>
      <name val="Calibri"/>
      <family val="2"/>
    </font>
    <font>
      <sz val="11"/>
      <color rgb="FF7B7B7B"/>
      <name val="Calibri"/>
      <family val="2"/>
    </font>
    <font>
      <i/>
      <sz val="11"/>
      <color rgb="FF7B7B7B"/>
      <name val="Calibri"/>
      <family val="2"/>
    </font>
    <font>
      <sz val="11"/>
      <color rgb="FFF0F0A5"/>
      <name val="Aptos Narrow"/>
      <family val="2"/>
      <scheme val="minor"/>
    </font>
    <font>
      <u/>
      <sz val="12"/>
      <color theme="10"/>
      <name val="Aptos Narrow"/>
      <family val="2"/>
      <scheme val="minor"/>
    </font>
    <font>
      <b/>
      <sz val="12"/>
      <color rgb="FF000000"/>
      <name val="Aptos Narrow"/>
      <family val="2"/>
      <scheme val="minor"/>
    </font>
    <font>
      <b/>
      <sz val="12"/>
      <color theme="1"/>
      <name val="Aptos Narrow"/>
      <scheme val="minor"/>
    </font>
    <font>
      <sz val="14"/>
      <color rgb="FFABB2BF"/>
      <name val="Menlo"/>
      <family val="2"/>
    </font>
    <font>
      <sz val="14"/>
      <color theme="1"/>
      <name val="Menlo"/>
      <family val="2"/>
    </font>
    <font>
      <b/>
      <sz val="12"/>
      <color theme="1"/>
      <name val="Aptos Narrow"/>
      <family val="2"/>
      <scheme val="minor"/>
    </font>
    <font>
      <b/>
      <sz val="12"/>
      <color rgb="FFFF0000"/>
      <name val="Aptos Narrow"/>
      <family val="2"/>
      <scheme val="minor"/>
    </font>
    <font>
      <sz val="14"/>
      <color rgb="FFFF0000"/>
      <name val="-webkit-standard"/>
    </font>
    <font>
      <sz val="12"/>
      <color rgb="FF000000"/>
      <name val="Aptos Narrow"/>
      <family val="2"/>
      <scheme val="minor"/>
    </font>
    <font>
      <b/>
      <sz val="16"/>
      <color rgb="FFF9FAFB"/>
      <name val="Helvetica Neue"/>
      <family val="2"/>
    </font>
    <font>
      <sz val="16"/>
      <color rgb="FFF9FAFB"/>
      <name val="Helvetica Neue"/>
      <family val="2"/>
    </font>
    <font>
      <sz val="15"/>
      <color rgb="FFF9FAFB"/>
      <name val="Helvetica Neue"/>
      <family val="2"/>
    </font>
  </fonts>
  <fills count="7">
    <fill>
      <patternFill patternType="none"/>
    </fill>
    <fill>
      <patternFill patternType="gray125"/>
    </fill>
    <fill>
      <patternFill patternType="solid">
        <fgColor rgb="FFFFC7CE"/>
      </patternFill>
    </fill>
    <fill>
      <patternFill patternType="solid">
        <fgColor rgb="FFEDEDED"/>
        <bgColor rgb="FFEDEDED"/>
      </patternFill>
    </fill>
    <fill>
      <patternFill patternType="solid">
        <fgColor theme="0"/>
        <bgColor indexed="64"/>
      </patternFill>
    </fill>
    <fill>
      <patternFill patternType="solid">
        <fgColor rgb="FFF0F0A5"/>
        <bgColor indexed="64"/>
      </patternFill>
    </fill>
    <fill>
      <patternFill patternType="solid">
        <fgColor theme="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43">
    <xf numFmtId="0" fontId="0" fillId="0" borderId="0" xfId="0"/>
    <xf numFmtId="0" fontId="2"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5" xfId="0" applyFont="1" applyFill="1" applyBorder="1" applyAlignment="1">
      <alignment horizontal="center" vertical="center" wrapText="1"/>
    </xf>
    <xf numFmtId="0" fontId="4"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6" fillId="5" borderId="3" xfId="0" applyFont="1" applyFill="1" applyBorder="1" applyAlignment="1">
      <alignment horizontal="center" vertical="center"/>
    </xf>
    <xf numFmtId="0" fontId="0" fillId="5" borderId="3" xfId="0"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5" borderId="0" xfId="0" applyFill="1"/>
    <xf numFmtId="0" fontId="4" fillId="3" borderId="1" xfId="0" applyFont="1" applyFill="1" applyBorder="1" applyAlignment="1">
      <alignment horizontal="center" vertical="center"/>
    </xf>
    <xf numFmtId="0" fontId="4" fillId="0" borderId="1" xfId="0" applyFont="1" applyBorder="1" applyAlignment="1">
      <alignment wrapText="1"/>
    </xf>
    <xf numFmtId="0" fontId="4" fillId="0" borderId="1" xfId="0" applyFont="1" applyBorder="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7" fillId="0" borderId="0" xfId="2" applyAlignment="1" applyProtection="1">
      <alignment vertical="center" wrapText="1"/>
    </xf>
    <xf numFmtId="0" fontId="7" fillId="0" borderId="0" xfId="2" applyAlignment="1" applyProtection="1">
      <alignment vertical="center"/>
    </xf>
    <xf numFmtId="0" fontId="1" fillId="2" borderId="0" xfId="1" applyAlignment="1">
      <alignment wrapText="1"/>
    </xf>
    <xf numFmtId="0" fontId="2" fillId="0" borderId="0" xfId="0" applyFont="1" applyAlignment="1">
      <alignment horizontal="center" vertical="top" wrapText="1"/>
    </xf>
    <xf numFmtId="0" fontId="8" fillId="0" borderId="0" xfId="0" applyFont="1"/>
    <xf numFmtId="0" fontId="9" fillId="0" borderId="0" xfId="0" applyFont="1"/>
    <xf numFmtId="0" fontId="10" fillId="0" borderId="0" xfId="0" applyFont="1"/>
    <xf numFmtId="0" fontId="11" fillId="0" borderId="0" xfId="0" applyFont="1"/>
    <xf numFmtId="0" fontId="13" fillId="6" borderId="0" xfId="0" applyFont="1" applyFill="1"/>
    <xf numFmtId="0" fontId="15" fillId="0" borderId="0" xfId="0" applyFont="1"/>
    <xf numFmtId="0" fontId="12" fillId="0" borderId="0" xfId="0" applyFont="1"/>
    <xf numFmtId="0" fontId="0" fillId="0" borderId="0" xfId="0" applyAlignment="1">
      <alignment horizontal="center" vertical="center" wrapText="1"/>
    </xf>
    <xf numFmtId="0" fontId="16" fillId="0" borderId="0" xfId="0" applyFont="1"/>
    <xf numFmtId="0" fontId="17" fillId="0" borderId="0" xfId="0" applyFont="1"/>
    <xf numFmtId="0" fontId="18" fillId="0" borderId="0" xfId="0" applyFont="1"/>
  </cellXfs>
  <cellStyles count="3">
    <cellStyle name="Collegamento ipertestuale" xfId="2" builtinId="8"/>
    <cellStyle name="Normale" xfId="0" builtinId="0"/>
    <cellStyle name="Valore non valido"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Foglio1!$FW$36</c:f>
              <c:strCache>
                <c:ptCount val="1"/>
                <c:pt idx="0">
                  <c:v>Integer Programming</c:v>
                </c:pt>
              </c:strCache>
            </c:strRef>
          </c:tx>
          <c:spPr>
            <a:solidFill>
              <a:schemeClr val="accent1"/>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Foglio1!$FW$37:$FW$49</c:f>
              <c:numCache>
                <c:formatCode>General</c:formatCode>
                <c:ptCount val="13"/>
                <c:pt idx="0">
                  <c:v>0</c:v>
                </c:pt>
                <c:pt idx="1">
                  <c:v>0</c:v>
                </c:pt>
                <c:pt idx="2">
                  <c:v>0</c:v>
                </c:pt>
                <c:pt idx="3">
                  <c:v>0</c:v>
                </c:pt>
                <c:pt idx="4">
                  <c:v>0</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0-F1FE-404E-BBB4-D59D25BA88A5}"/>
            </c:ext>
          </c:extLst>
        </c:ser>
        <c:ser>
          <c:idx val="1"/>
          <c:order val="1"/>
          <c:tx>
            <c:strRef>
              <c:f>Foglio1!$FX$36</c:f>
              <c:strCache>
                <c:ptCount val="1"/>
                <c:pt idx="0">
                  <c:v>Data-flow Analysis</c:v>
                </c:pt>
              </c:strCache>
            </c:strRef>
          </c:tx>
          <c:spPr>
            <a:solidFill>
              <a:schemeClr val="accent2"/>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Foglio1!$FX$37:$FX$49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F1FE-404E-BBB4-D59D25BA88A5}"/>
            </c:ext>
          </c:extLst>
        </c:ser>
        <c:ser>
          <c:idx val="2"/>
          <c:order val="2"/>
          <c:tx>
            <c:strRef>
              <c:f>Foglio1!$FY$36</c:f>
              <c:strCache>
                <c:ptCount val="1"/>
                <c:pt idx="0">
                  <c:v>Symbolic Execution</c:v>
                </c:pt>
              </c:strCache>
            </c:strRef>
          </c:tx>
          <c:spPr>
            <a:solidFill>
              <a:schemeClr val="bg2">
                <a:lumMod val="75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Foglio1!$FY$37:$FY$49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F1FE-404E-BBB4-D59D25BA88A5}"/>
            </c:ext>
          </c:extLst>
        </c:ser>
        <c:ser>
          <c:idx val="3"/>
          <c:order val="3"/>
          <c:tx>
            <c:strRef>
              <c:f>Foglio1!$FZ$36</c:f>
              <c:strCache>
                <c:ptCount val="1"/>
                <c:pt idx="0">
                  <c:v>Dynamic clicing-based</c:v>
                </c:pt>
              </c:strCache>
            </c:strRef>
          </c:tx>
          <c:spPr>
            <a:solidFill>
              <a:schemeClr val="accent4"/>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Foglio1!$FZ$37:$FZ$49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F1FE-404E-BBB4-D59D25BA88A5}"/>
            </c:ext>
          </c:extLst>
        </c:ser>
        <c:ser>
          <c:idx val="4"/>
          <c:order val="4"/>
          <c:tx>
            <c:strRef>
              <c:f>Foglio1!$GA$36</c:f>
              <c:strCache>
                <c:ptCount val="1"/>
                <c:pt idx="0">
                  <c:v>Graph-walk</c:v>
                </c:pt>
              </c:strCache>
            </c:strRef>
          </c:tx>
          <c:spPr>
            <a:solidFill>
              <a:schemeClr val="accent5"/>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Foglio1!$GA$37:$GA$49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1</c:v>
                </c:pt>
                <c:pt idx="12">
                  <c:v>1</c:v>
                </c:pt>
              </c:numCache>
            </c:numRef>
          </c:val>
          <c:extLst>
            <c:ext xmlns:c16="http://schemas.microsoft.com/office/drawing/2014/chart" uri="{C3380CC4-5D6E-409C-BE32-E72D297353CC}">
              <c16:uniqueId val="{00000004-F1FE-404E-BBB4-D59D25BA88A5}"/>
            </c:ext>
          </c:extLst>
        </c:ser>
        <c:ser>
          <c:idx val="5"/>
          <c:order val="5"/>
          <c:tx>
            <c:strRef>
              <c:f>Foglio1!$GB$36</c:f>
              <c:strCache>
                <c:ptCount val="1"/>
                <c:pt idx="0">
                  <c:v>Textual difference</c:v>
                </c:pt>
              </c:strCache>
            </c:strRef>
          </c:tx>
          <c:spPr>
            <a:solidFill>
              <a:srgbClr val="FF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Foglio1!$GB$37:$GB$49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F1FE-404E-BBB4-D59D25BA88A5}"/>
            </c:ext>
          </c:extLst>
        </c:ser>
        <c:ser>
          <c:idx val="6"/>
          <c:order val="6"/>
          <c:tx>
            <c:strRef>
              <c:f>Foglio1!$GC$36</c:f>
              <c:strCache>
                <c:ptCount val="1"/>
                <c:pt idx="0">
                  <c:v>SDG slicing</c:v>
                </c:pt>
              </c:strCache>
            </c:strRef>
          </c:tx>
          <c:spPr>
            <a:solidFill>
              <a:srgbClr val="FF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Foglio1!$GC$37:$GC$49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F1FE-404E-BBB4-D59D25BA88A5}"/>
            </c:ext>
          </c:extLst>
        </c:ser>
        <c:ser>
          <c:idx val="7"/>
          <c:order val="7"/>
          <c:tx>
            <c:strRef>
              <c:f>Foglio1!$GD$36</c:f>
              <c:strCache>
                <c:ptCount val="1"/>
                <c:pt idx="0">
                  <c:v>Path analysis</c:v>
                </c:pt>
              </c:strCache>
            </c:strRef>
          </c:tx>
          <c:spPr>
            <a:solidFill>
              <a:schemeClr val="accent2">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Foglio1!$GD$37:$GD$49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F1FE-404E-BBB4-D59D25BA88A5}"/>
            </c:ext>
          </c:extLst>
        </c:ser>
        <c:ser>
          <c:idx val="8"/>
          <c:order val="8"/>
          <c:tx>
            <c:strRef>
              <c:f>Foglio1!$GE$36</c:f>
              <c:strCache>
                <c:ptCount val="1"/>
                <c:pt idx="0">
                  <c:v>Modification-aware</c:v>
                </c:pt>
              </c:strCache>
            </c:strRef>
          </c:tx>
          <c:spPr>
            <a:solidFill>
              <a:schemeClr val="bg2">
                <a:lumMod val="1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Foglio1!$GE$37:$GE$49</c:f>
              <c:numCache>
                <c:formatCode>General</c:formatCode>
                <c:ptCount val="13"/>
                <c:pt idx="0">
                  <c:v>1</c:v>
                </c:pt>
                <c:pt idx="1">
                  <c:v>1</c:v>
                </c:pt>
                <c:pt idx="2">
                  <c:v>0</c:v>
                </c:pt>
                <c:pt idx="3">
                  <c:v>0</c:v>
                </c:pt>
                <c:pt idx="4">
                  <c:v>0</c:v>
                </c:pt>
                <c:pt idx="5">
                  <c:v>0</c:v>
                </c:pt>
                <c:pt idx="6">
                  <c:v>0</c:v>
                </c:pt>
                <c:pt idx="7">
                  <c:v>1</c:v>
                </c:pt>
                <c:pt idx="8">
                  <c:v>1</c:v>
                </c:pt>
                <c:pt idx="9">
                  <c:v>1</c:v>
                </c:pt>
                <c:pt idx="10">
                  <c:v>0</c:v>
                </c:pt>
                <c:pt idx="11">
                  <c:v>0</c:v>
                </c:pt>
                <c:pt idx="12">
                  <c:v>0</c:v>
                </c:pt>
              </c:numCache>
            </c:numRef>
          </c:val>
          <c:extLst>
            <c:ext xmlns:c16="http://schemas.microsoft.com/office/drawing/2014/chart" uri="{C3380CC4-5D6E-409C-BE32-E72D297353CC}">
              <c16:uniqueId val="{00000008-F1FE-404E-BBB4-D59D25BA88A5}"/>
            </c:ext>
          </c:extLst>
        </c:ser>
        <c:ser>
          <c:idx val="9"/>
          <c:order val="9"/>
          <c:tx>
            <c:strRef>
              <c:f>Foglio1!$GF$36</c:f>
              <c:strCache>
                <c:ptCount val="1"/>
                <c:pt idx="0">
                  <c:v>Firewall</c:v>
                </c:pt>
              </c:strCache>
            </c:strRef>
          </c:tx>
          <c:spPr>
            <a:solidFill>
              <a:schemeClr val="accent4">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Foglio1!$GF$37:$GF$49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F1FE-404E-BBB4-D59D25BA88A5}"/>
            </c:ext>
          </c:extLst>
        </c:ser>
        <c:ser>
          <c:idx val="10"/>
          <c:order val="10"/>
          <c:tx>
            <c:strRef>
              <c:f>Foglio1!$GG$36</c:f>
              <c:strCache>
                <c:ptCount val="1"/>
                <c:pt idx="0">
                  <c:v>Cluster identification</c:v>
                </c:pt>
              </c:strCache>
            </c:strRef>
          </c:tx>
          <c:spPr>
            <a:solidFill>
              <a:schemeClr val="accent5">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Foglio1!$GG$37:$GG$49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F1FE-404E-BBB4-D59D25BA88A5}"/>
            </c:ext>
          </c:extLst>
        </c:ser>
        <c:ser>
          <c:idx val="11"/>
          <c:order val="11"/>
          <c:tx>
            <c:strRef>
              <c:f>Foglio1!$GH$36</c:f>
              <c:strCache>
                <c:ptCount val="1"/>
                <c:pt idx="0">
                  <c:v>Design-based</c:v>
                </c:pt>
              </c:strCache>
            </c:strRef>
          </c:tx>
          <c:spPr>
            <a:solidFill>
              <a:srgbClr val="FFFF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Foglio1!$GH$37:$GH$49</c:f>
              <c:numCache>
                <c:formatCode>General</c:formatCode>
                <c:ptCount val="13"/>
                <c:pt idx="0">
                  <c:v>0</c:v>
                </c:pt>
                <c:pt idx="1">
                  <c:v>0</c:v>
                </c:pt>
                <c:pt idx="2">
                  <c:v>0</c:v>
                </c:pt>
                <c:pt idx="3">
                  <c:v>1</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F1FE-404E-BBB4-D59D25BA88A5}"/>
            </c:ext>
          </c:extLst>
        </c:ser>
        <c:ser>
          <c:idx val="12"/>
          <c:order val="12"/>
          <c:tx>
            <c:strRef>
              <c:f>Foglio1!$GI$36</c:f>
              <c:strCache>
                <c:ptCount val="1"/>
                <c:pt idx="0">
                  <c:v>Hybrid</c:v>
                </c:pt>
              </c:strCache>
            </c:strRef>
          </c:tx>
          <c:spPr>
            <a:solidFill>
              <a:srgbClr val="C0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Foglio1!$GI$37:$GI$49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C-F1FE-404E-BBB4-D59D25BA88A5}"/>
            </c:ext>
          </c:extLst>
        </c:ser>
        <c:ser>
          <c:idx val="15"/>
          <c:order val="13"/>
          <c:tx>
            <c:strRef>
              <c:f>Foglio1!$GL$36</c:f>
              <c:strCache>
                <c:ptCount val="1"/>
                <c:pt idx="0">
                  <c:v>Coverage-based</c:v>
                </c:pt>
              </c:strCache>
            </c:strRef>
          </c:tx>
          <c:spPr>
            <a:solidFill>
              <a:schemeClr val="accent4">
                <a:lumMod val="80000"/>
                <a:lumOff val="2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Foglio1!$GL$37:$GL$49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F-F1FE-404E-BBB4-D59D25BA88A5}"/>
            </c:ext>
          </c:extLst>
        </c:ser>
        <c:ser>
          <c:idx val="17"/>
          <c:order val="14"/>
          <c:tx>
            <c:strRef>
              <c:f>Foglio1!$GN$36</c:f>
              <c:strCache>
                <c:ptCount val="1"/>
                <c:pt idx="0">
                  <c:v>Model-based</c:v>
                </c:pt>
              </c:strCache>
            </c:strRef>
          </c:tx>
          <c:spPr>
            <a:solidFill>
              <a:schemeClr val="accent6">
                <a:lumMod val="80000"/>
                <a:lumOff val="2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Foglio1!$GN$37:$GN$49</c:f>
              <c:numCache>
                <c:formatCode>General</c:formatCode>
                <c:ptCount val="13"/>
                <c:pt idx="0">
                  <c:v>0</c:v>
                </c:pt>
                <c:pt idx="1">
                  <c:v>0</c:v>
                </c:pt>
                <c:pt idx="2">
                  <c:v>0</c:v>
                </c:pt>
                <c:pt idx="3">
                  <c:v>0</c:v>
                </c:pt>
                <c:pt idx="4">
                  <c:v>0</c:v>
                </c:pt>
                <c:pt idx="5">
                  <c:v>0</c:v>
                </c:pt>
                <c:pt idx="6">
                  <c:v>0</c:v>
                </c:pt>
                <c:pt idx="7">
                  <c:v>1</c:v>
                </c:pt>
                <c:pt idx="8">
                  <c:v>0</c:v>
                </c:pt>
                <c:pt idx="9">
                  <c:v>0</c:v>
                </c:pt>
                <c:pt idx="10">
                  <c:v>0</c:v>
                </c:pt>
                <c:pt idx="11">
                  <c:v>0</c:v>
                </c:pt>
                <c:pt idx="12">
                  <c:v>0</c:v>
                </c:pt>
              </c:numCache>
            </c:numRef>
          </c:val>
          <c:extLst>
            <c:ext xmlns:c16="http://schemas.microsoft.com/office/drawing/2014/chart" uri="{C3380CC4-5D6E-409C-BE32-E72D297353CC}">
              <c16:uniqueId val="{00000011-F1FE-404E-BBB4-D59D25BA88A5}"/>
            </c:ext>
          </c:extLst>
        </c:ser>
        <c:ser>
          <c:idx val="18"/>
          <c:order val="15"/>
          <c:tx>
            <c:strRef>
              <c:f>Foglio1!$GO$36</c:f>
              <c:strCache>
                <c:ptCount val="1"/>
                <c:pt idx="0">
                  <c:v>Hystory-based</c:v>
                </c:pt>
              </c:strCache>
            </c:strRef>
          </c:tx>
          <c:spPr>
            <a:solidFill>
              <a:srgbClr val="7030A0"/>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Foglio1!$GO$37:$GO$49</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2-F1FE-404E-BBB4-D59D25BA88A5}"/>
            </c:ext>
          </c:extLst>
        </c:ser>
        <c:ser>
          <c:idx val="19"/>
          <c:order val="16"/>
          <c:tx>
            <c:strRef>
              <c:f>Foglio1!$GP$36</c:f>
              <c:strCache>
                <c:ptCount val="1"/>
                <c:pt idx="0">
                  <c:v>Cost-aware</c:v>
                </c:pt>
              </c:strCache>
            </c:strRef>
          </c:tx>
          <c:spPr>
            <a:solidFill>
              <a:schemeClr val="accent2">
                <a:lumMod val="8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Foglio1!$GP$37:$GP$49</c:f>
              <c:numCache>
                <c:formatCode>General</c:formatCode>
                <c:ptCount val="13"/>
                <c:pt idx="0">
                  <c:v>0</c:v>
                </c:pt>
                <c:pt idx="1">
                  <c:v>0</c:v>
                </c:pt>
                <c:pt idx="2">
                  <c:v>0</c:v>
                </c:pt>
                <c:pt idx="3">
                  <c:v>0</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F1FE-404E-BBB4-D59D25BA88A5}"/>
            </c:ext>
          </c:extLst>
        </c:ser>
        <c:ser>
          <c:idx val="20"/>
          <c:order val="17"/>
          <c:tx>
            <c:strRef>
              <c:f>Foglio1!$GQ$36</c:f>
              <c:strCache>
                <c:ptCount val="1"/>
                <c:pt idx="0">
                  <c:v>Similarity-based</c:v>
                </c:pt>
              </c:strCache>
            </c:strRef>
          </c:tx>
          <c:spPr>
            <a:solidFill>
              <a:schemeClr val="accent5">
                <a:lumMod val="40000"/>
                <a:lumOff val="6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Foglio1!$GQ$37:$GQ$49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F1FE-404E-BBB4-D59D25BA88A5}"/>
            </c:ext>
          </c:extLst>
        </c:ser>
        <c:ser>
          <c:idx val="21"/>
          <c:order val="18"/>
          <c:tx>
            <c:strRef>
              <c:f>Foglio1!$GR$36</c:f>
              <c:strCache>
                <c:ptCount val="1"/>
                <c:pt idx="0">
                  <c:v>Others</c:v>
                </c:pt>
              </c:strCache>
            </c:strRef>
          </c:tx>
          <c:spPr>
            <a:solidFill>
              <a:schemeClr val="accent4">
                <a:lumMod val="8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Foglio1!$GR$37:$GR$49</c:f>
              <c:numCache>
                <c:formatCode>General</c:formatCode>
                <c:ptCount val="13"/>
                <c:pt idx="0">
                  <c:v>1</c:v>
                </c:pt>
                <c:pt idx="1">
                  <c:v>0</c:v>
                </c:pt>
                <c:pt idx="2">
                  <c:v>0</c:v>
                </c:pt>
                <c:pt idx="3">
                  <c:v>1</c:v>
                </c:pt>
                <c:pt idx="4">
                  <c:v>1</c:v>
                </c:pt>
                <c:pt idx="5">
                  <c:v>2</c:v>
                </c:pt>
                <c:pt idx="6">
                  <c:v>2</c:v>
                </c:pt>
                <c:pt idx="7">
                  <c:v>1</c:v>
                </c:pt>
                <c:pt idx="8">
                  <c:v>0</c:v>
                </c:pt>
                <c:pt idx="9">
                  <c:v>1</c:v>
                </c:pt>
                <c:pt idx="10">
                  <c:v>1</c:v>
                </c:pt>
                <c:pt idx="11">
                  <c:v>0</c:v>
                </c:pt>
                <c:pt idx="12">
                  <c:v>0</c:v>
                </c:pt>
              </c:numCache>
            </c:numRef>
          </c:val>
          <c:extLst>
            <c:ext xmlns:c16="http://schemas.microsoft.com/office/drawing/2014/chart" uri="{C3380CC4-5D6E-409C-BE32-E72D297353CC}">
              <c16:uniqueId val="{00000015-F1FE-404E-BBB4-D59D25BA88A5}"/>
            </c:ext>
          </c:extLst>
        </c:ser>
        <c:dLbls>
          <c:showLegendKey val="0"/>
          <c:showVal val="0"/>
          <c:showCatName val="0"/>
          <c:showSerName val="0"/>
          <c:showPercent val="0"/>
          <c:showBubbleSize val="0"/>
        </c:dLbls>
        <c:gapWidth val="150"/>
        <c:overlap val="100"/>
        <c:axId val="2118833407"/>
        <c:axId val="2118839679"/>
      </c:barChart>
      <c:catAx>
        <c:axId val="2118833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9679"/>
        <c:crosses val="autoZero"/>
        <c:auto val="1"/>
        <c:lblAlgn val="ctr"/>
        <c:lblOffset val="100"/>
        <c:noMultiLvlLbl val="0"/>
      </c:catAx>
      <c:valAx>
        <c:axId val="2118839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3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1"/>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Foglio1!$FW$3:$FW$15</c:f>
              <c:numCache>
                <c:formatCode>General</c:formatCode>
                <c:ptCount val="13"/>
                <c:pt idx="0">
                  <c:v>2</c:v>
                </c:pt>
                <c:pt idx="1">
                  <c:v>2</c:v>
                </c:pt>
                <c:pt idx="2">
                  <c:v>2</c:v>
                </c:pt>
                <c:pt idx="3">
                  <c:v>3</c:v>
                </c:pt>
                <c:pt idx="4">
                  <c:v>3</c:v>
                </c:pt>
                <c:pt idx="5">
                  <c:v>4</c:v>
                </c:pt>
                <c:pt idx="6">
                  <c:v>8</c:v>
                </c:pt>
                <c:pt idx="7">
                  <c:v>4</c:v>
                </c:pt>
                <c:pt idx="8">
                  <c:v>1</c:v>
                </c:pt>
                <c:pt idx="9">
                  <c:v>9</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DF5D-E24B-B37D-192F0465D400}"/>
            </c:ext>
          </c:extLst>
        </c:ser>
        <c:ser>
          <c:idx val="1"/>
          <c:order val="1"/>
          <c:spPr>
            <a:solidFill>
              <a:schemeClr val="accent2"/>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Foglio1!$FX$3:$FX$15</c:f>
              <c:numCache>
                <c:formatCode>General</c:formatCode>
                <c:ptCount val="13"/>
                <c:pt idx="0">
                  <c:v>2</c:v>
                </c:pt>
                <c:pt idx="1">
                  <c:v>1</c:v>
                </c:pt>
                <c:pt idx="2">
                  <c:v>0</c:v>
                </c:pt>
                <c:pt idx="3">
                  <c:v>1</c:v>
                </c:pt>
                <c:pt idx="4">
                  <c:v>0</c:v>
                </c:pt>
                <c:pt idx="5">
                  <c:v>1</c:v>
                </c:pt>
                <c:pt idx="6">
                  <c:v>2</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DF5D-E24B-B37D-192F0465D400}"/>
            </c:ext>
          </c:extLst>
        </c:ser>
        <c:ser>
          <c:idx val="10"/>
          <c:order val="2"/>
          <c:spPr>
            <a:solidFill>
              <a:schemeClr val="bg1">
                <a:lumMod val="75000"/>
              </a:schemeClr>
            </a:solidFill>
            <a:ln>
              <a:noFill/>
            </a:ln>
            <a:effectLst/>
          </c:spPr>
          <c:invertIfNegative val="0"/>
          <c:val>
            <c:numRef>
              <c:f>Foglio1!$FY$3:$FY$15</c:f>
              <c:numCache>
                <c:formatCode>General</c:formatCode>
                <c:ptCount val="13"/>
                <c:pt idx="0">
                  <c:v>0</c:v>
                </c:pt>
                <c:pt idx="1">
                  <c:v>2</c:v>
                </c:pt>
                <c:pt idx="2">
                  <c:v>1</c:v>
                </c:pt>
                <c:pt idx="3">
                  <c:v>0</c:v>
                </c:pt>
                <c:pt idx="4">
                  <c:v>1</c:v>
                </c:pt>
                <c:pt idx="5">
                  <c:v>0</c:v>
                </c:pt>
                <c:pt idx="6">
                  <c:v>0</c:v>
                </c:pt>
                <c:pt idx="7">
                  <c:v>1</c:v>
                </c:pt>
                <c:pt idx="8">
                  <c:v>1</c:v>
                </c:pt>
                <c:pt idx="9">
                  <c:v>2</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617F-8D4D-B468-110A7D44495D}"/>
            </c:ext>
          </c:extLst>
        </c:ser>
        <c:ser>
          <c:idx val="3"/>
          <c:order val="3"/>
          <c:spPr>
            <a:solidFill>
              <a:srgbClr val="FFFF00"/>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Foglio1!$FZ$3:$FZ$15</c:f>
              <c:numCache>
                <c:formatCode>General</c:formatCode>
                <c:ptCount val="13"/>
                <c:pt idx="0">
                  <c:v>1</c:v>
                </c:pt>
                <c:pt idx="1">
                  <c:v>0</c:v>
                </c:pt>
                <c:pt idx="2">
                  <c:v>2</c:v>
                </c:pt>
                <c:pt idx="3">
                  <c:v>1</c:v>
                </c:pt>
                <c:pt idx="4">
                  <c:v>1</c:v>
                </c:pt>
                <c:pt idx="5">
                  <c:v>0</c:v>
                </c:pt>
                <c:pt idx="6">
                  <c:v>0</c:v>
                </c:pt>
                <c:pt idx="7">
                  <c:v>0</c:v>
                </c:pt>
                <c:pt idx="8">
                  <c:v>0</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DF5D-E24B-B37D-192F0465D400}"/>
            </c:ext>
          </c:extLst>
        </c:ser>
        <c:ser>
          <c:idx val="4"/>
          <c:order val="4"/>
          <c:spPr>
            <a:solidFill>
              <a:schemeClr val="accent5"/>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Foglio1!$GA$3:$GA$15</c:f>
              <c:numCache>
                <c:formatCode>General</c:formatCode>
                <c:ptCount val="13"/>
                <c:pt idx="0">
                  <c:v>0</c:v>
                </c:pt>
                <c:pt idx="1">
                  <c:v>0</c:v>
                </c:pt>
                <c:pt idx="2">
                  <c:v>0</c:v>
                </c:pt>
                <c:pt idx="3">
                  <c:v>0</c:v>
                </c:pt>
                <c:pt idx="4">
                  <c:v>0</c:v>
                </c:pt>
                <c:pt idx="5">
                  <c:v>0</c:v>
                </c:pt>
                <c:pt idx="6">
                  <c:v>0</c:v>
                </c:pt>
                <c:pt idx="7">
                  <c:v>0</c:v>
                </c:pt>
                <c:pt idx="8">
                  <c:v>1</c:v>
                </c:pt>
                <c:pt idx="9">
                  <c:v>0</c:v>
                </c:pt>
                <c:pt idx="10">
                  <c:v>0</c:v>
                </c:pt>
                <c:pt idx="11">
                  <c:v>1</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DF5D-E24B-B37D-192F0465D400}"/>
            </c:ext>
          </c:extLst>
        </c:ser>
        <c:ser>
          <c:idx val="5"/>
          <c:order val="5"/>
          <c:spPr>
            <a:solidFill>
              <a:schemeClr val="bg2">
                <a:lumMod val="5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Foglio1!$GB$3:$GB$15</c:f>
              <c:numCache>
                <c:formatCode>General</c:formatCode>
                <c:ptCount val="13"/>
                <c:pt idx="0">
                  <c:v>0</c:v>
                </c:pt>
                <c:pt idx="1">
                  <c:v>3</c:v>
                </c:pt>
                <c:pt idx="2">
                  <c:v>2</c:v>
                </c:pt>
                <c:pt idx="3">
                  <c:v>1</c:v>
                </c:pt>
                <c:pt idx="4">
                  <c:v>2</c:v>
                </c:pt>
                <c:pt idx="5">
                  <c:v>3</c:v>
                </c:pt>
                <c:pt idx="6">
                  <c:v>0</c:v>
                </c:pt>
                <c:pt idx="7">
                  <c:v>0</c:v>
                </c:pt>
                <c:pt idx="8">
                  <c:v>2</c:v>
                </c:pt>
                <c:pt idx="9">
                  <c:v>3</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5-DF5D-E24B-B37D-192F0465D400}"/>
            </c:ext>
          </c:extLst>
        </c:ser>
        <c:ser>
          <c:idx val="6"/>
          <c:order val="6"/>
          <c:spPr>
            <a:solidFill>
              <a:schemeClr val="accent1">
                <a:lumMod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Foglio1!$GC$3:$GC$15</c:f>
              <c:numCache>
                <c:formatCode>General</c:formatCode>
                <c:ptCount val="13"/>
                <c:pt idx="0">
                  <c:v>0</c:v>
                </c:pt>
                <c:pt idx="1">
                  <c:v>0</c:v>
                </c:pt>
                <c:pt idx="2">
                  <c:v>2</c:v>
                </c:pt>
                <c:pt idx="3">
                  <c:v>0</c:v>
                </c:pt>
                <c:pt idx="4">
                  <c:v>0</c:v>
                </c:pt>
                <c:pt idx="5">
                  <c:v>1</c:v>
                </c:pt>
                <c:pt idx="6">
                  <c:v>1</c:v>
                </c:pt>
                <c:pt idx="7">
                  <c:v>1</c:v>
                </c:pt>
                <c:pt idx="8">
                  <c:v>0</c:v>
                </c:pt>
                <c:pt idx="9">
                  <c:v>1</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6-DF5D-E24B-B37D-192F0465D400}"/>
            </c:ext>
          </c:extLst>
        </c:ser>
        <c:ser>
          <c:idx val="7"/>
          <c:order val="7"/>
          <c:spPr>
            <a:solidFill>
              <a:schemeClr val="accent2">
                <a:lumMod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Foglio1!$GD$3:$GD$15</c:f>
              <c:numCache>
                <c:formatCode>General</c:formatCode>
                <c:ptCount val="13"/>
                <c:pt idx="0">
                  <c:v>0</c:v>
                </c:pt>
                <c:pt idx="1">
                  <c:v>0</c:v>
                </c:pt>
                <c:pt idx="2">
                  <c:v>0</c:v>
                </c:pt>
                <c:pt idx="3">
                  <c:v>0</c:v>
                </c:pt>
                <c:pt idx="4">
                  <c:v>1</c:v>
                </c:pt>
                <c:pt idx="5">
                  <c:v>0</c:v>
                </c:pt>
                <c:pt idx="6">
                  <c:v>0</c:v>
                </c:pt>
                <c:pt idx="7">
                  <c:v>0</c:v>
                </c:pt>
                <c:pt idx="8">
                  <c:v>1</c:v>
                </c:pt>
                <c:pt idx="9">
                  <c:v>0</c:v>
                </c:pt>
                <c:pt idx="10">
                  <c:v>2</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7-DF5D-E24B-B37D-192F0465D400}"/>
            </c:ext>
          </c:extLst>
        </c:ser>
        <c:ser>
          <c:idx val="8"/>
          <c:order val="8"/>
          <c:spPr>
            <a:solidFill>
              <a:schemeClr val="tx2">
                <a:lumMod val="10000"/>
                <a:lumOff val="9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Foglio1!$GE$3:$GE$15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8-DF5D-E24B-B37D-192F0465D400}"/>
            </c:ext>
          </c:extLst>
        </c:ser>
        <c:ser>
          <c:idx val="9"/>
          <c:order val="9"/>
          <c:spPr>
            <a:solidFill>
              <a:schemeClr val="accent3">
                <a:lumMod val="40000"/>
                <a:lumOff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Foglio1!$GF$3:$GF$15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9-DF5D-E24B-B37D-192F0465D400}"/>
            </c:ext>
          </c:extLst>
        </c:ser>
        <c:ser>
          <c:idx val="2"/>
          <c:order val="10"/>
          <c:spPr>
            <a:solidFill>
              <a:srgbClr val="0070C0"/>
            </a:solidFill>
            <a:ln>
              <a:noFill/>
            </a:ln>
            <a:effectLst/>
          </c:spPr>
          <c:invertIfNegative val="0"/>
          <c:val>
            <c:numRef>
              <c:f>Foglio1!$GQ$3:$GQ$15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617F-8D4D-B468-110A7D44495D}"/>
            </c:ext>
          </c:extLst>
        </c:ser>
        <c:ser>
          <c:idx val="19"/>
          <c:order val="11"/>
          <c:spPr>
            <a:solidFill>
              <a:schemeClr val="accent2">
                <a:lumMod val="80000"/>
              </a:schemeClr>
            </a:solidFill>
            <a:ln w="25400">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Foglio1!$GP$3:$GP$15</c:f>
              <c:numCache>
                <c:formatCode>General</c:formatCode>
                <c:ptCount val="13"/>
                <c:pt idx="0">
                  <c:v>0</c:v>
                </c:pt>
                <c:pt idx="1">
                  <c:v>0</c:v>
                </c:pt>
                <c:pt idx="2">
                  <c:v>0</c:v>
                </c:pt>
                <c:pt idx="3">
                  <c:v>0</c:v>
                </c:pt>
                <c:pt idx="4">
                  <c:v>0</c:v>
                </c:pt>
                <c:pt idx="5">
                  <c:v>1</c:v>
                </c:pt>
                <c:pt idx="6">
                  <c:v>2</c:v>
                </c:pt>
                <c:pt idx="7">
                  <c:v>1</c:v>
                </c:pt>
                <c:pt idx="8">
                  <c:v>1</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13-DF5D-E24B-B37D-192F0465D400}"/>
            </c:ext>
          </c:extLst>
        </c:ser>
        <c:ser>
          <c:idx val="11"/>
          <c:order val="12"/>
          <c:spPr>
            <a:solidFill>
              <a:schemeClr val="accent6">
                <a:lumMod val="60000"/>
              </a:schemeClr>
            </a:solidFill>
            <a:ln>
              <a:noFill/>
            </a:ln>
            <a:effectLst/>
          </c:spPr>
          <c:invertIfNegative val="0"/>
          <c:val>
            <c:numLit>
              <c:formatCode>General</c:formatCode>
              <c:ptCount val="1"/>
              <c:pt idx="0">
                <c:v>1</c:v>
              </c:pt>
            </c:numLit>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617F-8D4D-B468-110A7D44495D}"/>
            </c:ext>
          </c:extLst>
        </c:ser>
        <c:dLbls>
          <c:showLegendKey val="0"/>
          <c:showVal val="0"/>
          <c:showCatName val="0"/>
          <c:showSerName val="0"/>
          <c:showPercent val="0"/>
          <c:showBubbleSize val="0"/>
        </c:dLbls>
        <c:gapWidth val="150"/>
        <c:overlap val="100"/>
        <c:axId val="2122274047"/>
        <c:axId val="2119059199"/>
      </c:barChart>
      <c:catAx>
        <c:axId val="212227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059199"/>
        <c:crosses val="autoZero"/>
        <c:auto val="1"/>
        <c:lblAlgn val="ctr"/>
        <c:lblOffset val="100"/>
        <c:noMultiLvlLbl val="0"/>
      </c:catAx>
      <c:valAx>
        <c:axId val="211905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2274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Foglio1!$FW$71</c:f>
              <c:strCache>
                <c:ptCount val="1"/>
                <c:pt idx="0">
                  <c:v>search-based</c:v>
                </c:pt>
              </c:strCache>
            </c:strRef>
          </c:tx>
          <c:spPr>
            <a:solidFill>
              <a:schemeClr val="accent1"/>
            </a:solidFill>
            <a:ln>
              <a:noFill/>
            </a:ln>
            <a:effectLst/>
          </c:spPr>
          <c:invertIfNegative val="0"/>
          <c:cat>
            <c:numRef>
              <c:f>Foglio1!$FV$72:$FV$84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Foglio1!$FW$72:$FW$84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1</c:v>
                </c:pt>
                <c:pt idx="12">
                  <c:v>0</c:v>
                </c:pt>
              </c:numCache>
            </c:numRef>
          </c:val>
          <c:extLst>
            <c:ext xmlns:c16="http://schemas.microsoft.com/office/drawing/2014/chart" uri="{C3380CC4-5D6E-409C-BE32-E72D297353CC}">
              <c16:uniqueId val="{00000000-FAE0-C945-AA1A-13B1C419CD8F}"/>
            </c:ext>
          </c:extLst>
        </c:ser>
        <c:ser>
          <c:idx val="1"/>
          <c:order val="1"/>
          <c:tx>
            <c:strRef>
              <c:f>Foglio1!$FX$71</c:f>
              <c:strCache>
                <c:ptCount val="1"/>
                <c:pt idx="0">
                  <c:v>others</c:v>
                </c:pt>
              </c:strCache>
            </c:strRef>
          </c:tx>
          <c:spPr>
            <a:solidFill>
              <a:schemeClr val="accent2"/>
            </a:solidFill>
            <a:ln>
              <a:noFill/>
            </a:ln>
            <a:effectLst/>
          </c:spPr>
          <c:invertIfNegative val="0"/>
          <c:cat>
            <c:numRef>
              <c:f>Foglio1!$FV$72:$FV$84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Foglio1!$FX$72:$FX$84</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1-FAE0-C945-AA1A-13B1C419CD8F}"/>
            </c:ext>
          </c:extLst>
        </c:ser>
        <c:dLbls>
          <c:showLegendKey val="0"/>
          <c:showVal val="0"/>
          <c:showCatName val="0"/>
          <c:showSerName val="0"/>
          <c:showPercent val="0"/>
          <c:showBubbleSize val="0"/>
        </c:dLbls>
        <c:gapWidth val="219"/>
        <c:overlap val="100"/>
        <c:axId val="2120368575"/>
        <c:axId val="2120376191"/>
      </c:barChart>
      <c:catAx>
        <c:axId val="21203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76191"/>
        <c:crosses val="autoZero"/>
        <c:auto val="1"/>
        <c:lblAlgn val="ctr"/>
        <c:lblOffset val="100"/>
        <c:noMultiLvlLbl val="0"/>
      </c:catAx>
      <c:valAx>
        <c:axId val="212037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68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Foglio1!$HA$2</c:f>
              <c:strCache>
                <c:ptCount val="1"/>
                <c:pt idx="0">
                  <c:v>Metaheuristic-based</c:v>
                </c:pt>
              </c:strCache>
            </c:strRef>
          </c:tx>
          <c:spPr>
            <a:solidFill>
              <a:srgbClr val="C000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Foglio1!$HA$3:$HA$15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9D55-F84B-9F0B-59C0B3C9B761}"/>
            </c:ext>
          </c:extLst>
        </c:ser>
        <c:ser>
          <c:idx val="1"/>
          <c:order val="1"/>
          <c:tx>
            <c:strRef>
              <c:f>Foglio1!$HB$2</c:f>
              <c:strCache>
                <c:ptCount val="1"/>
                <c:pt idx="0">
                  <c:v>Search-based</c:v>
                </c:pt>
              </c:strCache>
            </c:strRef>
          </c:tx>
          <c:spPr>
            <a:solidFill>
              <a:srgbClr val="FF00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Foglio1!$HB$3:$HB$15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9D55-F84B-9F0B-59C0B3C9B761}"/>
            </c:ext>
          </c:extLst>
        </c:ser>
        <c:ser>
          <c:idx val="2"/>
          <c:order val="2"/>
          <c:tx>
            <c:strRef>
              <c:f>Foglio1!$HC$2</c:f>
              <c:strCache>
                <c:ptCount val="1"/>
                <c:pt idx="0">
                  <c:v>Heuristic-based</c:v>
                </c:pt>
              </c:strCache>
            </c:strRef>
          </c:tx>
          <c:spPr>
            <a:solidFill>
              <a:schemeClr val="accent3"/>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Foglio1!$HC$3:$HC$15</c:f>
              <c:numCache>
                <c:formatCode>General</c:formatCode>
                <c:ptCount val="13"/>
                <c:pt idx="0">
                  <c:v>3</c:v>
                </c:pt>
                <c:pt idx="1">
                  <c:v>4</c:v>
                </c:pt>
                <c:pt idx="2">
                  <c:v>6</c:v>
                </c:pt>
                <c:pt idx="3">
                  <c:v>4</c:v>
                </c:pt>
                <c:pt idx="4">
                  <c:v>3</c:v>
                </c:pt>
                <c:pt idx="5">
                  <c:v>3</c:v>
                </c:pt>
                <c:pt idx="6">
                  <c:v>6</c:v>
                </c:pt>
                <c:pt idx="7">
                  <c:v>2</c:v>
                </c:pt>
                <c:pt idx="8">
                  <c:v>3</c:v>
                </c:pt>
                <c:pt idx="9">
                  <c:v>8</c:v>
                </c:pt>
                <c:pt idx="10">
                  <c:v>5</c:v>
                </c:pt>
                <c:pt idx="11">
                  <c:v>4</c:v>
                </c:pt>
                <c:pt idx="12">
                  <c:v>0</c:v>
                </c:pt>
              </c:numCache>
            </c:numRef>
          </c:val>
          <c:extLst>
            <c:ext xmlns:c16="http://schemas.microsoft.com/office/drawing/2014/chart" uri="{C3380CC4-5D6E-409C-BE32-E72D297353CC}">
              <c16:uniqueId val="{00000002-9D55-F84B-9F0B-59C0B3C9B761}"/>
            </c:ext>
          </c:extLst>
        </c:ser>
        <c:ser>
          <c:idx val="3"/>
          <c:order val="3"/>
          <c:tx>
            <c:strRef>
              <c:f>Foglio1!$HD$2</c:f>
              <c:strCache>
                <c:ptCount val="1"/>
                <c:pt idx="0">
                  <c:v>Machine Learning-based</c:v>
                </c:pt>
              </c:strCache>
            </c:strRef>
          </c:tx>
          <c:spPr>
            <a:solidFill>
              <a:srgbClr val="FFFF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Foglio1!$HD$3:$HD$15</c:f>
              <c:numCache>
                <c:formatCode>General</c:formatCode>
                <c:ptCount val="13"/>
                <c:pt idx="0">
                  <c:v>1</c:v>
                </c:pt>
                <c:pt idx="1">
                  <c:v>1</c:v>
                </c:pt>
                <c:pt idx="2">
                  <c:v>2</c:v>
                </c:pt>
                <c:pt idx="3">
                  <c:v>1</c:v>
                </c:pt>
                <c:pt idx="4">
                  <c:v>1</c:v>
                </c:pt>
                <c:pt idx="5">
                  <c:v>2</c:v>
                </c:pt>
                <c:pt idx="6">
                  <c:v>0</c:v>
                </c:pt>
                <c:pt idx="7">
                  <c:v>2</c:v>
                </c:pt>
                <c:pt idx="8">
                  <c:v>3</c:v>
                </c:pt>
                <c:pt idx="9">
                  <c:v>5</c:v>
                </c:pt>
                <c:pt idx="10">
                  <c:v>2</c:v>
                </c:pt>
                <c:pt idx="11">
                  <c:v>2</c:v>
                </c:pt>
                <c:pt idx="12">
                  <c:v>0</c:v>
                </c:pt>
              </c:numCache>
            </c:numRef>
          </c:val>
          <c:extLst>
            <c:ext xmlns:c16="http://schemas.microsoft.com/office/drawing/2014/chart" uri="{C3380CC4-5D6E-409C-BE32-E72D297353CC}">
              <c16:uniqueId val="{00000003-9D55-F84B-9F0B-59C0B3C9B761}"/>
            </c:ext>
          </c:extLst>
        </c:ser>
        <c:ser>
          <c:idx val="4"/>
          <c:order val="4"/>
          <c:tx>
            <c:strRef>
              <c:f>Foglio1!$HE$2</c:f>
              <c:strCache>
                <c:ptCount val="1"/>
                <c:pt idx="0">
                  <c:v>Rule-based</c:v>
                </c:pt>
              </c:strCache>
            </c:strRef>
          </c:tx>
          <c:spPr>
            <a:solidFill>
              <a:schemeClr val="accent5"/>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Foglio1!$HE$3:$HE$15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9D55-F84B-9F0B-59C0B3C9B761}"/>
            </c:ext>
          </c:extLst>
        </c:ser>
        <c:ser>
          <c:idx val="5"/>
          <c:order val="5"/>
          <c:tx>
            <c:strRef>
              <c:f>Foglio1!$HF$2</c:f>
              <c:strCache>
                <c:ptCount val="1"/>
                <c:pt idx="0">
                  <c:v>Similarity-based</c:v>
                </c:pt>
              </c:strCache>
            </c:strRef>
          </c:tx>
          <c:spPr>
            <a:solidFill>
              <a:schemeClr val="accent1">
                <a:lumMod val="40000"/>
                <a:lumOff val="60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Foglio1!$HF$3:$HF$15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9D55-F84B-9F0B-59C0B3C9B761}"/>
            </c:ext>
          </c:extLst>
        </c:ser>
        <c:ser>
          <c:idx val="6"/>
          <c:order val="6"/>
          <c:tx>
            <c:strRef>
              <c:f>Foglio1!$HG$2</c:f>
              <c:strCache>
                <c:ptCount val="1"/>
                <c:pt idx="0">
                  <c:v>Model-based</c:v>
                </c:pt>
              </c:strCache>
            </c:strRef>
          </c:tx>
          <c:spPr>
            <a:solidFill>
              <a:schemeClr val="tx1"/>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Foglio1!$HG$3:$HG$15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9D55-F84B-9F0B-59C0B3C9B761}"/>
            </c:ext>
          </c:extLst>
        </c:ser>
        <c:ser>
          <c:idx val="7"/>
          <c:order val="7"/>
          <c:tx>
            <c:strRef>
              <c:f>Foglio1!$HH$2</c:f>
              <c:strCache>
                <c:ptCount val="1"/>
                <c:pt idx="0">
                  <c:v>Dependency-based</c:v>
                </c:pt>
              </c:strCache>
            </c:strRef>
          </c:tx>
          <c:spPr>
            <a:solidFill>
              <a:schemeClr val="accent2"/>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Foglio1!$HH$3:$HH$15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9D55-F84B-9F0B-59C0B3C9B761}"/>
            </c:ext>
          </c:extLst>
        </c:ser>
        <c:ser>
          <c:idx val="8"/>
          <c:order val="8"/>
          <c:tx>
            <c:strRef>
              <c:f>Foglio1!$HI$2</c:f>
              <c:strCache>
                <c:ptCount val="1"/>
                <c:pt idx="0">
                  <c:v>Quantum-based</c:v>
                </c:pt>
              </c:strCache>
            </c:strRef>
          </c:tx>
          <c:spPr>
            <a:solidFill>
              <a:schemeClr val="accent3">
                <a:lumMod val="40000"/>
                <a:lumOff val="60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Foglio1!$HI$3:$HI$15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9D55-F84B-9F0B-59C0B3C9B761}"/>
            </c:ext>
          </c:extLst>
        </c:ser>
        <c:ser>
          <c:idx val="9"/>
          <c:order val="9"/>
          <c:tx>
            <c:strRef>
              <c:f>Foglio1!$HJ$2</c:f>
              <c:strCache>
                <c:ptCount val="1"/>
                <c:pt idx="0">
                  <c:v>Genetic-based</c:v>
                </c:pt>
              </c:strCache>
            </c:strRef>
          </c:tx>
          <c:spPr>
            <a:solidFill>
              <a:srgbClr val="0070C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Foglio1!$HJ$3:$HJ$15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9D55-F84B-9F0B-59C0B3C9B761}"/>
            </c:ext>
          </c:extLst>
        </c:ser>
        <c:ser>
          <c:idx val="10"/>
          <c:order val="10"/>
          <c:tx>
            <c:strRef>
              <c:f>Foglio1!$HK$2</c:f>
              <c:strCache>
                <c:ptCount val="1"/>
                <c:pt idx="0">
                  <c:v>Graph-based</c:v>
                </c:pt>
              </c:strCache>
            </c:strRef>
          </c:tx>
          <c:spPr>
            <a:solidFill>
              <a:schemeClr val="bg1">
                <a:lumMod val="85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Foglio1!$HK$3:$HK$15</c:f>
              <c:numCache>
                <c:formatCode>General</c:formatCode>
                <c:ptCount val="13"/>
                <c:pt idx="0">
                  <c:v>0</c:v>
                </c:pt>
                <c:pt idx="1">
                  <c:v>0</c:v>
                </c:pt>
                <c:pt idx="2">
                  <c:v>0</c:v>
                </c:pt>
                <c:pt idx="3">
                  <c:v>0</c:v>
                </c:pt>
                <c:pt idx="4">
                  <c:v>0</c:v>
                </c:pt>
                <c:pt idx="5">
                  <c:v>3</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A-9D55-F84B-9F0B-59C0B3C9B761}"/>
            </c:ext>
          </c:extLst>
        </c:ser>
        <c:ser>
          <c:idx val="11"/>
          <c:order val="11"/>
          <c:tx>
            <c:strRef>
              <c:f>Foglio1!$HL$2</c:f>
              <c:strCache>
                <c:ptCount val="1"/>
                <c:pt idx="0">
                  <c:v>Greedy</c:v>
                </c:pt>
              </c:strCache>
            </c:strRef>
          </c:tx>
          <c:spPr>
            <a:solidFill>
              <a:srgbClr val="92D05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Foglio1!$HL$3:$HL$15</c:f>
              <c:numCache>
                <c:formatCode>General</c:formatCode>
                <c:ptCount val="13"/>
                <c:pt idx="0">
                  <c:v>0</c:v>
                </c:pt>
                <c:pt idx="1">
                  <c:v>0</c:v>
                </c:pt>
                <c:pt idx="2">
                  <c:v>1</c:v>
                </c:pt>
                <c:pt idx="3">
                  <c:v>3</c:v>
                </c:pt>
                <c:pt idx="4">
                  <c:v>2</c:v>
                </c:pt>
                <c:pt idx="5">
                  <c:v>0</c:v>
                </c:pt>
                <c:pt idx="6">
                  <c:v>5</c:v>
                </c:pt>
                <c:pt idx="7">
                  <c:v>2</c:v>
                </c:pt>
                <c:pt idx="8">
                  <c:v>0</c:v>
                </c:pt>
                <c:pt idx="9">
                  <c:v>4</c:v>
                </c:pt>
                <c:pt idx="10">
                  <c:v>0</c:v>
                </c:pt>
                <c:pt idx="11">
                  <c:v>0</c:v>
                </c:pt>
                <c:pt idx="12">
                  <c:v>0</c:v>
                </c:pt>
              </c:numCache>
            </c:numRef>
          </c:val>
          <c:extLst>
            <c:ext xmlns:c16="http://schemas.microsoft.com/office/drawing/2014/chart" uri="{C3380CC4-5D6E-409C-BE32-E72D297353CC}">
              <c16:uniqueId val="{0000000B-9D55-F84B-9F0B-59C0B3C9B761}"/>
            </c:ext>
          </c:extLst>
        </c:ser>
        <c:ser>
          <c:idx val="12"/>
          <c:order val="12"/>
          <c:tx>
            <c:strRef>
              <c:f>Foglio1!$HM$2</c:f>
              <c:strCache>
                <c:ptCount val="1"/>
                <c:pt idx="0">
                  <c:v>Dynamic Programming</c:v>
                </c:pt>
              </c:strCache>
            </c:strRef>
          </c:tx>
          <c:spPr>
            <a:solidFill>
              <a:schemeClr val="accent2"/>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Foglio1!$HM$3:$HM$15</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9D55-F84B-9F0B-59C0B3C9B761}"/>
            </c:ext>
          </c:extLst>
        </c:ser>
        <c:dLbls>
          <c:showLegendKey val="0"/>
          <c:showVal val="0"/>
          <c:showCatName val="0"/>
          <c:showSerName val="0"/>
          <c:showPercent val="0"/>
          <c:showBubbleSize val="0"/>
        </c:dLbls>
        <c:gapWidth val="150"/>
        <c:overlap val="100"/>
        <c:axId val="1992849407"/>
        <c:axId val="2119875903"/>
      </c:barChart>
      <c:catAx>
        <c:axId val="1992849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875903"/>
        <c:crosses val="autoZero"/>
        <c:auto val="1"/>
        <c:lblAlgn val="ctr"/>
        <c:lblOffset val="100"/>
        <c:noMultiLvlLbl val="0"/>
      </c:catAx>
      <c:valAx>
        <c:axId val="211987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992849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Foglio1!$HA$19</c:f>
              <c:strCache>
                <c:ptCount val="1"/>
                <c:pt idx="0">
                  <c:v>Metaheuristic-based</c:v>
                </c:pt>
              </c:strCache>
            </c:strRef>
          </c:tx>
          <c:spPr>
            <a:solidFill>
              <a:schemeClr val="accent1"/>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Foglio1!$HA$20:$HA$32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0427-2746-81FF-42B0293698A3}"/>
            </c:ext>
          </c:extLst>
        </c:ser>
        <c:ser>
          <c:idx val="1"/>
          <c:order val="1"/>
          <c:tx>
            <c:strRef>
              <c:f>Foglio1!$HB$19</c:f>
              <c:strCache>
                <c:ptCount val="1"/>
                <c:pt idx="0">
                  <c:v>Search-based</c:v>
                </c:pt>
              </c:strCache>
            </c:strRef>
          </c:tx>
          <c:spPr>
            <a:solidFill>
              <a:schemeClr val="accent2"/>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Foglio1!$HB$20:$HB$32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0427-2746-81FF-42B0293698A3}"/>
            </c:ext>
          </c:extLst>
        </c:ser>
        <c:ser>
          <c:idx val="2"/>
          <c:order val="2"/>
          <c:tx>
            <c:strRef>
              <c:f>Foglio1!$HC$19</c:f>
              <c:strCache>
                <c:ptCount val="1"/>
                <c:pt idx="0">
                  <c:v>Heuristic-based</c:v>
                </c:pt>
              </c:strCache>
            </c:strRef>
          </c:tx>
          <c:spPr>
            <a:solidFill>
              <a:schemeClr val="accent3"/>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Foglio1!$HC$20:$HC$32</c:f>
              <c:numCache>
                <c:formatCode>General</c:formatCode>
                <c:ptCount val="13"/>
                <c:pt idx="0">
                  <c:v>2</c:v>
                </c:pt>
                <c:pt idx="1">
                  <c:v>2</c:v>
                </c:pt>
                <c:pt idx="2">
                  <c:v>0</c:v>
                </c:pt>
                <c:pt idx="3">
                  <c:v>1</c:v>
                </c:pt>
                <c:pt idx="4">
                  <c:v>2</c:v>
                </c:pt>
                <c:pt idx="5">
                  <c:v>3</c:v>
                </c:pt>
                <c:pt idx="6">
                  <c:v>1</c:v>
                </c:pt>
                <c:pt idx="7">
                  <c:v>2</c:v>
                </c:pt>
                <c:pt idx="8">
                  <c:v>0</c:v>
                </c:pt>
                <c:pt idx="9">
                  <c:v>1</c:v>
                </c:pt>
                <c:pt idx="10">
                  <c:v>0</c:v>
                </c:pt>
                <c:pt idx="11">
                  <c:v>1</c:v>
                </c:pt>
                <c:pt idx="12">
                  <c:v>0</c:v>
                </c:pt>
              </c:numCache>
            </c:numRef>
          </c:val>
          <c:extLst>
            <c:ext xmlns:c16="http://schemas.microsoft.com/office/drawing/2014/chart" uri="{C3380CC4-5D6E-409C-BE32-E72D297353CC}">
              <c16:uniqueId val="{00000002-0427-2746-81FF-42B0293698A3}"/>
            </c:ext>
          </c:extLst>
        </c:ser>
        <c:ser>
          <c:idx val="3"/>
          <c:order val="3"/>
          <c:tx>
            <c:strRef>
              <c:f>Foglio1!$HD$19</c:f>
              <c:strCache>
                <c:ptCount val="1"/>
                <c:pt idx="0">
                  <c:v>ML-based</c:v>
                </c:pt>
              </c:strCache>
            </c:strRef>
          </c:tx>
          <c:spPr>
            <a:solidFill>
              <a:srgbClr val="FF0000"/>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Foglio1!$HD$20:$HD$32</c:f>
              <c:numCache>
                <c:formatCode>General</c:formatCode>
                <c:ptCount val="13"/>
                <c:pt idx="0">
                  <c:v>0</c:v>
                </c:pt>
                <c:pt idx="1">
                  <c:v>0</c:v>
                </c:pt>
                <c:pt idx="2">
                  <c:v>0</c:v>
                </c:pt>
                <c:pt idx="3">
                  <c:v>0</c:v>
                </c:pt>
                <c:pt idx="4">
                  <c:v>1</c:v>
                </c:pt>
                <c:pt idx="5">
                  <c:v>0</c:v>
                </c:pt>
                <c:pt idx="6">
                  <c:v>0</c:v>
                </c:pt>
                <c:pt idx="7">
                  <c:v>0</c:v>
                </c:pt>
                <c:pt idx="8">
                  <c:v>1</c:v>
                </c:pt>
                <c:pt idx="9">
                  <c:v>0</c:v>
                </c:pt>
                <c:pt idx="10">
                  <c:v>0</c:v>
                </c:pt>
                <c:pt idx="11">
                  <c:v>0</c:v>
                </c:pt>
                <c:pt idx="12">
                  <c:v>0</c:v>
                </c:pt>
              </c:numCache>
            </c:numRef>
          </c:val>
          <c:extLst>
            <c:ext xmlns:c16="http://schemas.microsoft.com/office/drawing/2014/chart" uri="{C3380CC4-5D6E-409C-BE32-E72D297353CC}">
              <c16:uniqueId val="{00000003-0427-2746-81FF-42B0293698A3}"/>
            </c:ext>
          </c:extLst>
        </c:ser>
        <c:ser>
          <c:idx val="4"/>
          <c:order val="4"/>
          <c:tx>
            <c:strRef>
              <c:f>Foglio1!$HE$19</c:f>
              <c:strCache>
                <c:ptCount val="1"/>
                <c:pt idx="0">
                  <c:v>Rule-based</c:v>
                </c:pt>
              </c:strCache>
            </c:strRef>
          </c:tx>
          <c:spPr>
            <a:solidFill>
              <a:schemeClr val="accent5"/>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Foglio1!$HE$20:$HE$32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0427-2746-81FF-42B0293698A3}"/>
            </c:ext>
          </c:extLst>
        </c:ser>
        <c:ser>
          <c:idx val="5"/>
          <c:order val="5"/>
          <c:tx>
            <c:strRef>
              <c:f>Foglio1!$HF$19</c:f>
              <c:strCache>
                <c:ptCount val="1"/>
                <c:pt idx="0">
                  <c:v>Similarity-based</c:v>
                </c:pt>
              </c:strCache>
            </c:strRef>
          </c:tx>
          <c:spPr>
            <a:solidFill>
              <a:schemeClr val="accent6"/>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Foglio1!$HF$20:$HF$32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0427-2746-81FF-42B0293698A3}"/>
            </c:ext>
          </c:extLst>
        </c:ser>
        <c:ser>
          <c:idx val="6"/>
          <c:order val="6"/>
          <c:tx>
            <c:strRef>
              <c:f>Foglio1!$HG$19</c:f>
              <c:strCache>
                <c:ptCount val="1"/>
                <c:pt idx="0">
                  <c:v>Model-based</c:v>
                </c:pt>
              </c:strCache>
            </c:strRef>
          </c:tx>
          <c:spPr>
            <a:solidFill>
              <a:schemeClr val="accent1">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Foglio1!$HG$20:$HG$32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0427-2746-81FF-42B0293698A3}"/>
            </c:ext>
          </c:extLst>
        </c:ser>
        <c:ser>
          <c:idx val="7"/>
          <c:order val="7"/>
          <c:tx>
            <c:strRef>
              <c:f>Foglio1!$HH$19</c:f>
              <c:strCache>
                <c:ptCount val="1"/>
                <c:pt idx="0">
                  <c:v>Dependency-based</c:v>
                </c:pt>
              </c:strCache>
            </c:strRef>
          </c:tx>
          <c:spPr>
            <a:solidFill>
              <a:schemeClr val="accent2">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Foglio1!$HH$20:$HH$32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0427-2746-81FF-42B0293698A3}"/>
            </c:ext>
          </c:extLst>
        </c:ser>
        <c:ser>
          <c:idx val="8"/>
          <c:order val="8"/>
          <c:tx>
            <c:strRef>
              <c:f>Foglio1!$HI$19</c:f>
              <c:strCache>
                <c:ptCount val="1"/>
                <c:pt idx="0">
                  <c:v>Quantum-based</c:v>
                </c:pt>
              </c:strCache>
            </c:strRef>
          </c:tx>
          <c:spPr>
            <a:solidFill>
              <a:schemeClr val="tx1"/>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Foglio1!$HI$20:$HI$32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0427-2746-81FF-42B0293698A3}"/>
            </c:ext>
          </c:extLst>
        </c:ser>
        <c:ser>
          <c:idx val="9"/>
          <c:order val="9"/>
          <c:tx>
            <c:strRef>
              <c:f>Foglio1!$HJ$19</c:f>
              <c:strCache>
                <c:ptCount val="1"/>
                <c:pt idx="0">
                  <c:v>Genetic Algorithm</c:v>
                </c:pt>
              </c:strCache>
            </c:strRef>
          </c:tx>
          <c:spPr>
            <a:solidFill>
              <a:schemeClr val="accent4">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Foglio1!$HJ$20:$HJ$32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0427-2746-81FF-42B0293698A3}"/>
            </c:ext>
          </c:extLst>
        </c:ser>
        <c:ser>
          <c:idx val="10"/>
          <c:order val="10"/>
          <c:tx>
            <c:strRef>
              <c:f>Foglio1!$HK$19</c:f>
              <c:strCache>
                <c:ptCount val="1"/>
                <c:pt idx="0">
                  <c:v>Graph-based</c:v>
                </c:pt>
              </c:strCache>
            </c:strRef>
          </c:tx>
          <c:spPr>
            <a:solidFill>
              <a:schemeClr val="tx2">
                <a:lumMod val="25000"/>
                <a:lumOff val="75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Foglio1!$HK$20:$HK$32</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1</c:v>
                </c:pt>
              </c:numCache>
            </c:numRef>
          </c:val>
          <c:extLst>
            <c:ext xmlns:c16="http://schemas.microsoft.com/office/drawing/2014/chart" uri="{C3380CC4-5D6E-409C-BE32-E72D297353CC}">
              <c16:uniqueId val="{0000000A-0427-2746-81FF-42B0293698A3}"/>
            </c:ext>
          </c:extLst>
        </c:ser>
        <c:ser>
          <c:idx val="11"/>
          <c:order val="11"/>
          <c:tx>
            <c:strRef>
              <c:f>Foglio1!$HL$19</c:f>
              <c:strCache>
                <c:ptCount val="1"/>
                <c:pt idx="0">
                  <c:v>Greedy Algorithm</c:v>
                </c:pt>
              </c:strCache>
            </c:strRef>
          </c:tx>
          <c:spPr>
            <a:solidFill>
              <a:schemeClr val="accent6">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Foglio1!$HL$20:$HL$32</c:f>
              <c:numCache>
                <c:formatCode>General</c:formatCode>
                <c:ptCount val="13"/>
                <c:pt idx="0">
                  <c:v>0</c:v>
                </c:pt>
                <c:pt idx="1">
                  <c:v>1</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0427-2746-81FF-42B0293698A3}"/>
            </c:ext>
          </c:extLst>
        </c:ser>
        <c:ser>
          <c:idx val="12"/>
          <c:order val="12"/>
          <c:tx>
            <c:strRef>
              <c:f>Foglio1!$HM$19</c:f>
              <c:strCache>
                <c:ptCount val="1"/>
                <c:pt idx="0">
                  <c:v>Dynamic Programming</c:v>
                </c:pt>
              </c:strCache>
            </c:strRef>
          </c:tx>
          <c:spPr>
            <a:solidFill>
              <a:srgbClr val="FFFF00"/>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Foglio1!$HM$20:$HM$32</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0427-2746-81FF-42B0293698A3}"/>
            </c:ext>
          </c:extLst>
        </c:ser>
        <c:dLbls>
          <c:showLegendKey val="0"/>
          <c:showVal val="0"/>
          <c:showCatName val="0"/>
          <c:showSerName val="0"/>
          <c:showPercent val="0"/>
          <c:showBubbleSize val="0"/>
        </c:dLbls>
        <c:gapWidth val="150"/>
        <c:overlap val="100"/>
        <c:axId val="2124832639"/>
        <c:axId val="2124830399"/>
      </c:barChart>
      <c:catAx>
        <c:axId val="21248326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0399"/>
        <c:crosses val="autoZero"/>
        <c:auto val="1"/>
        <c:lblAlgn val="ctr"/>
        <c:lblOffset val="100"/>
        <c:noMultiLvlLbl val="0"/>
      </c:catAx>
      <c:valAx>
        <c:axId val="212483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Foglio1!$DG$2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46-4946-AFED-159268CEEE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46-4946-AFED-159268CEEE6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046-4946-AFED-159268CEEE6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046-4946-AFED-159268CEEE6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046-4946-AFED-159268CEEE6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046-4946-AFED-159268CEEE6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046-4946-AFED-159268CEEE67}"/>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Foglio1!$DF$3:$DF$9</c:f>
              <c:strCache>
                <c:ptCount val="7"/>
                <c:pt idx="0">
                  <c:v>SIR</c:v>
                </c:pt>
                <c:pt idx="1">
                  <c:v>Custom</c:v>
                </c:pt>
                <c:pt idx="2">
                  <c:v>Defects4J</c:v>
                </c:pt>
                <c:pt idx="3">
                  <c:v>Open Source</c:v>
                </c:pt>
                <c:pt idx="4">
                  <c:v>Joda-Time</c:v>
                </c:pt>
                <c:pt idx="5">
                  <c:v>ATM</c:v>
                </c:pt>
                <c:pt idx="6">
                  <c:v>Others</c:v>
                </c:pt>
              </c:strCache>
            </c:strRef>
          </c:cat>
          <c:val>
            <c:numRef>
              <c:f>Foglio1!$DG$3:$DG$9</c:f>
              <c:numCache>
                <c:formatCode>General</c:formatCode>
                <c:ptCount val="7"/>
                <c:pt idx="0">
                  <c:v>17</c:v>
                </c:pt>
                <c:pt idx="1">
                  <c:v>16</c:v>
                </c:pt>
                <c:pt idx="2">
                  <c:v>8</c:v>
                </c:pt>
                <c:pt idx="3">
                  <c:v>6</c:v>
                </c:pt>
                <c:pt idx="4">
                  <c:v>5</c:v>
                </c:pt>
                <c:pt idx="5">
                  <c:v>5</c:v>
                </c:pt>
                <c:pt idx="6">
                  <c:v>37</c:v>
                </c:pt>
              </c:numCache>
            </c:numRef>
          </c:val>
          <c:extLst>
            <c:ext xmlns:c16="http://schemas.microsoft.com/office/drawing/2014/chart" uri="{C3380CC4-5D6E-409C-BE32-E72D297353CC}">
              <c16:uniqueId val="{00000000-5819-5644-BE29-79C233A9DDA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Foglio1!$DT$2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DC-D847-BB84-E7D3292986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DC-D847-BB84-E7D32929867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7DC-D847-BB84-E7D329298672}"/>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Foglio1!$DS$3:$DS$5</c:f>
              <c:strCache>
                <c:ptCount val="3"/>
                <c:pt idx="0">
                  <c:v>Fault History</c:v>
                </c:pt>
                <c:pt idx="1">
                  <c:v>Execution Time</c:v>
                </c:pt>
                <c:pt idx="2">
                  <c:v>Injected Faults</c:v>
                </c:pt>
              </c:strCache>
            </c:strRef>
          </c:cat>
          <c:val>
            <c:numRef>
              <c:f>Foglio1!$DT$3:$DT$5</c:f>
              <c:numCache>
                <c:formatCode>General</c:formatCode>
                <c:ptCount val="3"/>
                <c:pt idx="0">
                  <c:v>40</c:v>
                </c:pt>
                <c:pt idx="1">
                  <c:v>19</c:v>
                </c:pt>
                <c:pt idx="2">
                  <c:v>12</c:v>
                </c:pt>
              </c:numCache>
            </c:numRef>
          </c:val>
          <c:extLst>
            <c:ext xmlns:c16="http://schemas.microsoft.com/office/drawing/2014/chart" uri="{C3380CC4-5D6E-409C-BE32-E72D297353CC}">
              <c16:uniqueId val="{00000000-AB9B-7E4E-BB27-7ADD4F35A75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Foglio1!$EB$2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FB-0946-AE9E-0CC88CB603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FB-0946-AE9E-0CC88CB603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FB-0946-AE9E-0CC88CB603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CFB-0946-AE9E-0CC88CB603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CFB-0946-AE9E-0CC88CB6031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CFB-0946-AE9E-0CC88CB60310}"/>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Foglio1!$EA$3:$EA$8</c:f>
              <c:strCache>
                <c:ptCount val="6"/>
                <c:pt idx="0">
                  <c:v>APFD</c:v>
                </c:pt>
                <c:pt idx="1">
                  <c:v>Execution Time</c:v>
                </c:pt>
                <c:pt idx="2">
                  <c:v>APFDc</c:v>
                </c:pt>
                <c:pt idx="3">
                  <c:v>NAPFD</c:v>
                </c:pt>
                <c:pt idx="4">
                  <c:v>F1</c:v>
                </c:pt>
                <c:pt idx="5">
                  <c:v>APBC</c:v>
                </c:pt>
              </c:strCache>
            </c:strRef>
          </c:cat>
          <c:val>
            <c:numRef>
              <c:f>Foglio1!$EB$3:$EB$8</c:f>
              <c:numCache>
                <c:formatCode>General</c:formatCode>
                <c:ptCount val="6"/>
                <c:pt idx="0">
                  <c:v>69</c:v>
                </c:pt>
                <c:pt idx="1">
                  <c:v>13</c:v>
                </c:pt>
                <c:pt idx="2">
                  <c:v>9</c:v>
                </c:pt>
                <c:pt idx="3">
                  <c:v>3</c:v>
                </c:pt>
                <c:pt idx="4">
                  <c:v>3</c:v>
                </c:pt>
                <c:pt idx="5">
                  <c:v>3</c:v>
                </c:pt>
              </c:numCache>
            </c:numRef>
          </c:val>
          <c:extLst>
            <c:ext xmlns:c16="http://schemas.microsoft.com/office/drawing/2014/chart" uri="{C3380CC4-5D6E-409C-BE32-E72D297353CC}">
              <c16:uniqueId val="{00000000-C546-344B-80A5-699472CC6DC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Foglio1!$AR$2</c:f>
              <c:strCache>
                <c:ptCount val="1"/>
                <c:pt idx="0">
                  <c:v>Minimization</c:v>
                </c:pt>
              </c:strCache>
            </c:strRef>
          </c:tx>
          <c:spPr>
            <a:solidFill>
              <a:schemeClr val="accent1"/>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Foglio1!$AR$3:$AR$15</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0-4E47-7444-B4A8-005F1B19B44C}"/>
            </c:ext>
          </c:extLst>
        </c:ser>
        <c:ser>
          <c:idx val="1"/>
          <c:order val="1"/>
          <c:tx>
            <c:strRef>
              <c:f>Foglio1!$AS$2</c:f>
              <c:strCache>
                <c:ptCount val="1"/>
                <c:pt idx="0">
                  <c:v>Selection</c:v>
                </c:pt>
              </c:strCache>
            </c:strRef>
          </c:tx>
          <c:spPr>
            <a:solidFill>
              <a:schemeClr val="accent2"/>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Foglio1!$AS$3:$AS$15</c:f>
              <c:numCache>
                <c:formatCode>General</c:formatCode>
                <c:ptCount val="13"/>
                <c:pt idx="0">
                  <c:v>2</c:v>
                </c:pt>
                <c:pt idx="1">
                  <c:v>2</c:v>
                </c:pt>
                <c:pt idx="2">
                  <c:v>0</c:v>
                </c:pt>
                <c:pt idx="3">
                  <c:v>2</c:v>
                </c:pt>
                <c:pt idx="4">
                  <c:v>3</c:v>
                </c:pt>
                <c:pt idx="5">
                  <c:v>4</c:v>
                </c:pt>
                <c:pt idx="6">
                  <c:v>2</c:v>
                </c:pt>
                <c:pt idx="7">
                  <c:v>2</c:v>
                </c:pt>
                <c:pt idx="8">
                  <c:v>1</c:v>
                </c:pt>
                <c:pt idx="9">
                  <c:v>2</c:v>
                </c:pt>
                <c:pt idx="10">
                  <c:v>2</c:v>
                </c:pt>
                <c:pt idx="11">
                  <c:v>1</c:v>
                </c:pt>
                <c:pt idx="12">
                  <c:v>1</c:v>
                </c:pt>
              </c:numCache>
            </c:numRef>
          </c:val>
          <c:extLst>
            <c:ext xmlns:c16="http://schemas.microsoft.com/office/drawing/2014/chart" uri="{C3380CC4-5D6E-409C-BE32-E72D297353CC}">
              <c16:uniqueId val="{00000001-4E47-7444-B4A8-005F1B19B44C}"/>
            </c:ext>
          </c:extLst>
        </c:ser>
        <c:ser>
          <c:idx val="2"/>
          <c:order val="2"/>
          <c:tx>
            <c:strRef>
              <c:f>Foglio1!$AT$2</c:f>
              <c:strCache>
                <c:ptCount val="1"/>
                <c:pt idx="0">
                  <c:v>Prioritization</c:v>
                </c:pt>
              </c:strCache>
            </c:strRef>
          </c:tx>
          <c:spPr>
            <a:solidFill>
              <a:schemeClr val="accent3"/>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Foglio1!$AT$3:$AT$15</c:f>
              <c:numCache>
                <c:formatCode>General</c:formatCode>
                <c:ptCount val="13"/>
                <c:pt idx="0">
                  <c:v>4</c:v>
                </c:pt>
                <c:pt idx="1">
                  <c:v>6</c:v>
                </c:pt>
                <c:pt idx="2">
                  <c:v>8</c:v>
                </c:pt>
                <c:pt idx="3">
                  <c:v>7</c:v>
                </c:pt>
                <c:pt idx="4">
                  <c:v>6</c:v>
                </c:pt>
                <c:pt idx="5">
                  <c:v>8</c:v>
                </c:pt>
                <c:pt idx="6">
                  <c:v>12</c:v>
                </c:pt>
                <c:pt idx="7">
                  <c:v>6</c:v>
                </c:pt>
                <c:pt idx="8">
                  <c:v>6</c:v>
                </c:pt>
                <c:pt idx="9">
                  <c:v>16</c:v>
                </c:pt>
                <c:pt idx="10">
                  <c:v>7</c:v>
                </c:pt>
                <c:pt idx="11">
                  <c:v>5</c:v>
                </c:pt>
                <c:pt idx="12">
                  <c:v>0</c:v>
                </c:pt>
              </c:numCache>
            </c:numRef>
          </c:val>
          <c:extLst>
            <c:ext xmlns:c16="http://schemas.microsoft.com/office/drawing/2014/chart" uri="{C3380CC4-5D6E-409C-BE32-E72D297353CC}">
              <c16:uniqueId val="{00000002-4E47-7444-B4A8-005F1B19B44C}"/>
            </c:ext>
          </c:extLst>
        </c:ser>
        <c:dLbls>
          <c:showLegendKey val="0"/>
          <c:showVal val="0"/>
          <c:showCatName val="0"/>
          <c:showSerName val="0"/>
          <c:showPercent val="0"/>
          <c:showBubbleSize val="0"/>
        </c:dLbls>
        <c:gapWidth val="150"/>
        <c:overlap val="100"/>
        <c:axId val="1411619391"/>
        <c:axId val="1411612671"/>
      </c:barChart>
      <c:catAx>
        <c:axId val="141161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2671"/>
        <c:crosses val="autoZero"/>
        <c:auto val="1"/>
        <c:lblAlgn val="ctr"/>
        <c:lblOffset val="100"/>
        <c:noMultiLvlLbl val="0"/>
      </c:catAx>
      <c:valAx>
        <c:axId val="141161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Foglio1!$AQ$2</c:f>
              <c:strCache>
                <c:ptCount val="1"/>
                <c:pt idx="0">
                  <c:v>Totale_PS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Foglio1!$AQ$3:$AQ$15</c:f>
              <c:numCache>
                <c:formatCode>General</c:formatCode>
                <c:ptCount val="13"/>
                <c:pt idx="0">
                  <c:v>5</c:v>
                </c:pt>
                <c:pt idx="1">
                  <c:v>7</c:v>
                </c:pt>
                <c:pt idx="2">
                  <c:v>8</c:v>
                </c:pt>
                <c:pt idx="3">
                  <c:v>9</c:v>
                </c:pt>
                <c:pt idx="4">
                  <c:v>7</c:v>
                </c:pt>
                <c:pt idx="5">
                  <c:v>13</c:v>
                </c:pt>
                <c:pt idx="6">
                  <c:v>13</c:v>
                </c:pt>
                <c:pt idx="7">
                  <c:v>7</c:v>
                </c:pt>
                <c:pt idx="8">
                  <c:v>7</c:v>
                </c:pt>
                <c:pt idx="9">
                  <c:v>17</c:v>
                </c:pt>
                <c:pt idx="10">
                  <c:v>9</c:v>
                </c:pt>
                <c:pt idx="11">
                  <c:v>7</c:v>
                </c:pt>
                <c:pt idx="12">
                  <c:v>1</c:v>
                </c:pt>
              </c:numCache>
            </c:numRef>
          </c:val>
          <c:extLst>
            <c:ext xmlns:c16="http://schemas.microsoft.com/office/drawing/2014/chart" uri="{C3380CC4-5D6E-409C-BE32-E72D297353CC}">
              <c16:uniqueId val="{00000000-DF59-E442-9E23-7B8CA56DF085}"/>
            </c:ext>
          </c:extLst>
        </c:ser>
        <c:dLbls>
          <c:showLegendKey val="0"/>
          <c:showVal val="0"/>
          <c:showCatName val="0"/>
          <c:showSerName val="0"/>
          <c:showPercent val="0"/>
          <c:showBubbleSize val="0"/>
        </c:dLbls>
        <c:gapWidth val="219"/>
        <c:overlap val="-27"/>
        <c:axId val="1411621631"/>
        <c:axId val="1411620735"/>
      </c:barChart>
      <c:catAx>
        <c:axId val="1411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0735"/>
        <c:crosses val="autoZero"/>
        <c:auto val="1"/>
        <c:lblAlgn val="ctr"/>
        <c:lblOffset val="100"/>
        <c:noMultiLvlLbl val="0"/>
      </c:catAx>
      <c:valAx>
        <c:axId val="141162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16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No Replication</c:v>
          </c:tx>
          <c:spPr>
            <a:solidFill>
              <a:schemeClr val="accent1"/>
            </a:solidFill>
            <a:ln>
              <a:noFill/>
            </a:ln>
            <a:effectLst/>
          </c:spPr>
          <c:invertIfNegative val="0"/>
          <c:cat>
            <c:numRef>
              <c:f>Foglio1!$ES$3:$ES$15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Foglio1!$ET$3:$ET$15</c:f>
              <c:numCache>
                <c:formatCode>General</c:formatCode>
                <c:ptCount val="13"/>
                <c:pt idx="0">
                  <c:v>4</c:v>
                </c:pt>
                <c:pt idx="1">
                  <c:v>4</c:v>
                </c:pt>
                <c:pt idx="2">
                  <c:v>3</c:v>
                </c:pt>
                <c:pt idx="3">
                  <c:v>4</c:v>
                </c:pt>
                <c:pt idx="4">
                  <c:v>6</c:v>
                </c:pt>
                <c:pt idx="5">
                  <c:v>7</c:v>
                </c:pt>
                <c:pt idx="6">
                  <c:v>8</c:v>
                </c:pt>
                <c:pt idx="7">
                  <c:v>4</c:v>
                </c:pt>
                <c:pt idx="8">
                  <c:v>2</c:v>
                </c:pt>
                <c:pt idx="9">
                  <c:v>6</c:v>
                </c:pt>
                <c:pt idx="10">
                  <c:v>3</c:v>
                </c:pt>
                <c:pt idx="11">
                  <c:v>2</c:v>
                </c:pt>
                <c:pt idx="12">
                  <c:v>0</c:v>
                </c:pt>
              </c:numCache>
            </c:numRef>
          </c:val>
          <c:extLst>
            <c:ext xmlns:c16="http://schemas.microsoft.com/office/drawing/2014/chart" uri="{C3380CC4-5D6E-409C-BE32-E72D297353CC}">
              <c16:uniqueId val="{00000000-114E-2E44-8D18-F95F58102660}"/>
            </c:ext>
          </c:extLst>
        </c:ser>
        <c:ser>
          <c:idx val="1"/>
          <c:order val="1"/>
          <c:tx>
            <c:v>Partial Replication</c:v>
          </c:tx>
          <c:spPr>
            <a:solidFill>
              <a:schemeClr val="accent2"/>
            </a:solidFill>
            <a:ln>
              <a:noFill/>
            </a:ln>
            <a:effectLst/>
          </c:spPr>
          <c:invertIfNegative val="0"/>
          <c:cat>
            <c:numRef>
              <c:f>Foglio1!$ES$3:$ES$15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Foglio1!$EU$3:$EU$15</c:f>
              <c:numCache>
                <c:formatCode>General</c:formatCode>
                <c:ptCount val="13"/>
                <c:pt idx="0">
                  <c:v>1</c:v>
                </c:pt>
                <c:pt idx="1">
                  <c:v>3</c:v>
                </c:pt>
                <c:pt idx="2">
                  <c:v>5</c:v>
                </c:pt>
                <c:pt idx="3">
                  <c:v>4</c:v>
                </c:pt>
                <c:pt idx="4">
                  <c:v>0</c:v>
                </c:pt>
                <c:pt idx="5">
                  <c:v>4</c:v>
                </c:pt>
                <c:pt idx="6">
                  <c:v>4</c:v>
                </c:pt>
                <c:pt idx="7">
                  <c:v>0</c:v>
                </c:pt>
                <c:pt idx="8">
                  <c:v>2</c:v>
                </c:pt>
                <c:pt idx="9">
                  <c:v>6</c:v>
                </c:pt>
                <c:pt idx="10">
                  <c:v>2</c:v>
                </c:pt>
                <c:pt idx="11">
                  <c:v>2</c:v>
                </c:pt>
                <c:pt idx="12">
                  <c:v>1</c:v>
                </c:pt>
              </c:numCache>
            </c:numRef>
          </c:val>
          <c:extLst>
            <c:ext xmlns:c16="http://schemas.microsoft.com/office/drawing/2014/chart" uri="{C3380CC4-5D6E-409C-BE32-E72D297353CC}">
              <c16:uniqueId val="{00000001-114E-2E44-8D18-F95F58102660}"/>
            </c:ext>
          </c:extLst>
        </c:ser>
        <c:ser>
          <c:idx val="2"/>
          <c:order val="2"/>
          <c:tx>
            <c:v>Full Replication</c:v>
          </c:tx>
          <c:spPr>
            <a:solidFill>
              <a:schemeClr val="accent3"/>
            </a:solidFill>
            <a:ln>
              <a:noFill/>
            </a:ln>
            <a:effectLst/>
          </c:spPr>
          <c:invertIfNegative val="0"/>
          <c:cat>
            <c:numRef>
              <c:f>Foglio1!$ES$3:$ES$15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Foglio1!$EV$3:$EV$15</c:f>
              <c:numCache>
                <c:formatCode>General</c:formatCode>
                <c:ptCount val="13"/>
                <c:pt idx="0">
                  <c:v>0</c:v>
                </c:pt>
                <c:pt idx="1">
                  <c:v>0</c:v>
                </c:pt>
                <c:pt idx="2">
                  <c:v>0</c:v>
                </c:pt>
                <c:pt idx="3">
                  <c:v>1</c:v>
                </c:pt>
                <c:pt idx="4">
                  <c:v>1</c:v>
                </c:pt>
                <c:pt idx="5">
                  <c:v>2</c:v>
                </c:pt>
                <c:pt idx="6">
                  <c:v>1</c:v>
                </c:pt>
                <c:pt idx="7">
                  <c:v>3</c:v>
                </c:pt>
                <c:pt idx="8">
                  <c:v>3</c:v>
                </c:pt>
                <c:pt idx="9">
                  <c:v>4</c:v>
                </c:pt>
                <c:pt idx="10">
                  <c:v>4</c:v>
                </c:pt>
                <c:pt idx="11">
                  <c:v>3</c:v>
                </c:pt>
                <c:pt idx="12">
                  <c:v>0</c:v>
                </c:pt>
              </c:numCache>
            </c:numRef>
          </c:val>
          <c:extLst>
            <c:ext xmlns:c16="http://schemas.microsoft.com/office/drawing/2014/chart" uri="{C3380CC4-5D6E-409C-BE32-E72D297353CC}">
              <c16:uniqueId val="{00000002-114E-2E44-8D18-F95F58102660}"/>
            </c:ext>
          </c:extLst>
        </c:ser>
        <c:dLbls>
          <c:showLegendKey val="0"/>
          <c:showVal val="0"/>
          <c:showCatName val="0"/>
          <c:showSerName val="0"/>
          <c:showPercent val="0"/>
          <c:showBubbleSize val="0"/>
        </c:dLbls>
        <c:gapWidth val="219"/>
        <c:overlap val="-27"/>
        <c:axId val="1586490304"/>
        <c:axId val="1586482688"/>
      </c:barChart>
      <c:catAx>
        <c:axId val="158649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82688"/>
        <c:crosses val="autoZero"/>
        <c:auto val="1"/>
        <c:lblAlgn val="ctr"/>
        <c:lblOffset val="100"/>
        <c:noMultiLvlLbl val="0"/>
      </c:catAx>
      <c:valAx>
        <c:axId val="158648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90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180</xdr:col>
      <xdr:colOff>401780</xdr:colOff>
      <xdr:row>36</xdr:row>
      <xdr:rowOff>314421</xdr:rowOff>
    </xdr:from>
    <xdr:to>
      <xdr:col>199</xdr:col>
      <xdr:colOff>135468</xdr:colOff>
      <xdr:row>40</xdr:row>
      <xdr:rowOff>1134534</xdr:rowOff>
    </xdr:to>
    <xdr:graphicFrame macro="">
      <xdr:nvGraphicFramePr>
        <xdr:cNvPr id="13" name="Grafico 12">
          <a:extLst>
            <a:ext uri="{FF2B5EF4-FFF2-40B4-BE49-F238E27FC236}">
              <a16:creationId xmlns:a16="http://schemas.microsoft.com/office/drawing/2014/main" id="{EC47B5C7-C66D-9558-0970-78FFFDBBE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177</xdr:col>
      <xdr:colOff>169333</xdr:colOff>
      <xdr:row>2</xdr:row>
      <xdr:rowOff>1269231</xdr:rowOff>
    </xdr:from>
    <xdr:to>
      <xdr:col>193</xdr:col>
      <xdr:colOff>716588</xdr:colOff>
      <xdr:row>3</xdr:row>
      <xdr:rowOff>3708400</xdr:rowOff>
    </xdr:to>
    <xdr:graphicFrame macro="">
      <xdr:nvGraphicFramePr>
        <xdr:cNvPr id="14" name="Grafico 13">
          <a:extLst>
            <a:ext uri="{FF2B5EF4-FFF2-40B4-BE49-F238E27FC236}">
              <a16:creationId xmlns:a16="http://schemas.microsoft.com/office/drawing/2014/main" id="{D710B9CA-E9E3-E618-210E-3933C9C0D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180</xdr:col>
      <xdr:colOff>596568</xdr:colOff>
      <xdr:row>79</xdr:row>
      <xdr:rowOff>1301064</xdr:rowOff>
    </xdr:from>
    <xdr:to>
      <xdr:col>189</xdr:col>
      <xdr:colOff>116266</xdr:colOff>
      <xdr:row>81</xdr:row>
      <xdr:rowOff>1129612</xdr:rowOff>
    </xdr:to>
    <xdr:graphicFrame macro="">
      <xdr:nvGraphicFramePr>
        <xdr:cNvPr id="15" name="Grafico 14">
          <a:extLst>
            <a:ext uri="{FF2B5EF4-FFF2-40B4-BE49-F238E27FC236}">
              <a16:creationId xmlns:a16="http://schemas.microsoft.com/office/drawing/2014/main" id="{328C2221-8FEE-880D-8EBC-59C4057D2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205</xdr:col>
      <xdr:colOff>715818</xdr:colOff>
      <xdr:row>13</xdr:row>
      <xdr:rowOff>1284111</xdr:rowOff>
    </xdr:from>
    <xdr:to>
      <xdr:col>220</xdr:col>
      <xdr:colOff>649111</xdr:colOff>
      <xdr:row>14</xdr:row>
      <xdr:rowOff>3271212</xdr:rowOff>
    </xdr:to>
    <xdr:graphicFrame macro="">
      <xdr:nvGraphicFramePr>
        <xdr:cNvPr id="16" name="Grafico 15">
          <a:extLst>
            <a:ext uri="{FF2B5EF4-FFF2-40B4-BE49-F238E27FC236}">
              <a16:creationId xmlns:a16="http://schemas.microsoft.com/office/drawing/2014/main" id="{441F94AC-2A7C-321D-1613-9EC77A860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205</xdr:col>
      <xdr:colOff>626534</xdr:colOff>
      <xdr:row>31</xdr:row>
      <xdr:rowOff>1981200</xdr:rowOff>
    </xdr:from>
    <xdr:to>
      <xdr:col>222</xdr:col>
      <xdr:colOff>626533</xdr:colOff>
      <xdr:row>32</xdr:row>
      <xdr:rowOff>2269067</xdr:rowOff>
    </xdr:to>
    <xdr:graphicFrame macro="">
      <xdr:nvGraphicFramePr>
        <xdr:cNvPr id="17" name="Grafico 16">
          <a:extLst>
            <a:ext uri="{FF2B5EF4-FFF2-40B4-BE49-F238E27FC236}">
              <a16:creationId xmlns:a16="http://schemas.microsoft.com/office/drawing/2014/main" id="{C2FEBCDF-0C08-E06C-12B5-CB5AA83D9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102</xdr:col>
      <xdr:colOff>648315</xdr:colOff>
      <xdr:row>1</xdr:row>
      <xdr:rowOff>390888</xdr:rowOff>
    </xdr:from>
    <xdr:to>
      <xdr:col>117</xdr:col>
      <xdr:colOff>64106</xdr:colOff>
      <xdr:row>2</xdr:row>
      <xdr:rowOff>2544372</xdr:rowOff>
    </xdr:to>
    <xdr:graphicFrame macro="">
      <xdr:nvGraphicFramePr>
        <xdr:cNvPr id="19" name="Grafico 18">
          <a:extLst>
            <a:ext uri="{FF2B5EF4-FFF2-40B4-BE49-F238E27FC236}">
              <a16:creationId xmlns:a16="http://schemas.microsoft.com/office/drawing/2014/main" id="{B85F033D-F5CA-CF7A-6586-3E6E788FBA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118</xdr:col>
      <xdr:colOff>196272</xdr:colOff>
      <xdr:row>1</xdr:row>
      <xdr:rowOff>889384</xdr:rowOff>
    </xdr:from>
    <xdr:to>
      <xdr:col>130</xdr:col>
      <xdr:colOff>606778</xdr:colOff>
      <xdr:row>2</xdr:row>
      <xdr:rowOff>2935111</xdr:rowOff>
    </xdr:to>
    <xdr:graphicFrame macro="">
      <xdr:nvGraphicFramePr>
        <xdr:cNvPr id="20" name="Grafico 19">
          <a:extLst>
            <a:ext uri="{FF2B5EF4-FFF2-40B4-BE49-F238E27FC236}">
              <a16:creationId xmlns:a16="http://schemas.microsoft.com/office/drawing/2014/main" id="{EC35766C-C0AA-5495-6F0E-F2E200F48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126</xdr:col>
      <xdr:colOff>631800</xdr:colOff>
      <xdr:row>2</xdr:row>
      <xdr:rowOff>2103826</xdr:rowOff>
    </xdr:from>
    <xdr:to>
      <xdr:col>138</xdr:col>
      <xdr:colOff>817054</xdr:colOff>
      <xdr:row>3</xdr:row>
      <xdr:rowOff>3908381</xdr:rowOff>
    </xdr:to>
    <xdr:graphicFrame macro="">
      <xdr:nvGraphicFramePr>
        <xdr:cNvPr id="21" name="Grafico 20">
          <a:extLst>
            <a:ext uri="{FF2B5EF4-FFF2-40B4-BE49-F238E27FC236}">
              <a16:creationId xmlns:a16="http://schemas.microsoft.com/office/drawing/2014/main" id="{DCCE6D67-7876-E15C-0731-88BFBFCAEF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37</xdr:col>
      <xdr:colOff>440267</xdr:colOff>
      <xdr:row>14</xdr:row>
      <xdr:rowOff>4284133</xdr:rowOff>
    </xdr:from>
    <xdr:to>
      <xdr:col>48</xdr:col>
      <xdr:colOff>16933</xdr:colOff>
      <xdr:row>16</xdr:row>
      <xdr:rowOff>118534</xdr:rowOff>
    </xdr:to>
    <xdr:graphicFrame macro="">
      <xdr:nvGraphicFramePr>
        <xdr:cNvPr id="3" name="Grafico 2">
          <a:extLst>
            <a:ext uri="{FF2B5EF4-FFF2-40B4-BE49-F238E27FC236}">
              <a16:creationId xmlns:a16="http://schemas.microsoft.com/office/drawing/2014/main" id="{7DF74473-10AB-A5CA-18A8-547F1210E3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39</xdr:col>
      <xdr:colOff>592666</xdr:colOff>
      <xdr:row>13</xdr:row>
      <xdr:rowOff>575733</xdr:rowOff>
    </xdr:from>
    <xdr:to>
      <xdr:col>50</xdr:col>
      <xdr:colOff>778933</xdr:colOff>
      <xdr:row>14</xdr:row>
      <xdr:rowOff>2099733</xdr:rowOff>
    </xdr:to>
    <xdr:graphicFrame macro="">
      <xdr:nvGraphicFramePr>
        <xdr:cNvPr id="4" name="Grafico 3">
          <a:extLst>
            <a:ext uri="{FF2B5EF4-FFF2-40B4-BE49-F238E27FC236}">
              <a16:creationId xmlns:a16="http://schemas.microsoft.com/office/drawing/2014/main" id="{FDBB417C-8847-DC28-AF2C-9F84D02E6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153</xdr:col>
      <xdr:colOff>146676</xdr:colOff>
      <xdr:row>1</xdr:row>
      <xdr:rowOff>1597695</xdr:rowOff>
    </xdr:from>
    <xdr:to>
      <xdr:col>162</xdr:col>
      <xdr:colOff>733380</xdr:colOff>
      <xdr:row>2</xdr:row>
      <xdr:rowOff>2253802</xdr:rowOff>
    </xdr:to>
    <xdr:graphicFrame macro="">
      <xdr:nvGraphicFramePr>
        <xdr:cNvPr id="2" name="Grafico 1">
          <a:extLst>
            <a:ext uri="{FF2B5EF4-FFF2-40B4-BE49-F238E27FC236}">
              <a16:creationId xmlns:a16="http://schemas.microsoft.com/office/drawing/2014/main" id="{9895AE14-8769-C1A1-3450-161BBFC5E8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drawing" Target="../drawings/drawing1.xm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DE9A-9DC8-9B4C-920E-613E1AA78E62}">
  <dimension ref="A1:HM126"/>
  <sheetViews>
    <sheetView tabSelected="1" topLeftCell="BC1" zoomScale="71" zoomScaleNormal="90" workbookViewId="0">
      <selection activeCell="CO1" sqref="CO1"/>
    </sheetView>
  </sheetViews>
  <sheetFormatPr baseColWidth="10" defaultRowHeight="16"/>
  <cols>
    <col min="27" max="27" width="22.1640625" customWidth="1"/>
    <col min="30" max="30" width="21.1640625" customWidth="1"/>
    <col min="32" max="32" width="8.6640625" customWidth="1"/>
    <col min="33" max="33" width="50.1640625" customWidth="1"/>
  </cols>
  <sheetData>
    <row r="1" spans="1:221" ht="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K1" s="31" t="s">
        <v>1260</v>
      </c>
      <c r="AL1" s="31" t="s">
        <v>1261</v>
      </c>
      <c r="AM1" s="31" t="s">
        <v>1018</v>
      </c>
      <c r="AN1" s="31" t="s">
        <v>1052</v>
      </c>
      <c r="AW1" s="32"/>
      <c r="AX1" s="32"/>
      <c r="AY1" s="32" t="s">
        <v>1430</v>
      </c>
      <c r="AZ1" t="s">
        <v>91</v>
      </c>
      <c r="BA1" t="s">
        <v>1435</v>
      </c>
      <c r="BB1" s="32" t="s">
        <v>1394</v>
      </c>
      <c r="BC1" s="32" t="s">
        <v>1396</v>
      </c>
      <c r="BD1" s="32" t="s">
        <v>1431</v>
      </c>
      <c r="BE1" s="32" t="s">
        <v>1395</v>
      </c>
      <c r="BH1" s="32" t="s">
        <v>1430</v>
      </c>
      <c r="BI1" s="32" t="s">
        <v>409</v>
      </c>
      <c r="BJ1" s="32" t="s">
        <v>1436</v>
      </c>
      <c r="BK1" s="32" t="s">
        <v>1394</v>
      </c>
      <c r="BL1" s="32" t="s">
        <v>1396</v>
      </c>
      <c r="BM1" s="32" t="s">
        <v>207</v>
      </c>
      <c r="BN1" s="32" t="s">
        <v>1395</v>
      </c>
      <c r="BP1" t="s">
        <v>66</v>
      </c>
      <c r="BQ1" t="s">
        <v>1363</v>
      </c>
      <c r="BR1" t="s">
        <v>1364</v>
      </c>
      <c r="BS1" t="s">
        <v>1443</v>
      </c>
      <c r="BT1" t="s">
        <v>1444</v>
      </c>
      <c r="BU1" t="s">
        <v>1360</v>
      </c>
      <c r="BV1" t="s">
        <v>1442</v>
      </c>
      <c r="BX1" t="s">
        <v>1430</v>
      </c>
      <c r="BY1" t="s">
        <v>66</v>
      </c>
      <c r="BZ1" t="s">
        <v>1363</v>
      </c>
      <c r="CA1" t="s">
        <v>1364</v>
      </c>
      <c r="CB1" t="s">
        <v>1360</v>
      </c>
      <c r="CC1" t="s">
        <v>1442</v>
      </c>
      <c r="CG1" t="s">
        <v>1430</v>
      </c>
      <c r="CH1" t="s">
        <v>66</v>
      </c>
      <c r="CI1" t="s">
        <v>1363</v>
      </c>
      <c r="CJ1" t="s">
        <v>1364</v>
      </c>
      <c r="CK1" t="s">
        <v>1360</v>
      </c>
      <c r="CL1" t="s">
        <v>1442</v>
      </c>
      <c r="CO1" s="42" t="s">
        <v>1460</v>
      </c>
      <c r="CP1" s="40" t="s">
        <v>1448</v>
      </c>
      <c r="CZ1" t="s">
        <v>1317</v>
      </c>
      <c r="DF1" t="s">
        <v>1335</v>
      </c>
      <c r="DH1" t="s">
        <v>1336</v>
      </c>
      <c r="EM1" t="s">
        <v>1310</v>
      </c>
      <c r="ES1" t="s">
        <v>1405</v>
      </c>
      <c r="FQ1" s="32" t="s">
        <v>1265</v>
      </c>
      <c r="FR1" s="32"/>
      <c r="FS1" s="32"/>
      <c r="FT1" s="32"/>
      <c r="FV1" t="s">
        <v>1306</v>
      </c>
      <c r="GZ1" t="s">
        <v>1310</v>
      </c>
    </row>
    <row r="2" spans="1:221" ht="409.6">
      <c r="A2" s="2">
        <v>10048797</v>
      </c>
      <c r="B2" s="2" t="s">
        <v>34</v>
      </c>
      <c r="C2" s="2" t="s">
        <v>35</v>
      </c>
      <c r="D2" s="2" t="s">
        <v>36</v>
      </c>
      <c r="E2" s="2" t="s">
        <v>37</v>
      </c>
      <c r="F2" s="2">
        <v>2023</v>
      </c>
      <c r="G2" s="2"/>
      <c r="H2" s="2"/>
      <c r="I2" s="2" t="s">
        <v>38</v>
      </c>
      <c r="J2" s="2" t="s">
        <v>39</v>
      </c>
      <c r="K2" s="2" t="s">
        <v>40</v>
      </c>
      <c r="L2" s="2" t="s">
        <v>41</v>
      </c>
      <c r="M2" s="2"/>
      <c r="N2" s="2" t="s">
        <v>42</v>
      </c>
      <c r="O2" s="2"/>
      <c r="P2" s="2"/>
      <c r="Q2" s="2"/>
      <c r="R2" s="2"/>
      <c r="S2" s="2"/>
      <c r="T2" s="2"/>
      <c r="U2" s="2"/>
      <c r="V2" s="2"/>
      <c r="W2" s="2"/>
      <c r="X2" s="2" t="s">
        <v>43</v>
      </c>
      <c r="Y2" s="2" t="s">
        <v>44</v>
      </c>
      <c r="Z2" s="2" t="s">
        <v>45</v>
      </c>
      <c r="AA2" s="2"/>
      <c r="AB2" s="2" t="s">
        <v>1435</v>
      </c>
      <c r="AC2" s="2"/>
      <c r="AD2" s="2" t="s">
        <v>47</v>
      </c>
      <c r="AE2" s="2"/>
      <c r="AF2" s="2"/>
      <c r="AG2" s="2"/>
      <c r="AH2" s="2">
        <v>0</v>
      </c>
      <c r="AK2">
        <f>IF(Y2="PS",1,0)</f>
        <v>0</v>
      </c>
      <c r="AL2">
        <f>IF(AND(Y2="PS",ISNUMBER(SEARCH("minimization",Z2))),1,0)</f>
        <v>0</v>
      </c>
      <c r="AM2">
        <f>IF(AND(Y2="PS",ISNUMBER(SEARCH("selection",Z2))),1,0)</f>
        <v>0</v>
      </c>
      <c r="AN2">
        <f>IF(AND(Y2="PS",ISNUMBER(SEARCH("prioritization",Z2))),1,0)</f>
        <v>0</v>
      </c>
      <c r="AP2" s="32" t="s">
        <v>1259</v>
      </c>
      <c r="AQ2" s="32" t="s">
        <v>1262</v>
      </c>
      <c r="AR2" s="32" t="s">
        <v>1261</v>
      </c>
      <c r="AS2" s="32" t="s">
        <v>1018</v>
      </c>
      <c r="AT2" s="32" t="s">
        <v>1052</v>
      </c>
      <c r="AY2" t="s">
        <v>408</v>
      </c>
      <c r="AZ2" s="37" cm="1">
        <f t="array" ref="AZ2">SUMPRODUCT(($Y$2:$Y$1000="PS")*(ISNUMBER(FIND(UPPER("prioritization"),UPPER($Z$2:$Z$1000))))*(ISNUMBER(FIND(UPPER("coverage"),UPPER($AA$2:$AA$1000))))*((ISNUMBER(FIND(UPPER("heuristic"),UPPER($AB$2:$AB$1000))))*(NOT(ISNUMBER(FIND(UPPER("meta"),UPPER($AB$2:$AB$1000)))))))</f>
        <v>12</v>
      </c>
      <c r="BA2" cm="1">
        <f t="array" ref="BA2">SUMPRODUCT(($Y$2:$Y$1000="PS")*(ISNUMBER(FIND(UPPER("prioritization"),UPPER($Z$2:$Z$1000))))*(ISNUMBER(FIND(UPPER("coverage"),UPPER($AA$2:$AA$1000))))*((ISNUMBER(FIND(UPPER("metaheuristic"),UPPER($AB$2:$AB$1000))))+(ISNUMBER(FIND(UPPER("meta-heuristic"),UPPER($AB$2:$AB$1000))))))</f>
        <v>12</v>
      </c>
      <c r="BB2" cm="1">
        <f t="array" ref="BB2">SUMPRODUCT(($Y$2:$Y$1000="PS")*(ISNUMBER(FIND(UPPER("prioritization"),UPPER($Z$2:$Z$1000))))*(ISNUMBER(FIND(UPPER("coverage"),UPPER($AA$2:$AA$1000))))*(ISNUMBER(FIND(UPPER("graph"),UPPER($AB$2:$AB$1000)))))</f>
        <v>3</v>
      </c>
      <c r="BC2" cm="1">
        <f t="array" ref="BC2">SUMPRODUCT(($Y$2:$Y$1000="PS")*(ISNUMBER(FIND(UPPER("prioritization"),UPPER($Z$2:$Z$1000))))*(ISNUMBER(FIND(UPPER("coverage"),UPPER($AA$2:$AA$1000))))*(ISNUMBER(FIND(UPPER("dynamic programming"),UPPER($AB$2:$AB$1000)))))</f>
        <v>0</v>
      </c>
      <c r="BD2" cm="1">
        <f t="array" ref="BD2">SUMPRODUCT(($Y$2:$Y$1000="PS")*(ISNUMBER(FIND(UPPER("prioritization"),UPPER($Z$2:$Z$1000))))*(ISNUMBER(FIND(UPPER("coverage"),UPPER($AA$2:$AA$1000))))*(ISNUMBER(FIND(UPPER("ml-based"),UPPER($AB$2:$AB$1000)))))</f>
        <v>5</v>
      </c>
      <c r="BE2" cm="1">
        <f t="array" ref="BE2">SUMPRODUCT(($Y$2:$Y$1000="PS")*(ISNUMBER(FIND(UPPER("prioritization"),UPPER($Z$2:$Z$1000))))*(ISNUMBER(FIND(UPPER("coverage"),UPPER($AA$2:$AA$1000))))*(ISNUMBER(FIND(UPPER("greedy"),UPPER($AB$2:$AB$1000)))))</f>
        <v>15</v>
      </c>
      <c r="BH2" t="s">
        <v>1375</v>
      </c>
      <c r="BI2" cm="1">
        <f t="array" ref="BI2">SUMPRODUCT(($Y$2:$Y$1000="PS")*(ISNUMBER(FIND(UPPER("selection"),UPPER($Z$2:$Z$1000))))*(ISNUMBER(FIND(UPPER("integer programming"),UPPER($AA$2:$AA$1000))))*((ISNUMBER(FIND(UPPER("heuristic"),UPPER($AB$2:$AB$1000))))*(NOT(ISNUMBER(FIND(UPPER("meta"),UPPER($AB$2:$AB$1000)))))))</f>
        <v>0</v>
      </c>
      <c r="BJ2" cm="1">
        <f t="array" ref="BJ2">SUMPRODUCT(($Y$2:$Y$1000="PS")*(ISNUMBER(FIND(UPPER("selection"),UPPER($Z$2:$Z$1000))))*(ISNUMBER(FIND(UPPER("integer programming"),UPPER($AA$2:$AA$1000))))*((ISNUMBER(FIND(UPPER("metaheuristic"),UPPER($AB$2:$AB$1000))))+(ISNUMBER(FIND(UPPER("meta-heuristic"),UPPER($AB$2:$AB$1000))))))</f>
        <v>0</v>
      </c>
      <c r="BK2" cm="1">
        <f t="array" ref="BK2">SUMPRODUCT(($Y$2:$Y$1000="PS")*(ISNUMBER(FIND(UPPER("selection"),UPPER($Z$2:$Z$1000))))*(ISNUMBER(FIND(UPPER("integer programming"),UPPER($AA$2:$AA$1000))))*(ISNUMBER(FIND(UPPER("graph"),UPPER($AB$2:$AB$1000)))))</f>
        <v>0</v>
      </c>
      <c r="BL2" cm="1">
        <f t="array" ref="BL2">SUMPRODUCT(($Y$2:$Y$1000="PS")*(ISNUMBER(FIND(UPPER("selection"),UPPER($Z$2:$Z$1000))))*(ISNUMBER(FIND(UPPER("integer programming"),UPPER($AA$2:$AA$1000))))*(ISNUMBER(FIND(UPPER("dynamic programming"),UPPER($AB$2:$AB$1000)))))</f>
        <v>0</v>
      </c>
      <c r="BM2" cm="1">
        <f t="array" ref="BM2">SUMPRODUCT(($Y$2:$Y$1000="PS")*(ISNUMBER(FIND(UPPER("selection"),UPPER($Z$2:$Z$1000))))*(ISNUMBER(FIND(UPPER("integer programming"),UPPER($AA$2:$AA$1000))))*(ISNUMBER(FIND(UPPER("ml-based"),UPPER($AB$2:$AB$1000)))))</f>
        <v>0</v>
      </c>
      <c r="BN2" cm="1">
        <f t="array" ref="BN2">SUMPRODUCT(($Y$2:$Y$1000="PS")*(ISNUMBER(FIND(UPPER("selection"),UPPER($Z$2:$Z$1000))))*(ISNUMBER(FIND(UPPER("integer programming"),UPPER($AA$2:$AA$1000))))*(ISNUMBER(FIND(UPPER("greedy"),UPPER($AB$2:$AB$1000)))))</f>
        <v>0</v>
      </c>
      <c r="BP2">
        <v>47</v>
      </c>
      <c r="BQ2">
        <v>15</v>
      </c>
      <c r="BR2">
        <v>5</v>
      </c>
      <c r="BS2">
        <v>4</v>
      </c>
      <c r="BT2">
        <v>3</v>
      </c>
      <c r="BU2">
        <v>24</v>
      </c>
      <c r="BV2">
        <v>5</v>
      </c>
      <c r="BX2" t="s">
        <v>408</v>
      </c>
      <c r="BY2">
        <v>27</v>
      </c>
      <c r="BZ2">
        <v>5</v>
      </c>
      <c r="CA2">
        <v>1</v>
      </c>
      <c r="CB2">
        <v>8</v>
      </c>
      <c r="CC2">
        <v>1</v>
      </c>
      <c r="CG2" t="s">
        <v>1375</v>
      </c>
      <c r="CO2" s="41" t="s">
        <v>47</v>
      </c>
      <c r="CP2" s="41">
        <v>28</v>
      </c>
      <c r="CZ2" t="s">
        <v>1318</v>
      </c>
      <c r="DA2" t="s">
        <v>1267</v>
      </c>
      <c r="DB2" t="s">
        <v>1310</v>
      </c>
      <c r="DC2" t="s">
        <v>1288</v>
      </c>
      <c r="DD2" t="s">
        <v>1303</v>
      </c>
      <c r="DF2" t="s">
        <v>1318</v>
      </c>
      <c r="DG2" t="s">
        <v>1267</v>
      </c>
      <c r="DH2" t="s">
        <v>1337</v>
      </c>
      <c r="DI2" t="s">
        <v>1267</v>
      </c>
      <c r="DJ2" t="s">
        <v>1310</v>
      </c>
      <c r="DK2" t="s">
        <v>1288</v>
      </c>
      <c r="DL2" t="s">
        <v>1303</v>
      </c>
      <c r="DS2" t="s">
        <v>1351</v>
      </c>
      <c r="DT2" t="s">
        <v>1267</v>
      </c>
      <c r="EA2" t="s">
        <v>1362</v>
      </c>
      <c r="EB2" t="s">
        <v>1267</v>
      </c>
      <c r="EM2" t="s">
        <v>1307</v>
      </c>
      <c r="EN2">
        <v>0</v>
      </c>
      <c r="EO2">
        <v>0.5</v>
      </c>
      <c r="EP2">
        <v>1</v>
      </c>
      <c r="ES2" t="s">
        <v>1307</v>
      </c>
      <c r="ET2">
        <v>0</v>
      </c>
      <c r="EU2">
        <v>0.5</v>
      </c>
      <c r="EV2">
        <v>1</v>
      </c>
      <c r="FQ2" t="s">
        <v>1266</v>
      </c>
      <c r="FR2" t="s">
        <v>1267</v>
      </c>
      <c r="FS2" t="s">
        <v>1268</v>
      </c>
      <c r="FT2" t="s">
        <v>1269</v>
      </c>
      <c r="FV2" t="s">
        <v>1307</v>
      </c>
      <c r="FW2" t="s">
        <v>408</v>
      </c>
      <c r="FX2" t="s">
        <v>1367</v>
      </c>
      <c r="FY2" t="s">
        <v>142</v>
      </c>
      <c r="FZ2" t="s">
        <v>1368</v>
      </c>
      <c r="GA2" t="s">
        <v>1369</v>
      </c>
      <c r="GB2" t="s">
        <v>114</v>
      </c>
      <c r="GC2" t="s">
        <v>60</v>
      </c>
      <c r="GD2" t="s">
        <v>1370</v>
      </c>
      <c r="GE2" t="s">
        <v>1371</v>
      </c>
      <c r="GF2" t="s">
        <v>292</v>
      </c>
      <c r="GG2" t="s">
        <v>395</v>
      </c>
      <c r="GH2" t="s">
        <v>454</v>
      </c>
      <c r="GI2" t="s">
        <v>207</v>
      </c>
      <c r="GJ2" t="s">
        <v>91</v>
      </c>
      <c r="GK2" t="s">
        <v>61</v>
      </c>
      <c r="GL2" t="s">
        <v>1399</v>
      </c>
      <c r="GM2" t="s">
        <v>1372</v>
      </c>
      <c r="GN2" t="s">
        <v>1373</v>
      </c>
      <c r="GO2" t="s">
        <v>1374</v>
      </c>
      <c r="GP2" t="s">
        <v>966</v>
      </c>
      <c r="GQ2" t="s">
        <v>1400</v>
      </c>
      <c r="GU2" t="s">
        <v>1401</v>
      </c>
      <c r="GV2" t="s">
        <v>1402</v>
      </c>
      <c r="GW2" t="s">
        <v>1403</v>
      </c>
      <c r="GZ2" t="s">
        <v>1307</v>
      </c>
      <c r="HA2" t="s">
        <v>46</v>
      </c>
      <c r="HB2" t="s">
        <v>61</v>
      </c>
      <c r="HC2" t="s">
        <v>91</v>
      </c>
      <c r="HD2" t="s">
        <v>1389</v>
      </c>
      <c r="HE2" t="s">
        <v>1390</v>
      </c>
      <c r="HF2" t="s">
        <v>1371</v>
      </c>
      <c r="HG2" t="s">
        <v>60</v>
      </c>
      <c r="HH2" t="s">
        <v>1391</v>
      </c>
      <c r="HI2" t="s">
        <v>1392</v>
      </c>
      <c r="HJ2" t="s">
        <v>1393</v>
      </c>
      <c r="HK2" t="s">
        <v>1394</v>
      </c>
      <c r="HL2" t="s">
        <v>1395</v>
      </c>
      <c r="HM2" t="s">
        <v>1396</v>
      </c>
    </row>
    <row r="3" spans="1:221" ht="409.6">
      <c r="A3" s="2">
        <v>8377903</v>
      </c>
      <c r="B3" s="2" t="s">
        <v>34</v>
      </c>
      <c r="C3" s="2" t="s">
        <v>48</v>
      </c>
      <c r="D3" s="2" t="s">
        <v>49</v>
      </c>
      <c r="E3" s="2" t="s">
        <v>50</v>
      </c>
      <c r="F3" s="2">
        <v>2018</v>
      </c>
      <c r="G3" s="2">
        <v>2</v>
      </c>
      <c r="H3" s="2"/>
      <c r="I3" s="2" t="s">
        <v>51</v>
      </c>
      <c r="J3" s="2" t="s">
        <v>52</v>
      </c>
      <c r="K3" s="2" t="s">
        <v>53</v>
      </c>
      <c r="L3" s="2" t="s">
        <v>54</v>
      </c>
      <c r="M3" s="2" t="s">
        <v>55</v>
      </c>
      <c r="N3" s="2" t="s">
        <v>56</v>
      </c>
      <c r="O3" s="2"/>
      <c r="P3" s="2"/>
      <c r="Q3" s="2"/>
      <c r="R3" s="2"/>
      <c r="S3" s="2"/>
      <c r="T3" s="2"/>
      <c r="U3" s="2"/>
      <c r="V3" s="2"/>
      <c r="W3" s="2"/>
      <c r="X3" s="2" t="s">
        <v>57</v>
      </c>
      <c r="Y3" s="2" t="s">
        <v>58</v>
      </c>
      <c r="Z3" s="2" t="s">
        <v>59</v>
      </c>
      <c r="AA3" s="2" t="s">
        <v>60</v>
      </c>
      <c r="AB3" s="2" t="s">
        <v>1423</v>
      </c>
      <c r="AC3" s="2" t="s">
        <v>62</v>
      </c>
      <c r="AD3" s="2" t="s">
        <v>63</v>
      </c>
      <c r="AE3" s="2" t="s">
        <v>64</v>
      </c>
      <c r="AF3" s="2" t="s">
        <v>65</v>
      </c>
      <c r="AG3" s="2" t="s">
        <v>66</v>
      </c>
      <c r="AH3" s="2">
        <v>0</v>
      </c>
      <c r="AK3">
        <f>IF(Y3="PS",1,0)</f>
        <v>1</v>
      </c>
      <c r="AL3">
        <f t="shared" ref="AL3:AL66" si="0">IF(AND(Y3="PS",ISNUMBER(SEARCH("minimization",Z3))),1,0)</f>
        <v>0</v>
      </c>
      <c r="AM3">
        <f t="shared" ref="AM3:AM66" si="1">IF(AND(Y3="PS",ISNUMBER(SEARCH("selection",Z3))),1,0)</f>
        <v>0</v>
      </c>
      <c r="AN3">
        <f t="shared" ref="AN3:AN66" si="2">IF(AND(Y3="PS",ISNUMBER(SEARCH("prioritization",Z3))),1,0)</f>
        <v>1</v>
      </c>
      <c r="AP3">
        <v>2013</v>
      </c>
      <c r="AQ3">
        <f>SUMIF(F:F,AP3,AK:AK)</f>
        <v>5</v>
      </c>
      <c r="AR3">
        <f t="shared" ref="AR3:AR15" si="3">SUMIF(F:F,AP3,AL:AL)</f>
        <v>1</v>
      </c>
      <c r="AS3">
        <f t="shared" ref="AS3:AS15" si="4">SUMIF(F:F,AP3,AM:AM)</f>
        <v>2</v>
      </c>
      <c r="AT3">
        <f t="shared" ref="AT3:AT15" si="5">SUMIF(F:F,AP3,AN:AN)</f>
        <v>4</v>
      </c>
      <c r="AY3" t="s">
        <v>90</v>
      </c>
      <c r="AZ3" cm="1">
        <f t="array" ref="AZ3">SUMPRODUCT(($Y$2:$Y$1000="PS")*(ISNUMBER(FIND(UPPER("prioritization"),UPPER($Z$2:$Z$1000))))*(ISNUMBER(FIND(UPPER("requirement"),UPPER($AA$2:$AA$1000))))*((ISNUMBER(FIND(UPPER("heuristic"),UPPER($AB$2:$AB$1000))))*(NOT(ISNUMBER(FIND(UPPER("meta"),UPPER($AB$2:$AB$1000)))))))</f>
        <v>4</v>
      </c>
      <c r="BA3" cm="1">
        <f t="array" ref="BA3">SUMPRODUCT(($Y$2:$Y$1000="PS")*(ISNUMBER(FIND(UPPER("prioritization"),UPPER($Z$2:$Z$1000))))*(ISNUMBER(FIND(UPPER("requirement"),UPPER($AA$2:$AA$1000))))*((ISNUMBER(FIND(UPPER("metaheuristic"),UPPER($AB$2:$AB$1000))))+(ISNUMBER(FIND(UPPER("meta-heuristic"),UPPER($AB$2:$AB$1000))))))</f>
        <v>1</v>
      </c>
      <c r="BB3" cm="1">
        <f t="array" ref="BB3">SUMPRODUCT(($Y$2:$Y$1000="PS")*(ISNUMBER(FIND(UPPER("prioritization"),UPPER($Z$2:$Z$1000))))*(ISNUMBER(FIND(UPPER("requirement"),UPPER($AA$2:$AA$1000))))*(ISNUMBER(FIND(UPPER("graph"),UPPER($AB$2:$AB$1000)))))</f>
        <v>0</v>
      </c>
      <c r="BC3" cm="1">
        <f t="array" ref="BC3">SUMPRODUCT(($Y$2:$Y$1000="PS")*(ISNUMBER(FIND(UPPER("prioritization"),UPPER($Z$2:$Z$1000))))*(ISNUMBER(FIND(UPPER("requirement"),UPPER($AA$2:$AA$1000))))*(ISNUMBER(FIND(UPPER("dynamic programming"),UPPER($AB$2:$AB$1000)))))</f>
        <v>0</v>
      </c>
      <c r="BD3" cm="1">
        <f t="array" ref="BD3">SUMPRODUCT(($Y$2:$Y$1000="PS")*(ISNUMBER(FIND(UPPER("prioritization"),UPPER($Z$2:$Z$1000))))*(ISNUMBER(FIND(UPPER("requirement"),UPPER($AA$2:$AA$1000))))*(ISNUMBER(FIND(UPPER("ml-based"),UPPER($AB$2:$AB$1000)))))</f>
        <v>2</v>
      </c>
      <c r="BE3" cm="1">
        <f t="array" ref="BE3">SUMPRODUCT(($Y$2:$Y$1000="PS")*(ISNUMBER(FIND(UPPER("prioritization"),UPPER($Z$2:$Z$1000))))*(ISNUMBER(FIND(UPPER("requirement"),UPPER($AA$2:$AA$1000))))*(ISNUMBER(FIND(UPPER("greedy"),UPPER($AB$2:$AB$1000)))))</f>
        <v>0</v>
      </c>
      <c r="BH3" t="s">
        <v>1433</v>
      </c>
      <c r="BI3" cm="1">
        <f t="array" ref="BI3">SUMPRODUCT(($Y$2:$Y$1000="PS")*(ISNUMBER(FIND(UPPER("selection"),UPPER($Z$2:$Z$1000))))*(ISNUMBER(FIND(UPPER("data-flow"),UPPER($AA$2:$AA$1000))))*((ISNUMBER(FIND(UPPER("heuristic"),UPPER($AB$2:$AB$1000))))*(NOT(ISNUMBER(FIND(UPPER("meta"),UPPER($AB$2:$AB$1000)))))))</f>
        <v>0</v>
      </c>
      <c r="BJ3" cm="1">
        <f t="array" ref="BJ3">SUMPRODUCT(($Y$2:$Y$1000="PS")*(ISNUMBER(FIND(UPPER("selection"),UPPER($Z$2:$Z$1000))))*(ISNUMBER(FIND(UPPER("data-flow"),UPPER($AA$2:$AA$1000))))*((ISNUMBER(FIND(UPPER("metaheuristic"),UPPER($AB$2:$AB$1000))))+(ISNUMBER(FIND(UPPER("meta-heuristic"),UPPER($AB$2:$AB$1000))))))</f>
        <v>0</v>
      </c>
      <c r="BK3" cm="1">
        <f t="array" ref="BK3">SUMPRODUCT(($Y$2:$Y$1000="PS")*(ISNUMBER(FIND(UPPER("selection"),UPPER($Z$2:$Z$1000))))*(ISNUMBER(FIND(UPPER("data-flow"),UPPER($AA$2:$AA$1000))))*(ISNUMBER(FIND(UPPER("graph"),UPPER($AB$2:$AB$1000)))))</f>
        <v>0</v>
      </c>
      <c r="BL3" cm="1">
        <f t="array" ref="BL3">SUMPRODUCT(($Y$2:$Y$1000="PS")*(ISNUMBER(FIND(UPPER("selection"),UPPER($Z$2:$Z$1000))))*(ISNUMBER(FIND(UPPER("data-flow"),UPPER($AA$2:$AA$1000))))*(ISNUMBER(FIND(UPPER("dynamic programming"),UPPER($AB$2:$AB$1000)))))</f>
        <v>0</v>
      </c>
      <c r="BM3" cm="1">
        <f t="array" ref="BM3">SUMPRODUCT(($Y$2:$Y$1000="PS")*(ISNUMBER(FIND(UPPER("selection"),UPPER($Z$2:$Z$1000))))*(ISNUMBER(FIND(UPPER("data-flow"),UPPER($AA$2:$AA$1000))))*(ISNUMBER(FIND(UPPER("ml-based"),UPPER($AB$2:$AB$1000)))))</f>
        <v>0</v>
      </c>
      <c r="BN3" cm="1">
        <f t="array" ref="BN3">SUMPRODUCT(($Y$2:$Y$1000="PS")*(ISNUMBER(FIND(UPPER("selection"),UPPER($Z$2:$Z$1000))))*(ISNUMBER(FIND(UPPER("data-flow"),UPPER($AA$2:$AA$1000))))*(ISNUMBER(FIND(UPPER("greedy"),UPPER($AB$2:$AB$1000)))))</f>
        <v>0</v>
      </c>
      <c r="BX3" t="s">
        <v>90</v>
      </c>
      <c r="BY3">
        <v>4</v>
      </c>
      <c r="CG3" t="s">
        <v>1433</v>
      </c>
      <c r="CO3" s="41" t="s">
        <v>1080</v>
      </c>
      <c r="CP3" s="41">
        <v>12</v>
      </c>
      <c r="CS3" s="38"/>
      <c r="CT3" s="38"/>
      <c r="CZ3" s="34" t="s">
        <v>47</v>
      </c>
      <c r="DA3" cm="1">
        <f t="array" ref="DA3">SUMPRODUCT((Y$2:Y$1000="PS")*ISNUMBER(SEARCH(LOWER(CZ3),LOWER(AD$2:AD$1000))))</f>
        <v>17</v>
      </c>
      <c r="DB3" cm="1">
        <f t="array" ref="DB3">SUMPRODUCT((Y$2:Y$1000="PS")*ISNUMBER(SEARCH("prioritization",LOWER(Z$2:Z$1000)))*ISNUMBER(SEARCH(LOWER(CZ3),LOWER(AD$2:AD$1000))))</f>
        <v>13</v>
      </c>
      <c r="DC3" cm="1">
        <f t="array" ref="DC3">SUMPRODUCT((Y$2:Y$1000="PS")*ISNUMBER(SEARCH("selection",LOWER(Z$2:Z$1000)))*ISNUMBER(SEARCH(LOWER(CZ3),LOWER(AD$2:AD$1000))))</f>
        <v>4</v>
      </c>
      <c r="DD3" cm="1">
        <f t="array" ref="DD3">SUMPRODUCT((Y$2:Y$1000="PS")*ISNUMBER(SEARCH("minimization",LOWER(Z$2:Z$1000)))*ISNUMBER(SEARCH(LOWER(CZ3),LOWER(AD$2:AD$1000))))</f>
        <v>0</v>
      </c>
      <c r="DF3" s="34" t="s">
        <v>47</v>
      </c>
      <c r="DG3">
        <v>17</v>
      </c>
      <c r="DH3" s="34" t="s">
        <v>1338</v>
      </c>
      <c r="DI3" s="34" cm="1">
        <f t="array" ref="DI3">SUMPRODUCT((Y$2:Y$1000="PS")*(ISNUMBER(SEARCH("java",LOWER(AE$2:AE$1000)))+ISNUMBER(SEARCH("librar",LOWER(AE$2:AE$1000))))&gt;0)</f>
        <v>0</v>
      </c>
      <c r="DS3" t="s">
        <v>1359</v>
      </c>
      <c r="DT3">
        <v>40</v>
      </c>
      <c r="EA3" t="s">
        <v>66</v>
      </c>
      <c r="EB3">
        <v>69</v>
      </c>
      <c r="EM3">
        <v>2013</v>
      </c>
      <c r="EN3" cm="1">
        <f t="array" ref="EN3">SUMPRODUCT((Y$2:Y$1000="PS")*(F$2:F$1000=EM3)*ISNUMBER(SEARCH("prioritization",LOWER(Z$2:Z$1000)))*ISNUMBER(SEARCH(LOWER("0"),LOWER(AH$2:AH$1000))))</f>
        <v>4</v>
      </c>
      <c r="EO3" cm="1">
        <f t="array" ref="EO3">SUMPRODUCT((Y$2:Y$1000="PS")*(F$2:F$1000=EM3)*ISNUMBER(SEARCH("prioritization",LOWER(Z$2:Z$1000)))*ISNUMBER(SEARCH(LOWER("0,5"),LOWER(AH$2:AH$1000))))</f>
        <v>1</v>
      </c>
      <c r="EP3" cm="1">
        <f t="array" ref="EP3">SUMPRODUCT((Y$2:Y$1000="PS")*(F$2:F$1000=EM3)*ISNUMBER(SEARCH("prioritization",LOWER(Z$2:Z$1000)))*ISNUMBER(SEARCH(LOWER("1"),LOWER(AH$2:AH$1000))))</f>
        <v>0</v>
      </c>
      <c r="ES3">
        <v>2013</v>
      </c>
      <c r="ET3" cm="1">
        <f t="array" ref="ET3">SUMPRODUCT((Y$2:Y$1000="PS")*(F$2:F$1000=$ES3)*(AH$2:AH$1000=0))</f>
        <v>4</v>
      </c>
      <c r="EU3" cm="1">
        <f t="array" ref="EU3">SUMPRODUCT((Y$2:Y$1000="PS")*(F$2:F$1000=$ES3)*(AH$2:AH$1000=0.5))</f>
        <v>1</v>
      </c>
      <c r="EV3" cm="1">
        <f t="array" ref="EV3">SUMPRODUCT((Y$2:Y$1000="PS")*(F$2:F$1000=$ES3)*(AH$2:AH$1000=1))</f>
        <v>0</v>
      </c>
      <c r="FQ3" t="s">
        <v>1270</v>
      </c>
      <c r="FR3" s="35" cm="1">
        <f t="array" ref="FR3">SUMPRODUCT((Y$2:Y$1000="PS")*ISNUMBER(SEARCH(LOWER(FQ3),LOWER(AA$2:AA$1000)))*ISNUMBER(SEARCH("prioritization",LOWER(Z$2:Z$1000))))</f>
        <v>42</v>
      </c>
      <c r="FV3">
        <v>2013</v>
      </c>
      <c r="FW3" s="35" cm="1">
        <f t="array" ref="FW3">SUMPRODUCT((Y$2:Y$1000="PS")*(F$2:F$1000=FV3)*ISNUMBER(SEARCH("prioritization",LOWER(Z$2:Z$1000)))*ISNUMBER(SEARCH("coverage",LOWER(AA$2:AA$1000))))</f>
        <v>2</v>
      </c>
      <c r="FX3" s="35" cm="1">
        <f t="array" ref="FX3">SUMPRODUCT((Y$2:Y$1000="PS")*(F$2:F$1000=FV3)*ISNUMBER(SEARCH("prioritization",LOWER(Z$2:Z$1000)))*ISNUMBER(SEARCH("requirement",LOWER(AA$2:AA$1000))))</f>
        <v>2</v>
      </c>
      <c r="FY3" s="35" cm="1">
        <f t="array" ref="FY3">SUMPRODUCT((Y$2:Y$1000="PS")*(F$2:F$1000=FV3)*ISNUMBER(SEARCH("prioritization",LOWER(Z$2:Z$1000)))*ISNUMBER(SEARCH("probab",LOWER(AA$2:AA$1000))))</f>
        <v>0</v>
      </c>
      <c r="FZ3" s="35" cm="1">
        <f t="array" ref="FZ3">SUMPRODUCT((Y$2:Y$1000="PS")*(F$2:F$1000=FV3)*ISNUMBER(SEARCH("prioritization",LOWER(Z$2:Z$1000)))*ISNUMBER(SEARCH("distribution",LOWER(AA$2:AA$1000))))</f>
        <v>1</v>
      </c>
      <c r="GA3" s="35" cm="1">
        <f t="array" ref="GA3">SUMPRODUCT((Y$2:Y$1000="PS")*(F$2:F$1000=FV3)*ISNUMBER(SEARCH("prioritization",LOWER(Z$2:Z$1000)))*ISNUMBER(SEARCH("clustering",LOWER(AA$2:AA$1000))))</f>
        <v>0</v>
      </c>
      <c r="GB3" s="35" cm="1">
        <f t="array" ref="GB3">SUMPRODUCT((Y$2:Y$1000="PS")*(F$2:F$1000=FV3)*ISNUMBER(SEARCH("prioritization",LOWER(Z$2:Z$1000)))*ISNUMBER(SEARCH("history",LOWER(AA$2:AA$1000))))</f>
        <v>0</v>
      </c>
      <c r="GC3" s="35" cm="1">
        <f t="array" ref="GC3">SUMPRODUCT((Y$2:Y$1000="PS")*(F$2:F$1000=FV3)*ISNUMBER(SEARCH("prioritization",LOWER(Z$2:Z$1000)))*ISNUMBER(SEARCH("model",LOWER(AA$2:AA$1000))))</f>
        <v>0</v>
      </c>
      <c r="GD3" s="35" cm="1">
        <f t="array" ref="GD3">SUMPRODUCT((Y$2:Y$1000="PS")*(F$2:F$1000=FV3)*ISNUMBER(SEARCH("prioritization",LOWER(Z$2:Z$1000)))*ISNUMBER(SEARCH("cost-aware",LOWER(AA$2:AA$1000))))</f>
        <v>0</v>
      </c>
      <c r="GE3" s="35" cm="1">
        <f t="array" ref="GE3">SUMPRODUCT((Y$2:Y$1000="PS")*(F$2:F$1000=FV3)*ISNUMBER(SEARCH("prioritization",LOWER(Z$2:Z$1000)))*ISNUMBER(SEARCH("similarity",LOWER(AA$2:AA$1000))))</f>
        <v>0</v>
      </c>
      <c r="GF3" s="35" cm="1">
        <f t="array" ref="GF3">SUMPRODUCT((Y$2:Y$1000="PS")*(F$2:F$1000=FV3)*ISNUMBER(SEARCH("prioritization",LOWER(Z$2:Z$1000)))*ISNUMBER(SEARCH("input",LOWER(AA$2:AA$1000))))</f>
        <v>0</v>
      </c>
      <c r="GG3" s="35" cm="1">
        <f t="array" ref="GG3">SUMPRODUCT((Y$2:Y$1000="PS")*(F$2:F$1000=FV3)*ISNUMBER(SEARCH("prioritization",LOWER(Z$2:Z$1000)))*ISNUMBER(SEARCH("structure",LOWER(AA$2:AA$1000))))</f>
        <v>0</v>
      </c>
      <c r="GH3" s="35" cm="1">
        <f t="array" ref="GH3">SUMPRODUCT((Y$2:Y$1000="PS")*(F$2:F$1000=FV3)*ISNUMBER(SEARCH("prioritization",LOWER(Z$2:Z$1000)))*ISNUMBER(SEARCH("change",LOWER(AA$2:AA$1000))))</f>
        <v>0</v>
      </c>
      <c r="GI3" s="35" cm="1">
        <f t="array" ref="GI3">SUMPRODUCT((Y$2:Y$1000="PS")*(F$2:F$1000=FV3)*ISNUMBER(SEARCH("prioritization",LOWER(Z$2:Z$1000)))*ISNUMBER(SEARCH("ml",LOWER(AA$2:AA$1000))))</f>
        <v>0</v>
      </c>
      <c r="GJ3" s="35" cm="1">
        <f t="array" ref="GJ3">SUMPRODUCT((Y$2:Y$1000="PS")*(F$2:F$1000=FV3)*ISNUMBER(SEARCH("prioritization",LOWER(Z$2:Z$1000)))*ISNUMBER(SEARCH("heuristic",LOWER(AA$2:AA$1000))))</f>
        <v>0</v>
      </c>
      <c r="GK3" s="35" cm="1">
        <f t="array" ref="GK3">SUMPRODUCT((Y$2:Y$1000="PS")*(F$2:F$1000=FV3)*ISNUMBER(SEARCH("prioritization",LOWER(Z$2:Z$1000)))*ISNUMBER(SEARCH("search",LOWER(AA$2:AA$1000))))</f>
        <v>0</v>
      </c>
      <c r="GL3" s="35" cm="1">
        <f t="array" ref="GL3">SUMPRODUCT((Y$2:Y$1000="PS")*(F$2:F$1000=FV3)*ISNUMBER(SEARCH("prioritization",LOWER(Z$2:Z$1000)))*ISNUMBER(SEARCH("transfer",LOWER(AA$2:AA$1000))))</f>
        <v>0</v>
      </c>
      <c r="GM3" s="35" cm="1">
        <f t="array" ref="GM3">SUMPRODUCT((Y$2:Y$1000="PS")*(F$2:F$1000=FV3)*ISNUMBER(SEARCH("prioritization",LOWER(Z$2:Z$1000)))*ISNUMBER(SEARCH("riski",LOWER(AA$2:AA$1000))))</f>
        <v>0</v>
      </c>
      <c r="GN3" s="35" cm="1">
        <f t="array" ref="GN3">SUMPRODUCT((Y$2:Y$1000="PS")*(F$2:F$1000=FV3)*ISNUMBER(SEARCH("prioritization",LOWER(Z$2:Z$1000)))*ISNUMBER(SEARCH("nlp",LOWER(AA$2:AA$1000))))</f>
        <v>0</v>
      </c>
      <c r="GO3" s="35" cm="1">
        <f t="array" ref="GO3">SUMPRODUCT((Y$2:Y$1000="PS")*(F$2:F$1000=FV3)*ISNUMBER(SEARCH("prioritization",LOWER(Z$2:Z$1000)))*ISNUMBER(SEARCH("design",LOWER(AA$2:AA$1000))))</f>
        <v>0</v>
      </c>
      <c r="GP3" s="35" cm="1">
        <f t="array" ref="GP3">SUMPRODUCT((Y$2:Y$1000="PS")*(F$2:F$1000=FV3)*NOT(ISERROR(SEARCH("prioritization",LOWER(Z$2:Z$1000))))*(NOT(ISERROR(SEARCH("coverage",LOWER(AA$2:AA$1000)))))*(NOT(ISERROR(SEARCH("requirement",LOWER(AA$2:AA$1000)))))*(NOT(ISERROR(SEARCH("probabilistic",LOWER(AA$2:AA$1000)))))*(NOT(ISERROR(SEARCH("distribution",LOWER(AA$2:AA$1000)))))*(NOT(ISERROR(SEARCH("clustering",LOWER(AA$2:AA$1000)))))*(NOT(ISERROR(SEARCH("history",LOWER(AA$2:AA$1000)))))*(NOT(ISERROR(SEARCH("model",LOWER(AA$2:AA$1000)))))*(NOT(ISERROR(SEARCH("cost-aware",LOWER(AA$2:AA$1000)))))*(NOT(ISERROR(SEARCH("similarity",LOWER(AA$2:AA$1000)))))*(NOT(ISERROR(SEARCH("input",LOWER(AA$2:AA$1000)))))*(NOT(ISERROR(SEARCH("structure",LOWER(AA$2:AA$1000)))))*(NOT(ISERROR(SEARCH("change",LOWER(AA$2:AA$1000)))))*(NOT(ISERROR(SEARCH("ml",LOWER(AA$2:AA$1000)))))*(NOT(ISERROR(SEARCH("heuristic",LOWER(AA$2:AA$1000)))))*(NOT(ISERROR(SEARCH("search",LOWER(AA$2:AA$1000)))))*(NOT(ISERROR(SEARCH("transfer",LOWER(AA$2:AA$1000)))))*(NOT(ISERROR(SEARCH("risk",LOWER(AA$2:AA$1000)))))*(NOT(ISERROR(SEARCH("nlp",LOWER(AA$2:AA$1000)))))*(NOT(ISERROR(SEARCH("design",LOWER(AA$2:AA$1000))))))</f>
        <v>0</v>
      </c>
      <c r="GQ3">
        <f>SUM(GI3,GL3,GN3)</f>
        <v>0</v>
      </c>
      <c r="GU3" t="s">
        <v>91</v>
      </c>
      <c r="GV3">
        <v>22</v>
      </c>
      <c r="GW3">
        <v>14</v>
      </c>
      <c r="GZ3">
        <v>2013</v>
      </c>
      <c r="HA3" cm="1">
        <f t="array" ref="HA3">SUMPRODUCT((Y$2:Y$1000="PS")*(F$2:F$1000=GZ3)*ISNUMBER(SEARCH("prioritization",LOWER(Z$2:Z$1000)))*ISNUMBER(SEARCH(LOWER("metaheuristic"),LOWER(AB$2:AB$1000))))</f>
        <v>0</v>
      </c>
      <c r="HB3" cm="1">
        <f t="array" ref="HB3">SUMPRODUCT((Y$2:Y$1000="PS")*(F$2:F$1000=GZ3)*ISNUMBER(SEARCH("prioritization",LOWER(Z$2:Z$1000)))*ISNUMBER(SEARCH(LOWER("search"),LOWER(AB$2:AB$1000))))</f>
        <v>0</v>
      </c>
      <c r="HC3" cm="1">
        <f t="array" ref="HC3">SUMPRODUCT((Y$2:Y$1000="PS")*(F$2:F$1000=GZ3)*ISNUMBER(SEARCH("prioritization",LOWER(Z$2:Z$1000)))*ISNUMBER(SEARCH(LOWER("heuristic"),LOWER(AB$2:AB$1000))))</f>
        <v>3</v>
      </c>
      <c r="HD3" cm="1">
        <f t="array" ref="HD3">SUMPRODUCT((Y$2:Y$1000="PS")*(F$2:F$1000=GZ3)*ISNUMBER(SEARCH("prioritization",LOWER(Z$2:Z$1000)))*ISNUMBER(SEARCH(LOWER("ml"),LOWER(AB$2:AB$1000))))</f>
        <v>1</v>
      </c>
      <c r="HE3" cm="1">
        <f t="array" ref="HE3">SUMPRODUCT((Y$2:Y$1000="PS")*(F$2:F$1000=GZ3)*ISNUMBER(SEARCH("prioritization",LOWER(Z$2:Z$1000)))*ISNUMBER(SEARCH(LOWER("rule"),LOWER(AB$2:AB$1000))))</f>
        <v>0</v>
      </c>
      <c r="HF3" cm="1">
        <f t="array" ref="HF3">SUMPRODUCT((Y$2:Y$1000="PS")*(F$2:F$1000=GZ3)*ISNUMBER(SEARCH("prioritization",LOWER(Z$2:Z$1000)))*ISNUMBER(SEARCH(LOWER(HF$2),LOWER(AB$2:AB$1000))))</f>
        <v>0</v>
      </c>
      <c r="HG3" cm="1">
        <f t="array" ref="HG3">SUMPRODUCT((Y$2:Y$1000="PS")*(F$2:F$1000=GZ3)*ISNUMBER(SEARCH("prioritization",LOWER(Z$2:Z$1000)))*ISNUMBER(SEARCH(LOWER("model"),LOWER(AB$2:AB$1000))))</f>
        <v>0</v>
      </c>
      <c r="HH3" cm="1">
        <f t="array" ref="HH3">SUMPRODUCT((Y$2:Y$1000="PS")*(F$2:F$1000=GZ3)*ISNUMBER(SEARCH("prioritization",LOWER(Z$2:Z$1000)))*ISNUMBER(SEARCH(LOWER(HH$2),LOWER(AB$2:AB$1000))))</f>
        <v>0</v>
      </c>
      <c r="HI3" cm="1">
        <f t="array" ref="HI3">SUMPRODUCT((Y$2:Y$1000="PS")*(F$2:F$1000=GZ3)*ISNUMBER(SEARCH("prioritization",LOWER(Z$2:Z$1000)))*ISNUMBER(SEARCH(LOWER("quantum"),LOWER(AB$2:AB$1000))))</f>
        <v>0</v>
      </c>
      <c r="HJ3" cm="1">
        <f t="array" ref="HJ3">SUMPRODUCT((Y$2:Y$1000="PS")*(F$2:F$1000=GZ3)*ISNUMBER(SEARCH("prioritization",LOWER(Z$2:Z$1000)))*ISNUMBER(SEARCH(LOWER("genetic"),LOWER(AB$2:AB$1000))))</f>
        <v>0</v>
      </c>
      <c r="HK3" cm="1">
        <f t="array" ref="HK3">SUMPRODUCT((Y$2:Y$1000="PS")*(F$2:F$1000=GZ3)*ISNUMBER(SEARCH("prioritization",LOWER(Z$2:Z$1000)))*ISNUMBER(SEARCH(LOWER("graph"),LOWER(AB$2:AB$1000))))</f>
        <v>0</v>
      </c>
      <c r="HL3" cm="1">
        <f t="array" ref="HL3">SUMPRODUCT((Y$2:Y$1000="PS")*(F$2:F$1000=GZ3)*ISNUMBER(SEARCH("prioritization",LOWER(Z$2:Z$1000)))*ISNUMBER(SEARCH(LOWER("greedy"),LOWER(AB$2:AB$1000))))</f>
        <v>0</v>
      </c>
      <c r="HM3" cm="1">
        <f t="array" ref="HM3">SUMPRODUCT((Y$2:Y$1000="PS")*(F$2:F$1000=GZ3)*ISNUMBER(SEARCH("prioritization",LOWER(Z$2:Z$1000)))*ISNUMBER(SEARCH(LOWER("dynamic"),LOWER(AB$2:AB$1000))))</f>
        <v>0</v>
      </c>
    </row>
    <row r="4" spans="1:221" ht="409.6">
      <c r="A4" s="2">
        <v>10197719</v>
      </c>
      <c r="B4" s="2" t="s">
        <v>34</v>
      </c>
      <c r="C4" s="2" t="s">
        <v>67</v>
      </c>
      <c r="D4" s="2" t="s">
        <v>68</v>
      </c>
      <c r="E4" s="2" t="s">
        <v>69</v>
      </c>
      <c r="F4" s="2">
        <v>2023</v>
      </c>
      <c r="G4" s="2"/>
      <c r="H4" s="2"/>
      <c r="I4" s="2" t="s">
        <v>70</v>
      </c>
      <c r="J4" s="2" t="s">
        <v>71</v>
      </c>
      <c r="K4" s="2" t="s">
        <v>72</v>
      </c>
      <c r="L4" s="2" t="s">
        <v>73</v>
      </c>
      <c r="M4" s="2" t="s">
        <v>74</v>
      </c>
      <c r="N4" s="2" t="s">
        <v>75</v>
      </c>
      <c r="O4" s="2"/>
      <c r="P4" s="2"/>
      <c r="Q4" s="2"/>
      <c r="R4" s="2"/>
      <c r="S4" s="2"/>
      <c r="T4" s="2"/>
      <c r="U4" s="2"/>
      <c r="V4" s="2"/>
      <c r="W4" s="2"/>
      <c r="X4" s="2" t="s">
        <v>76</v>
      </c>
      <c r="Y4" s="2" t="s">
        <v>77</v>
      </c>
      <c r="Z4" s="2" t="s">
        <v>78</v>
      </c>
      <c r="AA4" s="2"/>
      <c r="AB4" s="2"/>
      <c r="AC4" s="2"/>
      <c r="AD4" s="2"/>
      <c r="AE4" s="2"/>
      <c r="AF4" s="2" t="s">
        <v>79</v>
      </c>
      <c r="AG4" s="2" t="s">
        <v>80</v>
      </c>
      <c r="AH4" s="2">
        <v>0</v>
      </c>
      <c r="AK4">
        <f t="shared" ref="AK4:AK67" si="6">IF(Y4="PS",1,0)</f>
        <v>0</v>
      </c>
      <c r="AL4">
        <f t="shared" si="0"/>
        <v>0</v>
      </c>
      <c r="AM4">
        <f t="shared" si="1"/>
        <v>0</v>
      </c>
      <c r="AN4">
        <f t="shared" si="2"/>
        <v>0</v>
      </c>
      <c r="AP4">
        <v>2014</v>
      </c>
      <c r="AQ4">
        <f t="shared" ref="AQ4:AQ15" si="7">SUMIF(F:F,AP4,AK:AK)</f>
        <v>7</v>
      </c>
      <c r="AR4">
        <f t="shared" si="3"/>
        <v>0</v>
      </c>
      <c r="AS4">
        <f t="shared" si="4"/>
        <v>2</v>
      </c>
      <c r="AT4">
        <f t="shared" si="5"/>
        <v>6</v>
      </c>
      <c r="AY4" t="s">
        <v>142</v>
      </c>
      <c r="AZ4" cm="1">
        <f t="array" ref="AZ4">SUMPRODUCT(($Y$2:$Y$1000="PS")*(ISNUMBER(FIND(UPPER("prioritization"),UPPER($Z$2:$Z$1000))))*(ISNUMBER(FIND(UPPER("probability"),UPPER($AA$2:$AA$1000))))*((ISNUMBER(FIND(UPPER("heuristic"),UPPER($AB$2:$AB$1000))))*(NOT(ISNUMBER(FIND(UPPER("meta"),UPPER($AB$2:$AB$1000)))))))</f>
        <v>2</v>
      </c>
      <c r="BA4" cm="1">
        <f t="array" ref="BA4">SUMPRODUCT(($Y$2:$Y$1000="PS")*(ISNUMBER(FIND(UPPER("prioritization"),UPPER($Z$2:$Z$1000))))*(ISNUMBER(FIND(UPPER("probability"),UPPER($AA$2:$AA$1000))))*((ISNUMBER(FIND(UPPER("metaheuristic"),UPPER($AB$2:$AB$1000))))+(ISNUMBER(FIND(UPPER("meta-heuristic"),UPPER($AB$2:$AB$1000))))))</f>
        <v>0</v>
      </c>
      <c r="BB4" cm="1">
        <f t="array" ref="BB4">SUMPRODUCT(($Y$2:$Y$1000="PS")*(ISNUMBER(FIND(UPPER("prioritization"),UPPER($Z$2:$Z$1000))))*(ISNUMBER(FIND(UPPER("probability"),UPPER($AA$2:$AA$1000))))*(ISNUMBER(FIND(UPPER("graph"),UPPER($AB$2:$AB$1000)))))</f>
        <v>0</v>
      </c>
      <c r="BC4" cm="1">
        <f t="array" ref="BC4">SUMPRODUCT(($Y$2:$Y$1000="PS")*(ISNUMBER(FIND(UPPER("prioritization"),UPPER($Z$2:$Z$1000))))*(ISNUMBER(FIND(UPPER("probability"),UPPER($AA$2:$AA$1000))))*(ISNUMBER(FIND(UPPER("dynamic programming"),UPPER($AB$2:$AB$1000)))))</f>
        <v>0</v>
      </c>
      <c r="BD4" cm="1">
        <f t="array" ref="BD4">SUMPRODUCT(($Y$2:$Y$1000="PS")*(ISNUMBER(FIND(UPPER("prioritization"),UPPER($Z$2:$Z$1000))))*(ISNUMBER(FIND(UPPER("probability"),UPPER($AA$2:$AA$1000))))*(ISNUMBER(FIND(UPPER("ml-based"),UPPER($AB$2:$AB$1000)))))</f>
        <v>6</v>
      </c>
      <c r="BE4" cm="1">
        <f t="array" ref="BE4">SUMPRODUCT(($Y$2:$Y$1000="PS")*(ISNUMBER(FIND(UPPER("prioritization"),UPPER($Z$2:$Z$1000))))*(ISNUMBER(FIND(UPPER("probability"),UPPER($AA$2:$AA$1000))))*(ISNUMBER(FIND(UPPER("greedy"),UPPER($AB$2:$AB$1000)))))</f>
        <v>0</v>
      </c>
      <c r="BH4" t="s">
        <v>1377</v>
      </c>
      <c r="BI4" cm="1">
        <f t="array" ref="BI4">SUMPRODUCT(($Y$2:$Y$1000="PS")*(ISNUMBER(FIND(UPPER("selection"),UPPER($Z$2:$Z$1000))))*(ISNUMBER(FIND(UPPER("symbolic"),UPPER($AA$2:$AA$1000))))*((ISNUMBER(FIND(UPPER("heuristic"),UPPER($AB$2:$AB$1000))))*(NOT(ISNUMBER(FIND(UPPER("meta"),UPPER($AB$2:$AB$1000)))))))</f>
        <v>0</v>
      </c>
      <c r="BJ4" cm="1">
        <f t="array" ref="BJ4">SUMPRODUCT(($Y$2:$Y$1000="PS")*(ISNUMBER(FIND(UPPER("selection"),UPPER($Z$2:$Z$1000))))*(ISNUMBER(FIND(UPPER("symbolic"),UPPER($AA$2:$AA$1000))))*((ISNUMBER(FIND(UPPER("metaheuristic"),UPPER($AB$2:$AB$1000))))+(ISNUMBER(FIND(UPPER("meta-heuristic"),UPPER($AB$2:$AB$1000))))))</f>
        <v>0</v>
      </c>
      <c r="BK4" cm="1">
        <f t="array" ref="BK4">SUMPRODUCT(($Y$2:$Y$1000="PS")*(ISNUMBER(FIND(UPPER("selection"),UPPER($Z$2:$Z$1000))))*(ISNUMBER(FIND(UPPER("symbolic"),UPPER($AA$2:$AA$1000))))*(ISNUMBER(FIND(UPPER("graph"),UPPER($AB$2:$AB$1000)))))</f>
        <v>0</v>
      </c>
      <c r="BL4" cm="1">
        <f t="array" ref="BL4">SUMPRODUCT(($Y$2:$Y$1000="PS")*(ISNUMBER(FIND(UPPER("selection"),UPPER($Z$2:$Z$1000))))*(ISNUMBER(FIND(UPPER("symbolic"),UPPER($AA$2:$AA$1000))))*(ISNUMBER(FIND(UPPER("dynamic programming"),UPPER($AB$2:$AB$1000)))))</f>
        <v>0</v>
      </c>
      <c r="BM4" cm="1">
        <f t="array" ref="BM4">SUMPRODUCT(($Y$2:$Y$1000="PS")*(ISNUMBER(FIND(UPPER("selection"),UPPER($Z$2:$Z$1000))))*(ISNUMBER(FIND(UPPER("symbolic"),UPPER($AA$2:$AA$1000))))*(ISNUMBER(FIND(UPPER("ml-based"),UPPER($AB$2:$AB$1000)))))</f>
        <v>0</v>
      </c>
      <c r="BN4" cm="1">
        <f t="array" ref="BN4">SUMPRODUCT(($Y$2:$Y$1000="PS")*(ISNUMBER(FIND(UPPER("selection"),UPPER($Z$2:$Z$1000))))*(ISNUMBER(FIND(UPPER("symbolic"),UPPER($AA$2:$AA$1000))))*(ISNUMBER(FIND(UPPER("greedy"),UPPER($AB$2:$AB$1000)))))</f>
        <v>0</v>
      </c>
      <c r="BX4" t="s">
        <v>142</v>
      </c>
      <c r="BY4">
        <v>4</v>
      </c>
      <c r="BZ4">
        <v>2</v>
      </c>
      <c r="CB4">
        <v>1</v>
      </c>
      <c r="CC4">
        <v>3</v>
      </c>
      <c r="CG4" t="s">
        <v>1377</v>
      </c>
      <c r="CO4" s="41" t="s">
        <v>1449</v>
      </c>
      <c r="CP4" s="41">
        <v>12</v>
      </c>
      <c r="CS4" s="38"/>
      <c r="CT4" s="38"/>
      <c r="CZ4" t="s">
        <v>1053</v>
      </c>
      <c r="DA4" cm="1">
        <f t="array" ref="DA4">SUMPRODUCT((Y$2:Y$1000="PS")*ISNUMBER(SEARCH(LOWER(CZ4),LOWER(AD$2:AD$1000))))</f>
        <v>16</v>
      </c>
      <c r="DB4" cm="1">
        <f t="array" ref="DB4">SUMPRODUCT((Y$2:Y$1000="PS")*ISNUMBER(SEARCH("prioritization",LOWER(Z$2:Z$1000)))*ISNUMBER(SEARCH(LOWER(CZ4),LOWER(AD$2:AD$1000))))</f>
        <v>13</v>
      </c>
      <c r="DC4" cm="1">
        <f t="array" ref="DC4">SUMPRODUCT((Y$2:Y$1000="PS")*ISNUMBER(SEARCH("selection",LOWER(Z$2:Z$1000)))*ISNUMBER(SEARCH(LOWER(CZ4),LOWER(AD$2:AD$1000))))</f>
        <v>5</v>
      </c>
      <c r="DD4" cm="1">
        <f t="array" ref="DD4">SUMPRODUCT((Y$2:Y$1000="PS")*ISNUMBER(SEARCH("minimization",LOWER(Z$2:Z$1000)))*ISNUMBER(SEARCH(LOWER(CZ4),LOWER(AD$2:AD$1000))))</f>
        <v>1</v>
      </c>
      <c r="DF4" t="s">
        <v>1053</v>
      </c>
      <c r="DG4">
        <v>16</v>
      </c>
      <c r="DH4" s="34" t="s">
        <v>1339</v>
      </c>
      <c r="DI4" s="34" cm="1">
        <f t="array" ref="DI4">SUMPRODUCT((Y$2:Y$1000="PS")*ISNUMBER(SEARCH("web",LOWER(AE$2:AE$1000))))</f>
        <v>4</v>
      </c>
      <c r="DS4" s="34" t="s">
        <v>1360</v>
      </c>
      <c r="DT4">
        <v>19</v>
      </c>
      <c r="EA4" t="s">
        <v>1360</v>
      </c>
      <c r="EB4">
        <v>13</v>
      </c>
      <c r="EM4">
        <v>2014</v>
      </c>
      <c r="EN4" cm="1">
        <f t="array" ref="EN4">SUMPRODUCT((Y$2:Y$1000="PS")*(F$2:F$1000=EM4)*ISNUMBER(SEARCH("prioritization",LOWER(Z$2:Z$1000)))*ISNUMBER(SEARCH(LOWER("0"),LOWER(AH$2:AH$1000))))</f>
        <v>6</v>
      </c>
      <c r="EO4" cm="1">
        <f t="array" ref="EO4">SUMPRODUCT((Y$2:Y$1000="PS")*(F$2:F$1000=EM4)*ISNUMBER(SEARCH("prioritization",LOWER(Z$2:Z$1000)))*ISNUMBER(SEARCH(LOWER("0,5"),LOWER(AH$2:AH$1000))))</f>
        <v>3</v>
      </c>
      <c r="EP4" cm="1">
        <f t="array" ref="EP4">SUMPRODUCT((Y$2:Y$1000="PS")*(F$2:F$1000=EM4)*ISNUMBER(SEARCH("prioritization",LOWER(Z$2:Z$1000)))*ISNUMBER(SEARCH(LOWER("1"),LOWER(AH$2:AH$1000))))</f>
        <v>0</v>
      </c>
      <c r="ES4">
        <v>2014</v>
      </c>
      <c r="ET4" cm="1">
        <f t="array" ref="ET4">SUMPRODUCT((Y$2:Y$1000="PS")*(F$2:F$1000=$ES4)*(AH$2:AH$1000=0))</f>
        <v>4</v>
      </c>
      <c r="EU4" cm="1">
        <f t="array" ref="EU4">SUMPRODUCT((Y$2:Y$1000="PS")*(F$2:F$1000=$ES4)*(AH$2:AH$1000=0.5))</f>
        <v>3</v>
      </c>
      <c r="EV4" cm="1">
        <f t="array" ref="EV4">SUMPRODUCT((Y$2:Y$1000="PS")*(F$2:F$1000=$ES4)*(AH$2:AH$1000=1))</f>
        <v>0</v>
      </c>
      <c r="FQ4" t="s">
        <v>1271</v>
      </c>
      <c r="FR4" s="35" cm="1">
        <f t="array" ref="FR4">SUMPRODUCT((Y$2:Y$1000="PS")*ISNUMBER(SEARCH(LOWER(FQ4),LOWER(AA$2:AA$1000)))*ISNUMBER(SEARCH("prioritization",LOWER(Z$2:Z$1000))))</f>
        <v>2</v>
      </c>
      <c r="FV4">
        <v>2014</v>
      </c>
      <c r="FW4" s="35" cm="1">
        <f t="array" ref="FW4">SUMPRODUCT((Y$2:Y$1000="PS")*(F$2:F$1000=FV4)*ISNUMBER(SEARCH("prioritization",LOWER(Z$2:Z$1000)))*ISNUMBER(SEARCH("coverage",LOWER(AA$2:AA$1000))))</f>
        <v>2</v>
      </c>
      <c r="FX4" s="35" cm="1">
        <f t="array" ref="FX4">SUMPRODUCT((Y$2:Y$1000="PS")*(F$2:F$1000=FV4)*ISNUMBER(SEARCH("prioritization",LOWER(Z$2:Z$1000)))*ISNUMBER(SEARCH("requirement",LOWER(AA$2:AA$1000))))</f>
        <v>1</v>
      </c>
      <c r="FY4" s="35" cm="1">
        <f t="array" ref="FY4">SUMPRODUCT((Y$2:Y$1000="PS")*(F$2:F$1000=FV4)*ISNUMBER(SEARCH("prioritization",LOWER(Z$2:Z$1000)))*ISNUMBER(SEARCH("probab",LOWER(AA$2:AA$1000))))</f>
        <v>2</v>
      </c>
      <c r="FZ4" s="35" cm="1">
        <f t="array" ref="FZ4">SUMPRODUCT((Y$2:Y$1000="PS")*(F$2:F$1000=FV4)*ISNUMBER(SEARCH("prioritization",LOWER(Z$2:Z$1000)))*ISNUMBER(SEARCH("distribution",LOWER(AA$2:AA$1000))))</f>
        <v>0</v>
      </c>
      <c r="GA4" s="35" cm="1">
        <f t="array" ref="GA4">SUMPRODUCT((Y$2:Y$1000="PS")*(F$2:F$1000=FV4)*ISNUMBER(SEARCH("prioritization",LOWER(Z$2:Z$1000)))*ISNUMBER(SEARCH("clustering",LOWER(AA$2:AA$1000))))</f>
        <v>0</v>
      </c>
      <c r="GB4" s="35" cm="1">
        <f t="array" ref="GB4">SUMPRODUCT((Y$2:Y$1000="PS")*(F$2:F$1000=FV4)*ISNUMBER(SEARCH("prioritization",LOWER(Z$2:Z$1000)))*ISNUMBER(SEARCH("history",LOWER(AA$2:AA$1000))))</f>
        <v>3</v>
      </c>
      <c r="GC4" s="35" cm="1">
        <f t="array" ref="GC4">SUMPRODUCT((Y$2:Y$1000="PS")*(F$2:F$1000=FV4)*ISNUMBER(SEARCH("prioritization",LOWER(Z$2:Z$1000)))*ISNUMBER(SEARCH("model",LOWER(AA$2:AA$1000))))</f>
        <v>0</v>
      </c>
      <c r="GD4" s="35" cm="1">
        <f t="array" ref="GD4">SUMPRODUCT((Y$2:Y$1000="PS")*(F$2:F$1000=FV4)*ISNUMBER(SEARCH("prioritization",LOWER(Z$2:Z$1000)))*ISNUMBER(SEARCH("cost-aware",LOWER(AA$2:AA$1000))))</f>
        <v>0</v>
      </c>
      <c r="GE4" s="35" cm="1">
        <f t="array" ref="GE4">SUMPRODUCT((Y$2:Y$1000="PS")*(F$2:F$1000=FV4)*ISNUMBER(SEARCH("prioritization",LOWER(Z$2:Z$1000)))*ISNUMBER(SEARCH("similarity",LOWER(AA$2:AA$1000))))</f>
        <v>0</v>
      </c>
      <c r="GF4" s="35" cm="1">
        <f t="array" ref="GF4">SUMPRODUCT((Y$2:Y$1000="PS")*(F$2:F$1000=FV4)*ISNUMBER(SEARCH("prioritization",LOWER(Z$2:Z$1000)))*ISNUMBER(SEARCH("input",LOWER(AA$2:AA$1000))))</f>
        <v>0</v>
      </c>
      <c r="GG4" s="35" cm="1">
        <f t="array" ref="GG4">SUMPRODUCT((Y$2:Y$1000="PS")*(F$2:F$1000=FV4)*ISNUMBER(SEARCH("prioritization",LOWER(Z$2:Z$1000)))*ISNUMBER(SEARCH("structure",LOWER(AA$2:AA$1000))))</f>
        <v>0</v>
      </c>
      <c r="GH4" s="35" cm="1">
        <f t="array" ref="GH4">SUMPRODUCT((Y$2:Y$1000="PS")*(F$2:F$1000=FV4)*ISNUMBER(SEARCH("prioritization",LOWER(Z$2:Z$1000)))*ISNUMBER(SEARCH("change",LOWER(AA$2:AA$1000))))</f>
        <v>0</v>
      </c>
      <c r="GI4" s="35" cm="1">
        <f t="array" ref="GI4">SUMPRODUCT((Y$2:Y$1000="PS")*(F$2:F$1000=FV4)*ISNUMBER(SEARCH("prioritization",LOWER(Z$2:Z$1000)))*ISNUMBER(SEARCH("ml",LOWER(AA$2:AA$1000))))</f>
        <v>0</v>
      </c>
      <c r="GJ4" s="35" cm="1">
        <f t="array" ref="GJ4">SUMPRODUCT((Y$2:Y$1000="PS")*(F$2:F$1000=FV4)*ISNUMBER(SEARCH("prioritization",LOWER(Z$2:Z$1000)))*ISNUMBER(SEARCH("heuristic",LOWER(AA$2:AA$1000))))</f>
        <v>0</v>
      </c>
      <c r="GK4" s="35" cm="1">
        <f t="array" ref="GK4">SUMPRODUCT((Y$2:Y$1000="PS")*(F$2:F$1000=FV4)*ISNUMBER(SEARCH("prioritization",LOWER(Z$2:Z$1000)))*ISNUMBER(SEARCH("search",LOWER(AA$2:AA$1000))))</f>
        <v>0</v>
      </c>
      <c r="GL4" s="35" cm="1">
        <f t="array" ref="GL4">SUMPRODUCT((Y$2:Y$1000="PS")*(F$2:F$1000=FV4)*ISNUMBER(SEARCH("prioritization",LOWER(Z$2:Z$1000)))*ISNUMBER(SEARCH("transfer",LOWER(AA$2:AA$1000))))</f>
        <v>0</v>
      </c>
      <c r="GM4" s="35" cm="1">
        <f t="array" ref="GM4">SUMPRODUCT((Y$2:Y$1000="PS")*(F$2:F$1000=FV4)*ISNUMBER(SEARCH("prioritization",LOWER(Z$2:Z$1000)))*ISNUMBER(SEARCH("riski",LOWER(AA$2:AA$1000))))</f>
        <v>0</v>
      </c>
      <c r="GN4" s="35" cm="1">
        <f t="array" ref="GN4">SUMPRODUCT((Y$2:Y$1000="PS")*(F$2:F$1000=FV4)*ISNUMBER(SEARCH("prioritization",LOWER(Z$2:Z$1000)))*ISNUMBER(SEARCH("nlp",LOWER(AA$2:AA$1000))))</f>
        <v>0</v>
      </c>
      <c r="GO4" s="35" cm="1">
        <f t="array" ref="GO4">SUMPRODUCT((Y$2:Y$1000="PS")*(F$2:F$1000=FV4)*ISNUMBER(SEARCH("prioritization",LOWER(Z$2:Z$1000)))*ISNUMBER(SEARCH("design",LOWER(AA$2:AA$1000))))</f>
        <v>0</v>
      </c>
      <c r="GP4" s="35" cm="1">
        <f t="array" ref="GP4">SUMPRODUCT((Y$2:Y$1000="PS")*(F$2:F$1000=FV4)*ISNUMBER(SEARCH("prioritization",LOWER(Z$2:Z$1000)))*ISNUMBER(SEARCH("other",LOWER(AA$2:AA$1000))))</f>
        <v>0</v>
      </c>
      <c r="GQ4">
        <f t="shared" ref="GQ4:GQ15" si="8">SUM(GI4,GL4,GN4)</f>
        <v>0</v>
      </c>
      <c r="GU4" t="s">
        <v>61</v>
      </c>
      <c r="GV4">
        <v>3</v>
      </c>
      <c r="GW4">
        <v>10</v>
      </c>
      <c r="GZ4">
        <v>2014</v>
      </c>
      <c r="HA4" cm="1">
        <f t="array" ref="HA4">SUMPRODUCT((Y$2:Y$1000="PS")*(F$2:F$1000=GZ4)*ISNUMBER(SEARCH("prioritization",LOWER(Z$2:Z$1000)))*ISNUMBER(SEARCH(LOWER("metaheuristic"),LOWER(AB$2:AB$1000))))</f>
        <v>0</v>
      </c>
      <c r="HB4" cm="1">
        <f t="array" ref="HB4">SUMPRODUCT((Y$2:Y$1000="PS")*(F$2:F$1000=GZ4)*ISNUMBER(SEARCH("prioritization",LOWER(Z$2:Z$1000)))*ISNUMBER(SEARCH(LOWER("search"),LOWER(AB$2:AB$1000))))</f>
        <v>0</v>
      </c>
      <c r="HC4" cm="1">
        <f t="array" ref="HC4">SUMPRODUCT((Y$2:Y$1000="PS")*(F$2:F$1000=GZ4)*ISNUMBER(SEARCH("prioritization",LOWER(Z$2:Z$1000)))*ISNUMBER(SEARCH(LOWER("heuristic"),LOWER(AB$2:AB$1000))))</f>
        <v>4</v>
      </c>
      <c r="HD4" cm="1">
        <f t="array" ref="HD4">SUMPRODUCT((Y$2:Y$1000="PS")*(F$2:F$1000=GZ4)*ISNUMBER(SEARCH("prioritization",LOWER(Z$2:Z$1000)))*ISNUMBER(SEARCH(LOWER("ml"),LOWER(AB$2:AB$1000))))</f>
        <v>1</v>
      </c>
      <c r="HE4" cm="1">
        <f t="array" ref="HE4">SUMPRODUCT((Y$2:Y$1000="PS")*(F$2:F$1000=GZ4)*ISNUMBER(SEARCH("prioritization",LOWER(Z$2:Z$1000)))*ISNUMBER(SEARCH(LOWER("rule"),LOWER(AB$2:AB$1000))))</f>
        <v>0</v>
      </c>
      <c r="HF4" cm="1">
        <f t="array" ref="HF4">SUMPRODUCT((Y$2:Y$1000="PS")*(F$2:F$1000=GZ4)*ISNUMBER(SEARCH("prioritization",LOWER(Z$2:Z$1000)))*ISNUMBER(SEARCH(LOWER(HF$2),LOWER(AB$2:AB$1000))))</f>
        <v>0</v>
      </c>
      <c r="HG4" cm="1">
        <f t="array" ref="HG4">SUMPRODUCT((Y$2:Y$1000="PS")*(F$2:F$1000=GZ4)*ISNUMBER(SEARCH("prioritization",LOWER(Z$2:Z$1000)))*ISNUMBER(SEARCH(LOWER("model"),LOWER(AB$2:AB$1000))))</f>
        <v>0</v>
      </c>
      <c r="HH4" cm="1">
        <f t="array" ref="HH4">SUMPRODUCT((Y$2:Y$1000="PS")*(F$2:F$1000=GZ4)*ISNUMBER(SEARCH("prioritization",LOWER(Z$2:Z$1000)))*ISNUMBER(SEARCH(LOWER(HH$2),LOWER(AB$2:AB$1000))))</f>
        <v>0</v>
      </c>
      <c r="HI4" cm="1">
        <f t="array" ref="HI4">SUMPRODUCT((Y$2:Y$1000="PS")*(F$2:F$1000=GZ4)*ISNUMBER(SEARCH("prioritization",LOWER(Z$2:Z$1000)))*ISNUMBER(SEARCH(LOWER("quantum"),LOWER(AB$2:AB$1000))))</f>
        <v>0</v>
      </c>
      <c r="HJ4" cm="1">
        <f t="array" ref="HJ4">SUMPRODUCT((Y$2:Y$1000="PS")*(F$2:F$1000=GZ4)*ISNUMBER(SEARCH("prioritization",LOWER(Z$2:Z$1000)))*ISNUMBER(SEARCH(LOWER("genetic"),LOWER(AB$2:AB$1000))))</f>
        <v>0</v>
      </c>
      <c r="HK4" cm="1">
        <f t="array" ref="HK4">SUMPRODUCT((Y$2:Y$1000="PS")*(F$2:F$1000=GZ4)*ISNUMBER(SEARCH("prioritization",LOWER(Z$2:Z$1000)))*ISNUMBER(SEARCH(LOWER("graph"),LOWER(AB$2:AB$1000))))</f>
        <v>0</v>
      </c>
      <c r="HL4" cm="1">
        <f t="array" ref="HL4">SUMPRODUCT((Y$2:Y$1000="PS")*(F$2:F$1000=GZ4)*ISNUMBER(SEARCH("prioritization",LOWER(Z$2:Z$1000)))*ISNUMBER(SEARCH(LOWER("greedy"),LOWER(AB$2:AB$1000))))</f>
        <v>0</v>
      </c>
      <c r="HM4" cm="1">
        <f t="array" ref="HM4">SUMPRODUCT((Y$2:Y$1000="PS")*(F$2:F$1000=GZ4)*ISNUMBER(SEARCH("prioritization",LOWER(Z$2:Z$1000)))*ISNUMBER(SEARCH(LOWER("dynamic"),LOWER(AB$2:AB$1000))))</f>
        <v>0</v>
      </c>
    </row>
    <row r="5" spans="1:221" ht="409.6">
      <c r="A5" s="2">
        <v>7515934</v>
      </c>
      <c r="B5" s="2" t="s">
        <v>34</v>
      </c>
      <c r="C5" s="2" t="s">
        <v>81</v>
      </c>
      <c r="D5" s="2" t="s">
        <v>82</v>
      </c>
      <c r="E5" s="2" t="s">
        <v>83</v>
      </c>
      <c r="F5" s="2">
        <v>2016</v>
      </c>
      <c r="G5" s="2"/>
      <c r="H5" s="2"/>
      <c r="I5" s="2" t="s">
        <v>84</v>
      </c>
      <c r="J5" s="2" t="s">
        <v>85</v>
      </c>
      <c r="K5" s="2" t="s">
        <v>86</v>
      </c>
      <c r="L5" s="2" t="s">
        <v>87</v>
      </c>
      <c r="M5" s="2"/>
      <c r="N5" s="2" t="s">
        <v>75</v>
      </c>
      <c r="O5" s="2"/>
      <c r="P5" s="2"/>
      <c r="Q5" s="2"/>
      <c r="R5" s="2"/>
      <c r="S5" s="2"/>
      <c r="T5" s="2"/>
      <c r="U5" s="2"/>
      <c r="V5" s="2"/>
      <c r="W5" s="2"/>
      <c r="X5" s="2" t="s">
        <v>88</v>
      </c>
      <c r="Y5" s="2" t="s">
        <v>58</v>
      </c>
      <c r="Z5" s="2" t="s">
        <v>89</v>
      </c>
      <c r="AA5" s="2" t="s">
        <v>90</v>
      </c>
      <c r="AB5" s="2" t="s">
        <v>91</v>
      </c>
      <c r="AC5" s="2" t="s">
        <v>62</v>
      </c>
      <c r="AD5" s="2" t="s">
        <v>92</v>
      </c>
      <c r="AE5" s="2" t="s">
        <v>93</v>
      </c>
      <c r="AF5" s="2" t="s">
        <v>65</v>
      </c>
      <c r="AG5" s="2" t="s">
        <v>94</v>
      </c>
      <c r="AH5" s="2">
        <v>0</v>
      </c>
      <c r="AK5">
        <f t="shared" si="6"/>
        <v>1</v>
      </c>
      <c r="AL5">
        <f t="shared" si="0"/>
        <v>0</v>
      </c>
      <c r="AM5">
        <f t="shared" si="1"/>
        <v>0</v>
      </c>
      <c r="AN5">
        <f t="shared" si="2"/>
        <v>1</v>
      </c>
      <c r="AP5">
        <v>2015</v>
      </c>
      <c r="AQ5">
        <f t="shared" si="7"/>
        <v>8</v>
      </c>
      <c r="AR5">
        <f t="shared" si="3"/>
        <v>0</v>
      </c>
      <c r="AS5">
        <f t="shared" si="4"/>
        <v>0</v>
      </c>
      <c r="AT5">
        <f t="shared" si="5"/>
        <v>8</v>
      </c>
      <c r="AY5" t="s">
        <v>1368</v>
      </c>
      <c r="AZ5" cm="1">
        <f t="array" ref="AZ5">SUMPRODUCT(($Y$2:$Y$1000="PS")*(ISNUMBER(FIND(UPPER("prioritization"),UPPER($Z$2:$Z$1000))))*(ISNUMBER(FIND(UPPER("distribution"),UPPER($AA$2:$AA$1000))))*((ISNUMBER(FIND(UPPER("heuristic"),UPPER($AB$2:$AB$1000))))*(NOT(ISNUMBER(FIND(UPPER("meta"),UPPER($AB$2:$AB$1000)))))))</f>
        <v>3</v>
      </c>
      <c r="BA5" cm="1">
        <f t="array" ref="BA5">SUMPRODUCT(($Y$2:$Y$1000="PS")*(ISNUMBER(FIND(UPPER("prioritization"),UPPER($Z$2:$Z$1000))))*(ISNUMBER(FIND(UPPER("distribution"),UPPER($AA$2:$AA$1000))))*((ISNUMBER(FIND(UPPER("metaheuristic"),UPPER($AB$2:$AB$1000))))+(ISNUMBER(FIND(UPPER("meta-heuristic"),UPPER($AB$2:$AB$1000))))))</f>
        <v>0</v>
      </c>
      <c r="BB5" cm="1">
        <f t="array" ref="BB5">SUMPRODUCT(($Y$2:$Y$1000="PS")*(ISNUMBER(FIND(UPPER("prioritization"),UPPER($Z$2:$Z$1000))))*(ISNUMBER(FIND(UPPER("distribution"),UPPER($AA$2:$AA$1000))))*(ISNUMBER(FIND(UPPER("graph"),UPPER($AB$2:$AB$1000)))))</f>
        <v>0</v>
      </c>
      <c r="BC5" cm="1">
        <f t="array" ref="BC5">SUMPRODUCT(($Y$2:$Y$1000="PS")*(ISNUMBER(FIND(UPPER("prioritization"),UPPER($Z$2:$Z$1000))))*(ISNUMBER(FIND(UPPER("distribution"),UPPER($AA$2:$AA$1000))))*(ISNUMBER(FIND(UPPER("dynamic programming"),UPPER($AB$2:$AB$1000)))))</f>
        <v>0</v>
      </c>
      <c r="BD5" cm="1">
        <f t="array" ref="BD5">SUMPRODUCT(($Y$2:$Y$1000="PS")*(ISNUMBER(FIND(UPPER("prioritization"),UPPER($Z$2:$Z$1000))))*(ISNUMBER(FIND(UPPER("distribution"),UPPER($AA$2:$AA$1000))))*(ISNUMBER(FIND(UPPER("ml-based"),UPPER($AB$2:$AB$1000)))))</f>
        <v>3</v>
      </c>
      <c r="BE5" cm="1">
        <f t="array" ref="BE5">SUMPRODUCT(($Y$2:$Y$1000="PS")*(ISNUMBER(FIND(UPPER("prioritization"),UPPER($Z$2:$Z$1000))))*(ISNUMBER(FIND(UPPER("distribution"),UPPER($AA$2:$AA$1000))))*(ISNUMBER(FIND(UPPER("greedy"),UPPER($AB$2:$AB$1000)))))</f>
        <v>0</v>
      </c>
      <c r="BH5" t="s">
        <v>1434</v>
      </c>
      <c r="BI5" cm="1">
        <f t="array" ref="BI5">SUMPRODUCT(($Y$2:$Y$1000="PS")*(ISNUMBER(FIND(UPPER("selection"),UPPER($Z$2:$Z$1000))))*(ISNUMBER(FIND(UPPER("dynamic"),UPPER($AA$2:$AA$1000))))*((ISNUMBER(FIND(UPPER("heuristic"),UPPER($AB$2:$AB$1000))))*(NOT(ISNUMBER(FIND(UPPER("meta"),UPPER($AB$2:$AB$1000)))))))</f>
        <v>0</v>
      </c>
      <c r="BJ5" cm="1">
        <f t="array" ref="BJ5">SUMPRODUCT(($Y$2:$Y$1000="PS")*(ISNUMBER(FIND(UPPER("selection"),UPPER($Z$2:$Z$1000))))*(ISNUMBER(FIND(UPPER("dynamic"),UPPER($AA$2:$AA$1000))))*((ISNUMBER(FIND(UPPER("metaheuristic"),UPPER($AB$2:$AB$1000))))+(ISNUMBER(FIND(UPPER("meta-heuristic"),UPPER($AB$2:$AB$1000))))))</f>
        <v>0</v>
      </c>
      <c r="BK5" cm="1">
        <f t="array" ref="BK5">SUMPRODUCT(($Y$2:$Y$1000="PS")*(ISNUMBER(FIND(UPPER("selection"),UPPER($Z$2:$Z$1000))))*(ISNUMBER(FIND(UPPER("dynamic"),UPPER($AA$2:$AA$1000))))*(ISNUMBER(FIND(UPPER("graph"),UPPER($AB$2:$AB$1000)))))</f>
        <v>0</v>
      </c>
      <c r="BL5" cm="1">
        <f t="array" ref="BL5">SUMPRODUCT(($Y$2:$Y$1000="PS")*(ISNUMBER(FIND(UPPER("selection"),UPPER($Z$2:$Z$1000))))*(ISNUMBER(FIND(UPPER("dynamic"),UPPER($AA$2:$AA$1000))))*(ISNUMBER(FIND(UPPER("dynamic programming"),UPPER($AB$2:$AB$1000)))))</f>
        <v>0</v>
      </c>
      <c r="BM5" cm="1">
        <f t="array" ref="BM5">SUMPRODUCT(($Y$2:$Y$1000="PS")*(ISNUMBER(FIND(UPPER("selection"),UPPER($Z$2:$Z$1000))))*(ISNUMBER(FIND(UPPER("dynamic"),UPPER($AA$2:$AA$1000))))*(ISNUMBER(FIND(UPPER("ml-based"),UPPER($AB$2:$AB$1000)))))</f>
        <v>0</v>
      </c>
      <c r="BN5" cm="1">
        <f t="array" ref="BN5">SUMPRODUCT(($Y$2:$Y$1000="PS")*(ISNUMBER(FIND(UPPER("selection"),UPPER($Z$2:$Z$1000))))*(ISNUMBER(FIND(UPPER("dynamic"),UPPER($AA$2:$AA$1000))))*(ISNUMBER(FIND(UPPER("greedy"),UPPER($AB$2:$AB$1000)))))</f>
        <v>0</v>
      </c>
      <c r="BX5" t="s">
        <v>1368</v>
      </c>
      <c r="BY5">
        <v>4</v>
      </c>
      <c r="BZ5">
        <v>1</v>
      </c>
      <c r="CB5">
        <v>1</v>
      </c>
      <c r="CG5" t="s">
        <v>1434</v>
      </c>
      <c r="CO5" s="41" t="s">
        <v>1450</v>
      </c>
      <c r="CP5" s="41">
        <v>9</v>
      </c>
      <c r="CS5" s="38"/>
      <c r="CT5" s="38"/>
      <c r="CZ5" s="34" t="s">
        <v>1080</v>
      </c>
      <c r="DA5" cm="1">
        <f t="array" ref="DA5">SUMPRODUCT((Y$2:Y$1000="PS")*ISNUMBER(SEARCH(LOWER(CZ5),LOWER(AD$2:AD$1000))))</f>
        <v>8</v>
      </c>
      <c r="DB5" cm="1">
        <f t="array" ref="DB5">SUMPRODUCT((Y$2:Y$1000="PS")*ISNUMBER(SEARCH("prioritization",LOWER(Z$2:Z$1000)))*ISNUMBER(SEARCH(LOWER(CZ5),LOWER(AD$2:AD$1000))))</f>
        <v>8</v>
      </c>
      <c r="DC5" cm="1">
        <f t="array" ref="DC5">SUMPRODUCT((Y$2:Y$1000="PS")*ISNUMBER(SEARCH("selection",LOWER(Z$2:Z$1000)))*ISNUMBER(SEARCH(LOWER(CZ5),LOWER(AD$2:AD$1000))))</f>
        <v>0</v>
      </c>
      <c r="DD5" cm="1">
        <f t="array" ref="DD5">SUMPRODUCT((Y$2:Y$1000="PS")*ISNUMBER(SEARCH("minimization",LOWER(Z$2:Z$1000)))*ISNUMBER(SEARCH(LOWER(CZ5),LOWER(AD$2:AD$1000))))</f>
        <v>0</v>
      </c>
      <c r="DF5" s="34" t="s">
        <v>1080</v>
      </c>
      <c r="DG5">
        <v>8</v>
      </c>
      <c r="DH5" s="34" t="s">
        <v>1340</v>
      </c>
      <c r="DI5" s="34" cm="1">
        <f t="array" ref="DI5">SUMPRODUCT((Y$2:Y$1000="PS")*(ISNUMBER(SEARCH("android",LOWER(AE$2:AE$1000)))+ISNUMBER(SEARCH("mobile",LOWER(AE$2:AE$1000))))&gt;0)</f>
        <v>0</v>
      </c>
      <c r="DS5" t="s">
        <v>1361</v>
      </c>
      <c r="DT5" s="34">
        <v>12</v>
      </c>
      <c r="EA5" t="s">
        <v>1363</v>
      </c>
      <c r="EB5">
        <v>9</v>
      </c>
      <c r="EM5">
        <v>2015</v>
      </c>
      <c r="EN5" cm="1">
        <f t="array" ref="EN5">SUMPRODUCT((Y$2:Y$1000="PS")*(F$2:F$1000=EM5)*ISNUMBER(SEARCH("prioritization",LOWER(Z$2:Z$1000)))*ISNUMBER(SEARCH(LOWER("0"),LOWER(AH$2:AH$1000))))</f>
        <v>8</v>
      </c>
      <c r="EO5" cm="1">
        <f t="array" ref="EO5">SUMPRODUCT((Y$2:Y$1000="PS")*(F$2:F$1000=EM5)*ISNUMBER(SEARCH("prioritization",LOWER(Z$2:Z$1000)))*ISNUMBER(SEARCH(LOWER("0,5"),LOWER(AH$2:AH$1000))))</f>
        <v>5</v>
      </c>
      <c r="EP5" cm="1">
        <f t="array" ref="EP5">SUMPRODUCT((Y$2:Y$1000="PS")*(F$2:F$1000=EM5)*ISNUMBER(SEARCH("prioritization",LOWER(Z$2:Z$1000)))*ISNUMBER(SEARCH(LOWER("1"),LOWER(AH$2:AH$1000))))</f>
        <v>0</v>
      </c>
      <c r="ES5">
        <v>2015</v>
      </c>
      <c r="ET5" cm="1">
        <f t="array" ref="ET5">SUMPRODUCT((Y$2:Y$1000="PS")*(F$2:F$1000=$ES5)*(AH$2:AH$1000=0))</f>
        <v>3</v>
      </c>
      <c r="EU5" cm="1">
        <f t="array" ref="EU5">SUMPRODUCT((Y$2:Y$1000="PS")*(F$2:F$1000=$ES5)*(AH$2:AH$1000=0.5))</f>
        <v>5</v>
      </c>
      <c r="EV5" cm="1">
        <f t="array" ref="EV5">SUMPRODUCT((Y$2:Y$1000="PS")*(F$2:F$1000=$ES5)*(AH$2:AH$1000=1))</f>
        <v>0</v>
      </c>
      <c r="FQ5" t="s">
        <v>1272</v>
      </c>
      <c r="FR5" s="35" cm="1">
        <f t="array" ref="FR5">SUMPRODUCT((Y$2:Y$1000="PS")*ISNUMBER(SEARCH(LOWER(FQ5),LOWER(AA$2:AA$1000)))*ISNUMBER(SEARCH("prioritization",LOWER(Z$2:Z$1000))))</f>
        <v>0</v>
      </c>
      <c r="FV5">
        <v>2015</v>
      </c>
      <c r="FW5" s="35" cm="1">
        <f t="array" ref="FW5">SUMPRODUCT((Y$2:Y$1000="PS")*(F$2:F$1000=FV5)*ISNUMBER(SEARCH("prioritization",LOWER(Z$2:Z$1000)))*ISNUMBER(SEARCH("coverage",LOWER(AA$2:AA$1000))))</f>
        <v>2</v>
      </c>
      <c r="FX5" s="35" cm="1">
        <f t="array" ref="FX5">SUMPRODUCT((Y$2:Y$1000="PS")*(F$2:F$1000=FV5)*ISNUMBER(SEARCH("prioritization",LOWER(Z$2:Z$1000)))*ISNUMBER(SEARCH("requirement",LOWER(AA$2:AA$1000))))</f>
        <v>0</v>
      </c>
      <c r="FY5" s="35" cm="1">
        <f t="array" ref="FY5">SUMPRODUCT((Y$2:Y$1000="PS")*(F$2:F$1000=FV5)*ISNUMBER(SEARCH("prioritization",LOWER(Z$2:Z$1000)))*ISNUMBER(SEARCH("probab",LOWER(AA$2:AA$1000))))</f>
        <v>1</v>
      </c>
      <c r="FZ5" s="35" cm="1">
        <f t="array" ref="FZ5">SUMPRODUCT((Y$2:Y$1000="PS")*(F$2:F$1000=FV5)*ISNUMBER(SEARCH("prioritization",LOWER(Z$2:Z$1000)))*ISNUMBER(SEARCH("distribution",LOWER(AA$2:AA$1000))))</f>
        <v>2</v>
      </c>
      <c r="GA5" s="35" cm="1">
        <f t="array" ref="GA5">SUMPRODUCT((Y$2:Y$1000="PS")*(F$2:F$1000=FV5)*ISNUMBER(SEARCH("prioritization",LOWER(Z$2:Z$1000)))*ISNUMBER(SEARCH("clustering",LOWER(AA$2:AA$1000))))</f>
        <v>0</v>
      </c>
      <c r="GB5" s="35" cm="1">
        <f t="array" ref="GB5">SUMPRODUCT((Y$2:Y$1000="PS")*(F$2:F$1000=FV5)*ISNUMBER(SEARCH("prioritization",LOWER(Z$2:Z$1000)))*ISNUMBER(SEARCH("history",LOWER(AA$2:AA$1000))))</f>
        <v>2</v>
      </c>
      <c r="GC5" s="35" cm="1">
        <f t="array" ref="GC5">SUMPRODUCT((Y$2:Y$1000="PS")*(F$2:F$1000=FV5)*ISNUMBER(SEARCH("prioritization",LOWER(Z$2:Z$1000)))*ISNUMBER(SEARCH("model",LOWER(AA$2:AA$1000))))</f>
        <v>2</v>
      </c>
      <c r="GD5" s="35" cm="1">
        <f t="array" ref="GD5">SUMPRODUCT((Y$2:Y$1000="PS")*(F$2:F$1000=FV5)*ISNUMBER(SEARCH("prioritization",LOWER(Z$2:Z$1000)))*ISNUMBER(SEARCH("cost-aware",LOWER(AA$2:AA$1000))))</f>
        <v>0</v>
      </c>
      <c r="GE5" s="35" cm="1">
        <f t="array" ref="GE5">SUMPRODUCT((Y$2:Y$1000="PS")*(F$2:F$1000=FV5)*ISNUMBER(SEARCH("prioritization",LOWER(Z$2:Z$1000)))*ISNUMBER(SEARCH("similarity",LOWER(AA$2:AA$1000))))</f>
        <v>0</v>
      </c>
      <c r="GF5" s="35" cm="1">
        <f t="array" ref="GF5">SUMPRODUCT((Y$2:Y$1000="PS")*(F$2:F$1000=FV5)*ISNUMBER(SEARCH("prioritization",LOWER(Z$2:Z$1000)))*ISNUMBER(SEARCH("input",LOWER(AA$2:AA$1000))))</f>
        <v>0</v>
      </c>
      <c r="GG5" s="35" cm="1">
        <f t="array" ref="GG5">SUMPRODUCT((Y$2:Y$1000="PS")*(F$2:F$1000=FV5)*ISNUMBER(SEARCH("prioritization",LOWER(Z$2:Z$1000)))*ISNUMBER(SEARCH("structure",LOWER(AA$2:AA$1000))))</f>
        <v>0</v>
      </c>
      <c r="GH5" s="35" cm="1">
        <f t="array" ref="GH5">SUMPRODUCT((Y$2:Y$1000="PS")*(F$2:F$1000=FV5)*ISNUMBER(SEARCH("prioritization",LOWER(Z$2:Z$1000)))*ISNUMBER(SEARCH("change",LOWER(AA$2:AA$1000))))</f>
        <v>0</v>
      </c>
      <c r="GI5" s="35" cm="1">
        <f t="array" ref="GI5">SUMPRODUCT((Y$2:Y$1000="PS")*(F$2:F$1000=FV5)*ISNUMBER(SEARCH("prioritization",LOWER(Z$2:Z$1000)))*ISNUMBER(SEARCH("ml",LOWER(AA$2:AA$1000))))</f>
        <v>0</v>
      </c>
      <c r="GJ5" s="35" cm="1">
        <f t="array" ref="GJ5">SUMPRODUCT((Y$2:Y$1000="PS")*(F$2:F$1000=FV5)*ISNUMBER(SEARCH("prioritization",LOWER(Z$2:Z$1000)))*ISNUMBER(SEARCH("heuristic",LOWER(AA$2:AA$1000))))</f>
        <v>0</v>
      </c>
      <c r="GK5" s="35" cm="1">
        <f t="array" ref="GK5">SUMPRODUCT((Y$2:Y$1000="PS")*(F$2:F$1000=FV5)*ISNUMBER(SEARCH("prioritization",LOWER(Z$2:Z$1000)))*ISNUMBER(SEARCH("search",LOWER(AA$2:AA$1000))))</f>
        <v>0</v>
      </c>
      <c r="GL5" s="35" cm="1">
        <f t="array" ref="GL5">SUMPRODUCT((Y$2:Y$1000="PS")*(F$2:F$1000=FV5)*ISNUMBER(SEARCH("prioritization",LOWER(Z$2:Z$1000)))*ISNUMBER(SEARCH("transfer",LOWER(AA$2:AA$1000))))</f>
        <v>0</v>
      </c>
      <c r="GM5" s="35" cm="1">
        <f t="array" ref="GM5">SUMPRODUCT((Y$2:Y$1000="PS")*(F$2:F$1000=FV5)*ISNUMBER(SEARCH("prioritization",LOWER(Z$2:Z$1000)))*ISNUMBER(SEARCH("riski",LOWER(AA$2:AA$1000))))</f>
        <v>0</v>
      </c>
      <c r="GN5" s="35" cm="1">
        <f t="array" ref="GN5">SUMPRODUCT((Y$2:Y$1000="PS")*(F$2:F$1000=FV5)*ISNUMBER(SEARCH("prioritization",LOWER(Z$2:Z$1000)))*ISNUMBER(SEARCH("nlp",LOWER(AA$2:AA$1000))))</f>
        <v>0</v>
      </c>
      <c r="GO5" s="35" cm="1">
        <f t="array" ref="GO5">SUMPRODUCT((Y$2:Y$1000="PS")*(F$2:F$1000=FV5)*ISNUMBER(SEARCH("prioritization",LOWER(Z$2:Z$1000)))*ISNUMBER(SEARCH("design",LOWER(AA$2:AA$1000))))</f>
        <v>0</v>
      </c>
      <c r="GP5" s="35" cm="1">
        <f t="array" ref="GP5">SUMPRODUCT((Y$2:Y$1000="PS")*(F$2:F$1000=FV5)*ISNUMBER(SEARCH("prioritization",LOWER(Z$2:Z$1000)))*ISNUMBER(SEARCH("other",LOWER(AA$2:AA$1000))))</f>
        <v>0</v>
      </c>
      <c r="GQ5">
        <f t="shared" si="8"/>
        <v>0</v>
      </c>
      <c r="GU5" t="s">
        <v>207</v>
      </c>
      <c r="GV5">
        <v>4</v>
      </c>
      <c r="GW5">
        <v>8</v>
      </c>
      <c r="GZ5">
        <v>2015</v>
      </c>
      <c r="HA5" cm="1">
        <f t="array" ref="HA5">SUMPRODUCT((Y$2:Y$1000="PS")*(F$2:F$1000=GZ5)*ISNUMBER(SEARCH("prioritization",LOWER(Z$2:Z$1000)))*ISNUMBER(SEARCH(LOWER("metaheuristic"),LOWER(AB$2:AB$1000))))</f>
        <v>0</v>
      </c>
      <c r="HB5" cm="1">
        <f t="array" ref="HB5">SUMPRODUCT((Y$2:Y$1000="PS")*(F$2:F$1000=GZ5)*ISNUMBER(SEARCH("prioritization",LOWER(Z$2:Z$1000)))*ISNUMBER(SEARCH(LOWER("search"),LOWER(AB$2:AB$1000))))</f>
        <v>0</v>
      </c>
      <c r="HC5" cm="1">
        <f t="array" ref="HC5">SUMPRODUCT((Y$2:Y$1000="PS")*(F$2:F$1000=GZ5)*ISNUMBER(SEARCH("prioritization",LOWER(Z$2:Z$1000)))*ISNUMBER(SEARCH(LOWER("heuristic"),LOWER(AB$2:AB$1000))))</f>
        <v>6</v>
      </c>
      <c r="HD5" cm="1">
        <f t="array" ref="HD5">SUMPRODUCT((Y$2:Y$1000="PS")*(F$2:F$1000=GZ5)*ISNUMBER(SEARCH("prioritization",LOWER(Z$2:Z$1000)))*ISNUMBER(SEARCH(LOWER("ml"),LOWER(AB$2:AB$1000))))</f>
        <v>2</v>
      </c>
      <c r="HE5" cm="1">
        <f t="array" ref="HE5">SUMPRODUCT((Y$2:Y$1000="PS")*(F$2:F$1000=GZ5)*ISNUMBER(SEARCH("prioritization",LOWER(Z$2:Z$1000)))*ISNUMBER(SEARCH(LOWER("rule"),LOWER(AB$2:AB$1000))))</f>
        <v>0</v>
      </c>
      <c r="HF5" cm="1">
        <f t="array" ref="HF5">SUMPRODUCT((Y$2:Y$1000="PS")*(F$2:F$1000=GZ5)*ISNUMBER(SEARCH("prioritization",LOWER(Z$2:Z$1000)))*ISNUMBER(SEARCH(LOWER(HF$2),LOWER(AB$2:AB$1000))))</f>
        <v>0</v>
      </c>
      <c r="HG5" cm="1">
        <f t="array" ref="HG5">SUMPRODUCT((Y$2:Y$1000="PS")*(F$2:F$1000=GZ5)*ISNUMBER(SEARCH("prioritization",LOWER(Z$2:Z$1000)))*ISNUMBER(SEARCH(LOWER("model"),LOWER(AB$2:AB$1000))))</f>
        <v>0</v>
      </c>
      <c r="HH5" cm="1">
        <f t="array" ref="HH5">SUMPRODUCT((Y$2:Y$1000="PS")*(F$2:F$1000=GZ5)*ISNUMBER(SEARCH("prioritization",LOWER(Z$2:Z$1000)))*ISNUMBER(SEARCH(LOWER(HH$2),LOWER(AB$2:AB$1000))))</f>
        <v>0</v>
      </c>
      <c r="HI5" cm="1">
        <f t="array" ref="HI5">SUMPRODUCT((Y$2:Y$1000="PS")*(F$2:F$1000=GZ5)*ISNUMBER(SEARCH("prioritization",LOWER(Z$2:Z$1000)))*ISNUMBER(SEARCH(LOWER("quantum"),LOWER(AB$2:AB$1000))))</f>
        <v>0</v>
      </c>
      <c r="HJ5" cm="1">
        <f t="array" ref="HJ5">SUMPRODUCT((Y$2:Y$1000="PS")*(F$2:F$1000=GZ5)*ISNUMBER(SEARCH("prioritization",LOWER(Z$2:Z$1000)))*ISNUMBER(SEARCH(LOWER("genetic"),LOWER(AB$2:AB$1000))))</f>
        <v>0</v>
      </c>
      <c r="HK5" cm="1">
        <f t="array" ref="HK5">SUMPRODUCT((Y$2:Y$1000="PS")*(F$2:F$1000=GZ5)*ISNUMBER(SEARCH("prioritization",LOWER(Z$2:Z$1000)))*ISNUMBER(SEARCH(LOWER("graph"),LOWER(AB$2:AB$1000))))</f>
        <v>0</v>
      </c>
      <c r="HL5" cm="1">
        <f t="array" ref="HL5">SUMPRODUCT((Y$2:Y$1000="PS")*(F$2:F$1000=GZ5)*ISNUMBER(SEARCH("prioritization",LOWER(Z$2:Z$1000)))*ISNUMBER(SEARCH(LOWER("greedy"),LOWER(AB$2:AB$1000))))</f>
        <v>1</v>
      </c>
      <c r="HM5" cm="1">
        <f t="array" ref="HM5">SUMPRODUCT((Y$2:Y$1000="PS")*(F$2:F$1000=GZ5)*ISNUMBER(SEARCH("prioritization",LOWER(Z$2:Z$1000)))*ISNUMBER(SEARCH(LOWER("dynamic"),LOWER(AB$2:AB$1000))))</f>
        <v>0</v>
      </c>
    </row>
    <row r="6" spans="1:221" ht="409.6">
      <c r="A6" s="2">
        <v>6888744</v>
      </c>
      <c r="B6" s="2" t="s">
        <v>34</v>
      </c>
      <c r="C6" s="2" t="s">
        <v>95</v>
      </c>
      <c r="D6" s="2" t="s">
        <v>96</v>
      </c>
      <c r="E6" s="2" t="s">
        <v>97</v>
      </c>
      <c r="F6" s="2">
        <v>2014</v>
      </c>
      <c r="G6" s="2"/>
      <c r="H6" s="2"/>
      <c r="I6" s="2" t="s">
        <v>98</v>
      </c>
      <c r="J6" s="2" t="s">
        <v>99</v>
      </c>
      <c r="K6" s="2" t="s">
        <v>100</v>
      </c>
      <c r="L6" s="2" t="s">
        <v>101</v>
      </c>
      <c r="M6" s="2"/>
      <c r="N6" s="2" t="s">
        <v>102</v>
      </c>
      <c r="O6" s="2"/>
      <c r="P6" s="2"/>
      <c r="Q6" s="2"/>
      <c r="R6" s="2"/>
      <c r="S6" s="2"/>
      <c r="T6" s="2"/>
      <c r="U6" s="2"/>
      <c r="V6" s="2"/>
      <c r="W6" s="2"/>
      <c r="X6" s="2" t="s">
        <v>103</v>
      </c>
      <c r="Y6" s="2" t="s">
        <v>58</v>
      </c>
      <c r="Z6" s="2" t="s">
        <v>104</v>
      </c>
      <c r="AA6" s="2" t="s">
        <v>1264</v>
      </c>
      <c r="AB6" s="2" t="s">
        <v>91</v>
      </c>
      <c r="AC6" s="2" t="s">
        <v>105</v>
      </c>
      <c r="AD6" s="2" t="s">
        <v>92</v>
      </c>
      <c r="AE6" s="2" t="s">
        <v>92</v>
      </c>
      <c r="AF6" s="2"/>
      <c r="AG6" s="2" t="s">
        <v>106</v>
      </c>
      <c r="AH6" s="2">
        <v>0</v>
      </c>
      <c r="AK6">
        <f t="shared" si="6"/>
        <v>1</v>
      </c>
      <c r="AL6">
        <f t="shared" si="0"/>
        <v>0</v>
      </c>
      <c r="AM6">
        <f t="shared" si="1"/>
        <v>0</v>
      </c>
      <c r="AN6">
        <f t="shared" si="2"/>
        <v>1</v>
      </c>
      <c r="AP6">
        <v>2016</v>
      </c>
      <c r="AQ6">
        <f t="shared" si="7"/>
        <v>9</v>
      </c>
      <c r="AR6">
        <f t="shared" si="3"/>
        <v>0</v>
      </c>
      <c r="AS6">
        <f t="shared" si="4"/>
        <v>2</v>
      </c>
      <c r="AT6">
        <f t="shared" si="5"/>
        <v>7</v>
      </c>
      <c r="AY6" t="s">
        <v>1432</v>
      </c>
      <c r="AZ6" cm="1">
        <f t="array" ref="AZ6">SUMPRODUCT(($Y$2:$Y$1000="PS")*(ISNUMBER(FIND(UPPER("prioritization"),UPPER($Z$2:$Z$1000))))*(ISNUMBER(FIND(UPPER("human"),UPPER($AA$2:$AA$1000))))*((ISNUMBER(FIND(UPPER("heuristic"),UPPER($AB$2:$AB$1000))))*(NOT(ISNUMBER(FIND(UPPER("meta"),UPPER($AB$2:$AB$1000)))))))</f>
        <v>0</v>
      </c>
      <c r="BA6" cm="1">
        <f t="array" ref="BA6">SUMPRODUCT(($Y$2:$Y$1000="PS")*(ISNUMBER(FIND(UPPER("prioritization"),UPPER($Z$2:$Z$1000))))*(ISNUMBER(FIND(UPPER("human"),UPPER($AA$2:$AA$1000))))*((ISNUMBER(FIND(UPPER("metaheuristic"),UPPER($AB$2:$AB$1000))))+(ISNUMBER(FIND(UPPER("meta-heuristic"),UPPER($AB$2:$AB$1000))))))</f>
        <v>0</v>
      </c>
      <c r="BB6" cm="1">
        <f t="array" ref="BB6">SUMPRODUCT(($Y$2:$Y$1000="PS")*(ISNUMBER(FIND(UPPER("prioritization"),UPPER($Z$2:$Z$1000))))*(ISNUMBER(FIND(UPPER("human"),UPPER($AA$2:$AA$1000))))*(ISNUMBER(FIND(UPPER("graph"),UPPER($AB$2:$AB$1000)))))</f>
        <v>0</v>
      </c>
      <c r="BC6" cm="1">
        <f t="array" ref="BC6">SUMPRODUCT(($Y$2:$Y$1000="PS")*(ISNUMBER(FIND(UPPER("prioritization"),UPPER($Z$2:$Z$1000))))*(ISNUMBER(FIND(UPPER("human"),UPPER($AA$2:$AA$1000))))*(ISNUMBER(FIND(UPPER("dynamic programming"),UPPER($AB$2:$AB$1000)))))</f>
        <v>0</v>
      </c>
      <c r="BD6" cm="1">
        <f t="array" ref="BD6">SUMPRODUCT(($Y$2:$Y$1000="PS")*(ISNUMBER(FIND(UPPER("prioritization"),UPPER($Z$2:$Z$1000))))*(ISNUMBER(FIND(UPPER("human"),UPPER($AA$2:$AA$1000))))*(ISNUMBER(FIND(UPPER("ml-based"),UPPER($AB$2:$AB$1000)))))</f>
        <v>2</v>
      </c>
      <c r="BE6" cm="1">
        <f t="array" ref="BE6">SUMPRODUCT(($Y$2:$Y$1000="PS")*(ISNUMBER(FIND(UPPER("prioritization"),UPPER($Z$2:$Z$1000))))*(ISNUMBER(FIND(UPPER("human"),UPPER($AA$2:$AA$1000))))*(ISNUMBER(FIND(UPPER("greedy"),UPPER($AB$2:$AB$1000)))))</f>
        <v>0</v>
      </c>
      <c r="BH6" t="s">
        <v>868</v>
      </c>
      <c r="BI6" cm="1">
        <f t="array" ref="BI6">SUMPRODUCT(($Y$2:$Y$1000="PS")*(ISNUMBER(FIND(UPPER("selection"),UPPER($Z$2:$Z$1000))))*(ISNUMBER(FIND(UPPER("graph-walk"),UPPER($AA$2:$AA$1000))))*((ISNUMBER(FIND(UPPER("heuristic"),UPPER($AB$2:$AB$1000))))*(NOT(ISNUMBER(FIND(UPPER("meta"),UPPER($AB$2:$AB$1000)))))))</f>
        <v>0</v>
      </c>
      <c r="BJ6" cm="1">
        <f t="array" ref="BJ6">SUMPRODUCT(($Y$2:$Y$1000="PS")*(ISNUMBER(FIND(UPPER("selection"),UPPER($Z$2:$Z$1000))))*(ISNUMBER(FIND(UPPER("graph-walk"),UPPER($AA$2:$AA$1000))))*((ISNUMBER(FIND(UPPER("metaheuristic"),UPPER($AB$2:$AB$1000))))+(ISNUMBER(FIND(UPPER("meta-heuristic"),UPPER($AB$2:$AB$1000))))))</f>
        <v>1</v>
      </c>
      <c r="BK6" cm="1">
        <f t="array" ref="BK6">SUMPRODUCT(($Y$2:$Y$1000="PS")*(ISNUMBER(FIND(UPPER("selection"),UPPER($Z$2:$Z$1000))))*(ISNUMBER(FIND(UPPER("graph-walk"),UPPER($AA$2:$AA$1000))))*(ISNUMBER(FIND(UPPER("graph"),UPPER($AB$2:$AB$1000)))))</f>
        <v>2</v>
      </c>
      <c r="BL6" cm="1">
        <f t="array" ref="BL6">SUMPRODUCT(($Y$2:$Y$1000="PS")*(ISNUMBER(FIND(UPPER("selection"),UPPER($Z$2:$Z$1000))))*(ISNUMBER(FIND(UPPER("graph-walk"),UPPER($AA$2:$AA$1000))))*(ISNUMBER(FIND(UPPER("dynamic programming"),UPPER($AB$2:$AB$1000)))))</f>
        <v>0</v>
      </c>
      <c r="BM6" cm="1">
        <f t="array" ref="BM6">SUMPRODUCT(($Y$2:$Y$1000="PS")*(ISNUMBER(FIND(UPPER("selection"),UPPER($Z$2:$Z$1000))))*(ISNUMBER(FIND(UPPER("graph-walk"),UPPER($AA$2:$AA$1000))))*(ISNUMBER(FIND(UPPER("ml-based"),UPPER($AB$2:$AB$1000)))))</f>
        <v>0</v>
      </c>
      <c r="BN6" cm="1">
        <f t="array" ref="BN6">SUMPRODUCT(($Y$2:$Y$1000="PS")*(ISNUMBER(FIND(UPPER("selection"),UPPER($Z$2:$Z$1000))))*(ISNUMBER(FIND(UPPER("graph-walk"),UPPER($AA$2:$AA$1000))))*(ISNUMBER(FIND(UPPER("greedy"),UPPER($AB$2:$AB$1000)))))</f>
        <v>0</v>
      </c>
      <c r="BX6" t="s">
        <v>1432</v>
      </c>
      <c r="BY6">
        <v>1</v>
      </c>
      <c r="BZ6">
        <v>1</v>
      </c>
      <c r="CB6">
        <v>1</v>
      </c>
      <c r="CG6" t="s">
        <v>868</v>
      </c>
      <c r="CK6">
        <v>2</v>
      </c>
      <c r="CL6">
        <v>1</v>
      </c>
      <c r="CO6" s="41" t="s">
        <v>1447</v>
      </c>
      <c r="CP6" s="41">
        <v>8</v>
      </c>
      <c r="CS6" s="38"/>
      <c r="CT6" s="38"/>
      <c r="CZ6" s="34" t="s">
        <v>1319</v>
      </c>
      <c r="DA6" cm="1">
        <f t="array" ref="DA6">SUMPRODUCT((Y$2:Y$1000="PS")*ISNUMBER(SEARCH(LOWER(CZ6),LOWER(AD$2:AD$1000))))</f>
        <v>7</v>
      </c>
      <c r="DB6" cm="1">
        <f t="array" ref="DB6">SUMPRODUCT((Y$2:Y$1000="PS")*ISNUMBER(SEARCH("prioritization",LOWER(Z$2:Z$1000)))*ISNUMBER(SEARCH(LOWER(CZ6),LOWER(AD$2:AD$1000))))</f>
        <v>6</v>
      </c>
      <c r="DC6" cm="1">
        <f t="array" ref="DC6">SUMPRODUCT((Y$2:Y$1000="PS")*ISNUMBER(SEARCH("selection",LOWER(Z$2:Z$1000)))*ISNUMBER(SEARCH(LOWER(CZ6),LOWER(AD$2:AD$1000))))</f>
        <v>2</v>
      </c>
      <c r="DD6" cm="1">
        <f t="array" ref="DD6">SUMPRODUCT((Y$2:Y$1000="PS")*ISNUMBER(SEARCH("minimization",LOWER(Z$2:Z$1000)))*ISNUMBER(SEARCH(LOWER(CZ6),LOWER(AD$2:AD$1000))))</f>
        <v>0</v>
      </c>
      <c r="DF6" s="34" t="s">
        <v>1319</v>
      </c>
      <c r="DG6">
        <v>6</v>
      </c>
      <c r="DH6" s="34" t="s">
        <v>1341</v>
      </c>
      <c r="DI6" s="34" cm="1">
        <f t="array" ref="DI6">SUMPRODUCT((Y$2:Y$1000="PS")*(ISNUMBER(SEARCH("command-line",LOWER(AE$2:AE$1000)))+ISNUMBER(SEARCH(" cli",LOWER(AE$2:AE$1000)))+ISNUMBER(SEARCH("utilit",LOWER(AE$2:AE$1000))))&gt;0)</f>
        <v>0</v>
      </c>
      <c r="DS6" t="s">
        <v>1355</v>
      </c>
      <c r="DT6">
        <v>4</v>
      </c>
      <c r="EA6" t="s">
        <v>1364</v>
      </c>
      <c r="EB6">
        <v>3</v>
      </c>
      <c r="EM6">
        <v>2016</v>
      </c>
      <c r="EN6" cm="1">
        <f t="array" ref="EN6">SUMPRODUCT((Y$2:Y$1000="PS")*(F$2:F$1000=EM6)*ISNUMBER(SEARCH("prioritization",LOWER(Z$2:Z$1000)))*ISNUMBER(SEARCH(LOWER("0"),LOWER(AH$2:AH$1000))))</f>
        <v>6</v>
      </c>
      <c r="EO6" cm="1">
        <f t="array" ref="EO6">SUMPRODUCT((Y$2:Y$1000="PS")*(F$2:F$1000=EM6)*ISNUMBER(SEARCH("prioritization",LOWER(Z$2:Z$1000)))*ISNUMBER(SEARCH(LOWER("0,5"),LOWER(AH$2:AH$1000))))</f>
        <v>4</v>
      </c>
      <c r="EP6" cm="1">
        <f t="array" ref="EP6">SUMPRODUCT((Y$2:Y$1000="PS")*(F$2:F$1000=EM6)*ISNUMBER(SEARCH("prioritization",LOWER(Z$2:Z$1000)))*ISNUMBER(SEARCH(LOWER("1"),LOWER(AH$2:AH$1000))))</f>
        <v>1</v>
      </c>
      <c r="ES6">
        <v>2016</v>
      </c>
      <c r="ET6" cm="1">
        <f t="array" ref="ET6">SUMPRODUCT((Y$2:Y$1000="PS")*(F$2:F$1000=$ES6)*(AH$2:AH$1000=0))</f>
        <v>4</v>
      </c>
      <c r="EU6" cm="1">
        <f t="array" ref="EU6">SUMPRODUCT((Y$2:Y$1000="PS")*(F$2:F$1000=$ES6)*(AH$2:AH$1000=0.5))</f>
        <v>4</v>
      </c>
      <c r="EV6" cm="1">
        <f t="array" ref="EV6">SUMPRODUCT((Y$2:Y$1000="PS")*(F$2:F$1000=$ES6)*(AH$2:AH$1000=1))</f>
        <v>1</v>
      </c>
      <c r="FQ6" t="s">
        <v>1273</v>
      </c>
      <c r="FR6" s="35" cm="1">
        <f t="array" ref="FR6">SUMPRODUCT((Y$2:Y$1000="PS")*ISNUMBER(SEARCH(LOWER(FQ6),LOWER(AA$2:AA$1000)))*ISNUMBER(SEARCH("prioritization",LOWER(Z$2:Z$1000))))</f>
        <v>6</v>
      </c>
      <c r="FV6">
        <v>2016</v>
      </c>
      <c r="FW6" s="35" cm="1">
        <f t="array" ref="FW6">SUMPRODUCT((Y$2:Y$1000="PS")*(F$2:F$1000=FV6)*ISNUMBER(SEARCH("prioritization",LOWER(Z$2:Z$1000)))*ISNUMBER(SEARCH("coverage",LOWER(AA$2:AA$1000))))</f>
        <v>3</v>
      </c>
      <c r="FX6" s="35" cm="1">
        <f t="array" ref="FX6">SUMPRODUCT((Y$2:Y$1000="PS")*(F$2:F$1000=FV6)*ISNUMBER(SEARCH("prioritization",LOWER(Z$2:Z$1000)))*ISNUMBER(SEARCH("requirement",LOWER(AA$2:AA$1000))))</f>
        <v>1</v>
      </c>
      <c r="FY6" s="35" cm="1">
        <f t="array" ref="FY6">SUMPRODUCT((Y$2:Y$1000="PS")*(F$2:F$1000=FV6)*ISNUMBER(SEARCH("prioritization",LOWER(Z$2:Z$1000)))*ISNUMBER(SEARCH("probab",LOWER(AA$2:AA$1000))))</f>
        <v>0</v>
      </c>
      <c r="FZ6" s="35" cm="1">
        <f t="array" ref="FZ6">SUMPRODUCT((Y$2:Y$1000="PS")*(F$2:F$1000=FV6)*ISNUMBER(SEARCH("prioritization",LOWER(Z$2:Z$1000)))*ISNUMBER(SEARCH("distribution",LOWER(AA$2:AA$1000))))</f>
        <v>1</v>
      </c>
      <c r="GA6" s="35" cm="1">
        <f t="array" ref="GA6">SUMPRODUCT((Y$2:Y$1000="PS")*(F$2:F$1000=FV6)*ISNUMBER(SEARCH("prioritization",LOWER(Z$2:Z$1000)))*ISNUMBER(SEARCH("clustering",LOWER(AA$2:AA$1000))))</f>
        <v>0</v>
      </c>
      <c r="GB6" s="35" cm="1">
        <f t="array" ref="GB6">SUMPRODUCT((Y$2:Y$1000="PS")*(F$2:F$1000=FV6)*ISNUMBER(SEARCH("prioritization",LOWER(Z$2:Z$1000)))*ISNUMBER(SEARCH("history",LOWER(AA$2:AA$1000))))</f>
        <v>1</v>
      </c>
      <c r="GC6" s="35" cm="1">
        <f t="array" ref="GC6">SUMPRODUCT((Y$2:Y$1000="PS")*(F$2:F$1000=FV6)*ISNUMBER(SEARCH("prioritization",LOWER(Z$2:Z$1000)))*ISNUMBER(SEARCH("model",LOWER(AA$2:AA$1000))))</f>
        <v>0</v>
      </c>
      <c r="GD6" s="35" cm="1">
        <f t="array" ref="GD6">SUMPRODUCT((Y$2:Y$1000="PS")*(F$2:F$1000=FV6)*ISNUMBER(SEARCH("prioritization",LOWER(Z$2:Z$1000)))*ISNUMBER(SEARCH("cost-aware",LOWER(AA$2:AA$1000))))</f>
        <v>0</v>
      </c>
      <c r="GE6" s="35" cm="1">
        <f t="array" ref="GE6">SUMPRODUCT((Y$2:Y$1000="PS")*(F$2:F$1000=FV6)*ISNUMBER(SEARCH("prioritization",LOWER(Z$2:Z$1000)))*ISNUMBER(SEARCH("similarity",LOWER(AA$2:AA$1000))))</f>
        <v>0</v>
      </c>
      <c r="GF6" s="35" cm="1">
        <f t="array" ref="GF6">SUMPRODUCT((Y$2:Y$1000="PS")*(F$2:F$1000=FV6)*ISNUMBER(SEARCH("prioritization",LOWER(Z$2:Z$1000)))*ISNUMBER(SEARCH("input",LOWER(AA$2:AA$1000))))</f>
        <v>0</v>
      </c>
      <c r="GG6" s="35" cm="1">
        <f t="array" ref="GG6">SUMPRODUCT((Y$2:Y$1000="PS")*(F$2:F$1000=FV6)*ISNUMBER(SEARCH("prioritization",LOWER(Z$2:Z$1000)))*ISNUMBER(SEARCH("structure",LOWER(AA$2:AA$1000))))</f>
        <v>0</v>
      </c>
      <c r="GH6" s="35" cm="1">
        <f t="array" ref="GH6">SUMPRODUCT((Y$2:Y$1000="PS")*(F$2:F$1000=FV6)*ISNUMBER(SEARCH("prioritization",LOWER(Z$2:Z$1000)))*ISNUMBER(SEARCH("change",LOWER(AA$2:AA$1000))))</f>
        <v>0</v>
      </c>
      <c r="GI6" s="35" cm="1">
        <f t="array" ref="GI6">SUMPRODUCT((Y$2:Y$1000="PS")*(F$2:F$1000=FV6)*ISNUMBER(SEARCH("prioritization",LOWER(Z$2:Z$1000)))*ISNUMBER(SEARCH("ml",LOWER(AA$2:AA$1000))))</f>
        <v>0</v>
      </c>
      <c r="GJ6" s="35" cm="1">
        <f t="array" ref="GJ6">SUMPRODUCT((Y$2:Y$1000="PS")*(F$2:F$1000=FV6)*ISNUMBER(SEARCH("prioritization",LOWER(Z$2:Z$1000)))*ISNUMBER(SEARCH("heuristic",LOWER(AA$2:AA$1000))))</f>
        <v>0</v>
      </c>
      <c r="GK6" s="35" cm="1">
        <f t="array" ref="GK6">SUMPRODUCT((Y$2:Y$1000="PS")*(F$2:F$1000=FV6)*ISNUMBER(SEARCH("prioritization",LOWER(Z$2:Z$1000)))*ISNUMBER(SEARCH("search",LOWER(AA$2:AA$1000))))</f>
        <v>0</v>
      </c>
      <c r="GL6" s="35" cm="1">
        <f t="array" ref="GL6">SUMPRODUCT((Y$2:Y$1000="PS")*(F$2:F$1000=FV6)*ISNUMBER(SEARCH("prioritization",LOWER(Z$2:Z$1000)))*ISNUMBER(SEARCH("transfer",LOWER(AA$2:AA$1000))))</f>
        <v>0</v>
      </c>
      <c r="GM6" s="35" cm="1">
        <f t="array" ref="GM6">SUMPRODUCT((Y$2:Y$1000="PS")*(F$2:F$1000=FV6)*ISNUMBER(SEARCH("prioritization",LOWER(Z$2:Z$1000)))*ISNUMBER(SEARCH("riski",LOWER(AA$2:AA$1000))))</f>
        <v>0</v>
      </c>
      <c r="GN6" s="35" cm="1">
        <f t="array" ref="GN6">SUMPRODUCT((Y$2:Y$1000="PS")*(F$2:F$1000=FV6)*ISNUMBER(SEARCH("prioritization",LOWER(Z$2:Z$1000)))*ISNUMBER(SEARCH("nlp",LOWER(AA$2:AA$1000))))</f>
        <v>0</v>
      </c>
      <c r="GO6" s="35" cm="1">
        <f t="array" ref="GO6">SUMPRODUCT((Y$2:Y$1000="PS")*(F$2:F$1000=FV6)*ISNUMBER(SEARCH("prioritization",LOWER(Z$2:Z$1000)))*ISNUMBER(SEARCH("design",LOWER(AA$2:AA$1000))))</f>
        <v>0</v>
      </c>
      <c r="GP6" s="35" cm="1">
        <f t="array" ref="GP6">SUMPRODUCT((Y$2:Y$1000="PS")*(F$2:F$1000=FV6)*ISNUMBER(SEARCH("prioritization",LOWER(Z$2:Z$1000)))*ISNUMBER(SEARCH("other",LOWER(AA$2:AA$1000))))</f>
        <v>0</v>
      </c>
      <c r="GQ6">
        <f t="shared" si="8"/>
        <v>0</v>
      </c>
      <c r="GZ6">
        <v>2016</v>
      </c>
      <c r="HA6" cm="1">
        <f t="array" ref="HA6">SUMPRODUCT((Y$2:Y$1000="PS")*(F$2:F$1000=GZ6)*ISNUMBER(SEARCH("prioritization",LOWER(Z$2:Z$1000)))*ISNUMBER(SEARCH(LOWER("metaheuristic"),LOWER(AB$2:AB$1000))))</f>
        <v>0</v>
      </c>
      <c r="HB6" cm="1">
        <f t="array" ref="HB6">SUMPRODUCT((Y$2:Y$1000="PS")*(F$2:F$1000=GZ6)*ISNUMBER(SEARCH("prioritization",LOWER(Z$2:Z$1000)))*ISNUMBER(SEARCH(LOWER("search"),LOWER(AB$2:AB$1000))))</f>
        <v>0</v>
      </c>
      <c r="HC6" cm="1">
        <f t="array" ref="HC6">SUMPRODUCT((Y$2:Y$1000="PS")*(F$2:F$1000=GZ6)*ISNUMBER(SEARCH("prioritization",LOWER(Z$2:Z$1000)))*ISNUMBER(SEARCH(LOWER("heuristic"),LOWER(AB$2:AB$1000))))</f>
        <v>4</v>
      </c>
      <c r="HD6" cm="1">
        <f t="array" ref="HD6">SUMPRODUCT((Y$2:Y$1000="PS")*(F$2:F$1000=GZ6)*ISNUMBER(SEARCH("prioritization",LOWER(Z$2:Z$1000)))*ISNUMBER(SEARCH(LOWER("ml"),LOWER(AB$2:AB$1000))))</f>
        <v>1</v>
      </c>
      <c r="HE6" cm="1">
        <f t="array" ref="HE6">SUMPRODUCT((Y$2:Y$1000="PS")*(F$2:F$1000=GZ6)*ISNUMBER(SEARCH("prioritization",LOWER(Z$2:Z$1000)))*ISNUMBER(SEARCH(LOWER("rule"),LOWER(AB$2:AB$1000))))</f>
        <v>0</v>
      </c>
      <c r="HF6" cm="1">
        <f t="array" ref="HF6">SUMPRODUCT((Y$2:Y$1000="PS")*(F$2:F$1000=GZ6)*ISNUMBER(SEARCH("prioritization",LOWER(Z$2:Z$1000)))*ISNUMBER(SEARCH(LOWER(HF$2),LOWER(AB$2:AB$1000))))</f>
        <v>0</v>
      </c>
      <c r="HG6" cm="1">
        <f t="array" ref="HG6">SUMPRODUCT((Y$2:Y$1000="PS")*(F$2:F$1000=GZ6)*ISNUMBER(SEARCH("prioritization",LOWER(Z$2:Z$1000)))*ISNUMBER(SEARCH(LOWER("model"),LOWER(AB$2:AB$1000))))</f>
        <v>0</v>
      </c>
      <c r="HH6" cm="1">
        <f t="array" ref="HH6">SUMPRODUCT((Y$2:Y$1000="PS")*(F$2:F$1000=GZ6)*ISNUMBER(SEARCH("prioritization",LOWER(Z$2:Z$1000)))*ISNUMBER(SEARCH(LOWER(HH$2),LOWER(AB$2:AB$1000))))</f>
        <v>0</v>
      </c>
      <c r="HI6" cm="1">
        <f t="array" ref="HI6">SUMPRODUCT((Y$2:Y$1000="PS")*(F$2:F$1000=GZ6)*ISNUMBER(SEARCH("prioritization",LOWER(Z$2:Z$1000)))*ISNUMBER(SEARCH(LOWER("quantum"),LOWER(AB$2:AB$1000))))</f>
        <v>0</v>
      </c>
      <c r="HJ6" cm="1">
        <f t="array" ref="HJ6">SUMPRODUCT((Y$2:Y$1000="PS")*(F$2:F$1000=GZ6)*ISNUMBER(SEARCH("prioritization",LOWER(Z$2:Z$1000)))*ISNUMBER(SEARCH(LOWER("genetic"),LOWER(AB$2:AB$1000))))</f>
        <v>0</v>
      </c>
      <c r="HK6" cm="1">
        <f t="array" ref="HK6">SUMPRODUCT((Y$2:Y$1000="PS")*(F$2:F$1000=GZ6)*ISNUMBER(SEARCH("prioritization",LOWER(Z$2:Z$1000)))*ISNUMBER(SEARCH(LOWER("graph"),LOWER(AB$2:AB$1000))))</f>
        <v>0</v>
      </c>
      <c r="HL6" cm="1">
        <f t="array" ref="HL6">SUMPRODUCT((Y$2:Y$1000="PS")*(F$2:F$1000=GZ6)*ISNUMBER(SEARCH("prioritization",LOWER(Z$2:Z$1000)))*ISNUMBER(SEARCH(LOWER("greedy"),LOWER(AB$2:AB$1000))))</f>
        <v>3</v>
      </c>
      <c r="HM6" cm="1">
        <f t="array" ref="HM6">SUMPRODUCT((Y$2:Y$1000="PS")*(F$2:F$1000=GZ6)*ISNUMBER(SEARCH("prioritization",LOWER(Z$2:Z$1000)))*ISNUMBER(SEARCH(LOWER("dynamic"),LOWER(AB$2:AB$1000))))</f>
        <v>0</v>
      </c>
    </row>
    <row r="7" spans="1:221" ht="409.6">
      <c r="A7" s="2">
        <v>7809434</v>
      </c>
      <c r="B7" s="2" t="s">
        <v>34</v>
      </c>
      <c r="C7" s="2" t="s">
        <v>95</v>
      </c>
      <c r="D7" s="2" t="s">
        <v>107</v>
      </c>
      <c r="E7" s="2" t="s">
        <v>108</v>
      </c>
      <c r="F7" s="2">
        <v>2016</v>
      </c>
      <c r="G7" s="2"/>
      <c r="H7" s="2"/>
      <c r="I7" s="2" t="s">
        <v>109</v>
      </c>
      <c r="J7" s="2" t="s">
        <v>110</v>
      </c>
      <c r="K7" s="2" t="s">
        <v>111</v>
      </c>
      <c r="L7" s="2" t="s">
        <v>112</v>
      </c>
      <c r="M7" s="2"/>
      <c r="N7" s="2" t="s">
        <v>75</v>
      </c>
      <c r="O7" s="2"/>
      <c r="P7" s="2"/>
      <c r="Q7" s="2"/>
      <c r="R7" s="2"/>
      <c r="S7" s="2"/>
      <c r="T7" s="2"/>
      <c r="U7" s="2"/>
      <c r="V7" s="2"/>
      <c r="W7" s="2"/>
      <c r="X7" s="2" t="s">
        <v>113</v>
      </c>
      <c r="Y7" s="2" t="s">
        <v>58</v>
      </c>
      <c r="Z7" s="2" t="s">
        <v>89</v>
      </c>
      <c r="AA7" s="2" t="s">
        <v>114</v>
      </c>
      <c r="AB7" s="2" t="s">
        <v>1424</v>
      </c>
      <c r="AC7" s="2" t="s">
        <v>115</v>
      </c>
      <c r="AD7" s="2" t="s">
        <v>116</v>
      </c>
      <c r="AE7" s="2" t="s">
        <v>117</v>
      </c>
      <c r="AF7" s="2" t="s">
        <v>65</v>
      </c>
      <c r="AG7" s="2" t="s">
        <v>118</v>
      </c>
      <c r="AH7" s="2">
        <v>0.5</v>
      </c>
      <c r="AK7">
        <f t="shared" si="6"/>
        <v>1</v>
      </c>
      <c r="AL7">
        <f t="shared" si="0"/>
        <v>0</v>
      </c>
      <c r="AM7">
        <f t="shared" si="1"/>
        <v>0</v>
      </c>
      <c r="AN7">
        <f t="shared" si="2"/>
        <v>1</v>
      </c>
      <c r="AP7">
        <v>2017</v>
      </c>
      <c r="AQ7">
        <f t="shared" si="7"/>
        <v>7</v>
      </c>
      <c r="AR7">
        <f t="shared" si="3"/>
        <v>0</v>
      </c>
      <c r="AS7">
        <f t="shared" si="4"/>
        <v>3</v>
      </c>
      <c r="AT7">
        <f t="shared" si="5"/>
        <v>6</v>
      </c>
      <c r="AY7" t="s">
        <v>1369</v>
      </c>
      <c r="AZ7" cm="1">
        <f t="array" ref="AZ7">SUMPRODUCT(($Y$2:$Y$1000="PS")*(ISNUMBER(FIND(UPPER("prioritization"),UPPER($Z$2:$Z$1000))))*(ISNUMBER(FIND(UPPER("clustering"),UPPER($AA$2:$AA$1000))))*((ISNUMBER(FIND(UPPER("heuristic"),UPPER($AB$2:$AB$1000))))*(NOT(ISNUMBER(FIND(UPPER("meta"),UPPER($AB$2:$AB$1000)))))))</f>
        <v>2</v>
      </c>
      <c r="BA7" cm="1">
        <f t="array" ref="BA7">SUMPRODUCT(($Y$2:$Y$1000="PS")*(ISNUMBER(FIND(UPPER("prioritization"),UPPER($Z$2:$Z$1000))))*(ISNUMBER(FIND(UPPER("clustering"),UPPER($AA$2:$AA$1000))))*((ISNUMBER(FIND(UPPER("metaheuristic"),UPPER($AB$2:$AB$1000))))+(ISNUMBER(FIND(UPPER("meta-heuristic"),UPPER($AB$2:$AB$1000))))))</f>
        <v>0</v>
      </c>
      <c r="BB7" cm="1">
        <f t="array" ref="BB7">SUMPRODUCT(($Y$2:$Y$1000="PS")*(ISNUMBER(FIND(UPPER("prioritization"),UPPER($Z$2:$Z$1000))))*(ISNUMBER(FIND(UPPER("clustering"),UPPER($AA$2:$AA$1000))))*(ISNUMBER(FIND(UPPER("graph"),UPPER($AB$2:$AB$1000)))))</f>
        <v>0</v>
      </c>
      <c r="BC7" cm="1">
        <f t="array" ref="BC7">SUMPRODUCT(($Y$2:$Y$1000="PS")*(ISNUMBER(FIND(UPPER("prioritization"),UPPER($Z$2:$Z$1000))))*(ISNUMBER(FIND(UPPER("clustering"),UPPER($AA$2:$AA$1000))))*(ISNUMBER(FIND(UPPER("dynamic programming"),UPPER($AB$2:$AB$1000)))))</f>
        <v>0</v>
      </c>
      <c r="BD7" cm="1">
        <f t="array" ref="BD7">SUMPRODUCT(($Y$2:$Y$1000="PS")*(ISNUMBER(FIND(UPPER("prioritization"),UPPER($Z$2:$Z$1000))))*(ISNUMBER(FIND(UPPER("clustering"),UPPER($AA$2:$AA$1000))))*(ISNUMBER(FIND(UPPER("ml-based"),UPPER($AB$2:$AB$1000)))))</f>
        <v>0</v>
      </c>
      <c r="BE7" cm="1">
        <f t="array" ref="BE7">SUMPRODUCT(($Y$2:$Y$1000="PS")*(ISNUMBER(FIND(UPPER("prioritization"),UPPER($Z$2:$Z$1000))))*(ISNUMBER(FIND(UPPER("clustering"),UPPER($AA$2:$AA$1000))))*(ISNUMBER(FIND(UPPER("greedy"),UPPER($AB$2:$AB$1000)))))</f>
        <v>0</v>
      </c>
      <c r="BH7" t="s">
        <v>1379</v>
      </c>
      <c r="BI7" cm="1">
        <f t="array" ref="BI7">SUMPRODUCT(($Y$2:$Y$1000="PS")*(ISNUMBER(FIND(UPPER("selection"),UPPER($Z$2:$Z$1000))))*(ISNUMBER(FIND(UPPER("textual difference"),UPPER($AA$2:$AA$1000))))*((ISNUMBER(FIND(UPPER("heuristic"),UPPER($AB$2:$AB$1000))))*(NOT(ISNUMBER(FIND(UPPER("meta"),UPPER($AB$2:$AB$1000)))))))</f>
        <v>0</v>
      </c>
      <c r="BJ7" cm="1">
        <f t="array" ref="BJ7">SUMPRODUCT(($Y$2:$Y$1000="PS")*(ISNUMBER(FIND(UPPER("selection"),UPPER($Z$2:$Z$1000))))*(ISNUMBER(FIND(UPPER("textual difference"),UPPER($AA$2:$AA$1000))))*((ISNUMBER(FIND(UPPER("metaheuristic"),UPPER($AB$2:$AB$1000))))+(ISNUMBER(FIND(UPPER("meta-heuristic"),UPPER($AB$2:$AB$1000))))))</f>
        <v>0</v>
      </c>
      <c r="BK7" cm="1">
        <f t="array" ref="BK7">SUMPRODUCT(($Y$2:$Y$1000="PS")*(ISNUMBER(FIND(UPPER("selection"),UPPER($Z$2:$Z$1000))))*(ISNUMBER(FIND(UPPER("textual difference"),UPPER($AA$2:$AA$1000))))*(ISNUMBER(FIND(UPPER("graph"),UPPER($AB$2:$AB$1000)))))</f>
        <v>0</v>
      </c>
      <c r="BL7" cm="1">
        <f t="array" ref="BL7">SUMPRODUCT(($Y$2:$Y$1000="PS")*(ISNUMBER(FIND(UPPER("selection"),UPPER($Z$2:$Z$1000))))*(ISNUMBER(FIND(UPPER("textual difference"),UPPER($AA$2:$AA$1000))))*(ISNUMBER(FIND(UPPER("dynamic programming"),UPPER($AB$2:$AB$1000)))))</f>
        <v>0</v>
      </c>
      <c r="BM7" cm="1">
        <f t="array" ref="BM7">SUMPRODUCT(($Y$2:$Y$1000="PS")*(ISNUMBER(FIND(UPPER("selection"),UPPER($Z$2:$Z$1000))))*(ISNUMBER(FIND(UPPER("textual difference"),UPPER($AA$2:$AA$1000))))*(ISNUMBER(FIND(UPPER("ml-based"),UPPER($AB$2:$AB$1000)))))</f>
        <v>0</v>
      </c>
      <c r="BN7" cm="1">
        <f t="array" ref="BN7">SUMPRODUCT(($Y$2:$Y$1000="PS")*(ISNUMBER(FIND(UPPER("selection"),UPPER($Z$2:$Z$1000))))*(ISNUMBER(FIND(UPPER("textual difference"),UPPER($AA$2:$AA$1000))))*(ISNUMBER(FIND(UPPER("greedy"),UPPER($AB$2:$AB$1000)))))</f>
        <v>0</v>
      </c>
      <c r="BX7" t="s">
        <v>1369</v>
      </c>
      <c r="BY7">
        <v>2</v>
      </c>
      <c r="CB7">
        <v>2</v>
      </c>
      <c r="CG7" t="s">
        <v>1379</v>
      </c>
      <c r="CO7" s="41" t="s">
        <v>739</v>
      </c>
      <c r="CP7" s="41">
        <v>4</v>
      </c>
      <c r="CS7" s="38"/>
      <c r="CT7" s="38"/>
      <c r="CZ7" s="34" t="s">
        <v>1329</v>
      </c>
      <c r="DA7" cm="1">
        <f t="array" ref="DA7">SUMPRODUCT((Y$2:Y$1000="PS")*ISNUMBER(SEARCH(LOWER(CZ7),LOWER(AD$2:AD$1000))))</f>
        <v>5</v>
      </c>
      <c r="DB7" cm="1">
        <f t="array" ref="DB7">SUMPRODUCT((Y$2:Y$1000="PS")*ISNUMBER(SEARCH("prioritization",LOWER(Z$2:Z$1000)))*ISNUMBER(SEARCH(LOWER(CZ7),LOWER(AD$2:AD$1000))))</f>
        <v>4</v>
      </c>
      <c r="DC7" cm="1">
        <f t="array" ref="DC7">SUMPRODUCT((Y$2:Y$1000="PS")*ISNUMBER(SEARCH("selection",LOWER(Z$2:Z$1000)))*ISNUMBER(SEARCH(LOWER(CZ7),LOWER(AD$2:AD$1000))))</f>
        <v>0</v>
      </c>
      <c r="DD7" cm="1">
        <f t="array" ref="DD7">SUMPRODUCT((Y$2:Y$1000="PS")*ISNUMBER(SEARCH("minimization",LOWER(Z$2:Z$1000)))*ISNUMBER(SEARCH(LOWER(CZ7),LOWER(AD$2:AD$1000))))</f>
        <v>0</v>
      </c>
      <c r="DF7" s="34" t="s">
        <v>1329</v>
      </c>
      <c r="DG7">
        <v>5</v>
      </c>
      <c r="DH7" s="34" t="s">
        <v>1342</v>
      </c>
      <c r="DI7" s="34" cm="1">
        <f t="array" ref="DI7">SUMPRODUCT((Y$2:Y$1000="PS")*(ISNUMBER(SEARCH("embedded",LOWER(AE$2:AE$1000)))+ISNUMBER(SEARCH("automotive",LOWER(AE$2:AE$1000))))&gt;0)</f>
        <v>0</v>
      </c>
      <c r="DS7" t="s">
        <v>590</v>
      </c>
      <c r="DT7">
        <v>3</v>
      </c>
      <c r="EA7" t="s">
        <v>1365</v>
      </c>
      <c r="EB7">
        <v>3</v>
      </c>
      <c r="EM7">
        <v>2017</v>
      </c>
      <c r="EN7" cm="1">
        <f t="array" ref="EN7">SUMPRODUCT((Y$2:Y$1000="PS")*(F$2:F$1000=EM7)*ISNUMBER(SEARCH("prioritization",LOWER(Z$2:Z$1000)))*ISNUMBER(SEARCH(LOWER("0"),LOWER(AH$2:AH$1000))))</f>
        <v>5</v>
      </c>
      <c r="EO7" cm="1">
        <f t="array" ref="EO7">SUMPRODUCT((Y$2:Y$1000="PS")*(F$2:F$1000=EM7)*ISNUMBER(SEARCH("prioritization",LOWER(Z$2:Z$1000)))*ISNUMBER(SEARCH(LOWER("0,5"),LOWER(AH$2:AH$1000))))</f>
        <v>0</v>
      </c>
      <c r="EP7" cm="1">
        <f t="array" ref="EP7">SUMPRODUCT((Y$2:Y$1000="PS")*(F$2:F$1000=EM7)*ISNUMBER(SEARCH("prioritization",LOWER(Z$2:Z$1000)))*ISNUMBER(SEARCH(LOWER("1"),LOWER(AH$2:AH$1000))))</f>
        <v>1</v>
      </c>
      <c r="ES7">
        <v>2017</v>
      </c>
      <c r="ET7" cm="1">
        <f t="array" ref="ET7">SUMPRODUCT((Y$2:Y$1000="PS")*(F$2:F$1000=$ES7)*(AH$2:AH$1000=0))</f>
        <v>6</v>
      </c>
      <c r="EU7" cm="1">
        <f t="array" ref="EU7">SUMPRODUCT((Y$2:Y$1000="PS")*(F$2:F$1000=$ES7)*(AH$2:AH$1000=0.5))</f>
        <v>0</v>
      </c>
      <c r="EV7" cm="1">
        <f t="array" ref="EV7">SUMPRODUCT((Y$2:Y$1000="PS")*(F$2:F$1000=$ES7)*(AH$2:AH$1000=1))</f>
        <v>1</v>
      </c>
      <c r="FQ7" t="s">
        <v>1274</v>
      </c>
      <c r="FR7" s="35" cm="1">
        <f t="array" ref="FR7">SUMPRODUCT((Y$2:Y$1000="PS")*ISNUMBER(SEARCH(LOWER(FQ7),LOWER(AA$2:AA$1000)))*ISNUMBER(SEARCH("prioritization",LOWER(Z$2:Z$1000))))</f>
        <v>2</v>
      </c>
      <c r="FV7">
        <v>2017</v>
      </c>
      <c r="FW7" s="35" cm="1">
        <f t="array" ref="FW7">SUMPRODUCT((Y$2:Y$1000="PS")*(F$2:F$1000=FV7)*ISNUMBER(SEARCH("prioritization",LOWER(Z$2:Z$1000)))*ISNUMBER(SEARCH("coverage",LOWER(AA$2:AA$1000))))</f>
        <v>3</v>
      </c>
      <c r="FX7" s="35" cm="1">
        <f t="array" ref="FX7">SUMPRODUCT((Y$2:Y$1000="PS")*(F$2:F$1000=FV7)*ISNUMBER(SEARCH("prioritization",LOWER(Z$2:Z$1000)))*ISNUMBER(SEARCH("requirement",LOWER(AA$2:AA$1000))))</f>
        <v>0</v>
      </c>
      <c r="FY7" s="35" cm="1">
        <f t="array" ref="FY7">SUMPRODUCT((Y$2:Y$1000="PS")*(F$2:F$1000=FV7)*ISNUMBER(SEARCH("prioritization",LOWER(Z$2:Z$1000)))*ISNUMBER(SEARCH("probab",LOWER(AA$2:AA$1000))))</f>
        <v>1</v>
      </c>
      <c r="FZ7" s="35" cm="1">
        <f t="array" ref="FZ7">SUMPRODUCT((Y$2:Y$1000="PS")*(F$2:F$1000=FV7)*ISNUMBER(SEARCH("prioritization",LOWER(Z$2:Z$1000)))*ISNUMBER(SEARCH("distribution",LOWER(AA$2:AA$1000))))</f>
        <v>1</v>
      </c>
      <c r="GA7" s="35" cm="1">
        <f t="array" ref="GA7">SUMPRODUCT((Y$2:Y$1000="PS")*(F$2:F$1000=FV7)*ISNUMBER(SEARCH("prioritization",LOWER(Z$2:Z$1000)))*ISNUMBER(SEARCH("clustering",LOWER(AA$2:AA$1000))))</f>
        <v>0</v>
      </c>
      <c r="GB7" s="35" cm="1">
        <f t="array" ref="GB7">SUMPRODUCT((Y$2:Y$1000="PS")*(F$2:F$1000=FV7)*ISNUMBER(SEARCH("prioritization",LOWER(Z$2:Z$1000)))*ISNUMBER(SEARCH("history",LOWER(AA$2:AA$1000))))</f>
        <v>2</v>
      </c>
      <c r="GC7" s="35" cm="1">
        <f t="array" ref="GC7">SUMPRODUCT((Y$2:Y$1000="PS")*(F$2:F$1000=FV7)*ISNUMBER(SEARCH("prioritization",LOWER(Z$2:Z$1000)))*ISNUMBER(SEARCH("model",LOWER(AA$2:AA$1000))))</f>
        <v>0</v>
      </c>
      <c r="GD7" s="35" cm="1">
        <f t="array" ref="GD7">SUMPRODUCT((Y$2:Y$1000="PS")*(F$2:F$1000=FV7)*ISNUMBER(SEARCH("prioritization",LOWER(Z$2:Z$1000)))*ISNUMBER(SEARCH("cost-aware",LOWER(AA$2:AA$1000))))</f>
        <v>1</v>
      </c>
      <c r="GE7" s="35" cm="1">
        <f t="array" ref="GE7">SUMPRODUCT((Y$2:Y$1000="PS")*(F$2:F$1000=FV7)*ISNUMBER(SEARCH("prioritization",LOWER(Z$2:Z$1000)))*ISNUMBER(SEARCH("similarity",LOWER(AA$2:AA$1000))))</f>
        <v>0</v>
      </c>
      <c r="GF7" s="35" cm="1">
        <f t="array" ref="GF7">SUMPRODUCT((Y$2:Y$1000="PS")*(F$2:F$1000=FV7)*ISNUMBER(SEARCH("prioritization",LOWER(Z$2:Z$1000)))*ISNUMBER(SEARCH("input",LOWER(AA$2:AA$1000))))</f>
        <v>0</v>
      </c>
      <c r="GG7" s="35" cm="1">
        <f t="array" ref="GG7">SUMPRODUCT((Y$2:Y$1000="PS")*(F$2:F$1000=FV7)*ISNUMBER(SEARCH("prioritization",LOWER(Z$2:Z$1000)))*ISNUMBER(SEARCH("structure",LOWER(AA$2:AA$1000))))</f>
        <v>0</v>
      </c>
      <c r="GH7" s="35" cm="1">
        <f t="array" ref="GH7">SUMPRODUCT((Y$2:Y$1000="PS")*(F$2:F$1000=FV7)*ISNUMBER(SEARCH("prioritization",LOWER(Z$2:Z$1000)))*ISNUMBER(SEARCH("change",LOWER(AA$2:AA$1000))))</f>
        <v>0</v>
      </c>
      <c r="GI7" s="35" cm="1">
        <f t="array" ref="GI7">SUMPRODUCT((Y$2:Y$1000="PS")*(F$2:F$1000=FV7)*ISNUMBER(SEARCH("prioritization",LOWER(Z$2:Z$1000)))*ISNUMBER(SEARCH("ml",LOWER(AA$2:AA$1000))))</f>
        <v>0</v>
      </c>
      <c r="GJ7" s="35" cm="1">
        <f t="array" ref="GJ7">SUMPRODUCT((Y$2:Y$1000="PS")*(F$2:F$1000=FV7)*ISNUMBER(SEARCH("prioritization",LOWER(Z$2:Z$1000)))*ISNUMBER(SEARCH("heuristic",LOWER(AA$2:AA$1000))))</f>
        <v>0</v>
      </c>
      <c r="GK7" s="35" cm="1">
        <f t="array" ref="GK7">SUMPRODUCT((Y$2:Y$1000="PS")*(F$2:F$1000=FV7)*ISNUMBER(SEARCH("prioritization",LOWER(Z$2:Z$1000)))*ISNUMBER(SEARCH("search",LOWER(AA$2:AA$1000))))</f>
        <v>0</v>
      </c>
      <c r="GL7" s="35" cm="1">
        <f t="array" ref="GL7">SUMPRODUCT((Y$2:Y$1000="PS")*(F$2:F$1000=FV7)*ISNUMBER(SEARCH("prioritization",LOWER(Z$2:Z$1000)))*ISNUMBER(SEARCH("transfer",LOWER(AA$2:AA$1000))))</f>
        <v>0</v>
      </c>
      <c r="GM7" s="35" cm="1">
        <f t="array" ref="GM7">SUMPRODUCT((Y$2:Y$1000="PS")*(F$2:F$1000=FV7)*ISNUMBER(SEARCH("prioritization",LOWER(Z$2:Z$1000)))*ISNUMBER(SEARCH("riski",LOWER(AA$2:AA$1000))))</f>
        <v>0</v>
      </c>
      <c r="GN7" s="35" cm="1">
        <f t="array" ref="GN7">SUMPRODUCT((Y$2:Y$1000="PS")*(F$2:F$1000=FV7)*ISNUMBER(SEARCH("prioritization",LOWER(Z$2:Z$1000)))*ISNUMBER(SEARCH("nlp",LOWER(AA$2:AA$1000))))</f>
        <v>0</v>
      </c>
      <c r="GO7" s="35" cm="1">
        <f t="array" ref="GO7">SUMPRODUCT((Y$2:Y$1000="PS")*(F$2:F$1000=FV7)*ISNUMBER(SEARCH("prioritization",LOWER(Z$2:Z$1000)))*ISNUMBER(SEARCH("design",LOWER(AA$2:AA$1000))))</f>
        <v>0</v>
      </c>
      <c r="GP7" s="35" cm="1">
        <f t="array" ref="GP7">SUMPRODUCT((Y$2:Y$1000="PS")*(F$2:F$1000=FV7)*ISNUMBER(SEARCH("prioritization",LOWER(Z$2:Z$1000)))*ISNUMBER(SEARCH("other",LOWER(AA$2:AA$1000))))</f>
        <v>0</v>
      </c>
      <c r="GQ7">
        <f t="shared" si="8"/>
        <v>0</v>
      </c>
      <c r="GZ7">
        <v>2017</v>
      </c>
      <c r="HA7" cm="1">
        <f t="array" ref="HA7">SUMPRODUCT((Y$2:Y$1000="PS")*(F$2:F$1000=GZ7)*ISNUMBER(SEARCH("prioritization",LOWER(Z$2:Z$1000)))*ISNUMBER(SEARCH(LOWER("metaheuristic"),LOWER(AB$2:AB$1000))))</f>
        <v>0</v>
      </c>
      <c r="HB7" cm="1">
        <f t="array" ref="HB7">SUMPRODUCT((Y$2:Y$1000="PS")*(F$2:F$1000=GZ7)*ISNUMBER(SEARCH("prioritization",LOWER(Z$2:Z$1000)))*ISNUMBER(SEARCH(LOWER("search"),LOWER(AB$2:AB$1000))))</f>
        <v>0</v>
      </c>
      <c r="HC7" cm="1">
        <f t="array" ref="HC7">SUMPRODUCT((Y$2:Y$1000="PS")*(F$2:F$1000=GZ7)*ISNUMBER(SEARCH("prioritization",LOWER(Z$2:Z$1000)))*ISNUMBER(SEARCH(LOWER("heuristic"),LOWER(AB$2:AB$1000))))</f>
        <v>3</v>
      </c>
      <c r="HD7" cm="1">
        <f t="array" ref="HD7">SUMPRODUCT((Y$2:Y$1000="PS")*(F$2:F$1000=GZ7)*ISNUMBER(SEARCH("prioritization",LOWER(Z$2:Z$1000)))*ISNUMBER(SEARCH(LOWER("ml"),LOWER(AB$2:AB$1000))))</f>
        <v>1</v>
      </c>
      <c r="HE7" cm="1">
        <f t="array" ref="HE7">SUMPRODUCT((Y$2:Y$1000="PS")*(F$2:F$1000=GZ7)*ISNUMBER(SEARCH("prioritization",LOWER(Z$2:Z$1000)))*ISNUMBER(SEARCH(LOWER("rule"),LOWER(AB$2:AB$1000))))</f>
        <v>0</v>
      </c>
      <c r="HF7" cm="1">
        <f t="array" ref="HF7">SUMPRODUCT((Y$2:Y$1000="PS")*(F$2:F$1000=GZ7)*ISNUMBER(SEARCH("prioritization",LOWER(Z$2:Z$1000)))*ISNUMBER(SEARCH(LOWER(HF$2),LOWER(AB$2:AB$1000))))</f>
        <v>0</v>
      </c>
      <c r="HG7" cm="1">
        <f t="array" ref="HG7">SUMPRODUCT((Y$2:Y$1000="PS")*(F$2:F$1000=GZ7)*ISNUMBER(SEARCH("prioritization",LOWER(Z$2:Z$1000)))*ISNUMBER(SEARCH(LOWER("model"),LOWER(AB$2:AB$1000))))</f>
        <v>0</v>
      </c>
      <c r="HH7" cm="1">
        <f t="array" ref="HH7">SUMPRODUCT((Y$2:Y$1000="PS")*(F$2:F$1000=GZ7)*ISNUMBER(SEARCH("prioritization",LOWER(Z$2:Z$1000)))*ISNUMBER(SEARCH(LOWER(HH$2),LOWER(AB$2:AB$1000))))</f>
        <v>0</v>
      </c>
      <c r="HI7" cm="1">
        <f t="array" ref="HI7">SUMPRODUCT((Y$2:Y$1000="PS")*(F$2:F$1000=GZ7)*ISNUMBER(SEARCH("prioritization",LOWER(Z$2:Z$1000)))*ISNUMBER(SEARCH(LOWER("quantum"),LOWER(AB$2:AB$1000))))</f>
        <v>0</v>
      </c>
      <c r="HJ7" cm="1">
        <f t="array" ref="HJ7">SUMPRODUCT((Y$2:Y$1000="PS")*(F$2:F$1000=GZ7)*ISNUMBER(SEARCH("prioritization",LOWER(Z$2:Z$1000)))*ISNUMBER(SEARCH(LOWER("genetic"),LOWER(AB$2:AB$1000))))</f>
        <v>0</v>
      </c>
      <c r="HK7" cm="1">
        <f t="array" ref="HK7">SUMPRODUCT((Y$2:Y$1000="PS")*(F$2:F$1000=GZ7)*ISNUMBER(SEARCH("prioritization",LOWER(Z$2:Z$1000)))*ISNUMBER(SEARCH(LOWER("graph"),LOWER(AB$2:AB$1000))))</f>
        <v>0</v>
      </c>
      <c r="HL7" cm="1">
        <f t="array" ref="HL7">SUMPRODUCT((Y$2:Y$1000="PS")*(F$2:F$1000=GZ7)*ISNUMBER(SEARCH("prioritization",LOWER(Z$2:Z$1000)))*ISNUMBER(SEARCH(LOWER("greedy"),LOWER(AB$2:AB$1000))))</f>
        <v>2</v>
      </c>
      <c r="HM7" cm="1">
        <f t="array" ref="HM7">SUMPRODUCT((Y$2:Y$1000="PS")*(F$2:F$1000=GZ7)*ISNUMBER(SEARCH("prioritization",LOWER(Z$2:Z$1000)))*ISNUMBER(SEARCH(LOWER("dynamic"),LOWER(AB$2:AB$1000))))</f>
        <v>0</v>
      </c>
    </row>
    <row r="8" spans="1:221" ht="409.6">
      <c r="A8" s="2">
        <v>6571611</v>
      </c>
      <c r="B8" s="2" t="s">
        <v>34</v>
      </c>
      <c r="C8" s="2" t="s">
        <v>119</v>
      </c>
      <c r="D8" s="2" t="s">
        <v>120</v>
      </c>
      <c r="E8" s="2" t="s">
        <v>121</v>
      </c>
      <c r="F8" s="2">
        <v>2013</v>
      </c>
      <c r="G8" s="2"/>
      <c r="H8" s="2"/>
      <c r="I8" s="2" t="s">
        <v>122</v>
      </c>
      <c r="J8" s="2" t="s">
        <v>123</v>
      </c>
      <c r="K8" s="2" t="s">
        <v>124</v>
      </c>
      <c r="L8" s="2" t="s">
        <v>125</v>
      </c>
      <c r="M8" s="2"/>
      <c r="N8" s="2" t="s">
        <v>126</v>
      </c>
      <c r="O8" s="2"/>
      <c r="P8" s="2"/>
      <c r="Q8" s="2"/>
      <c r="R8" s="2"/>
      <c r="S8" s="2"/>
      <c r="T8" s="2"/>
      <c r="U8" s="2"/>
      <c r="V8" s="2"/>
      <c r="W8" s="2"/>
      <c r="X8" s="2" t="s">
        <v>127</v>
      </c>
      <c r="Y8" s="2" t="s">
        <v>58</v>
      </c>
      <c r="Z8" s="2" t="s">
        <v>128</v>
      </c>
      <c r="AA8" s="2" t="s">
        <v>129</v>
      </c>
      <c r="AB8" s="2" t="s">
        <v>130</v>
      </c>
      <c r="AC8" s="2" t="s">
        <v>131</v>
      </c>
      <c r="AD8" s="2"/>
      <c r="AE8" s="2"/>
      <c r="AF8" s="2"/>
      <c r="AG8" s="2" t="s">
        <v>1446</v>
      </c>
      <c r="AH8" s="2"/>
      <c r="AK8">
        <f t="shared" si="6"/>
        <v>1</v>
      </c>
      <c r="AL8">
        <f t="shared" si="0"/>
        <v>0</v>
      </c>
      <c r="AM8">
        <f t="shared" si="1"/>
        <v>1</v>
      </c>
      <c r="AN8">
        <f t="shared" si="2"/>
        <v>0</v>
      </c>
      <c r="AP8">
        <v>2018</v>
      </c>
      <c r="AQ8">
        <f t="shared" si="7"/>
        <v>13</v>
      </c>
      <c r="AR8">
        <f t="shared" si="3"/>
        <v>0</v>
      </c>
      <c r="AS8">
        <f t="shared" si="4"/>
        <v>4</v>
      </c>
      <c r="AT8">
        <f t="shared" si="5"/>
        <v>8</v>
      </c>
      <c r="AY8" t="s">
        <v>114</v>
      </c>
      <c r="AZ8" cm="1">
        <f t="array" ref="AZ8">SUMPRODUCT(($Y$2:$Y$1000="PS")*(ISNUMBER(FIND(UPPER("prioritization"),UPPER($Z$2:$Z$1000))))*(ISNUMBER(FIND(UPPER("history"),UPPER($AA$2:$AA$1000))))*((ISNUMBER(FIND(UPPER("heuristic"),UPPER($AB$2:$AB$1000))))*(NOT(ISNUMBER(FIND(UPPER("meta"),UPPER($AB$2:$AB$1000)))))))</f>
        <v>10</v>
      </c>
      <c r="BA8" cm="1">
        <f t="array" ref="BA8">SUMPRODUCT(($Y$2:$Y$1000="PS")*(ISNUMBER(FIND(UPPER("prioritization"),UPPER($Z$2:$Z$1000))))*(ISNUMBER(FIND(UPPER("history"),UPPER($AA$2:$AA$1000))))*((ISNUMBER(FIND(UPPER("metaheuristic"),UPPER($AB$2:$AB$1000))))+(ISNUMBER(FIND(UPPER("meta-heuristic"),UPPER($AB$2:$AB$1000))))))</f>
        <v>1</v>
      </c>
      <c r="BB8" cm="1">
        <f t="array" ref="BB8">SUMPRODUCT(($Y$2:$Y$1000="PS")*(ISNUMBER(FIND(UPPER("prioritization"),UPPER($Z$2:$Z$1000))))*(ISNUMBER(FIND(UPPER("history"),UPPER($AA$2:$AA$1000))))*(ISNUMBER(FIND(UPPER("graph"),UPPER($AB$2:$AB$1000)))))</f>
        <v>1</v>
      </c>
      <c r="BC8" cm="1">
        <f t="array" ref="BC8">SUMPRODUCT(($Y$2:$Y$1000="PS")*(ISNUMBER(FIND(UPPER("prioritization"),UPPER($Z$2:$Z$1000))))*(ISNUMBER(FIND(UPPER("history"),UPPER($AA$2:$AA$1000))))*(ISNUMBER(FIND(UPPER("dynamic programming"),UPPER($AB$2:$AB$1000)))))</f>
        <v>0</v>
      </c>
      <c r="BD8" cm="1">
        <f t="array" ref="BD8">SUMPRODUCT(($Y$2:$Y$1000="PS")*(ISNUMBER(FIND(UPPER("prioritization"),UPPER($Z$2:$Z$1000))))*(ISNUMBER(FIND(UPPER("history"),UPPER($AA$2:$AA$1000))))*(ISNUMBER(FIND(UPPER("ml-based"),UPPER($AB$2:$AB$1000)))))</f>
        <v>10</v>
      </c>
      <c r="BE8" cm="1">
        <f t="array" ref="BE8">SUMPRODUCT(($Y$2:$Y$1000="PS")*(ISNUMBER(FIND(UPPER("prioritization"),UPPER($Z$2:$Z$1000))))*(ISNUMBER(FIND(UPPER("history"),UPPER($AA$2:$AA$1000))))*(ISNUMBER(FIND(UPPER("greedy"),UPPER($AB$2:$AB$1000)))))</f>
        <v>0</v>
      </c>
      <c r="BH8" t="s">
        <v>1380</v>
      </c>
      <c r="BI8" cm="1">
        <f t="array" ref="BI8">SUMPRODUCT(($Y$2:$Y$1000="PS")*(ISNUMBER(FIND(UPPER("selection"),UPPER($Z$2:$Z$1000))))*(ISNUMBER(FIND(UPPER("sdg"),UPPER($AA$2:$AA$1000))))*((ISNUMBER(FIND(UPPER("heuristic"),UPPER($AB$2:$AB$1000))))*(NOT(ISNUMBER(FIND(UPPER("meta"),UPPER($AB$2:$AB$1000)))))))</f>
        <v>0</v>
      </c>
      <c r="BJ8" cm="1">
        <f t="array" ref="BJ8">SUMPRODUCT(($Y$2:$Y$1000="PS")*(ISNUMBER(FIND(UPPER("selection"),UPPER($Z$2:$Z$1000))))*(ISNUMBER(FIND(UPPER("sdg"),UPPER($AA$2:$AA$1000))))*((ISNUMBER(FIND(UPPER("metaheuristic"),UPPER($AB$2:$AB$1000))))+(ISNUMBER(FIND(UPPER("meta-heuristic"),UPPER($AB$2:$AB$1000))))))</f>
        <v>0</v>
      </c>
      <c r="BK8" cm="1">
        <f t="array" ref="BK8">SUMPRODUCT(($Y$2:$Y$1000="PS")*(ISNUMBER(FIND(UPPER("selection"),UPPER($Z$2:$Z$1000))))*(ISNUMBER(FIND(UPPER("sdg"),UPPER($AA$2:$AA$1000))))*(ISNUMBER(FIND(UPPER("graph"),UPPER($AB$2:$AB$1000)))))</f>
        <v>0</v>
      </c>
      <c r="BL8" cm="1">
        <f t="array" ref="BL8">SUMPRODUCT(($Y$2:$Y$1000="PS")*(ISNUMBER(FIND(UPPER("selection"),UPPER($Z$2:$Z$1000))))*(ISNUMBER(FIND(UPPER("sdg"),UPPER($AA$2:$AA$1000))))*(ISNUMBER(FIND(UPPER("dynamic programming"),UPPER($AB$2:$AB$1000)))))</f>
        <v>0</v>
      </c>
      <c r="BM8" cm="1">
        <f t="array" ref="BM8">SUMPRODUCT(($Y$2:$Y$1000="PS")*(ISNUMBER(FIND(UPPER("selection"),UPPER($Z$2:$Z$1000))))*(ISNUMBER(FIND(UPPER("sdg"),UPPER($AA$2:$AA$1000))))*(ISNUMBER(FIND(UPPER("ml-based"),UPPER($AB$2:$AB$1000)))))</f>
        <v>0</v>
      </c>
      <c r="BN8" cm="1">
        <f t="array" ref="BN8">SUMPRODUCT(($Y$2:$Y$1000="PS")*(ISNUMBER(FIND(UPPER("selection"),UPPER($Z$2:$Z$1000))))*(ISNUMBER(FIND(UPPER("sdg"),UPPER($AA$2:$AA$1000))))*(ISNUMBER(FIND(UPPER("greedy"),UPPER($AB$2:$AB$1000)))))</f>
        <v>0</v>
      </c>
      <c r="BX8" t="s">
        <v>114</v>
      </c>
      <c r="BY8">
        <v>8</v>
      </c>
      <c r="BZ8">
        <v>4</v>
      </c>
      <c r="CA8">
        <v>2</v>
      </c>
      <c r="CG8" t="s">
        <v>1380</v>
      </c>
      <c r="CO8" s="41" t="s">
        <v>1451</v>
      </c>
      <c r="CP8" s="41">
        <v>4</v>
      </c>
      <c r="CS8" s="38"/>
      <c r="CT8" s="38"/>
      <c r="CZ8" s="34" t="s">
        <v>1332</v>
      </c>
      <c r="DA8" cm="1">
        <f t="array" ref="DA8">SUMPRODUCT((Y$2:Y$1000="PS")*ISNUMBER(SEARCH(LOWER(CZ8),LOWER(AD$2:AD$1000))))</f>
        <v>5</v>
      </c>
      <c r="DB8" cm="1">
        <f t="array" ref="DB8">SUMPRODUCT((Y$2:Y$1000="PS")*ISNUMBER(SEARCH("prioritization",LOWER(Z$2:Z$1000)))*ISNUMBER(SEARCH(LOWER(CZ8),LOWER(AD$2:AD$1000))))</f>
        <v>5</v>
      </c>
      <c r="DC8" cm="1">
        <f t="array" ref="DC8">SUMPRODUCT((Y$2:Y$1000="PS")*ISNUMBER(SEARCH("selection",LOWER(Z$2:Z$1000)))*ISNUMBER(SEARCH(LOWER(CZ8),LOWER(AD$2:AD$1000))))</f>
        <v>0</v>
      </c>
      <c r="DD8" cm="1">
        <f t="array" ref="DD8">SUMPRODUCT((Y$2:Y$1000="PS")*ISNUMBER(SEARCH("minimization",LOWER(Z$2:Z$1000)))*ISNUMBER(SEARCH(LOWER(CZ8),LOWER(AD$2:AD$1000))))</f>
        <v>1</v>
      </c>
      <c r="DF8" s="34" t="s">
        <v>1332</v>
      </c>
      <c r="DG8">
        <v>5</v>
      </c>
      <c r="DH8" s="34" t="s">
        <v>1343</v>
      </c>
      <c r="DI8" s="34" cm="1">
        <f t="array" ref="DI8">SUMPRODUCT((Y$2:Y$1000="PS")*(ISNUMBER(SEARCH("business",LOWER(AE$2:AE$1000)))+ISNUMBER(SEARCH("enterprise",LOWER(AE$2:AE$1000)))+ISNUMBER(SEARCH("banking",LOWER(AE$2:AE$1000)))+ISNUMBER(SEARCH("atm",LOWER(AE$2:AE$1000))))&gt;0)</f>
        <v>0</v>
      </c>
      <c r="DS8" t="s">
        <v>1352</v>
      </c>
      <c r="DT8">
        <v>2</v>
      </c>
      <c r="EA8" t="s">
        <v>1366</v>
      </c>
      <c r="EB8">
        <v>3</v>
      </c>
      <c r="EM8">
        <v>2018</v>
      </c>
      <c r="EN8" cm="1">
        <f t="array" ref="EN8">SUMPRODUCT((Y$2:Y$1000="PS")*(F$2:F$1000=EM8)*ISNUMBER(SEARCH("prioritization",LOWER(Z$2:Z$1000)))*ISNUMBER(SEARCH(LOWER("0"),LOWER(AH$2:AH$1000))))</f>
        <v>6</v>
      </c>
      <c r="EO8" cm="1">
        <f t="array" ref="EO8">SUMPRODUCT((Y$2:Y$1000="PS")*(F$2:F$1000=EM8)*ISNUMBER(SEARCH("prioritization",LOWER(Z$2:Z$1000)))*ISNUMBER(SEARCH(LOWER("0,5"),LOWER(AH$2:AH$1000))))</f>
        <v>2</v>
      </c>
      <c r="EP8" cm="1">
        <f t="array" ref="EP8">SUMPRODUCT((Y$2:Y$1000="PS")*(F$2:F$1000=EM8)*ISNUMBER(SEARCH("prioritization",LOWER(Z$2:Z$1000)))*ISNUMBER(SEARCH(LOWER("1"),LOWER(AH$2:AH$1000))))</f>
        <v>1</v>
      </c>
      <c r="ES8">
        <v>2018</v>
      </c>
      <c r="ET8" cm="1">
        <f t="array" ref="ET8">SUMPRODUCT((Y$2:Y$1000="PS")*(F$2:F$1000=$ES8)*(AH$2:AH$1000=0))</f>
        <v>7</v>
      </c>
      <c r="EU8" cm="1">
        <f t="array" ref="EU8">SUMPRODUCT((Y$2:Y$1000="PS")*(F$2:F$1000=$ES8)*(AH$2:AH$1000=0.5))</f>
        <v>4</v>
      </c>
      <c r="EV8" cm="1">
        <f t="array" ref="EV8">SUMPRODUCT((Y$2:Y$1000="PS")*(F$2:F$1000=$ES8)*(AH$2:AH$1000=1))</f>
        <v>2</v>
      </c>
      <c r="FQ8" t="s">
        <v>1275</v>
      </c>
      <c r="FR8" s="35" cm="1">
        <f t="array" ref="FR8">SUMPRODUCT((Y$2:Y$1000="PS")*ISNUMBER(SEARCH(LOWER(FQ8),LOWER(AA$2:AA$1000)))*ISNUMBER(SEARCH("prioritization",LOWER(Z$2:Z$1000))))</f>
        <v>20</v>
      </c>
      <c r="FV8">
        <v>2018</v>
      </c>
      <c r="FW8" s="35" cm="1">
        <f t="array" ref="FW8">SUMPRODUCT((Y$2:Y$1000="PS")*(F$2:F$1000=FV8)*ISNUMBER(SEARCH("prioritization",LOWER(Z$2:Z$1000)))*ISNUMBER(SEARCH("coverage",LOWER(AA$2:AA$1000))))</f>
        <v>4</v>
      </c>
      <c r="FX8" s="35" cm="1">
        <f t="array" ref="FX8">SUMPRODUCT((Y$2:Y$1000="PS")*(F$2:F$1000=FV8)*ISNUMBER(SEARCH("prioritization",LOWER(Z$2:Z$1000)))*ISNUMBER(SEARCH("requirement",LOWER(AA$2:AA$1000))))</f>
        <v>1</v>
      </c>
      <c r="FY8" s="35" cm="1">
        <f t="array" ref="FY8">SUMPRODUCT((Y$2:Y$1000="PS")*(F$2:F$1000=FV8)*ISNUMBER(SEARCH("prioritization",LOWER(Z$2:Z$1000)))*ISNUMBER(SEARCH("probab",LOWER(AA$2:AA$1000))))</f>
        <v>0</v>
      </c>
      <c r="FZ8" s="35" cm="1">
        <f t="array" ref="FZ8">SUMPRODUCT((Y$2:Y$1000="PS")*(F$2:F$1000=FV8)*ISNUMBER(SEARCH("prioritization",LOWER(Z$2:Z$1000)))*ISNUMBER(SEARCH("distribution",LOWER(AA$2:AA$1000))))</f>
        <v>0</v>
      </c>
      <c r="GA8" s="35" cm="1">
        <f t="array" ref="GA8">SUMPRODUCT((Y$2:Y$1000="PS")*(F$2:F$1000=FV8)*ISNUMBER(SEARCH("prioritization",LOWER(Z$2:Z$1000)))*ISNUMBER(SEARCH("clustering",LOWER(AA$2:AA$1000))))</f>
        <v>0</v>
      </c>
      <c r="GB8" s="35" cm="1">
        <f t="array" ref="GB8">SUMPRODUCT((Y$2:Y$1000="PS")*(F$2:F$1000=FV8)*ISNUMBER(SEARCH("prioritization",LOWER(Z$2:Z$1000)))*ISNUMBER(SEARCH("history",LOWER(AA$2:AA$1000))))</f>
        <v>3</v>
      </c>
      <c r="GC8" s="35" cm="1">
        <f t="array" ref="GC8">SUMPRODUCT((Y$2:Y$1000="PS")*(F$2:F$1000=FV8)*ISNUMBER(SEARCH("prioritization",LOWER(Z$2:Z$1000)))*ISNUMBER(SEARCH("model",LOWER(AA$2:AA$1000))))</f>
        <v>1</v>
      </c>
      <c r="GD8" s="35" cm="1">
        <f t="array" ref="GD8">SUMPRODUCT((Y$2:Y$1000="PS")*(F$2:F$1000=FV8)*ISNUMBER(SEARCH("prioritization",LOWER(Z$2:Z$1000)))*ISNUMBER(SEARCH("cost-aware",LOWER(AA$2:AA$1000))))</f>
        <v>0</v>
      </c>
      <c r="GE8" s="35" cm="1">
        <f t="array" ref="GE8">SUMPRODUCT((Y$2:Y$1000="PS")*(F$2:F$1000=FV8)*ISNUMBER(SEARCH("prioritization",LOWER(Z$2:Z$1000)))*ISNUMBER(SEARCH("similarity",LOWER(AA$2:AA$1000))))</f>
        <v>0</v>
      </c>
      <c r="GF8" s="35" cm="1">
        <f t="array" ref="GF8">SUMPRODUCT((Y$2:Y$1000="PS")*(F$2:F$1000=FV8)*ISNUMBER(SEARCH("prioritization",LOWER(Z$2:Z$1000)))*ISNUMBER(SEARCH("input",LOWER(AA$2:AA$1000))))</f>
        <v>0</v>
      </c>
      <c r="GG8" s="35" cm="1">
        <f t="array" ref="GG8">SUMPRODUCT((Y$2:Y$1000="PS")*(F$2:F$1000=FV8)*ISNUMBER(SEARCH("prioritization",LOWER(Z$2:Z$1000)))*ISNUMBER(SEARCH("structure",LOWER(AA$2:AA$1000))))</f>
        <v>0</v>
      </c>
      <c r="GH8" s="35" cm="1">
        <f t="array" ref="GH8">SUMPRODUCT((Y$2:Y$1000="PS")*(F$2:F$1000=FV8)*ISNUMBER(SEARCH("prioritization",LOWER(Z$2:Z$1000)))*ISNUMBER(SEARCH("change",LOWER(AA$2:AA$1000))))</f>
        <v>0</v>
      </c>
      <c r="GI8" s="35" cm="1">
        <f t="array" ref="GI8">SUMPRODUCT((Y$2:Y$1000="PS")*(F$2:F$1000=FV8)*ISNUMBER(SEARCH("prioritization",LOWER(Z$2:Z$1000)))*ISNUMBER(SEARCH("ml",LOWER(AA$2:AA$1000))))</f>
        <v>0</v>
      </c>
      <c r="GJ8" s="35" cm="1">
        <f t="array" ref="GJ8">SUMPRODUCT((Y$2:Y$1000="PS")*(F$2:F$1000=FV8)*ISNUMBER(SEARCH("prioritization",LOWER(Z$2:Z$1000)))*ISNUMBER(SEARCH("heuristic",LOWER(AA$2:AA$1000))))</f>
        <v>0</v>
      </c>
      <c r="GK8" s="35" cm="1">
        <f t="array" ref="GK8">SUMPRODUCT((Y$2:Y$1000="PS")*(F$2:F$1000=FV8)*ISNUMBER(SEARCH("prioritization",LOWER(Z$2:Z$1000)))*ISNUMBER(SEARCH("search",LOWER(AA$2:AA$1000))))</f>
        <v>0</v>
      </c>
      <c r="GL8" s="35" cm="1">
        <f t="array" ref="GL8">SUMPRODUCT((Y$2:Y$1000="PS")*(F$2:F$1000=FV8)*ISNUMBER(SEARCH("prioritization",LOWER(Z$2:Z$1000)))*ISNUMBER(SEARCH("transfer",LOWER(AA$2:AA$1000))))</f>
        <v>0</v>
      </c>
      <c r="GM8" s="35" cm="1">
        <f t="array" ref="GM8">SUMPRODUCT((Y$2:Y$1000="PS")*(F$2:F$1000=FV8)*ISNUMBER(SEARCH("prioritization",LOWER(Z$2:Z$1000)))*ISNUMBER(SEARCH("riski",LOWER(AA$2:AA$1000))))</f>
        <v>0</v>
      </c>
      <c r="GN8" s="35" cm="1">
        <f t="array" ref="GN8">SUMPRODUCT((Y$2:Y$1000="PS")*(F$2:F$1000=FV8)*ISNUMBER(SEARCH("prioritization",LOWER(Z$2:Z$1000)))*ISNUMBER(SEARCH("nlp",LOWER(AA$2:AA$1000))))</f>
        <v>0</v>
      </c>
      <c r="GO8" s="35" cm="1">
        <f t="array" ref="GO8">SUMPRODUCT((Y$2:Y$1000="PS")*(F$2:F$1000=FV8)*ISNUMBER(SEARCH("prioritization",LOWER(Z$2:Z$1000)))*ISNUMBER(SEARCH("design",LOWER(AA$2:AA$1000))))</f>
        <v>0</v>
      </c>
      <c r="GP8" s="35" cm="1">
        <f t="array" ref="GP8">SUMPRODUCT((Y$2:Y$1000="PS")*(F$2:F$1000=FV8)*ISNUMBER(SEARCH("prioritization",LOWER(Z$2:Z$1000)))*ISNUMBER(SEARCH("other",LOWER(AA$2:AA$1000))))</f>
        <v>1</v>
      </c>
      <c r="GQ8">
        <f t="shared" si="8"/>
        <v>0</v>
      </c>
      <c r="GZ8">
        <v>2018</v>
      </c>
      <c r="HA8" cm="1">
        <f t="array" ref="HA8">SUMPRODUCT((Y$2:Y$1000="PS")*(F$2:F$1000=GZ8)*ISNUMBER(SEARCH("prioritization",LOWER(Z$2:Z$1000)))*ISNUMBER(SEARCH(LOWER("metaheuristic"),LOWER(AB$2:AB$1000))))</f>
        <v>0</v>
      </c>
      <c r="HB8" cm="1">
        <f t="array" ref="HB8">SUMPRODUCT((Y$2:Y$1000="PS")*(F$2:F$1000=GZ8)*ISNUMBER(SEARCH("prioritization",LOWER(Z$2:Z$1000)))*ISNUMBER(SEARCH(LOWER("search"),LOWER(AB$2:AB$1000))))</f>
        <v>0</v>
      </c>
      <c r="HC8" cm="1">
        <f t="array" ref="HC8">SUMPRODUCT((Y$2:Y$1000="PS")*(F$2:F$1000=GZ8)*ISNUMBER(SEARCH("prioritization",LOWER(Z$2:Z$1000)))*ISNUMBER(SEARCH(LOWER("heuristic"),LOWER(AB$2:AB$1000))))</f>
        <v>3</v>
      </c>
      <c r="HD8" cm="1">
        <f t="array" ref="HD8">SUMPRODUCT((Y$2:Y$1000="PS")*(F$2:F$1000=GZ8)*ISNUMBER(SEARCH("prioritization",LOWER(Z$2:Z$1000)))*ISNUMBER(SEARCH(LOWER("ml"),LOWER(AB$2:AB$1000))))</f>
        <v>2</v>
      </c>
      <c r="HE8" cm="1">
        <f t="array" ref="HE8">SUMPRODUCT((Y$2:Y$1000="PS")*(F$2:F$1000=GZ8)*ISNUMBER(SEARCH("prioritization",LOWER(Z$2:Z$1000)))*ISNUMBER(SEARCH(LOWER("rule"),LOWER(AB$2:AB$1000))))</f>
        <v>0</v>
      </c>
      <c r="HF8" cm="1">
        <f t="array" ref="HF8">SUMPRODUCT((Y$2:Y$1000="PS")*(F$2:F$1000=GZ8)*ISNUMBER(SEARCH("prioritization",LOWER(Z$2:Z$1000)))*ISNUMBER(SEARCH(LOWER(HF$2),LOWER(AB$2:AB$1000))))</f>
        <v>0</v>
      </c>
      <c r="HG8" cm="1">
        <f t="array" ref="HG8">SUMPRODUCT((Y$2:Y$1000="PS")*(F$2:F$1000=GZ8)*ISNUMBER(SEARCH("prioritization",LOWER(Z$2:Z$1000)))*ISNUMBER(SEARCH(LOWER("model"),LOWER(AB$2:AB$1000))))</f>
        <v>0</v>
      </c>
      <c r="HH8" cm="1">
        <f t="array" ref="HH8">SUMPRODUCT((Y$2:Y$1000="PS")*(F$2:F$1000=GZ8)*ISNUMBER(SEARCH("prioritization",LOWER(Z$2:Z$1000)))*ISNUMBER(SEARCH(LOWER(HH$2),LOWER(AB$2:AB$1000))))</f>
        <v>0</v>
      </c>
      <c r="HI8" cm="1">
        <f t="array" ref="HI8">SUMPRODUCT((Y$2:Y$1000="PS")*(F$2:F$1000=GZ8)*ISNUMBER(SEARCH("prioritization",LOWER(Z$2:Z$1000)))*ISNUMBER(SEARCH(LOWER("quantum"),LOWER(AB$2:AB$1000))))</f>
        <v>0</v>
      </c>
      <c r="HJ8" cm="1">
        <f t="array" ref="HJ8">SUMPRODUCT((Y$2:Y$1000="PS")*(F$2:F$1000=GZ8)*ISNUMBER(SEARCH("prioritization",LOWER(Z$2:Z$1000)))*ISNUMBER(SEARCH(LOWER("genetic"),LOWER(AB$2:AB$1000))))</f>
        <v>0</v>
      </c>
      <c r="HK8" cm="1">
        <f t="array" ref="HK8">SUMPRODUCT((Y$2:Y$1000="PS")*(F$2:F$1000=GZ8)*ISNUMBER(SEARCH("prioritization",LOWER(Z$2:Z$1000)))*ISNUMBER(SEARCH(LOWER("graph"),LOWER(AB$2:AB$1000))))</f>
        <v>3</v>
      </c>
      <c r="HL8" cm="1">
        <f t="array" ref="HL8">SUMPRODUCT((Y$2:Y$1000="PS")*(F$2:F$1000=GZ8)*ISNUMBER(SEARCH("prioritization",LOWER(Z$2:Z$1000)))*ISNUMBER(SEARCH(LOWER("greedy"),LOWER(AB$2:AB$1000))))</f>
        <v>0</v>
      </c>
      <c r="HM8" cm="1">
        <f t="array" ref="HM8">SUMPRODUCT((Y$2:Y$1000="PS")*(F$2:F$1000=GZ8)*ISNUMBER(SEARCH("prioritization",LOWER(Z$2:Z$1000)))*ISNUMBER(SEARCH(LOWER("dynamic"),LOWER(AB$2:AB$1000))))</f>
        <v>0</v>
      </c>
    </row>
    <row r="9" spans="1:221" ht="409.6">
      <c r="A9" s="2">
        <v>9440156</v>
      </c>
      <c r="B9" s="2" t="s">
        <v>34</v>
      </c>
      <c r="C9" s="2" t="s">
        <v>132</v>
      </c>
      <c r="D9" s="2" t="s">
        <v>133</v>
      </c>
      <c r="E9" s="2" t="s">
        <v>134</v>
      </c>
      <c r="F9" s="2">
        <v>2021</v>
      </c>
      <c r="G9" s="2"/>
      <c r="H9" s="2"/>
      <c r="I9" s="2" t="s">
        <v>135</v>
      </c>
      <c r="J9" s="2" t="s">
        <v>136</v>
      </c>
      <c r="K9" s="2" t="s">
        <v>137</v>
      </c>
      <c r="L9" s="2" t="s">
        <v>138</v>
      </c>
      <c r="M9" s="2"/>
      <c r="N9" s="2" t="s">
        <v>139</v>
      </c>
      <c r="O9" s="2"/>
      <c r="P9" s="2"/>
      <c r="Q9" s="2"/>
      <c r="R9" s="2"/>
      <c r="S9" s="2"/>
      <c r="T9" s="2"/>
      <c r="U9" s="2"/>
      <c r="V9" s="2"/>
      <c r="W9" s="2"/>
      <c r="X9" s="2" t="s">
        <v>140</v>
      </c>
      <c r="Y9" s="2" t="s">
        <v>58</v>
      </c>
      <c r="Z9" s="2" t="s">
        <v>141</v>
      </c>
      <c r="AA9" s="2" t="s">
        <v>142</v>
      </c>
      <c r="AB9" s="2" t="s">
        <v>207</v>
      </c>
      <c r="AC9" s="2" t="s">
        <v>143</v>
      </c>
      <c r="AD9" s="2" t="s">
        <v>144</v>
      </c>
      <c r="AE9" s="2" t="s">
        <v>145</v>
      </c>
      <c r="AF9" s="2" t="s">
        <v>65</v>
      </c>
      <c r="AG9" s="2" t="s">
        <v>146</v>
      </c>
      <c r="AH9" s="2">
        <v>0.5</v>
      </c>
      <c r="AI9" s="36" t="s">
        <v>1425</v>
      </c>
      <c r="AK9">
        <f t="shared" si="6"/>
        <v>1</v>
      </c>
      <c r="AL9">
        <f t="shared" si="0"/>
        <v>0</v>
      </c>
      <c r="AM9">
        <f t="shared" si="1"/>
        <v>0</v>
      </c>
      <c r="AN9">
        <f t="shared" si="2"/>
        <v>1</v>
      </c>
      <c r="AP9">
        <v>2019</v>
      </c>
      <c r="AQ9">
        <f t="shared" si="7"/>
        <v>13</v>
      </c>
      <c r="AR9">
        <f t="shared" si="3"/>
        <v>0</v>
      </c>
      <c r="AS9">
        <f t="shared" si="4"/>
        <v>2</v>
      </c>
      <c r="AT9">
        <f t="shared" si="5"/>
        <v>12</v>
      </c>
      <c r="AY9" t="s">
        <v>60</v>
      </c>
      <c r="AZ9" cm="1">
        <f t="array" ref="AZ9">SUMPRODUCT(($Y$2:$Y$1000="PS")*(ISNUMBER(FIND(UPPER("prioritization"),UPPER($Z$2:$Z$1000))))*(ISNUMBER(FIND(UPPER("model"),UPPER($AA$2:$AA$1000))))*((ISNUMBER(FIND(UPPER("heuristic"),UPPER($AB$2:$AB$1000))))*(NOT(ISNUMBER(FIND(UPPER("meta"),UPPER($AB$2:$AB$1000)))))))</f>
        <v>2</v>
      </c>
      <c r="BA9" cm="1">
        <f t="array" ref="BA9">SUMPRODUCT(($Y$2:$Y$1000="PS")*(ISNUMBER(FIND(UPPER("prioritization"),UPPER($Z$2:$Z$1000))))*(ISNUMBER(FIND(UPPER("model"),UPPER($AA$2:$AA$1000))))*((ISNUMBER(FIND(UPPER("metaheuristic"),UPPER($AB$2:$AB$1000))))+(ISNUMBER(FIND(UPPER("meta-heuristic"),UPPER($AB$2:$AB$1000))))))</f>
        <v>2</v>
      </c>
      <c r="BB9" cm="1">
        <f t="array" ref="BB9">SUMPRODUCT(($Y$2:$Y$1000="PS")*(ISNUMBER(FIND(UPPER("prioritization"),UPPER($Z$2:$Z$1000))))*(ISNUMBER(FIND(UPPER("model"),UPPER($AA$2:$AA$1000))))*(ISNUMBER(FIND(UPPER("graph"),UPPER($AB$2:$AB$1000)))))</f>
        <v>2</v>
      </c>
      <c r="BC9" cm="1">
        <f t="array" ref="BC9">SUMPRODUCT(($Y$2:$Y$1000="PS")*(ISNUMBER(FIND(UPPER("prioritization"),UPPER($Z$2:$Z$1000))))*(ISNUMBER(FIND(UPPER("model"),UPPER($AA$2:$AA$1000))))*(ISNUMBER(FIND(UPPER("dynamic programming"),UPPER($AB$2:$AB$1000)))))</f>
        <v>0</v>
      </c>
      <c r="BD9" cm="1">
        <f t="array" ref="BD9">SUMPRODUCT(($Y$2:$Y$1000="PS")*(ISNUMBER(FIND(UPPER("prioritization"),UPPER($Z$2:$Z$1000))))*(ISNUMBER(FIND(UPPER("model"),UPPER($AA$2:$AA$1000))))*(ISNUMBER(FIND(UPPER("ml-based"),UPPER($AB$2:$AB$1000)))))</f>
        <v>0</v>
      </c>
      <c r="BE9" cm="1">
        <f t="array" ref="BE9">SUMPRODUCT(($Y$2:$Y$1000="PS")*(ISNUMBER(FIND(UPPER("prioritization"),UPPER($Z$2:$Z$1000))))*(ISNUMBER(FIND(UPPER("model"),UPPER($AA$2:$AA$1000))))*(ISNUMBER(FIND(UPPER("greedy"),UPPER($AB$2:$AB$1000)))))</f>
        <v>1</v>
      </c>
      <c r="BH9" t="s">
        <v>1381</v>
      </c>
      <c r="BI9" cm="1">
        <f t="array" ref="BI9">SUMPRODUCT(($Y$2:$Y$1000="PS")*(ISNUMBER(FIND(UPPER("selection"),UPPER($Z$2:$Z$1000))))*(ISNUMBER(FIND(UPPER("path"),UPPER($AA$2:$AA$1000))))*((ISNUMBER(FIND(UPPER("heuristic"),UPPER($AB$2:$AB$1000))))*(NOT(ISNUMBER(FIND(UPPER("meta"),UPPER($AB$2:$AB$1000)))))))</f>
        <v>0</v>
      </c>
      <c r="BJ9" cm="1">
        <f t="array" ref="BJ9">SUMPRODUCT(($Y$2:$Y$1000="PS")*(ISNUMBER(FIND(UPPER("selection"),UPPER($Z$2:$Z$1000))))*(ISNUMBER(FIND(UPPER("path"),UPPER($AA$2:$AA$1000))))*((ISNUMBER(FIND(UPPER("metaheuristic"),UPPER($AB$2:$AB$1000))))+(ISNUMBER(FIND(UPPER("meta-heuristic"),UPPER($AB$2:$AB$1000))))))</f>
        <v>0</v>
      </c>
      <c r="BK9" cm="1">
        <f t="array" ref="BK9">SUMPRODUCT(($Y$2:$Y$1000="PS")*(ISNUMBER(FIND(UPPER("selection"),UPPER($Z$2:$Z$1000))))*(ISNUMBER(FIND(UPPER("path"),UPPER($AA$2:$AA$1000))))*(ISNUMBER(FIND(UPPER("graph"),UPPER($AB$2:$AB$1000)))))</f>
        <v>0</v>
      </c>
      <c r="BL9" cm="1">
        <f t="array" ref="BL9">SUMPRODUCT(($Y$2:$Y$1000="PS")*(ISNUMBER(FIND(UPPER("selection"),UPPER($Z$2:$Z$1000))))*(ISNUMBER(FIND(UPPER("path"),UPPER($AA$2:$AA$1000))))*(ISNUMBER(FIND(UPPER("dynamic programming"),UPPER($AB$2:$AB$1000)))))</f>
        <v>0</v>
      </c>
      <c r="BM9" cm="1">
        <f t="array" ref="BM9">SUMPRODUCT(($Y$2:$Y$1000="PS")*(ISNUMBER(FIND(UPPER("selection"),UPPER($Z$2:$Z$1000))))*(ISNUMBER(FIND(UPPER("path"),UPPER($AA$2:$AA$1000))))*(ISNUMBER(FIND(UPPER("ml-based"),UPPER($AB$2:$AB$1000)))))</f>
        <v>0</v>
      </c>
      <c r="BN9" cm="1">
        <f t="array" ref="BN9">SUMPRODUCT(($Y$2:$Y$1000="PS")*(ISNUMBER(FIND(UPPER("selection"),UPPER($Z$2:$Z$1000))))*(ISNUMBER(FIND(UPPER("path"),UPPER($AA$2:$AA$1000))))*(ISNUMBER(FIND(UPPER("greedy"),UPPER($AB$2:$AB$1000)))))</f>
        <v>0</v>
      </c>
      <c r="BX9" t="s">
        <v>60</v>
      </c>
      <c r="BY9">
        <v>5</v>
      </c>
      <c r="CG9" t="s">
        <v>1381</v>
      </c>
      <c r="CO9" s="41" t="s">
        <v>1323</v>
      </c>
      <c r="CP9" s="41">
        <v>3</v>
      </c>
      <c r="CZ9" s="34" t="s">
        <v>1330</v>
      </c>
      <c r="DA9" cm="1">
        <f t="array" ref="DA9">SUMPRODUCT((Y$2:Y$1000="PS")*ISNUMBER(SEARCH(LOWER(CZ9),LOWER(AD$2:AD$1000))))</f>
        <v>4</v>
      </c>
      <c r="DB9" cm="1">
        <f t="array" ref="DB9">SUMPRODUCT((Y$2:Y$1000="PS")*ISNUMBER(SEARCH("prioritization",LOWER(Z$2:Z$1000)))*ISNUMBER(SEARCH(LOWER(CZ9),LOWER(AD$2:AD$1000))))</f>
        <v>3</v>
      </c>
      <c r="DC9" cm="1">
        <f t="array" ref="DC9">SUMPRODUCT((Y$2:Y$1000="PS")*ISNUMBER(SEARCH("selection",LOWER(Z$2:Z$1000)))*ISNUMBER(SEARCH(LOWER(CZ9),LOWER(AD$2:AD$1000))))</f>
        <v>0</v>
      </c>
      <c r="DD9" cm="1">
        <f t="array" ref="DD9">SUMPRODUCT((Y$2:Y$1000="PS")*ISNUMBER(SEARCH("minimization",LOWER(Z$2:Z$1000)))*ISNUMBER(SEARCH(LOWER(CZ9),LOWER(AD$2:AD$1000))))</f>
        <v>0</v>
      </c>
      <c r="DF9" s="34" t="s">
        <v>966</v>
      </c>
      <c r="DG9">
        <f>SUM(DA$3:DA$22)-SUM(DG$3:DG$8)</f>
        <v>37</v>
      </c>
      <c r="DH9" s="34" t="s">
        <v>1344</v>
      </c>
      <c r="DI9" s="34" cm="1">
        <f t="array" ref="DI9">SUMPRODUCT((Y$2:Y$1000="PS")*(ISNUMBER(SEARCH("robotic",LOWER(AE$2:AE$1000)))+ISNUMBER(SEARCH("industrial",LOWER(AE$2:AE$1000))))&gt;0)</f>
        <v>0</v>
      </c>
      <c r="DS9" t="s">
        <v>1356</v>
      </c>
      <c r="DT9">
        <v>2</v>
      </c>
      <c r="EM9">
        <v>2019</v>
      </c>
      <c r="EN9" cm="1">
        <f t="array" ref="EN9">SUMPRODUCT((Y$2:Y$1000="PS")*(F$2:F$1000=EM9)*ISNUMBER(SEARCH("prioritization",LOWER(Z$2:Z$1000)))*ISNUMBER(SEARCH(LOWER("0"),LOWER(AH$2:AH$1000))))</f>
        <v>11</v>
      </c>
      <c r="EO9" cm="1">
        <f t="array" ref="EO9">SUMPRODUCT((Y$2:Y$1000="PS")*(F$2:F$1000=EM9)*ISNUMBER(SEARCH("prioritization",LOWER(Z$2:Z$1000)))*ISNUMBER(SEARCH(LOWER("0,5"),LOWER(AH$2:AH$1000))))</f>
        <v>4</v>
      </c>
      <c r="EP9" cm="1">
        <f t="array" ref="EP9">SUMPRODUCT((Y$2:Y$1000="PS")*(F$2:F$1000=EM9)*ISNUMBER(SEARCH("prioritization",LOWER(Z$2:Z$1000)))*ISNUMBER(SEARCH(LOWER("1"),LOWER(AH$2:AH$1000))))</f>
        <v>1</v>
      </c>
      <c r="ES9">
        <v>2019</v>
      </c>
      <c r="ET9" cm="1">
        <f t="array" ref="ET9">SUMPRODUCT((Y$2:Y$1000="PS")*(F$2:F$1000=$ES9)*(AH$2:AH$1000=0))</f>
        <v>8</v>
      </c>
      <c r="EU9" cm="1">
        <f t="array" ref="EU9">SUMPRODUCT((Y$2:Y$1000="PS")*(F$2:F$1000=$ES9)*(AH$2:AH$1000=0.5))</f>
        <v>4</v>
      </c>
      <c r="EV9" cm="1">
        <f t="array" ref="EV9">SUMPRODUCT((Y$2:Y$1000="PS")*(F$2:F$1000=$ES9)*(AH$2:AH$1000=1))</f>
        <v>1</v>
      </c>
      <c r="FQ9" t="s">
        <v>1276</v>
      </c>
      <c r="FR9" s="35" cm="1">
        <f t="array" ref="FR9">SUMPRODUCT((Y$2:Y$1000="PS")*ISNUMBER(SEARCH(LOWER(FQ9),LOWER(AA$2:AA$1000)))*ISNUMBER(SEARCH("prioritization",LOWER(Z$2:Z$1000))))</f>
        <v>7</v>
      </c>
      <c r="FV9">
        <v>2019</v>
      </c>
      <c r="FW9" s="35" cm="1">
        <f t="array" ref="FW9">SUMPRODUCT((Y$2:Y$1000="PS")*(F$2:F$1000=FV9)*ISNUMBER(SEARCH("prioritization",LOWER(Z$2:Z$1000)))*ISNUMBER(SEARCH("coverage",LOWER(AA$2:AA$1000))))</f>
        <v>8</v>
      </c>
      <c r="FX9" s="35" cm="1">
        <f t="array" ref="FX9">SUMPRODUCT((Y$2:Y$1000="PS")*(F$2:F$1000=FV9)*ISNUMBER(SEARCH("prioritization",LOWER(Z$2:Z$1000)))*ISNUMBER(SEARCH("requirement",LOWER(AA$2:AA$1000))))</f>
        <v>2</v>
      </c>
      <c r="FY9" s="35" cm="1">
        <f t="array" ref="FY9">SUMPRODUCT((Y$2:Y$1000="PS")*(F$2:F$1000=FV9)*ISNUMBER(SEARCH("prioritization",LOWER(Z$2:Z$1000)))*ISNUMBER(SEARCH("probab",LOWER(AA$2:AA$1000))))</f>
        <v>0</v>
      </c>
      <c r="FZ9" s="35" cm="1">
        <f t="array" ref="FZ9">SUMPRODUCT((Y$2:Y$1000="PS")*(F$2:F$1000=FV9)*ISNUMBER(SEARCH("prioritization",LOWER(Z$2:Z$1000)))*ISNUMBER(SEARCH("distribution",LOWER(AA$2:AA$1000))))</f>
        <v>0</v>
      </c>
      <c r="GA9" s="35" cm="1">
        <f t="array" ref="GA9">SUMPRODUCT((Y$2:Y$1000="PS")*(F$2:F$1000=FV9)*ISNUMBER(SEARCH("prioritization",LOWER(Z$2:Z$1000)))*ISNUMBER(SEARCH("clustering",LOWER(AA$2:AA$1000))))</f>
        <v>0</v>
      </c>
      <c r="GB9" s="35" cm="1">
        <f t="array" ref="GB9">SUMPRODUCT((Y$2:Y$1000="PS")*(F$2:F$1000=FV9)*ISNUMBER(SEARCH("prioritization",LOWER(Z$2:Z$1000)))*ISNUMBER(SEARCH("history",LOWER(AA$2:AA$1000))))</f>
        <v>0</v>
      </c>
      <c r="GC9" s="35" cm="1">
        <f t="array" ref="GC9">SUMPRODUCT((Y$2:Y$1000="PS")*(F$2:F$1000=FV9)*ISNUMBER(SEARCH("prioritization",LOWER(Z$2:Z$1000)))*ISNUMBER(SEARCH("model",LOWER(AA$2:AA$1000))))</f>
        <v>1</v>
      </c>
      <c r="GD9" s="35" cm="1">
        <f t="array" ref="GD9">SUMPRODUCT((Y$2:Y$1000="PS")*(F$2:F$1000=FV9)*ISNUMBER(SEARCH("prioritization",LOWER(Z$2:Z$1000)))*ISNUMBER(SEARCH("cost-aware",LOWER(AA$2:AA$1000))))</f>
        <v>0</v>
      </c>
      <c r="GE9" s="35" cm="1">
        <f t="array" ref="GE9">SUMPRODUCT((Y$2:Y$1000="PS")*(F$2:F$1000=FV9)*ISNUMBER(SEARCH("prioritization",LOWER(Z$2:Z$1000)))*ISNUMBER(SEARCH("similarity",LOWER(AA$2:AA$1000))))</f>
        <v>0</v>
      </c>
      <c r="GF9" s="35" cm="1">
        <f t="array" ref="GF9">SUMPRODUCT((Y$2:Y$1000="PS")*(F$2:F$1000=FV9)*ISNUMBER(SEARCH("prioritization",LOWER(Z$2:Z$1000)))*ISNUMBER(SEARCH("input",LOWER(AA$2:AA$1000))))</f>
        <v>0</v>
      </c>
      <c r="GG9" s="35" cm="1">
        <f t="array" ref="GG9">SUMPRODUCT((Y$2:Y$1000="PS")*(F$2:F$1000=FV9)*ISNUMBER(SEARCH("prioritization",LOWER(Z$2:Z$1000)))*ISNUMBER(SEARCH("structure",LOWER(AA$2:AA$1000))))</f>
        <v>0</v>
      </c>
      <c r="GH9" s="35" cm="1">
        <f t="array" ref="GH9">SUMPRODUCT((Y$2:Y$1000="PS")*(F$2:F$1000=FV9)*ISNUMBER(SEARCH("prioritization",LOWER(Z$2:Z$1000)))*ISNUMBER(SEARCH("change",LOWER(AA$2:AA$1000))))</f>
        <v>0</v>
      </c>
      <c r="GI9" s="35" cm="1">
        <f t="array" ref="GI9">SUMPRODUCT((Y$2:Y$1000="PS")*(F$2:F$1000=FV9)*ISNUMBER(SEARCH("prioritization",LOWER(Z$2:Z$1000)))*ISNUMBER(SEARCH("ml",LOWER(AA$2:AA$1000))))</f>
        <v>0</v>
      </c>
      <c r="GJ9" s="35" cm="1">
        <f t="array" ref="GJ9">SUMPRODUCT((Y$2:Y$1000="PS")*(F$2:F$1000=FV9)*ISNUMBER(SEARCH("prioritization",LOWER(Z$2:Z$1000)))*ISNUMBER(SEARCH("heuristic",LOWER(AA$2:AA$1000))))</f>
        <v>0</v>
      </c>
      <c r="GK9" s="35" cm="1">
        <f t="array" ref="GK9">SUMPRODUCT((Y$2:Y$1000="PS")*(F$2:F$1000=FV9)*ISNUMBER(SEARCH("prioritization",LOWER(Z$2:Z$1000)))*ISNUMBER(SEARCH("search",LOWER(AA$2:AA$1000))))</f>
        <v>0</v>
      </c>
      <c r="GL9" s="35" cm="1">
        <f t="array" ref="GL9">SUMPRODUCT((Y$2:Y$1000="PS")*(F$2:F$1000=FV9)*ISNUMBER(SEARCH("prioritization",LOWER(Z$2:Z$1000)))*ISNUMBER(SEARCH("transfer",LOWER(AA$2:AA$1000))))</f>
        <v>0</v>
      </c>
      <c r="GM9" s="35" cm="1">
        <f t="array" ref="GM9">SUMPRODUCT((Y$2:Y$1000="PS")*(F$2:F$1000=FV9)*ISNUMBER(SEARCH("prioritization",LOWER(Z$2:Z$1000)))*ISNUMBER(SEARCH("riski",LOWER(AA$2:AA$1000))))</f>
        <v>0</v>
      </c>
      <c r="GN9" s="35" cm="1">
        <f t="array" ref="GN9">SUMPRODUCT((Y$2:Y$1000="PS")*(F$2:F$1000=FV9)*ISNUMBER(SEARCH("prioritization",LOWER(Z$2:Z$1000)))*ISNUMBER(SEARCH("nlp",LOWER(AA$2:AA$1000))))</f>
        <v>0</v>
      </c>
      <c r="GO9" s="35" cm="1">
        <f t="array" ref="GO9">SUMPRODUCT((Y$2:Y$1000="PS")*(F$2:F$1000=FV9)*ISNUMBER(SEARCH("prioritization",LOWER(Z$2:Z$1000)))*ISNUMBER(SEARCH("design",LOWER(AA$2:AA$1000))))</f>
        <v>0</v>
      </c>
      <c r="GP9" s="35" cm="1">
        <f t="array" ref="GP9">SUMPRODUCT((Y$2:Y$1000="PS")*(F$2:F$1000=FV9)*ISNUMBER(SEARCH("prioritization",LOWER(Z$2:Z$1000)))*ISNUMBER(SEARCH("other",LOWER(AA$2:AA$1000))))</f>
        <v>2</v>
      </c>
      <c r="GQ9">
        <f t="shared" si="8"/>
        <v>0</v>
      </c>
      <c r="GZ9">
        <v>2019</v>
      </c>
      <c r="HA9" cm="1">
        <f t="array" ref="HA9">SUMPRODUCT((Y$2:Y$1000="PS")*(F$2:F$1000=GZ9)*ISNUMBER(SEARCH("prioritization",LOWER(Z$2:Z$1000)))*ISNUMBER(SEARCH(LOWER("metaheuristic"),LOWER(AB$2:AB$1000))))</f>
        <v>0</v>
      </c>
      <c r="HB9" cm="1">
        <f t="array" ref="HB9">SUMPRODUCT((Y$2:Y$1000="PS")*(F$2:F$1000=GZ9)*ISNUMBER(SEARCH("prioritization",LOWER(Z$2:Z$1000)))*ISNUMBER(SEARCH(LOWER("search"),LOWER(AB$2:AB$1000))))</f>
        <v>0</v>
      </c>
      <c r="HC9" cm="1">
        <f t="array" ref="HC9">SUMPRODUCT((Y$2:Y$1000="PS")*(F$2:F$1000=GZ9)*ISNUMBER(SEARCH("prioritization",LOWER(Z$2:Z$1000)))*ISNUMBER(SEARCH(LOWER("heuristic"),LOWER(AB$2:AB$1000))))</f>
        <v>6</v>
      </c>
      <c r="HD9" cm="1">
        <f t="array" ref="HD9">SUMPRODUCT((Y$2:Y$1000="PS")*(F$2:F$1000=GZ9)*ISNUMBER(SEARCH("prioritization",LOWER(Z$2:Z$1000)))*ISNUMBER(SEARCH(LOWER("ml"),LOWER(AB$2:AB$1000))))</f>
        <v>0</v>
      </c>
      <c r="HE9" cm="1">
        <f t="array" ref="HE9">SUMPRODUCT((Y$2:Y$1000="PS")*(F$2:F$1000=GZ9)*ISNUMBER(SEARCH("prioritization",LOWER(Z$2:Z$1000)))*ISNUMBER(SEARCH(LOWER("rule"),LOWER(AB$2:AB$1000))))</f>
        <v>0</v>
      </c>
      <c r="HF9" cm="1">
        <f t="array" ref="HF9">SUMPRODUCT((Y$2:Y$1000="PS")*(F$2:F$1000=GZ9)*ISNUMBER(SEARCH("prioritization",LOWER(Z$2:Z$1000)))*ISNUMBER(SEARCH(LOWER(HF$2),LOWER(AB$2:AB$1000))))</f>
        <v>0</v>
      </c>
      <c r="HG9" cm="1">
        <f t="array" ref="HG9">SUMPRODUCT((Y$2:Y$1000="PS")*(F$2:F$1000=GZ9)*ISNUMBER(SEARCH("prioritization",LOWER(Z$2:Z$1000)))*ISNUMBER(SEARCH(LOWER("model"),LOWER(AB$2:AB$1000))))</f>
        <v>0</v>
      </c>
      <c r="HH9" cm="1">
        <f t="array" ref="HH9">SUMPRODUCT((Y$2:Y$1000="PS")*(F$2:F$1000=GZ9)*ISNUMBER(SEARCH("prioritization",LOWER(Z$2:Z$1000)))*ISNUMBER(SEARCH(LOWER(HH$2),LOWER(AB$2:AB$1000))))</f>
        <v>0</v>
      </c>
      <c r="HI9" cm="1">
        <f t="array" ref="HI9">SUMPRODUCT((Y$2:Y$1000="PS")*(F$2:F$1000=GZ9)*ISNUMBER(SEARCH("prioritization",LOWER(Z$2:Z$1000)))*ISNUMBER(SEARCH(LOWER("quantum"),LOWER(AB$2:AB$1000))))</f>
        <v>0</v>
      </c>
      <c r="HJ9" cm="1">
        <f t="array" ref="HJ9">SUMPRODUCT((Y$2:Y$1000="PS")*(F$2:F$1000=GZ9)*ISNUMBER(SEARCH("prioritization",LOWER(Z$2:Z$1000)))*ISNUMBER(SEARCH(LOWER("genetic"),LOWER(AB$2:AB$1000))))</f>
        <v>0</v>
      </c>
      <c r="HK9" cm="1">
        <f t="array" ref="HK9">SUMPRODUCT((Y$2:Y$1000="PS")*(F$2:F$1000=GZ9)*ISNUMBER(SEARCH("prioritization",LOWER(Z$2:Z$1000)))*ISNUMBER(SEARCH(LOWER("graph"),LOWER(AB$2:AB$1000))))</f>
        <v>1</v>
      </c>
      <c r="HL9" cm="1">
        <f t="array" ref="HL9">SUMPRODUCT((Y$2:Y$1000="PS")*(F$2:F$1000=GZ9)*ISNUMBER(SEARCH("prioritization",LOWER(Z$2:Z$1000)))*ISNUMBER(SEARCH(LOWER("greedy"),LOWER(AB$2:AB$1000))))</f>
        <v>5</v>
      </c>
      <c r="HM9" cm="1">
        <f t="array" ref="HM9">SUMPRODUCT((Y$2:Y$1000="PS")*(F$2:F$1000=GZ9)*ISNUMBER(SEARCH("prioritization",LOWER(Z$2:Z$1000)))*ISNUMBER(SEARCH(LOWER("dynamic"),LOWER(AB$2:AB$1000))))</f>
        <v>1</v>
      </c>
    </row>
    <row r="10" spans="1:221" ht="409.6">
      <c r="A10" s="2">
        <v>7273631</v>
      </c>
      <c r="B10" s="2" t="s">
        <v>34</v>
      </c>
      <c r="C10" s="2" t="s">
        <v>147</v>
      </c>
      <c r="D10" s="2" t="s">
        <v>148</v>
      </c>
      <c r="E10" s="2" t="s">
        <v>149</v>
      </c>
      <c r="F10" s="2">
        <v>2015</v>
      </c>
      <c r="G10" s="2">
        <v>2</v>
      </c>
      <c r="H10" s="2"/>
      <c r="I10" s="2" t="s">
        <v>150</v>
      </c>
      <c r="J10" s="2" t="s">
        <v>151</v>
      </c>
      <c r="K10" s="2" t="s">
        <v>152</v>
      </c>
      <c r="L10" s="2" t="s">
        <v>153</v>
      </c>
      <c r="M10" s="2" t="s">
        <v>55</v>
      </c>
      <c r="N10" s="2" t="s">
        <v>56</v>
      </c>
      <c r="O10" s="2"/>
      <c r="P10" s="2"/>
      <c r="Q10" s="2"/>
      <c r="R10" s="2"/>
      <c r="S10" s="2"/>
      <c r="T10" s="2"/>
      <c r="U10" s="2"/>
      <c r="V10" s="2"/>
      <c r="W10" s="2"/>
      <c r="X10" s="2" t="s">
        <v>154</v>
      </c>
      <c r="Y10" s="2" t="s">
        <v>58</v>
      </c>
      <c r="Z10" s="2" t="s">
        <v>155</v>
      </c>
      <c r="AA10" s="2" t="s">
        <v>60</v>
      </c>
      <c r="AB10" s="2" t="s">
        <v>156</v>
      </c>
      <c r="AC10" s="2" t="s">
        <v>62</v>
      </c>
      <c r="AD10" s="2" t="s">
        <v>157</v>
      </c>
      <c r="AE10" s="2" t="s">
        <v>158</v>
      </c>
      <c r="AF10" s="2" t="s">
        <v>65</v>
      </c>
      <c r="AG10" s="2" t="s">
        <v>159</v>
      </c>
      <c r="AH10" s="2">
        <v>0.5</v>
      </c>
      <c r="AK10">
        <f t="shared" si="6"/>
        <v>1</v>
      </c>
      <c r="AL10">
        <f t="shared" si="0"/>
        <v>0</v>
      </c>
      <c r="AM10">
        <f t="shared" si="1"/>
        <v>0</v>
      </c>
      <c r="AN10">
        <f t="shared" si="2"/>
        <v>1</v>
      </c>
      <c r="AP10">
        <v>2020</v>
      </c>
      <c r="AQ10">
        <f t="shared" si="7"/>
        <v>7</v>
      </c>
      <c r="AR10">
        <f t="shared" si="3"/>
        <v>0</v>
      </c>
      <c r="AS10">
        <f t="shared" si="4"/>
        <v>2</v>
      </c>
      <c r="AT10">
        <f t="shared" si="5"/>
        <v>6</v>
      </c>
      <c r="AY10" t="s">
        <v>1370</v>
      </c>
      <c r="AZ10" cm="1">
        <f t="array" ref="AZ10">SUMPRODUCT(($Y$2:$Y$1000="PS")*(ISNUMBER(FIND(UPPER("prioritization"),UPPER($Z$2:$Z$1000))))*(ISNUMBER(FIND(UPPER("cost"),UPPER($AA$2:$AA$1000))))*((ISNUMBER(FIND(UPPER("heuristic"),UPPER($AB$2:$AB$1000))))*(NOT(ISNUMBER(FIND(UPPER("meta"),UPPER($AB$2:$AB$1000)))))))</f>
        <v>2</v>
      </c>
      <c r="BA10" cm="1">
        <f t="array" ref="BA10">SUMPRODUCT(($Y$2:$Y$1000="PS")*(ISNUMBER(FIND(UPPER("prioritization"),UPPER($Z$2:$Z$1000))))*(ISNUMBER(FIND(UPPER("cost"),UPPER($AA$2:$AA$1000))))*((ISNUMBER(FIND(UPPER("metaheuristic"),UPPER($AB$2:$AB$1000))))+(ISNUMBER(FIND(UPPER("meta-heuristic"),UPPER($AB$2:$AB$1000))))))</f>
        <v>2</v>
      </c>
      <c r="BB10" cm="1">
        <f t="array" ref="BB10">SUMPRODUCT(($Y$2:$Y$1000="PS")*(ISNUMBER(FIND(UPPER("prioritization"),UPPER($Z$2:$Z$1000))))*(ISNUMBER(FIND(UPPER("cost"),UPPER($AA$2:$AA$1000))))*(ISNUMBER(FIND(UPPER("graph"),UPPER($AB$2:$AB$1000)))))</f>
        <v>1</v>
      </c>
      <c r="BC10" cm="1">
        <f t="array" ref="BC10">SUMPRODUCT(($Y$2:$Y$1000="PS")*(ISNUMBER(FIND(UPPER("prioritization"),UPPER($Z$2:$Z$1000))))*(ISNUMBER(FIND(UPPER("cost"),UPPER($AA$2:$AA$1000))))*(ISNUMBER(FIND(UPPER("dynamic programming"),UPPER($AB$2:$AB$1000)))))</f>
        <v>0</v>
      </c>
      <c r="BD10" cm="1">
        <f t="array" ref="BD10">SUMPRODUCT(($Y$2:$Y$1000="PS")*(ISNUMBER(FIND(UPPER("prioritization"),UPPER($Z$2:$Z$1000))))*(ISNUMBER(FIND(UPPER("cost"),UPPER($AA$2:$AA$1000))))*(ISNUMBER(FIND(UPPER("ml-based"),UPPER($AB$2:$AB$1000)))))</f>
        <v>1</v>
      </c>
      <c r="BE10" cm="1">
        <f t="array" ref="BE10">SUMPRODUCT(($Y$2:$Y$1000="PS")*(ISNUMBER(FIND(UPPER("prioritization"),UPPER($Z$2:$Z$1000))))*(ISNUMBER(FIND(UPPER("cost"),UPPER($AA$2:$AA$1000))))*(ISNUMBER(FIND(UPPER("greedy"),UPPER($AB$2:$AB$1000)))))</f>
        <v>0</v>
      </c>
      <c r="BH10" t="s">
        <v>129</v>
      </c>
      <c r="BI10" cm="1">
        <f t="array" ref="BI10">SUMPRODUCT(($Y$2:$Y$1000="PS")*(ISNUMBER(FIND(UPPER("selection"),UPPER($Z$2:$Z$1000))))*(ISNUMBER(FIND(UPPER("modification"),UPPER($AA$2:$AA$1000))))*((ISNUMBER(FIND(UPPER("heuristic"),UPPER($AB$2:$AB$1000))))*(NOT(ISNUMBER(FIND(UPPER("meta"),UPPER($AB$2:$AB$1000)))))))</f>
        <v>2</v>
      </c>
      <c r="BJ10" cm="1">
        <f t="array" ref="BJ10">SUMPRODUCT(($Y$2:$Y$1000="PS")*(ISNUMBER(FIND(UPPER("selection"),UPPER($Z$2:$Z$1000))))*(ISNUMBER(FIND(UPPER("modification"),UPPER($AA$2:$AA$1000))))*((ISNUMBER(FIND(UPPER("metaheuristic"),UPPER($AB$2:$AB$1000))))+(ISNUMBER(FIND(UPPER("meta-heuristic"),UPPER($AB$2:$AB$1000))))))</f>
        <v>1</v>
      </c>
      <c r="BK10" cm="1">
        <f t="array" ref="BK10">SUMPRODUCT(($Y$2:$Y$1000="PS")*(ISNUMBER(FIND(UPPER("selection"),UPPER($Z$2:$Z$1000))))*(ISNUMBER(FIND(UPPER("modification"),UPPER($AA$2:$AA$1000))))*(ISNUMBER(FIND(UPPER("graph"),UPPER($AB$2:$AB$1000)))))</f>
        <v>0</v>
      </c>
      <c r="BL10" cm="1">
        <f t="array" ref="BL10">SUMPRODUCT(($Y$2:$Y$1000="PS")*(ISNUMBER(FIND(UPPER("selection"),UPPER($Z$2:$Z$1000))))*(ISNUMBER(FIND(UPPER("modification"),UPPER($AA$2:$AA$1000))))*(ISNUMBER(FIND(UPPER("dynamic programming"),UPPER($AB$2:$AB$1000)))))</f>
        <v>0</v>
      </c>
      <c r="BM10" cm="1">
        <f t="array" ref="BM10">SUMPRODUCT(($Y$2:$Y$1000="PS")*(ISNUMBER(FIND(UPPER("selection"),UPPER($Z$2:$Z$1000))))*(ISNUMBER(FIND(UPPER("modification"),UPPER($AA$2:$AA$1000))))*(ISNUMBER(FIND(UPPER("ml-based"),UPPER($AB$2:$AB$1000)))))</f>
        <v>1</v>
      </c>
      <c r="BN10" cm="1">
        <f t="array" ref="BN10">SUMPRODUCT(($Y$2:$Y$1000="PS")*(ISNUMBER(FIND(UPPER("selection"),UPPER($Z$2:$Z$1000))))*(ISNUMBER(FIND(UPPER("modification"),UPPER($AA$2:$AA$1000))))*(ISNUMBER(FIND(UPPER("greedy"),UPPER($AB$2:$AB$1000)))))</f>
        <v>1</v>
      </c>
      <c r="BX10" t="s">
        <v>1370</v>
      </c>
      <c r="BY10">
        <v>3</v>
      </c>
      <c r="BZ10">
        <v>2</v>
      </c>
      <c r="CB10">
        <v>2</v>
      </c>
      <c r="CC10">
        <v>1</v>
      </c>
      <c r="CG10" t="s">
        <v>129</v>
      </c>
      <c r="CH10">
        <v>1</v>
      </c>
      <c r="CK10">
        <v>2</v>
      </c>
      <c r="CO10" s="41" t="s">
        <v>1452</v>
      </c>
      <c r="CP10" s="41">
        <v>3</v>
      </c>
      <c r="CZ10" s="34" t="s">
        <v>1320</v>
      </c>
      <c r="DA10" cm="1">
        <f t="array" ref="DA10">SUMPRODUCT((Y$2:Y$1000="PS")*ISNUMBER(SEARCH(LOWER(CZ10),LOWER(AD$2:AD$1000))))</f>
        <v>3</v>
      </c>
      <c r="DB10" cm="1">
        <f t="array" ref="DB10">SUMPRODUCT((Y$2:Y$1000="PS")*ISNUMBER(SEARCH("prioritization",LOWER(Z$2:Z$1000)))*ISNUMBER(SEARCH(LOWER(CZ10),LOWER(AD$2:AD$1000))))</f>
        <v>3</v>
      </c>
      <c r="DC10" cm="1">
        <f t="array" ref="DC10">SUMPRODUCT((Y$2:Y$1000="PS")*ISNUMBER(SEARCH("selection",LOWER(Z$2:Z$1000)))*ISNUMBER(SEARCH(LOWER(CZ10),LOWER(AD$2:AD$1000))))</f>
        <v>0</v>
      </c>
      <c r="DD10" cm="1">
        <f t="array" ref="DD10">SUMPRODUCT((Y$2:Y$1000="PS")*ISNUMBER(SEARCH("minimization",LOWER(Z$2:Z$1000)))*ISNUMBER(SEARCH(LOWER(CZ10),LOWER(AD$2:AD$1000))))</f>
        <v>0</v>
      </c>
      <c r="DH10" s="34" t="s">
        <v>1345</v>
      </c>
      <c r="DI10" s="34" cm="1">
        <f t="array" ref="DI10">SUMPRODUCT((Y$2:Y$1000="PS")*ISNUMBER(SEARCH("open source",LOWER(AE$2:AE$1000))))</f>
        <v>2</v>
      </c>
      <c r="DS10" t="s">
        <v>1357</v>
      </c>
      <c r="DT10" s="34">
        <v>2</v>
      </c>
      <c r="EM10">
        <v>2020</v>
      </c>
      <c r="EN10" cm="1">
        <f t="array" ref="EN10">SUMPRODUCT((Y$2:Y$1000="PS")*(F$2:F$1000=EM10)*ISNUMBER(SEARCH("prioritization",LOWER(Z$2:Z$1000)))*ISNUMBER(SEARCH(LOWER("0"),LOWER(AH$2:AH$1000))))</f>
        <v>4</v>
      </c>
      <c r="EO10" cm="1">
        <f t="array" ref="EO10">SUMPRODUCT((Y$2:Y$1000="PS")*(F$2:F$1000=EM10)*ISNUMBER(SEARCH("prioritization",LOWER(Z$2:Z$1000)))*ISNUMBER(SEARCH(LOWER("0,5"),LOWER(AH$2:AH$1000))))</f>
        <v>0</v>
      </c>
      <c r="EP10" cm="1">
        <f t="array" ref="EP10">SUMPRODUCT((Y$2:Y$1000="PS")*(F$2:F$1000=EM10)*ISNUMBER(SEARCH("prioritization",LOWER(Z$2:Z$1000)))*ISNUMBER(SEARCH(LOWER("1"),LOWER(AH$2:AH$1000))))</f>
        <v>2</v>
      </c>
      <c r="ES10">
        <v>2020</v>
      </c>
      <c r="ET10" cm="1">
        <f t="array" ref="ET10">SUMPRODUCT((Y$2:Y$1000="PS")*(F$2:F$1000=$ES10)*(AH$2:AH$1000=0))</f>
        <v>4</v>
      </c>
      <c r="EU10" cm="1">
        <f t="array" ref="EU10">SUMPRODUCT((Y$2:Y$1000="PS")*(F$2:F$1000=$ES10)*(AH$2:AH$1000=0.5))</f>
        <v>0</v>
      </c>
      <c r="EV10" cm="1">
        <f t="array" ref="EV10">SUMPRODUCT((Y$2:Y$1000="PS")*(F$2:F$1000=$ES10)*(AH$2:AH$1000=1))</f>
        <v>3</v>
      </c>
      <c r="FQ10" t="s">
        <v>1277</v>
      </c>
      <c r="FR10" s="35" cm="1">
        <f t="array" ref="FR10">SUMPRODUCT((Y$2:Y$1000="PS")*ISNUMBER(SEARCH(LOWER(FQ10),LOWER(AA$2:AA$1000)))*ISNUMBER(SEARCH("prioritization",LOWER(Z$2:Z$1000))))</f>
        <v>4</v>
      </c>
      <c r="FV10">
        <v>2020</v>
      </c>
      <c r="FW10" s="35" cm="1">
        <f t="array" ref="FW10">SUMPRODUCT((Y$2:Y$1000="PS")*(F$2:F$1000=FV10)*ISNUMBER(SEARCH("prioritization",LOWER(Z$2:Z$1000)))*ISNUMBER(SEARCH("coverage",LOWER(AA$2:AA$1000))))</f>
        <v>4</v>
      </c>
      <c r="FX10" s="35" cm="1">
        <f t="array" ref="FX10">SUMPRODUCT((Y$2:Y$1000="PS")*(F$2:F$1000=FV10)*ISNUMBER(SEARCH("prioritization",LOWER(Z$2:Z$1000)))*ISNUMBER(SEARCH("requirement",LOWER(AA$2:AA$1000))))</f>
        <v>0</v>
      </c>
      <c r="FY10" s="35" cm="1">
        <f t="array" ref="FY10">SUMPRODUCT((Y$2:Y$1000="PS")*(F$2:F$1000=FV10)*ISNUMBER(SEARCH("prioritization",LOWER(Z$2:Z$1000)))*ISNUMBER(SEARCH("probab",LOWER(AA$2:AA$1000))))</f>
        <v>1</v>
      </c>
      <c r="FZ10" s="35" cm="1">
        <f t="array" ref="FZ10">SUMPRODUCT((Y$2:Y$1000="PS")*(F$2:F$1000=FV10)*ISNUMBER(SEARCH("prioritization",LOWER(Z$2:Z$1000)))*ISNUMBER(SEARCH("distribution",LOWER(AA$2:AA$1000))))</f>
        <v>0</v>
      </c>
      <c r="GA10" s="35" cm="1">
        <f t="array" ref="GA10">SUMPRODUCT((Y$2:Y$1000="PS")*(F$2:F$1000=FV10)*ISNUMBER(SEARCH("prioritization",LOWER(Z$2:Z$1000)))*ISNUMBER(SEARCH("clustering",LOWER(AA$2:AA$1000))))</f>
        <v>0</v>
      </c>
      <c r="GB10" s="35" cm="1">
        <f t="array" ref="GB10">SUMPRODUCT((Y$2:Y$1000="PS")*(F$2:F$1000=FV10)*ISNUMBER(SEARCH("prioritization",LOWER(Z$2:Z$1000)))*ISNUMBER(SEARCH("history",LOWER(AA$2:AA$1000))))</f>
        <v>0</v>
      </c>
      <c r="GC10" s="35" cm="1">
        <f t="array" ref="GC10">SUMPRODUCT((Y$2:Y$1000="PS")*(F$2:F$1000=FV10)*ISNUMBER(SEARCH("prioritization",LOWER(Z$2:Z$1000)))*ISNUMBER(SEARCH("model",LOWER(AA$2:AA$1000))))</f>
        <v>1</v>
      </c>
      <c r="GD10" s="35" cm="1">
        <f t="array" ref="GD10">SUMPRODUCT((Y$2:Y$1000="PS")*(F$2:F$1000=FV10)*ISNUMBER(SEARCH("prioritization",LOWER(Z$2:Z$1000)))*ISNUMBER(SEARCH("cost-aware",LOWER(AA$2:AA$1000))))</f>
        <v>0</v>
      </c>
      <c r="GE10" s="35" cm="1">
        <f t="array" ref="GE10">SUMPRODUCT((Y$2:Y$1000="PS")*(F$2:F$1000=FV10)*ISNUMBER(SEARCH("prioritization",LOWER(Z$2:Z$1000)))*ISNUMBER(SEARCH("similarity",LOWER(AA$2:AA$1000))))</f>
        <v>0</v>
      </c>
      <c r="GF10" s="35" cm="1">
        <f t="array" ref="GF10">SUMPRODUCT((Y$2:Y$1000="PS")*(F$2:F$1000=FV10)*ISNUMBER(SEARCH("prioritization",LOWER(Z$2:Z$1000)))*ISNUMBER(SEARCH("input",LOWER(AA$2:AA$1000))))</f>
        <v>0</v>
      </c>
      <c r="GG10" s="35" cm="1">
        <f t="array" ref="GG10">SUMPRODUCT((Y$2:Y$1000="PS")*(F$2:F$1000=FV10)*ISNUMBER(SEARCH("prioritization",LOWER(Z$2:Z$1000)))*ISNUMBER(SEARCH("structure",LOWER(AA$2:AA$1000))))</f>
        <v>0</v>
      </c>
      <c r="GH10" s="35" cm="1">
        <f t="array" ref="GH10">SUMPRODUCT((Y$2:Y$1000="PS")*(F$2:F$1000=FV10)*ISNUMBER(SEARCH("prioritization",LOWER(Z$2:Z$1000)))*ISNUMBER(SEARCH("change",LOWER(AA$2:AA$1000))))</f>
        <v>0</v>
      </c>
      <c r="GI10" s="35" cm="1">
        <f t="array" ref="GI10">SUMPRODUCT((Y$2:Y$1000="PS")*(F$2:F$1000=FV10)*ISNUMBER(SEARCH("prioritization",LOWER(Z$2:Z$1000)))*ISNUMBER(SEARCH("ml",LOWER(AA$2:AA$1000))))</f>
        <v>0</v>
      </c>
      <c r="GJ10" s="35" cm="1">
        <f t="array" ref="GJ10">SUMPRODUCT((Y$2:Y$1000="PS")*(F$2:F$1000=FV10)*ISNUMBER(SEARCH("prioritization",LOWER(Z$2:Z$1000)))*ISNUMBER(SEARCH("heuristic",LOWER(AA$2:AA$1000))))</f>
        <v>0</v>
      </c>
      <c r="GK10" s="35" cm="1">
        <f t="array" ref="GK10">SUMPRODUCT((Y$2:Y$1000="PS")*(F$2:F$1000=FV10)*ISNUMBER(SEARCH("prioritization",LOWER(Z$2:Z$1000)))*ISNUMBER(SEARCH("search",LOWER(AA$2:AA$1000))))</f>
        <v>0</v>
      </c>
      <c r="GL10" s="35" cm="1">
        <f t="array" ref="GL10">SUMPRODUCT((Y$2:Y$1000="PS")*(F$2:F$1000=FV10)*ISNUMBER(SEARCH("prioritization",LOWER(Z$2:Z$1000)))*ISNUMBER(SEARCH("transfer",LOWER(AA$2:AA$1000))))</f>
        <v>0</v>
      </c>
      <c r="GM10" s="35" cm="1">
        <f t="array" ref="GM10">SUMPRODUCT((Y$2:Y$1000="PS")*(F$2:F$1000=FV10)*ISNUMBER(SEARCH("prioritization",LOWER(Z$2:Z$1000)))*ISNUMBER(SEARCH("riski",LOWER(AA$2:AA$1000))))</f>
        <v>0</v>
      </c>
      <c r="GN10" s="35" cm="1">
        <f t="array" ref="GN10">SUMPRODUCT((Y$2:Y$1000="PS")*(F$2:F$1000=FV10)*ISNUMBER(SEARCH("prioritization",LOWER(Z$2:Z$1000)))*ISNUMBER(SEARCH("nlp",LOWER(AA$2:AA$1000))))</f>
        <v>0</v>
      </c>
      <c r="GO10" s="35" cm="1">
        <f t="array" ref="GO10">SUMPRODUCT((Y$2:Y$1000="PS")*(F$2:F$1000=FV10)*ISNUMBER(SEARCH("prioritization",LOWER(Z$2:Z$1000)))*ISNUMBER(SEARCH("design",LOWER(AA$2:AA$1000))))</f>
        <v>0</v>
      </c>
      <c r="GP10" s="35" cm="1">
        <f t="array" ref="GP10">SUMPRODUCT((Y$2:Y$1000="PS")*(F$2:F$1000=FV10)*ISNUMBER(SEARCH("prioritization",LOWER(Z$2:Z$1000)))*ISNUMBER(SEARCH("other",LOWER(AA$2:AA$1000))))</f>
        <v>1</v>
      </c>
      <c r="GQ10">
        <f t="shared" si="8"/>
        <v>0</v>
      </c>
      <c r="GZ10">
        <v>2020</v>
      </c>
      <c r="HA10" cm="1">
        <f t="array" ref="HA10">SUMPRODUCT((Y$2:Y$1000="PS")*(F$2:F$1000=GZ10)*ISNUMBER(SEARCH("prioritization",LOWER(Z$2:Z$1000)))*ISNUMBER(SEARCH(LOWER("metaheuristic"),LOWER(AB$2:AB$1000))))</f>
        <v>0</v>
      </c>
      <c r="HB10" cm="1">
        <f t="array" ref="HB10">SUMPRODUCT((Y$2:Y$1000="PS")*(F$2:F$1000=GZ10)*ISNUMBER(SEARCH("prioritization",LOWER(Z$2:Z$1000)))*ISNUMBER(SEARCH(LOWER("search"),LOWER(AB$2:AB$1000))))</f>
        <v>0</v>
      </c>
      <c r="HC10" cm="1">
        <f t="array" ref="HC10">SUMPRODUCT((Y$2:Y$1000="PS")*(F$2:F$1000=GZ10)*ISNUMBER(SEARCH("prioritization",LOWER(Z$2:Z$1000)))*ISNUMBER(SEARCH(LOWER("heuristic"),LOWER(AB$2:AB$1000))))</f>
        <v>2</v>
      </c>
      <c r="HD10" cm="1">
        <f t="array" ref="HD10">SUMPRODUCT((Y$2:Y$1000="PS")*(F$2:F$1000=GZ10)*ISNUMBER(SEARCH("prioritization",LOWER(Z$2:Z$1000)))*ISNUMBER(SEARCH(LOWER("ml"),LOWER(AB$2:AB$1000))))</f>
        <v>2</v>
      </c>
      <c r="HE10" cm="1">
        <f t="array" ref="HE10">SUMPRODUCT((Y$2:Y$1000="PS")*(F$2:F$1000=GZ10)*ISNUMBER(SEARCH("prioritization",LOWER(Z$2:Z$1000)))*ISNUMBER(SEARCH(LOWER("rule"),LOWER(AB$2:AB$1000))))</f>
        <v>0</v>
      </c>
      <c r="HF10" cm="1">
        <f t="array" ref="HF10">SUMPRODUCT((Y$2:Y$1000="PS")*(F$2:F$1000=GZ10)*ISNUMBER(SEARCH("prioritization",LOWER(Z$2:Z$1000)))*ISNUMBER(SEARCH(LOWER(HF$2),LOWER(AB$2:AB$1000))))</f>
        <v>0</v>
      </c>
      <c r="HG10" cm="1">
        <f t="array" ref="HG10">SUMPRODUCT((Y$2:Y$1000="PS")*(F$2:F$1000=GZ10)*ISNUMBER(SEARCH("prioritization",LOWER(Z$2:Z$1000)))*ISNUMBER(SEARCH(LOWER("model"),LOWER(AB$2:AB$1000))))</f>
        <v>0</v>
      </c>
      <c r="HH10" cm="1">
        <f t="array" ref="HH10">SUMPRODUCT((Y$2:Y$1000="PS")*(F$2:F$1000=GZ10)*ISNUMBER(SEARCH("prioritization",LOWER(Z$2:Z$1000)))*ISNUMBER(SEARCH(LOWER(HH$2),LOWER(AB$2:AB$1000))))</f>
        <v>0</v>
      </c>
      <c r="HI10" cm="1">
        <f t="array" ref="HI10">SUMPRODUCT((Y$2:Y$1000="PS")*(F$2:F$1000=GZ10)*ISNUMBER(SEARCH("prioritization",LOWER(Z$2:Z$1000)))*ISNUMBER(SEARCH(LOWER("quantum"),LOWER(AB$2:AB$1000))))</f>
        <v>0</v>
      </c>
      <c r="HJ10" cm="1">
        <f t="array" ref="HJ10">SUMPRODUCT((Y$2:Y$1000="PS")*(F$2:F$1000=GZ10)*ISNUMBER(SEARCH("prioritization",LOWER(Z$2:Z$1000)))*ISNUMBER(SEARCH(LOWER("genetic"),LOWER(AB$2:AB$1000))))</f>
        <v>0</v>
      </c>
      <c r="HK10" cm="1">
        <f t="array" ref="HK10">SUMPRODUCT((Y$2:Y$1000="PS")*(F$2:F$1000=GZ10)*ISNUMBER(SEARCH("prioritization",LOWER(Z$2:Z$1000)))*ISNUMBER(SEARCH(LOWER("graph"),LOWER(AB$2:AB$1000))))</f>
        <v>0</v>
      </c>
      <c r="HL10" cm="1">
        <f t="array" ref="HL10">SUMPRODUCT((Y$2:Y$1000="PS")*(F$2:F$1000=GZ10)*ISNUMBER(SEARCH("prioritization",LOWER(Z$2:Z$1000)))*ISNUMBER(SEARCH(LOWER("greedy"),LOWER(AB$2:AB$1000))))</f>
        <v>2</v>
      </c>
      <c r="HM10" cm="1">
        <f t="array" ref="HM10">SUMPRODUCT((Y$2:Y$1000="PS")*(F$2:F$1000=GZ10)*ISNUMBER(SEARCH("prioritization",LOWER(Z$2:Z$1000)))*ISNUMBER(SEARCH(LOWER("dynamic"),LOWER(AB$2:AB$1000))))</f>
        <v>0</v>
      </c>
    </row>
    <row r="11" spans="1:221" ht="409.6">
      <c r="A11" s="2">
        <v>8305939</v>
      </c>
      <c r="B11" s="2" t="s">
        <v>34</v>
      </c>
      <c r="C11" s="2" t="s">
        <v>160</v>
      </c>
      <c r="D11" s="2" t="s">
        <v>161</v>
      </c>
      <c r="E11" s="2" t="s">
        <v>162</v>
      </c>
      <c r="F11" s="2">
        <v>2017</v>
      </c>
      <c r="G11" s="2"/>
      <c r="H11" s="2"/>
      <c r="I11" s="2" t="s">
        <v>163</v>
      </c>
      <c r="J11" s="2" t="s">
        <v>164</v>
      </c>
      <c r="K11" s="2" t="s">
        <v>165</v>
      </c>
      <c r="L11" s="2" t="s">
        <v>166</v>
      </c>
      <c r="M11" s="2"/>
      <c r="N11" s="2" t="s">
        <v>167</v>
      </c>
      <c r="O11" s="2"/>
      <c r="P11" s="2"/>
      <c r="Q11" s="2"/>
      <c r="R11" s="2"/>
      <c r="S11" s="2"/>
      <c r="T11" s="2"/>
      <c r="U11" s="2"/>
      <c r="V11" s="2"/>
      <c r="W11" s="2"/>
      <c r="X11" s="2" t="s">
        <v>168</v>
      </c>
      <c r="Y11" s="2" t="s">
        <v>58</v>
      </c>
      <c r="Z11" s="2" t="s">
        <v>169</v>
      </c>
      <c r="AA11" s="2" t="s">
        <v>1406</v>
      </c>
      <c r="AB11" s="2" t="s">
        <v>91</v>
      </c>
      <c r="AC11" s="2" t="s">
        <v>62</v>
      </c>
      <c r="AD11" s="2" t="s">
        <v>170</v>
      </c>
      <c r="AE11" s="2" t="s">
        <v>171</v>
      </c>
      <c r="AF11" s="2" t="s">
        <v>172</v>
      </c>
      <c r="AG11" s="2" t="s">
        <v>66</v>
      </c>
      <c r="AH11" s="2">
        <v>0</v>
      </c>
      <c r="AK11">
        <f t="shared" si="6"/>
        <v>1</v>
      </c>
      <c r="AL11">
        <f t="shared" si="0"/>
        <v>0</v>
      </c>
      <c r="AM11">
        <f t="shared" si="1"/>
        <v>0</v>
      </c>
      <c r="AN11">
        <f t="shared" si="2"/>
        <v>1</v>
      </c>
      <c r="AP11">
        <v>2021</v>
      </c>
      <c r="AQ11">
        <f t="shared" si="7"/>
        <v>7</v>
      </c>
      <c r="AR11">
        <f t="shared" si="3"/>
        <v>0</v>
      </c>
      <c r="AS11">
        <f t="shared" si="4"/>
        <v>1</v>
      </c>
      <c r="AT11">
        <f t="shared" si="5"/>
        <v>6</v>
      </c>
      <c r="AY11" t="s">
        <v>966</v>
      </c>
      <c r="AZ11" cm="1">
        <f t="array" ref="AZ11">SUMPRODUCT(($Y$2:$Y$1000="PS")*(ISNUMBER(FIND(UPPER("prioritization"),UPPER($Z$2:$Z$1000))))*(ISNUMBER(FIND(UPPER("other"),UPPER($AA$2:$AA$1000))))*((ISNUMBER(FIND(UPPER("heuristic"),UPPER($AB$2:$AB$1000))))*(NOT(ISNUMBER(FIND(UPPER("meta"),UPPER($AB$2:$AB$1000)))))))</f>
        <v>1</v>
      </c>
      <c r="BA11" cm="1">
        <f t="array" ref="BA11">SUMPRODUCT(($Y$2:$Y$1000="PS")*(ISNUMBER(FIND(UPPER("prioritization"),UPPER($Z$2:$Z$1000))))*(ISNUMBER(FIND(UPPER("other"),UPPER($AA$2:$AA$1000))))*((ISNUMBER(FIND(UPPER("metaheuristic"),UPPER($AB$2:$AB$1000))))+(ISNUMBER(FIND(UPPER("meta-heuristic"),UPPER($AB$2:$AB$1000))))))</f>
        <v>1</v>
      </c>
      <c r="BB11" cm="1">
        <f t="array" ref="BB11">SUMPRODUCT(($Y$2:$Y$1000="PS")*(ISNUMBER(FIND(UPPER("prioritization"),UPPER($Z$2:$Z$1000))))*(ISNUMBER(FIND(UPPER("other"),UPPER($AA$2:$AA$1000))))*(ISNUMBER(FIND(UPPER("graph"),UPPER($AB$2:$AB$1000)))))</f>
        <v>0</v>
      </c>
      <c r="BC11" cm="1">
        <f t="array" ref="BC11">SUMPRODUCT(($Y$2:$Y$1000="PS")*(ISNUMBER(FIND(UPPER("prioritization"),UPPER($Z$2:$Z$1000))))*(ISNUMBER(FIND(UPPER("other"),UPPER($AA$2:$AA$1000))))*(ISNUMBER(FIND(UPPER("dynamic programming"),UPPER($AB$2:$AB$1000)))))</f>
        <v>1</v>
      </c>
      <c r="BD11" cm="1">
        <f t="array" ref="BD11">SUMPRODUCT(($Y$2:$Y$1000="PS")*(ISNUMBER(FIND(UPPER("prioritization"),UPPER($Z$2:$Z$1000))))*(ISNUMBER(FIND(UPPER("other"),UPPER($AA$2:$AA$1000))))*(ISNUMBER(FIND(UPPER("ml-based"),UPPER($AB$2:$AB$1000)))))</f>
        <v>3</v>
      </c>
      <c r="BE11" s="37" cm="1">
        <f t="array" ref="BE11">SUMPRODUCT(($Y$2:$Y$1000="PS")*(ISNUMBER(FIND(UPPER("prioritization"),UPPER($Z$2:$Z$1000))))*(ISNUMBER(FIND(UPPER("other"),UPPER($AA$2:$AA$1000))))*(ISNUMBER(FIND(UPPER("greedy"),UPPER($AB$2:$AB$1000)))))</f>
        <v>1</v>
      </c>
      <c r="BH11" t="s">
        <v>1383</v>
      </c>
      <c r="BI11" cm="1">
        <f t="array" ref="BI11">SUMPRODUCT(($Y$2:$Y$1000="PS")*(ISNUMBER(FIND(UPPER("selection"),UPPER($Z$2:$Z$1000))))*(ISNUMBER(FIND(UPPER("firewall"),UPPER($AA$2:$AA$1000))))*((ISNUMBER(FIND(UPPER("heuristic"),UPPER($AB$2:$AB$1000))))*(NOT(ISNUMBER(FIND(UPPER("meta"),UPPER($AB$2:$AB$1000)))))))</f>
        <v>0</v>
      </c>
      <c r="BJ11" cm="1">
        <f t="array" ref="BJ11">SUMPRODUCT(($Y$2:$Y$1000="PS")*(ISNUMBER(FIND(UPPER("selection"),UPPER($Z$2:$Z$1000))))*(ISNUMBER(FIND(UPPER("firewall"),UPPER($AA$2:$AA$1000))))*((ISNUMBER(FIND(UPPER("metaheuristic"),UPPER($AB$2:$AB$1000))))+(ISNUMBER(FIND(UPPER("meta-heuristic"),UPPER($AB$2:$AB$1000))))))</f>
        <v>0</v>
      </c>
      <c r="BK11" cm="1">
        <f t="array" ref="BK11">SUMPRODUCT(($Y$2:$Y$1000="PS")*(ISNUMBER(FIND(UPPER("selection"),UPPER($Z$2:$Z$1000))))*(ISNUMBER(FIND(UPPER("firewall"),UPPER($AA$2:$AA$1000))))*(ISNUMBER(FIND(UPPER("graph"),UPPER($AB$2:$AB$1000)))))</f>
        <v>0</v>
      </c>
      <c r="BL11" cm="1">
        <f t="array" ref="BL11">SUMPRODUCT(($Y$2:$Y$1000="PS")*(ISNUMBER(FIND(UPPER("selection"),UPPER($Z$2:$Z$1000))))*(ISNUMBER(FIND(UPPER("firewall"),UPPER($AA$2:$AA$1000))))*(ISNUMBER(FIND(UPPER("dynamic programming"),UPPER($AB$2:$AB$1000)))))</f>
        <v>0</v>
      </c>
      <c r="BM11" cm="1">
        <f t="array" ref="BM11">SUMPRODUCT(($Y$2:$Y$1000="PS")*(ISNUMBER(FIND(UPPER("selection"),UPPER($Z$2:$Z$1000))))*(ISNUMBER(FIND(UPPER("firewall"),UPPER($AA$2:$AA$1000))))*(ISNUMBER(FIND(UPPER("ml-based"),UPPER($AB$2:$AB$1000)))))</f>
        <v>0</v>
      </c>
      <c r="BN11" cm="1">
        <f t="array" ref="BN11">SUMPRODUCT(($Y$2:$Y$1000="PS")*(ISNUMBER(FIND(UPPER("selection"),UPPER($Z$2:$Z$1000))))*(ISNUMBER(FIND(UPPER("firewall"),UPPER($AA$2:$AA$1000))))*(ISNUMBER(FIND(UPPER("greedy"),UPPER($AB$2:$AB$1000)))))</f>
        <v>0</v>
      </c>
      <c r="BX11" t="s">
        <v>966</v>
      </c>
      <c r="BY11">
        <v>5</v>
      </c>
      <c r="BZ11">
        <v>1</v>
      </c>
      <c r="CG11" t="s">
        <v>1383</v>
      </c>
      <c r="CO11" s="41" t="s">
        <v>1325</v>
      </c>
      <c r="CP11" s="41">
        <v>2</v>
      </c>
      <c r="CZ11" s="34" t="s">
        <v>1322</v>
      </c>
      <c r="DA11" cm="1">
        <f t="array" ref="DA11">SUMPRODUCT((Y$2:Y$1000="PS")*ISNUMBER(SEARCH(LOWER(CZ11),LOWER(AD$2:AD$1000))))</f>
        <v>3</v>
      </c>
      <c r="DB11" cm="1">
        <f t="array" ref="DB11">SUMPRODUCT((Y$2:Y$1000="PS")*ISNUMBER(SEARCH("prioritization",LOWER(Z$2:Z$1000)))*ISNUMBER(SEARCH(LOWER(CZ11),LOWER(AD$2:AD$1000))))</f>
        <v>1</v>
      </c>
      <c r="DC11" cm="1">
        <f t="array" ref="DC11">SUMPRODUCT((Y$2:Y$1000="PS")*ISNUMBER(SEARCH("selection",LOWER(Z$2:Z$1000)))*ISNUMBER(SEARCH(LOWER(CZ11),LOWER(AD$2:AD$1000))))</f>
        <v>2</v>
      </c>
      <c r="DD11" cm="1">
        <f t="array" ref="DD11">SUMPRODUCT((Y$2:Y$1000="PS")*ISNUMBER(SEARCH("minimization",LOWER(Z$2:Z$1000)))*ISNUMBER(SEARCH(LOWER(CZ11),LOWER(AD$2:AD$1000))))</f>
        <v>0</v>
      </c>
      <c r="DH11" s="34" t="s">
        <v>1346</v>
      </c>
      <c r="DI11" s="34" cm="1">
        <f t="array" ref="DI11">SUMPRODUCT((Y$2:Y$1000="PS")*(ISNUMBER(SEARCH("benchmark",LOWER(AE$2:AE$1000)))+ISNUMBER(SEARCH("synthetic",LOWER(AE$2:AE$1000)))+ISNUMBER(SEARCH("simulat",LOWER(AE$2:AE$1000))))&gt;0)</f>
        <v>0</v>
      </c>
      <c r="DS11" t="s">
        <v>1358</v>
      </c>
      <c r="DT11">
        <v>2</v>
      </c>
      <c r="EM11">
        <v>2021</v>
      </c>
      <c r="EN11" cm="1">
        <f t="array" ref="EN11">SUMPRODUCT((Y$2:Y$1000="PS")*(F$2:F$1000=EM11)*ISNUMBER(SEARCH("prioritization",LOWER(Z$2:Z$1000)))*ISNUMBER(SEARCH(LOWER("0"),LOWER(AH$2:AH$1000))))</f>
        <v>4</v>
      </c>
      <c r="EO11" cm="1">
        <f t="array" ref="EO11">SUMPRODUCT((Y$2:Y$1000="PS")*(F$2:F$1000=EM11)*ISNUMBER(SEARCH("prioritization",LOWER(Z$2:Z$1000)))*ISNUMBER(SEARCH(LOWER("0,5"),LOWER(AH$2:AH$1000))))</f>
        <v>2</v>
      </c>
      <c r="EP11" cm="1">
        <f t="array" ref="EP11">SUMPRODUCT((Y$2:Y$1000="PS")*(F$2:F$1000=EM11)*ISNUMBER(SEARCH("prioritization",LOWER(Z$2:Z$1000)))*ISNUMBER(SEARCH(LOWER("1"),LOWER(AH$2:AH$1000))))</f>
        <v>2</v>
      </c>
      <c r="ES11">
        <v>2021</v>
      </c>
      <c r="ET11" cm="1">
        <f t="array" ref="ET11">SUMPRODUCT((Y$2:Y$1000="PS")*(F$2:F$1000=$ES11)*(AH$2:AH$1000=0))</f>
        <v>2</v>
      </c>
      <c r="EU11" cm="1">
        <f t="array" ref="EU11">SUMPRODUCT((Y$2:Y$1000="PS")*(F$2:F$1000=$ES11)*(AH$2:AH$1000=0.5))</f>
        <v>2</v>
      </c>
      <c r="EV11" cm="1">
        <f t="array" ref="EV11">SUMPRODUCT((Y$2:Y$1000="PS")*(F$2:F$1000=$ES11)*(AH$2:AH$1000=1))</f>
        <v>3</v>
      </c>
      <c r="FQ11" t="s">
        <v>1278</v>
      </c>
      <c r="FR11" s="35" cm="1">
        <f t="array" ref="FR11">SUMPRODUCT((Y$2:Y$1000="PS")*ISNUMBER(SEARCH(LOWER(FQ11),LOWER(AA$2:AA$1000)))*ISNUMBER(SEARCH("prioritization",LOWER(Z$2:Z$1000))))</f>
        <v>0</v>
      </c>
      <c r="FV11">
        <v>2021</v>
      </c>
      <c r="FW11" s="35" cm="1">
        <f t="array" ref="FW11">SUMPRODUCT((Y$2:Y$1000="PS")*(F$2:F$1000=FV11)*ISNUMBER(SEARCH("prioritization",LOWER(Z$2:Z$1000)))*ISNUMBER(SEARCH("coverage",LOWER(AA$2:AA$1000))))</f>
        <v>1</v>
      </c>
      <c r="FX11" s="35" cm="1">
        <f t="array" ref="FX11">SUMPRODUCT((Y$2:Y$1000="PS")*(F$2:F$1000=FV11)*ISNUMBER(SEARCH("prioritization",LOWER(Z$2:Z$1000)))*ISNUMBER(SEARCH("requirement",LOWER(AA$2:AA$1000))))</f>
        <v>0</v>
      </c>
      <c r="FY11" s="35" cm="1">
        <f t="array" ref="FY11">SUMPRODUCT((Y$2:Y$1000="PS")*(F$2:F$1000=FV11)*ISNUMBER(SEARCH("prioritization",LOWER(Z$2:Z$1000)))*ISNUMBER(SEARCH("probab",LOWER(AA$2:AA$1000))))</f>
        <v>1</v>
      </c>
      <c r="FZ11" s="35" cm="1">
        <f t="array" ref="FZ11">SUMPRODUCT((Y$2:Y$1000="PS")*(F$2:F$1000=FV11)*ISNUMBER(SEARCH("prioritization",LOWER(Z$2:Z$1000)))*ISNUMBER(SEARCH("distribution",LOWER(AA$2:AA$1000))))</f>
        <v>0</v>
      </c>
      <c r="GA11" s="35" cm="1">
        <f t="array" ref="GA11">SUMPRODUCT((Y$2:Y$1000="PS")*(F$2:F$1000=FV11)*ISNUMBER(SEARCH("prioritization",LOWER(Z$2:Z$1000)))*ISNUMBER(SEARCH("clustering",LOWER(AA$2:AA$1000))))</f>
        <v>1</v>
      </c>
      <c r="GB11" s="35" cm="1">
        <f t="array" ref="GB11">SUMPRODUCT((Y$2:Y$1000="PS")*(F$2:F$1000=FV11)*ISNUMBER(SEARCH("prioritization",LOWER(Z$2:Z$1000)))*ISNUMBER(SEARCH("history",LOWER(AA$2:AA$1000))))</f>
        <v>2</v>
      </c>
      <c r="GC11" s="35" cm="1">
        <f t="array" ref="GC11">SUMPRODUCT((Y$2:Y$1000="PS")*(F$2:F$1000=FV11)*ISNUMBER(SEARCH("prioritization",LOWER(Z$2:Z$1000)))*ISNUMBER(SEARCH("model",LOWER(AA$2:AA$1000))))</f>
        <v>0</v>
      </c>
      <c r="GD11" s="35" cm="1">
        <f t="array" ref="GD11">SUMPRODUCT((Y$2:Y$1000="PS")*(F$2:F$1000=FV11)*ISNUMBER(SEARCH("prioritization",LOWER(Z$2:Z$1000)))*ISNUMBER(SEARCH("cost-aware",LOWER(AA$2:AA$1000))))</f>
        <v>1</v>
      </c>
      <c r="GE11" s="35" cm="1">
        <f t="array" ref="GE11">SUMPRODUCT((Y$2:Y$1000="PS")*(F$2:F$1000=FV11)*ISNUMBER(SEARCH("prioritization",LOWER(Z$2:Z$1000)))*ISNUMBER(SEARCH("similarity",LOWER(AA$2:AA$1000))))</f>
        <v>0</v>
      </c>
      <c r="GF11" s="35" cm="1">
        <f t="array" ref="GF11">SUMPRODUCT((Y$2:Y$1000="PS")*(F$2:F$1000=FV11)*ISNUMBER(SEARCH("prioritization",LOWER(Z$2:Z$1000)))*ISNUMBER(SEARCH("input",LOWER(AA$2:AA$1000))))</f>
        <v>0</v>
      </c>
      <c r="GG11" s="35" cm="1">
        <f t="array" ref="GG11">SUMPRODUCT((Y$2:Y$1000="PS")*(F$2:F$1000=FV11)*ISNUMBER(SEARCH("prioritization",LOWER(Z$2:Z$1000)))*ISNUMBER(SEARCH("structure",LOWER(AA$2:AA$1000))))</f>
        <v>0</v>
      </c>
      <c r="GH11" s="35" cm="1">
        <f t="array" ref="GH11">SUMPRODUCT((Y$2:Y$1000="PS")*(F$2:F$1000=FV11)*ISNUMBER(SEARCH("prioritization",LOWER(Z$2:Z$1000)))*ISNUMBER(SEARCH("change",LOWER(AA$2:AA$1000))))</f>
        <v>0</v>
      </c>
      <c r="GI11" s="35" cm="1">
        <f t="array" ref="GI11">SUMPRODUCT((Y$2:Y$1000="PS")*(F$2:F$1000=FV11)*ISNUMBER(SEARCH("prioritization",LOWER(Z$2:Z$1000)))*ISNUMBER(SEARCH("ml",LOWER(AA$2:AA$1000))))</f>
        <v>0</v>
      </c>
      <c r="GJ11" s="35" cm="1">
        <f t="array" ref="GJ11">SUMPRODUCT((Y$2:Y$1000="PS")*(F$2:F$1000=FV11)*ISNUMBER(SEARCH("prioritization",LOWER(Z$2:Z$1000)))*ISNUMBER(SEARCH("heuristic",LOWER(AA$2:AA$1000))))</f>
        <v>0</v>
      </c>
      <c r="GK11" s="35" cm="1">
        <f t="array" ref="GK11">SUMPRODUCT((Y$2:Y$1000="PS")*(F$2:F$1000=FV11)*ISNUMBER(SEARCH("prioritization",LOWER(Z$2:Z$1000)))*ISNUMBER(SEARCH("search",LOWER(AA$2:AA$1000))))</f>
        <v>1</v>
      </c>
      <c r="GL11" s="35" cm="1">
        <f t="array" ref="GL11">SUMPRODUCT((Y$2:Y$1000="PS")*(F$2:F$1000=FV11)*ISNUMBER(SEARCH("prioritization",LOWER(Z$2:Z$1000)))*ISNUMBER(SEARCH("transfer",LOWER(AA$2:AA$1000))))</f>
        <v>0</v>
      </c>
      <c r="GM11" s="35" cm="1">
        <f t="array" ref="GM11">SUMPRODUCT((Y$2:Y$1000="PS")*(F$2:F$1000=FV11)*ISNUMBER(SEARCH("prioritization",LOWER(Z$2:Z$1000)))*ISNUMBER(SEARCH("riski",LOWER(AA$2:AA$1000))))</f>
        <v>0</v>
      </c>
      <c r="GN11" s="35" cm="1">
        <f t="array" ref="GN11">SUMPRODUCT((Y$2:Y$1000="PS")*(F$2:F$1000=FV11)*ISNUMBER(SEARCH("prioritization",LOWER(Z$2:Z$1000)))*ISNUMBER(SEARCH("nlp",LOWER(AA$2:AA$1000))))</f>
        <v>0</v>
      </c>
      <c r="GO11" s="35" cm="1">
        <f t="array" ref="GO11">SUMPRODUCT((Y$2:Y$1000="PS")*(F$2:F$1000=FV11)*ISNUMBER(SEARCH("prioritization",LOWER(Z$2:Z$1000)))*ISNUMBER(SEARCH("design",LOWER(AA$2:AA$1000))))</f>
        <v>0</v>
      </c>
      <c r="GP11" s="35" cm="1">
        <f t="array" ref="GP11">SUMPRODUCT((Y$2:Y$1000="PS")*(F$2:F$1000=FV11)*ISNUMBER(SEARCH("prioritization",LOWER(Z$2:Z$1000)))*ISNUMBER(SEARCH("other",LOWER(AA$2:AA$1000))))</f>
        <v>1</v>
      </c>
      <c r="GQ11">
        <f t="shared" si="8"/>
        <v>0</v>
      </c>
      <c r="GZ11">
        <v>2021</v>
      </c>
      <c r="HA11" cm="1">
        <f t="array" ref="HA11">SUMPRODUCT((Y$2:Y$1000="PS")*(F$2:F$1000=GZ11)*ISNUMBER(SEARCH("prioritization",LOWER(Z$2:Z$1000)))*ISNUMBER(SEARCH(LOWER("metaheuristic"),LOWER(AB$2:AB$1000))))</f>
        <v>0</v>
      </c>
      <c r="HB11" cm="1">
        <f t="array" ref="HB11">SUMPRODUCT((Y$2:Y$1000="PS")*(F$2:F$1000=GZ11)*ISNUMBER(SEARCH("prioritization",LOWER(Z$2:Z$1000)))*ISNUMBER(SEARCH(LOWER("search"),LOWER(AB$2:AB$1000))))</f>
        <v>0</v>
      </c>
      <c r="HC11" cm="1">
        <f t="array" ref="HC11">SUMPRODUCT((Y$2:Y$1000="PS")*(F$2:F$1000=GZ11)*ISNUMBER(SEARCH("prioritization",LOWER(Z$2:Z$1000)))*ISNUMBER(SEARCH(LOWER("heuristic"),LOWER(AB$2:AB$1000))))</f>
        <v>3</v>
      </c>
      <c r="HD11" cm="1">
        <f t="array" ref="HD11">SUMPRODUCT((Y$2:Y$1000="PS")*(F$2:F$1000=GZ11)*ISNUMBER(SEARCH("prioritization",LOWER(Z$2:Z$1000)))*ISNUMBER(SEARCH(LOWER("ml"),LOWER(AB$2:AB$1000))))</f>
        <v>3</v>
      </c>
      <c r="HE11" cm="1">
        <f t="array" ref="HE11">SUMPRODUCT((Y$2:Y$1000="PS")*(F$2:F$1000=GZ11)*ISNUMBER(SEARCH("prioritization",LOWER(Z$2:Z$1000)))*ISNUMBER(SEARCH(LOWER("rule"),LOWER(AB$2:AB$1000))))</f>
        <v>0</v>
      </c>
      <c r="HF11" cm="1">
        <f t="array" ref="HF11">SUMPRODUCT((Y$2:Y$1000="PS")*(F$2:F$1000=GZ11)*ISNUMBER(SEARCH("prioritization",LOWER(Z$2:Z$1000)))*ISNUMBER(SEARCH(LOWER(HF$2),LOWER(AB$2:AB$1000))))</f>
        <v>0</v>
      </c>
      <c r="HG11" cm="1">
        <f t="array" ref="HG11">SUMPRODUCT((Y$2:Y$1000="PS")*(F$2:F$1000=GZ11)*ISNUMBER(SEARCH("prioritization",LOWER(Z$2:Z$1000)))*ISNUMBER(SEARCH(LOWER("model"),LOWER(AB$2:AB$1000))))</f>
        <v>0</v>
      </c>
      <c r="HH11" cm="1">
        <f t="array" ref="HH11">SUMPRODUCT((Y$2:Y$1000="PS")*(F$2:F$1000=GZ11)*ISNUMBER(SEARCH("prioritization",LOWER(Z$2:Z$1000)))*ISNUMBER(SEARCH(LOWER(HH$2),LOWER(AB$2:AB$1000))))</f>
        <v>0</v>
      </c>
      <c r="HI11" cm="1">
        <f t="array" ref="HI11">SUMPRODUCT((Y$2:Y$1000="PS")*(F$2:F$1000=GZ11)*ISNUMBER(SEARCH("prioritization",LOWER(Z$2:Z$1000)))*ISNUMBER(SEARCH(LOWER("quantum"),LOWER(AB$2:AB$1000))))</f>
        <v>0</v>
      </c>
      <c r="HJ11" cm="1">
        <f t="array" ref="HJ11">SUMPRODUCT((Y$2:Y$1000="PS")*(F$2:F$1000=GZ11)*ISNUMBER(SEARCH("prioritization",LOWER(Z$2:Z$1000)))*ISNUMBER(SEARCH(LOWER("genetic"),LOWER(AB$2:AB$1000))))</f>
        <v>0</v>
      </c>
      <c r="HK11" cm="1">
        <f t="array" ref="HK11">SUMPRODUCT((Y$2:Y$1000="PS")*(F$2:F$1000=GZ11)*ISNUMBER(SEARCH("prioritization",LOWER(Z$2:Z$1000)))*ISNUMBER(SEARCH(LOWER("graph"),LOWER(AB$2:AB$1000))))</f>
        <v>0</v>
      </c>
      <c r="HL11" cm="1">
        <f t="array" ref="HL11">SUMPRODUCT((Y$2:Y$1000="PS")*(F$2:F$1000=GZ11)*ISNUMBER(SEARCH("prioritization",LOWER(Z$2:Z$1000)))*ISNUMBER(SEARCH(LOWER("greedy"),LOWER(AB$2:AB$1000))))</f>
        <v>0</v>
      </c>
      <c r="HM11" cm="1">
        <f t="array" ref="HM11">SUMPRODUCT((Y$2:Y$1000="PS")*(F$2:F$1000=GZ11)*ISNUMBER(SEARCH("prioritization",LOWER(Z$2:Z$1000)))*ISNUMBER(SEARCH(LOWER("dynamic"),LOWER(AB$2:AB$1000))))</f>
        <v>0</v>
      </c>
    </row>
    <row r="12" spans="1:221" ht="409.6">
      <c r="A12" s="2">
        <v>9796413</v>
      </c>
      <c r="B12" s="2" t="s">
        <v>34</v>
      </c>
      <c r="C12" s="2" t="s">
        <v>173</v>
      </c>
      <c r="D12" s="2" t="s">
        <v>174</v>
      </c>
      <c r="E12" s="2" t="s">
        <v>175</v>
      </c>
      <c r="F12" s="2">
        <v>2022</v>
      </c>
      <c r="G12" s="2"/>
      <c r="H12" s="2"/>
      <c r="I12" s="2" t="s">
        <v>176</v>
      </c>
      <c r="J12" s="2" t="s">
        <v>177</v>
      </c>
      <c r="K12" s="2" t="s">
        <v>178</v>
      </c>
      <c r="L12" s="2" t="s">
        <v>179</v>
      </c>
      <c r="M12" s="2"/>
      <c r="N12" s="2" t="s">
        <v>75</v>
      </c>
      <c r="O12" s="2"/>
      <c r="P12" s="2"/>
      <c r="Q12" s="2"/>
      <c r="R12" s="2"/>
      <c r="S12" s="2"/>
      <c r="T12" s="2"/>
      <c r="U12" s="2"/>
      <c r="V12" s="2"/>
      <c r="W12" s="2"/>
      <c r="X12" s="2" t="s">
        <v>180</v>
      </c>
      <c r="Y12" s="2" t="s">
        <v>58</v>
      </c>
      <c r="Z12" s="2" t="s">
        <v>181</v>
      </c>
      <c r="AA12" s="2" t="s">
        <v>1417</v>
      </c>
      <c r="AB12" s="2" t="s">
        <v>130</v>
      </c>
      <c r="AC12" s="2" t="s">
        <v>131</v>
      </c>
      <c r="AD12" s="2" t="s">
        <v>182</v>
      </c>
      <c r="AE12" s="2" t="s">
        <v>183</v>
      </c>
      <c r="AF12" s="2" t="s">
        <v>184</v>
      </c>
      <c r="AG12" s="2" t="s">
        <v>185</v>
      </c>
      <c r="AH12" s="2">
        <v>0.5</v>
      </c>
      <c r="AK12">
        <f t="shared" si="6"/>
        <v>1</v>
      </c>
      <c r="AL12">
        <f t="shared" si="0"/>
        <v>0</v>
      </c>
      <c r="AM12">
        <f t="shared" si="1"/>
        <v>1</v>
      </c>
      <c r="AN12">
        <f t="shared" si="2"/>
        <v>1</v>
      </c>
      <c r="AP12">
        <v>2022</v>
      </c>
      <c r="AQ12">
        <f t="shared" si="7"/>
        <v>17</v>
      </c>
      <c r="AR12">
        <f t="shared" si="3"/>
        <v>1</v>
      </c>
      <c r="AS12">
        <f t="shared" si="4"/>
        <v>2</v>
      </c>
      <c r="AT12">
        <f t="shared" si="5"/>
        <v>16</v>
      </c>
      <c r="BH12" t="s">
        <v>1384</v>
      </c>
      <c r="BI12" cm="1">
        <f t="array" ref="BI12">SUMPRODUCT(($Y$2:$Y$1000="PS")*(ISNUMBER(FIND(UPPER("selection"),UPPER($Z$2:$Z$1000))))*(ISNUMBER(FIND(UPPER("cluster"),UPPER($AA$2:$AA$1000))))*((ISNUMBER(FIND(UPPER("heuristic"),UPPER($AB$2:$AB$1000))))*(NOT(ISNUMBER(FIND(UPPER("meta"),UPPER($AB$2:$AB$1000)))))))</f>
        <v>0</v>
      </c>
      <c r="BJ12" cm="1">
        <f t="array" ref="BJ12">SUMPRODUCT(($Y$2:$Y$1000="PS")*(ISNUMBER(FIND(UPPER("selection"),UPPER($Z$2:$Z$1000))))*(ISNUMBER(FIND(UPPER("cluster"),UPPER($AA$2:$AA$1000))))*((ISNUMBER(FIND(UPPER("metaheuristic"),UPPER($AB$2:$AB$1000))))+(ISNUMBER(FIND(UPPER("meta-heuristic"),UPPER($AB$2:$AB$1000))))))</f>
        <v>0</v>
      </c>
      <c r="BK12" cm="1">
        <f t="array" ref="BK12">SUMPRODUCT(($Y$2:$Y$1000="PS")*(ISNUMBER(FIND(UPPER("selection"),UPPER($Z$2:$Z$1000))))*(ISNUMBER(FIND(UPPER("cluster"),UPPER($AA$2:$AA$1000))))*(ISNUMBER(FIND(UPPER("graph"),UPPER($AB$2:$AB$1000)))))</f>
        <v>0</v>
      </c>
      <c r="BL12" cm="1">
        <f t="array" ref="BL12">SUMPRODUCT(($Y$2:$Y$1000="PS")*(ISNUMBER(FIND(UPPER("selection"),UPPER($Z$2:$Z$1000))))*(ISNUMBER(FIND(UPPER("cluster"),UPPER($AA$2:$AA$1000))))*(ISNUMBER(FIND(UPPER("dynamic programming"),UPPER($AB$2:$AB$1000)))))</f>
        <v>0</v>
      </c>
      <c r="BM12" cm="1">
        <f t="array" ref="BM12">SUMPRODUCT(($Y$2:$Y$1000="PS")*(ISNUMBER(FIND(UPPER("selection"),UPPER($Z$2:$Z$1000))))*(ISNUMBER(FIND(UPPER("cluster"),UPPER($AA$2:$AA$1000))))*(ISNUMBER(FIND(UPPER("ml-based"),UPPER($AB$2:$AB$1000)))))</f>
        <v>0</v>
      </c>
      <c r="BN12" cm="1">
        <f t="array" ref="BN12">SUMPRODUCT(($Y$2:$Y$1000="PS")*(ISNUMBER(FIND(UPPER("selection"),UPPER($Z$2:$Z$1000))))*(ISNUMBER(FIND(UPPER("cluster"),UPPER($AA$2:$AA$1000))))*(ISNUMBER(FIND(UPPER("greedy"),UPPER($AB$2:$AB$1000)))))</f>
        <v>0</v>
      </c>
      <c r="CG12" t="s">
        <v>1384</v>
      </c>
      <c r="CO12" s="41" t="s">
        <v>1324</v>
      </c>
      <c r="CP12" s="41">
        <v>2</v>
      </c>
      <c r="CZ12" s="34" t="s">
        <v>1323</v>
      </c>
      <c r="DA12" cm="1">
        <f t="array" ref="DA12">SUMPRODUCT((Y$2:Y$1000="PS")*ISNUMBER(SEARCH(LOWER(CZ12),LOWER(AD$2:AD$1000))))</f>
        <v>3</v>
      </c>
      <c r="DB12" cm="1">
        <f t="array" ref="DB12">SUMPRODUCT((Y$2:Y$1000="PS")*ISNUMBER(SEARCH("prioritization",LOWER(Z$2:Z$1000)))*ISNUMBER(SEARCH(LOWER(CZ12),LOWER(AD$2:AD$1000))))</f>
        <v>3</v>
      </c>
      <c r="DC12" cm="1">
        <f t="array" ref="DC12">SUMPRODUCT((Y$2:Y$1000="PS")*ISNUMBER(SEARCH("selection",LOWER(Z$2:Z$1000)))*ISNUMBER(SEARCH(LOWER(CZ12),LOWER(AD$2:AD$1000))))</f>
        <v>0</v>
      </c>
      <c r="DD12" cm="1">
        <f t="array" ref="DD12">SUMPRODUCT((Y$2:Y$1000="PS")*ISNUMBER(SEARCH("minimization",LOWER(Z$2:Z$1000)))*ISNUMBER(SEARCH(LOWER(CZ12),LOWER(AD$2:AD$1000))))</f>
        <v>0</v>
      </c>
      <c r="DH12" s="34" t="s">
        <v>1347</v>
      </c>
      <c r="DI12" s="34" cm="1">
        <f t="array" ref="DI12">SUMPRODUCT((Y$2:Y$1000="PS")*ISNUMBER(SEARCH("desktop",LOWER(AE$2:AE$1000))))</f>
        <v>1</v>
      </c>
      <c r="DS12" t="s">
        <v>1354</v>
      </c>
      <c r="DT12">
        <v>1</v>
      </c>
      <c r="EM12">
        <v>2022</v>
      </c>
      <c r="EN12" cm="1">
        <f t="array" ref="EN12">SUMPRODUCT((Y$2:Y$1000="PS")*(F$2:F$1000=EM12)*ISNUMBER(SEARCH("prioritization",LOWER(Z$2:Z$1000)))*ISNUMBER(SEARCH(LOWER("0"),LOWER(AH$2:AH$1000))))</f>
        <v>12</v>
      </c>
      <c r="EO12" cm="1">
        <f t="array" ref="EO12">SUMPRODUCT((Y$2:Y$1000="PS")*(F$2:F$1000=EM12)*ISNUMBER(SEARCH("prioritization",LOWER(Z$2:Z$1000)))*ISNUMBER(SEARCH(LOWER("0,5"),LOWER(AH$2:AH$1000))))</f>
        <v>6</v>
      </c>
      <c r="EP12" cm="1">
        <f t="array" ref="EP12">SUMPRODUCT((Y$2:Y$1000="PS")*(F$2:F$1000=EM12)*ISNUMBER(SEARCH("prioritization",LOWER(Z$2:Z$1000)))*ISNUMBER(SEARCH(LOWER("1"),LOWER(AH$2:AH$1000))))</f>
        <v>4</v>
      </c>
      <c r="ES12">
        <v>2022</v>
      </c>
      <c r="ET12" cm="1">
        <f t="array" ref="ET12">SUMPRODUCT((Y$2:Y$1000="PS")*(F$2:F$1000=$ES12)*(AH$2:AH$1000=0))</f>
        <v>6</v>
      </c>
      <c r="EU12" cm="1">
        <f t="array" ref="EU12">SUMPRODUCT((Y$2:Y$1000="PS")*(F$2:F$1000=$ES12)*(AH$2:AH$1000=0.5))</f>
        <v>6</v>
      </c>
      <c r="EV12" cm="1">
        <f t="array" ref="EV12">SUMPRODUCT((Y$2:Y$1000="PS")*(F$2:F$1000=$ES12)*(AH$2:AH$1000=1))</f>
        <v>4</v>
      </c>
      <c r="FQ12" t="s">
        <v>1279</v>
      </c>
      <c r="FR12" s="35" cm="1">
        <f t="array" ref="FR12">SUMPRODUCT((Y$2:Y$1000="PS")*ISNUMBER(SEARCH(LOWER(FQ12),LOWER(AA$2:AA$1000)))*ISNUMBER(SEARCH("prioritization",LOWER(Z$2:Z$1000))))</f>
        <v>0</v>
      </c>
      <c r="FV12">
        <v>2022</v>
      </c>
      <c r="FW12" s="35" cm="1">
        <f t="array" ref="FW12">SUMPRODUCT((Y$2:Y$1000="PS")*(F$2:F$1000=FV12)*ISNUMBER(SEARCH("prioritization",LOWER(Z$2:Z$1000)))*ISNUMBER(SEARCH("coverage",LOWER(AA$2:AA$1000))))</f>
        <v>9</v>
      </c>
      <c r="FX12" s="35" cm="1">
        <f t="array" ref="FX12">SUMPRODUCT((Y$2:Y$1000="PS")*(F$2:F$1000=FV12)*ISNUMBER(SEARCH("prioritization",LOWER(Z$2:Z$1000)))*ISNUMBER(SEARCH("requirement",LOWER(AA$2:AA$1000))))</f>
        <v>0</v>
      </c>
      <c r="FY12" s="35" cm="1">
        <f t="array" ref="FY12">SUMPRODUCT((Y$2:Y$1000="PS")*(F$2:F$1000=FV12)*ISNUMBER(SEARCH("prioritization",LOWER(Z$2:Z$1000)))*ISNUMBER(SEARCH("probab",LOWER(AA$2:AA$1000))))</f>
        <v>2</v>
      </c>
      <c r="FZ12" s="35" cm="1">
        <f t="array" ref="FZ12">SUMPRODUCT((Y$2:Y$1000="PS")*(F$2:F$1000=FV12)*ISNUMBER(SEARCH("prioritization",LOWER(Z$2:Z$1000)))*ISNUMBER(SEARCH("distribution",LOWER(AA$2:AA$1000))))</f>
        <v>1</v>
      </c>
      <c r="GA12" s="35" cm="1">
        <f t="array" ref="GA12">SUMPRODUCT((Y$2:Y$1000="PS")*(F$2:F$1000=FV12)*ISNUMBER(SEARCH("prioritization",LOWER(Z$2:Z$1000)))*ISNUMBER(SEARCH("clustering",LOWER(AA$2:AA$1000))))</f>
        <v>0</v>
      </c>
      <c r="GB12" s="35" cm="1">
        <f t="array" ref="GB12">SUMPRODUCT((Y$2:Y$1000="PS")*(F$2:F$1000=FV12)*ISNUMBER(SEARCH("prioritization",LOWER(Z$2:Z$1000)))*ISNUMBER(SEARCH("history",LOWER(AA$2:AA$1000))))</f>
        <v>3</v>
      </c>
      <c r="GC12" s="35" cm="1">
        <f t="array" ref="GC12">SUMPRODUCT((Y$2:Y$1000="PS")*(F$2:F$1000=FV12)*ISNUMBER(SEARCH("prioritization",LOWER(Z$2:Z$1000)))*ISNUMBER(SEARCH("model",LOWER(AA$2:AA$1000))))</f>
        <v>1</v>
      </c>
      <c r="GD12" s="35" cm="1">
        <f t="array" ref="GD12">SUMPRODUCT((Y$2:Y$1000="PS")*(F$2:F$1000=FV12)*ISNUMBER(SEARCH("prioritization",LOWER(Z$2:Z$1000)))*ISNUMBER(SEARCH("cost-aware",LOWER(AA$2:AA$1000))))</f>
        <v>0</v>
      </c>
      <c r="GE12" s="35" cm="1">
        <f t="array" ref="GE12">SUMPRODUCT((Y$2:Y$1000="PS")*(F$2:F$1000=FV12)*ISNUMBER(SEARCH("prioritization",LOWER(Z$2:Z$1000)))*ISNUMBER(SEARCH("similarity",LOWER(AA$2:AA$1000))))</f>
        <v>0</v>
      </c>
      <c r="GF12" s="35" cm="1">
        <f t="array" ref="GF12">SUMPRODUCT((Y$2:Y$1000="PS")*(F$2:F$1000=FV12)*ISNUMBER(SEARCH("prioritization",LOWER(Z$2:Z$1000)))*ISNUMBER(SEARCH("input",LOWER(AA$2:AA$1000))))</f>
        <v>0</v>
      </c>
      <c r="GG12" s="35" cm="1">
        <f t="array" ref="GG12">SUMPRODUCT((Y$2:Y$1000="PS")*(F$2:F$1000=FV12)*ISNUMBER(SEARCH("prioritization",LOWER(Z$2:Z$1000)))*ISNUMBER(SEARCH("structure",LOWER(AA$2:AA$1000))))</f>
        <v>0</v>
      </c>
      <c r="GH12" s="35" cm="1">
        <f t="array" ref="GH12">SUMPRODUCT((Y$2:Y$1000="PS")*(F$2:F$1000=FV12)*ISNUMBER(SEARCH("prioritization",LOWER(Z$2:Z$1000)))*ISNUMBER(SEARCH("change",LOWER(AA$2:AA$1000))))</f>
        <v>0</v>
      </c>
      <c r="GI12" s="35" cm="1">
        <f t="array" ref="GI12">SUMPRODUCT((Y$2:Y$1000="PS")*(F$2:F$1000=FV12)*ISNUMBER(SEARCH("prioritization",LOWER(Z$2:Z$1000)))*ISNUMBER(SEARCH("ml",LOWER(AA$2:AA$1000))))</f>
        <v>0</v>
      </c>
      <c r="GJ12" s="35" cm="1">
        <f t="array" ref="GJ12">SUMPRODUCT((Y$2:Y$1000="PS")*(F$2:F$1000=FV12)*ISNUMBER(SEARCH("prioritization",LOWER(Z$2:Z$1000)))*ISNUMBER(SEARCH("heuristic",LOWER(AA$2:AA$1000))))</f>
        <v>0</v>
      </c>
      <c r="GK12" s="35" cm="1">
        <f t="array" ref="GK12">SUMPRODUCT((Y$2:Y$1000="PS")*(F$2:F$1000=FV12)*ISNUMBER(SEARCH("prioritization",LOWER(Z$2:Z$1000)))*ISNUMBER(SEARCH("search",LOWER(AA$2:AA$1000))))</f>
        <v>0</v>
      </c>
      <c r="GL12" s="35" cm="1">
        <f t="array" ref="GL12">SUMPRODUCT((Y$2:Y$1000="PS")*(F$2:F$1000=FV12)*ISNUMBER(SEARCH("prioritization",LOWER(Z$2:Z$1000)))*ISNUMBER(SEARCH("transfer",LOWER(AA$2:AA$1000))))</f>
        <v>0</v>
      </c>
      <c r="GM12" s="35" cm="1">
        <f t="array" ref="GM12">SUMPRODUCT((Y$2:Y$1000="PS")*(F$2:F$1000=FV12)*ISNUMBER(SEARCH("prioritization",LOWER(Z$2:Z$1000)))*ISNUMBER(SEARCH("riski",LOWER(AA$2:AA$1000))))</f>
        <v>0</v>
      </c>
      <c r="GN12" s="35" cm="1">
        <f t="array" ref="GN12">SUMPRODUCT((Y$2:Y$1000="PS")*(F$2:F$1000=FV12)*ISNUMBER(SEARCH("prioritization",LOWER(Z$2:Z$1000)))*ISNUMBER(SEARCH("nlp",LOWER(AA$2:AA$1000))))</f>
        <v>0</v>
      </c>
      <c r="GO12" s="35" cm="1">
        <f t="array" ref="GO12">SUMPRODUCT((Y$2:Y$1000="PS")*(F$2:F$1000=FV12)*ISNUMBER(SEARCH("prioritization",LOWER(Z$2:Z$1000)))*ISNUMBER(SEARCH("design",LOWER(AA$2:AA$1000))))</f>
        <v>0</v>
      </c>
      <c r="GP12" s="35" cm="1">
        <f t="array" ref="GP12">SUMPRODUCT((Y$2:Y$1000="PS")*(F$2:F$1000=FV12)*ISNUMBER(SEARCH("prioritization",LOWER(Z$2:Z$1000)))*ISNUMBER(SEARCH("other",LOWER(AA$2:AA$1000))))</f>
        <v>1</v>
      </c>
      <c r="GQ12">
        <f t="shared" si="8"/>
        <v>0</v>
      </c>
      <c r="GZ12">
        <v>2022</v>
      </c>
      <c r="HA12" cm="1">
        <f t="array" ref="HA12">SUMPRODUCT((Y$2:Y$1000="PS")*(F$2:F$1000=GZ12)*ISNUMBER(SEARCH("prioritization",LOWER(Z$2:Z$1000)))*ISNUMBER(SEARCH(LOWER("metaheuristic"),LOWER(AB$2:AB$1000))))</f>
        <v>0</v>
      </c>
      <c r="HB12" cm="1">
        <f t="array" ref="HB12">SUMPRODUCT((Y$2:Y$1000="PS")*(F$2:F$1000=GZ12)*ISNUMBER(SEARCH("prioritization",LOWER(Z$2:Z$1000)))*ISNUMBER(SEARCH(LOWER("search"),LOWER(AB$2:AB$1000))))</f>
        <v>0</v>
      </c>
      <c r="HC12" cm="1">
        <f t="array" ref="HC12">SUMPRODUCT((Y$2:Y$1000="PS")*(F$2:F$1000=GZ12)*ISNUMBER(SEARCH("prioritization",LOWER(Z$2:Z$1000)))*ISNUMBER(SEARCH(LOWER("heuristic"),LOWER(AB$2:AB$1000))))</f>
        <v>8</v>
      </c>
      <c r="HD12" cm="1">
        <f t="array" ref="HD12">SUMPRODUCT((Y$2:Y$1000="PS")*(F$2:F$1000=GZ12)*ISNUMBER(SEARCH("prioritization",LOWER(Z$2:Z$1000)))*ISNUMBER(SEARCH(LOWER("ml"),LOWER(AB$2:AB$1000))))</f>
        <v>5</v>
      </c>
      <c r="HE12" cm="1">
        <f t="array" ref="HE12">SUMPRODUCT((Y$2:Y$1000="PS")*(F$2:F$1000=GZ12)*ISNUMBER(SEARCH("prioritization",LOWER(Z$2:Z$1000)))*ISNUMBER(SEARCH(LOWER("rule"),LOWER(AB$2:AB$1000))))</f>
        <v>0</v>
      </c>
      <c r="HF12" cm="1">
        <f t="array" ref="HF12">SUMPRODUCT((Y$2:Y$1000="PS")*(F$2:F$1000=GZ12)*ISNUMBER(SEARCH("prioritization",LOWER(Z$2:Z$1000)))*ISNUMBER(SEARCH(LOWER(HF$2),LOWER(AB$2:AB$1000))))</f>
        <v>0</v>
      </c>
      <c r="HG12" cm="1">
        <f t="array" ref="HG12">SUMPRODUCT((Y$2:Y$1000="PS")*(F$2:F$1000=GZ12)*ISNUMBER(SEARCH("prioritization",LOWER(Z$2:Z$1000)))*ISNUMBER(SEARCH(LOWER("model"),LOWER(AB$2:AB$1000))))</f>
        <v>0</v>
      </c>
      <c r="HH12" cm="1">
        <f t="array" ref="HH12">SUMPRODUCT((Y$2:Y$1000="PS")*(F$2:F$1000=GZ12)*ISNUMBER(SEARCH("prioritization",LOWER(Z$2:Z$1000)))*ISNUMBER(SEARCH(LOWER(HH$2),LOWER(AB$2:AB$1000))))</f>
        <v>0</v>
      </c>
      <c r="HI12" cm="1">
        <f t="array" ref="HI12">SUMPRODUCT((Y$2:Y$1000="PS")*(F$2:F$1000=GZ12)*ISNUMBER(SEARCH("prioritization",LOWER(Z$2:Z$1000)))*ISNUMBER(SEARCH(LOWER("quantum"),LOWER(AB$2:AB$1000))))</f>
        <v>0</v>
      </c>
      <c r="HJ12" cm="1">
        <f t="array" ref="HJ12">SUMPRODUCT((Y$2:Y$1000="PS")*(F$2:F$1000=GZ12)*ISNUMBER(SEARCH("prioritization",LOWER(Z$2:Z$1000)))*ISNUMBER(SEARCH(LOWER("genetic"),LOWER(AB$2:AB$1000))))</f>
        <v>0</v>
      </c>
      <c r="HK12" cm="1">
        <f t="array" ref="HK12">SUMPRODUCT((Y$2:Y$1000="PS")*(F$2:F$1000=GZ12)*ISNUMBER(SEARCH("prioritization",LOWER(Z$2:Z$1000)))*ISNUMBER(SEARCH(LOWER("graph"),LOWER(AB$2:AB$1000))))</f>
        <v>0</v>
      </c>
      <c r="HL12" cm="1">
        <f t="array" ref="HL12">SUMPRODUCT((Y$2:Y$1000="PS")*(F$2:F$1000=GZ12)*ISNUMBER(SEARCH("prioritization",LOWER(Z$2:Z$1000)))*ISNUMBER(SEARCH(LOWER("greedy"),LOWER(AB$2:AB$1000))))</f>
        <v>4</v>
      </c>
      <c r="HM12" cm="1">
        <f t="array" ref="HM12">SUMPRODUCT((Y$2:Y$1000="PS")*(F$2:F$1000=GZ12)*ISNUMBER(SEARCH("prioritization",LOWER(Z$2:Z$1000)))*ISNUMBER(SEARCH(LOWER("dynamic"),LOWER(AB$2:AB$1000))))</f>
        <v>0</v>
      </c>
    </row>
    <row r="13" spans="1:221" ht="409.6">
      <c r="A13" s="2">
        <v>8452804</v>
      </c>
      <c r="B13" s="2" t="s">
        <v>34</v>
      </c>
      <c r="C13" s="2" t="s">
        <v>186</v>
      </c>
      <c r="D13" s="2" t="s">
        <v>187</v>
      </c>
      <c r="E13" s="2" t="s">
        <v>188</v>
      </c>
      <c r="F13" s="2">
        <v>2018</v>
      </c>
      <c r="G13" s="2"/>
      <c r="H13" s="2"/>
      <c r="I13" s="2" t="s">
        <v>189</v>
      </c>
      <c r="J13" s="2" t="s">
        <v>190</v>
      </c>
      <c r="K13" s="2" t="s">
        <v>191</v>
      </c>
      <c r="L13" s="2"/>
      <c r="M13" s="2"/>
      <c r="N13" s="2" t="s">
        <v>75</v>
      </c>
      <c r="O13" s="2"/>
      <c r="P13" s="2"/>
      <c r="Q13" s="2"/>
      <c r="R13" s="2"/>
      <c r="S13" s="2"/>
      <c r="T13" s="2"/>
      <c r="U13" s="2"/>
      <c r="V13" s="2"/>
      <c r="W13" s="2"/>
      <c r="X13" s="2" t="s">
        <v>192</v>
      </c>
      <c r="Y13" s="2" t="s">
        <v>58</v>
      </c>
      <c r="Z13" s="2" t="s">
        <v>193</v>
      </c>
      <c r="AA13" s="2"/>
      <c r="AB13" s="2" t="s">
        <v>1435</v>
      </c>
      <c r="AC13" s="2" t="s">
        <v>194</v>
      </c>
      <c r="AD13" s="2" t="s">
        <v>195</v>
      </c>
      <c r="AE13" s="2" t="s">
        <v>196</v>
      </c>
      <c r="AF13" s="2" t="s">
        <v>184</v>
      </c>
      <c r="AG13" s="2" t="s">
        <v>197</v>
      </c>
      <c r="AH13" s="2">
        <v>0</v>
      </c>
      <c r="AK13">
        <f t="shared" si="6"/>
        <v>1</v>
      </c>
      <c r="AL13">
        <f t="shared" si="0"/>
        <v>0</v>
      </c>
      <c r="AM13">
        <f t="shared" si="1"/>
        <v>1</v>
      </c>
      <c r="AN13">
        <f t="shared" si="2"/>
        <v>0</v>
      </c>
      <c r="AP13">
        <v>2023</v>
      </c>
      <c r="AQ13">
        <f t="shared" si="7"/>
        <v>9</v>
      </c>
      <c r="AR13">
        <f t="shared" si="3"/>
        <v>0</v>
      </c>
      <c r="AS13">
        <f t="shared" si="4"/>
        <v>2</v>
      </c>
      <c r="AT13">
        <f t="shared" si="5"/>
        <v>7</v>
      </c>
      <c r="BH13" t="s">
        <v>1374</v>
      </c>
      <c r="BI13" cm="1">
        <f t="array" ref="BI13">SUMPRODUCT(($Y$2:$Y$1000="PS")*(ISNUMBER(FIND(UPPER("selection"),UPPER($Z$2:$Z$1000))))*(ISNUMBER(FIND(UPPER("design"),UPPER($AA$2:$AA$1000))))*((ISNUMBER(FIND(UPPER("heuristic"),UPPER($AB$2:$AB$1000))))*(NOT(ISNUMBER(FIND(UPPER("meta"),UPPER($AB$2:$AB$1000)))))))</f>
        <v>2</v>
      </c>
      <c r="BJ13" cm="1">
        <f t="array" ref="BJ13">SUMPRODUCT(($Y$2:$Y$1000="PS")*(ISNUMBER(FIND(UPPER("selection"),UPPER($Z$2:$Z$1000))))*(ISNUMBER(FIND(UPPER("design"),UPPER($AA$2:$AA$1000))))*((ISNUMBER(FIND(UPPER("metaheuristic"),UPPER($AB$2:$AB$1000))))+(ISNUMBER(FIND(UPPER("meta-heuristic"),UPPER($AB$2:$AB$1000))))))</f>
        <v>0</v>
      </c>
      <c r="BK13" cm="1">
        <f t="array" ref="BK13">SUMPRODUCT(($Y$2:$Y$1000="PS")*(ISNUMBER(FIND(UPPER("selection"),UPPER($Z$2:$Z$1000))))*(ISNUMBER(FIND(UPPER("design"),UPPER($AA$2:$AA$1000))))*(ISNUMBER(FIND(UPPER("graph"),UPPER($AB$2:$AB$1000)))))</f>
        <v>0</v>
      </c>
      <c r="BL13" cm="1">
        <f t="array" ref="BL13">SUMPRODUCT(($Y$2:$Y$1000="PS")*(ISNUMBER(FIND(UPPER("selection"),UPPER($Z$2:$Z$1000))))*(ISNUMBER(FIND(UPPER("design"),UPPER($AA$2:$AA$1000))))*(ISNUMBER(FIND(UPPER("dynamic programming"),UPPER($AB$2:$AB$1000)))))</f>
        <v>0</v>
      </c>
      <c r="BM13" cm="1">
        <f t="array" ref="BM13">SUMPRODUCT(($Y$2:$Y$1000="PS")*(ISNUMBER(FIND(UPPER("selection"),UPPER($Z$2:$Z$1000))))*(ISNUMBER(FIND(UPPER("design"),UPPER($AA$2:$AA$1000))))*(ISNUMBER(FIND(UPPER("ml-based"),UPPER($AB$2:$AB$1000)))))</f>
        <v>0</v>
      </c>
      <c r="BN13" cm="1">
        <f t="array" ref="BN13">SUMPRODUCT(($Y$2:$Y$1000="PS")*(ISNUMBER(FIND(UPPER("selection"),UPPER($Z$2:$Z$1000))))*(ISNUMBER(FIND(UPPER("design"),UPPER($AA$2:$AA$1000))))*(ISNUMBER(FIND(UPPER("greedy"),UPPER($AB$2:$AB$1000)))))</f>
        <v>0</v>
      </c>
      <c r="CG13" t="s">
        <v>1374</v>
      </c>
      <c r="CO13" s="41" t="s">
        <v>1453</v>
      </c>
      <c r="CP13" s="41">
        <v>2</v>
      </c>
      <c r="CZ13" s="34" t="s">
        <v>1324</v>
      </c>
      <c r="DA13" cm="1">
        <f t="array" ref="DA13">SUMPRODUCT((Y$2:Y$1000="PS")*ISNUMBER(SEARCH(LOWER(CZ13),LOWER(AD$2:AD$1000))))</f>
        <v>3</v>
      </c>
      <c r="DB13" cm="1">
        <f t="array" ref="DB13">SUMPRODUCT((Y$2:Y$1000="PS")*ISNUMBER(SEARCH("prioritization",LOWER(Z$2:Z$1000)))*ISNUMBER(SEARCH(LOWER(CZ13),LOWER(AD$2:AD$1000))))</f>
        <v>2</v>
      </c>
      <c r="DC13" cm="1">
        <f t="array" ref="DC13">SUMPRODUCT((Y$2:Y$1000="PS")*ISNUMBER(SEARCH("selection",LOWER(Z$2:Z$1000)))*ISNUMBER(SEARCH(LOWER(CZ13),LOWER(AD$2:AD$1000))))</f>
        <v>0</v>
      </c>
      <c r="DD13" cm="1">
        <f t="array" ref="DD13">SUMPRODUCT((Y$2:Y$1000="PS")*ISNUMBER(SEARCH("minimization",LOWER(Z$2:Z$1000)))*ISNUMBER(SEARCH(LOWER(CZ13),LOWER(AD$2:AD$1000))))</f>
        <v>1</v>
      </c>
      <c r="DH13" s="34" t="s">
        <v>1348</v>
      </c>
      <c r="DI13" s="34" cm="1">
        <f t="array" ref="DI13">SUMPRODUCT((Y$2:Y$1000="PS")*(ISNUMBER(SEARCH(" ci",LOWER(AE$2:AE$1000)))+ISNUMBER(SEARCH("ci-",LOWER(AE$2:AE$1000)))+ISNUMBER(SEARCH("continuous",LOWER(AE$2:AE$1000))))&gt;0)</f>
        <v>0</v>
      </c>
      <c r="EM13">
        <v>2023</v>
      </c>
      <c r="EN13" cm="1">
        <f t="array" ref="EN13">SUMPRODUCT((Y$2:Y$1000="PS")*(F$2:F$1000=EM13)*ISNUMBER(SEARCH("prioritization",LOWER(Z$2:Z$1000)))*ISNUMBER(SEARCH(LOWER("0"),LOWER(AH$2:AH$1000))))</f>
        <v>4</v>
      </c>
      <c r="EO13" cm="1">
        <f t="array" ref="EO13">SUMPRODUCT((Y$2:Y$1000="PS")*(F$2:F$1000=EM13)*ISNUMBER(SEARCH("prioritization",LOWER(Z$2:Z$1000)))*ISNUMBER(SEARCH(LOWER("0,5"),LOWER(AH$2:AH$1000))))</f>
        <v>2</v>
      </c>
      <c r="EP13" cm="1">
        <f t="array" ref="EP13">SUMPRODUCT((Y$2:Y$1000="PS")*(F$2:F$1000=EM13)*ISNUMBER(SEARCH("prioritization",LOWER(Z$2:Z$1000)))*ISNUMBER(SEARCH(LOWER("1"),LOWER(AH$2:AH$1000))))</f>
        <v>3</v>
      </c>
      <c r="ES13">
        <v>2023</v>
      </c>
      <c r="ET13" cm="1">
        <f t="array" ref="ET13">SUMPRODUCT((Y$2:Y$1000="PS")*(F$2:F$1000=$ES13)*(AH$2:AH$1000=0))</f>
        <v>3</v>
      </c>
      <c r="EU13" cm="1">
        <f t="array" ref="EU13">SUMPRODUCT((Y$2:Y$1000="PS")*(F$2:F$1000=$ES13)*(AH$2:AH$1000=0.5))</f>
        <v>2</v>
      </c>
      <c r="EV13" cm="1">
        <f t="array" ref="EV13">SUMPRODUCT((Y$2:Y$1000="PS")*(F$2:F$1000=$ES13)*(AH$2:AH$1000=1))</f>
        <v>4</v>
      </c>
      <c r="FQ13" t="s">
        <v>1280</v>
      </c>
      <c r="FR13" s="35" cm="1">
        <f t="array" ref="FR13">SUMPRODUCT((Y$2:Y$1000="PS")*ISNUMBER(SEARCH(LOWER(FQ13),LOWER(AA$2:AA$1000)))*ISNUMBER(SEARCH("prioritization",LOWER(Z$2:Z$1000))))</f>
        <v>0</v>
      </c>
      <c r="FV13">
        <v>2023</v>
      </c>
      <c r="FW13" s="35" cm="1">
        <f t="array" ref="FW13">SUMPRODUCT((Y$2:Y$1000="PS")*(F$2:F$1000=FV13)*ISNUMBER(SEARCH("prioritization",LOWER(Z$2:Z$1000)))*ISNUMBER(SEARCH("coverage",LOWER(AA$2:AA$1000))))</f>
        <v>2</v>
      </c>
      <c r="FX13" s="35" cm="1">
        <f t="array" ref="FX13">SUMPRODUCT((Y$2:Y$1000="PS")*(F$2:F$1000=FV13)*ISNUMBER(SEARCH("prioritization",LOWER(Z$2:Z$1000)))*ISNUMBER(SEARCH("requirement",LOWER(AA$2:AA$1000))))</f>
        <v>0</v>
      </c>
      <c r="FY13" s="35" cm="1">
        <f t="array" ref="FY13">SUMPRODUCT((Y$2:Y$1000="PS")*(F$2:F$1000=FV13)*ISNUMBER(SEARCH("prioritization",LOWER(Z$2:Z$1000)))*ISNUMBER(SEARCH("probab",LOWER(AA$2:AA$1000))))</f>
        <v>1</v>
      </c>
      <c r="FZ13" s="35" cm="1">
        <f t="array" ref="FZ13">SUMPRODUCT((Y$2:Y$1000="PS")*(F$2:F$1000=FV13)*ISNUMBER(SEARCH("prioritization",LOWER(Z$2:Z$1000)))*ISNUMBER(SEARCH("distribution",LOWER(AA$2:AA$1000))))</f>
        <v>0</v>
      </c>
      <c r="GA13" s="35" cm="1">
        <f t="array" ref="GA13">SUMPRODUCT((Y$2:Y$1000="PS")*(F$2:F$1000=FV13)*ISNUMBER(SEARCH("prioritization",LOWER(Z$2:Z$1000)))*ISNUMBER(SEARCH("clustering",LOWER(AA$2:AA$1000))))</f>
        <v>0</v>
      </c>
      <c r="GB13" s="35" cm="1">
        <f t="array" ref="GB13">SUMPRODUCT((Y$2:Y$1000="PS")*(F$2:F$1000=FV13)*ISNUMBER(SEARCH("prioritization",LOWER(Z$2:Z$1000)))*ISNUMBER(SEARCH("history",LOWER(AA$2:AA$1000))))</f>
        <v>2</v>
      </c>
      <c r="GC13" s="35" cm="1">
        <f t="array" ref="GC13">SUMPRODUCT((Y$2:Y$1000="PS")*(F$2:F$1000=FV13)*ISNUMBER(SEARCH("prioritization",LOWER(Z$2:Z$1000)))*ISNUMBER(SEARCH("model",LOWER(AA$2:AA$1000))))</f>
        <v>1</v>
      </c>
      <c r="GD13" s="35" cm="1">
        <f t="array" ref="GD13">SUMPRODUCT((Y$2:Y$1000="PS")*(F$2:F$1000=FV13)*ISNUMBER(SEARCH("prioritization",LOWER(Z$2:Z$1000)))*ISNUMBER(SEARCH("cost-aware",LOWER(AA$2:AA$1000))))</f>
        <v>2</v>
      </c>
      <c r="GE13" s="35" cm="1">
        <f t="array" ref="GE13">SUMPRODUCT((Y$2:Y$1000="PS")*(F$2:F$1000=FV13)*ISNUMBER(SEARCH("prioritization",LOWER(Z$2:Z$1000)))*ISNUMBER(SEARCH("similarity",LOWER(AA$2:AA$1000))))</f>
        <v>0</v>
      </c>
      <c r="GF13" s="35" cm="1">
        <f t="array" ref="GF13">SUMPRODUCT((Y$2:Y$1000="PS")*(F$2:F$1000=FV13)*ISNUMBER(SEARCH("prioritization",LOWER(Z$2:Z$1000)))*ISNUMBER(SEARCH("input",LOWER(AA$2:AA$1000))))</f>
        <v>0</v>
      </c>
      <c r="GG13" s="35" cm="1">
        <f t="array" ref="GG13">SUMPRODUCT((Y$2:Y$1000="PS")*(F$2:F$1000=FV13)*ISNUMBER(SEARCH("prioritization",LOWER(Z$2:Z$1000)))*ISNUMBER(SEARCH("structure",LOWER(AA$2:AA$1000))))</f>
        <v>0</v>
      </c>
      <c r="GH13" s="35" cm="1">
        <f t="array" ref="GH13">SUMPRODUCT((Y$2:Y$1000="PS")*(F$2:F$1000=FV13)*ISNUMBER(SEARCH("prioritization",LOWER(Z$2:Z$1000)))*ISNUMBER(SEARCH("change",LOWER(AA$2:AA$1000))))</f>
        <v>0</v>
      </c>
      <c r="GI13" s="35" cm="1">
        <f t="array" ref="GI13">SUMPRODUCT((Y$2:Y$1000="PS")*(F$2:F$1000=FV13)*ISNUMBER(SEARCH("prioritization",LOWER(Z$2:Z$1000)))*ISNUMBER(SEARCH("ml",LOWER(AA$2:AA$1000))))</f>
        <v>0</v>
      </c>
      <c r="GJ13" s="35" cm="1">
        <f t="array" ref="GJ13">SUMPRODUCT((Y$2:Y$1000="PS")*(F$2:F$1000=FV13)*ISNUMBER(SEARCH("prioritization",LOWER(Z$2:Z$1000)))*ISNUMBER(SEARCH("heuristic",LOWER(AA$2:AA$1000))))</f>
        <v>0</v>
      </c>
      <c r="GK13" s="35" cm="1">
        <f t="array" ref="GK13">SUMPRODUCT((Y$2:Y$1000="PS")*(F$2:F$1000=FV13)*ISNUMBER(SEARCH("prioritization",LOWER(Z$2:Z$1000)))*ISNUMBER(SEARCH("search",LOWER(AA$2:AA$1000))))</f>
        <v>1</v>
      </c>
      <c r="GL13" s="35" cm="1">
        <f t="array" ref="GL13">SUMPRODUCT((Y$2:Y$1000="PS")*(F$2:F$1000=FV13)*ISNUMBER(SEARCH("prioritization",LOWER(Z$2:Z$1000)))*ISNUMBER(SEARCH("transfer",LOWER(AA$2:AA$1000))))</f>
        <v>0</v>
      </c>
      <c r="GM13" s="35" cm="1">
        <f t="array" ref="GM13">SUMPRODUCT((Y$2:Y$1000="PS")*(F$2:F$1000=FV13)*ISNUMBER(SEARCH("prioritization",LOWER(Z$2:Z$1000)))*ISNUMBER(SEARCH("riski",LOWER(AA$2:AA$1000))))</f>
        <v>0</v>
      </c>
      <c r="GN13" s="35" cm="1">
        <f t="array" ref="GN13">SUMPRODUCT((Y$2:Y$1000="PS")*(F$2:F$1000=FV13)*ISNUMBER(SEARCH("prioritization",LOWER(Z$2:Z$1000)))*ISNUMBER(SEARCH("nlp",LOWER(AA$2:AA$1000))))</f>
        <v>0</v>
      </c>
      <c r="GO13" s="35" cm="1">
        <f t="array" ref="GO13">SUMPRODUCT((Y$2:Y$1000="PS")*(F$2:F$1000=FV13)*ISNUMBER(SEARCH("prioritization",LOWER(Z$2:Z$1000)))*ISNUMBER(SEARCH("design",LOWER(AA$2:AA$1000))))</f>
        <v>0</v>
      </c>
      <c r="GP13" s="35" cm="1">
        <f t="array" ref="GP13">SUMPRODUCT((Y$2:Y$1000="PS")*(F$2:F$1000=FV13)*ISNUMBER(SEARCH("prioritization",LOWER(Z$2:Z$1000)))*ISNUMBER(SEARCH("other",LOWER(AA$2:AA$1000))))</f>
        <v>0</v>
      </c>
      <c r="GQ13">
        <f t="shared" si="8"/>
        <v>0</v>
      </c>
      <c r="GZ13">
        <v>2023</v>
      </c>
      <c r="HA13" cm="1">
        <f t="array" ref="HA13">SUMPRODUCT((Y$2:Y$1000="PS")*(F$2:F$1000=GZ13)*ISNUMBER(SEARCH("prioritization",LOWER(Z$2:Z$1000)))*ISNUMBER(SEARCH(LOWER("metaheuristic"),LOWER(AB$2:AB$1000))))</f>
        <v>0</v>
      </c>
      <c r="HB13" cm="1">
        <f t="array" ref="HB13">SUMPRODUCT((Y$2:Y$1000="PS")*(F$2:F$1000=GZ13)*ISNUMBER(SEARCH("prioritization",LOWER(Z$2:Z$1000)))*ISNUMBER(SEARCH(LOWER("search"),LOWER(AB$2:AB$1000))))</f>
        <v>0</v>
      </c>
      <c r="HC13" cm="1">
        <f t="array" ref="HC13">SUMPRODUCT((Y$2:Y$1000="PS")*(F$2:F$1000=GZ13)*ISNUMBER(SEARCH("prioritization",LOWER(Z$2:Z$1000)))*ISNUMBER(SEARCH(LOWER("heuristic"),LOWER(AB$2:AB$1000))))</f>
        <v>5</v>
      </c>
      <c r="HD13" cm="1">
        <f t="array" ref="HD13">SUMPRODUCT((Y$2:Y$1000="PS")*(F$2:F$1000=GZ13)*ISNUMBER(SEARCH("prioritization",LOWER(Z$2:Z$1000)))*ISNUMBER(SEARCH(LOWER("ml"),LOWER(AB$2:AB$1000))))</f>
        <v>2</v>
      </c>
      <c r="HE13" cm="1">
        <f t="array" ref="HE13">SUMPRODUCT((Y$2:Y$1000="PS")*(F$2:F$1000=GZ13)*ISNUMBER(SEARCH("prioritization",LOWER(Z$2:Z$1000)))*ISNUMBER(SEARCH(LOWER("rule"),LOWER(AB$2:AB$1000))))</f>
        <v>0</v>
      </c>
      <c r="HF13" cm="1">
        <f t="array" ref="HF13">SUMPRODUCT((Y$2:Y$1000="PS")*(F$2:F$1000=GZ13)*ISNUMBER(SEARCH("prioritization",LOWER(Z$2:Z$1000)))*ISNUMBER(SEARCH(LOWER(HF$2),LOWER(AB$2:AB$1000))))</f>
        <v>0</v>
      </c>
      <c r="HG13" cm="1">
        <f t="array" ref="HG13">SUMPRODUCT((Y$2:Y$1000="PS")*(F$2:F$1000=GZ13)*ISNUMBER(SEARCH("prioritization",LOWER(Z$2:Z$1000)))*ISNUMBER(SEARCH(LOWER("model"),LOWER(AB$2:AB$1000))))</f>
        <v>0</v>
      </c>
      <c r="HH13" cm="1">
        <f t="array" ref="HH13">SUMPRODUCT((Y$2:Y$1000="PS")*(F$2:F$1000=GZ13)*ISNUMBER(SEARCH("prioritization",LOWER(Z$2:Z$1000)))*ISNUMBER(SEARCH(LOWER(HH$2),LOWER(AB$2:AB$1000))))</f>
        <v>0</v>
      </c>
      <c r="HI13" cm="1">
        <f t="array" ref="HI13">SUMPRODUCT((Y$2:Y$1000="PS")*(F$2:F$1000=GZ13)*ISNUMBER(SEARCH("prioritization",LOWER(Z$2:Z$1000)))*ISNUMBER(SEARCH(LOWER("quantum"),LOWER(AB$2:AB$1000))))</f>
        <v>0</v>
      </c>
      <c r="HJ13" cm="1">
        <f t="array" ref="HJ13">SUMPRODUCT((Y$2:Y$1000="PS")*(F$2:F$1000=GZ13)*ISNUMBER(SEARCH("prioritization",LOWER(Z$2:Z$1000)))*ISNUMBER(SEARCH(LOWER("genetic"),LOWER(AB$2:AB$1000))))</f>
        <v>0</v>
      </c>
      <c r="HK13" cm="1">
        <f t="array" ref="HK13">SUMPRODUCT((Y$2:Y$1000="PS")*(F$2:F$1000=GZ13)*ISNUMBER(SEARCH("prioritization",LOWER(Z$2:Z$1000)))*ISNUMBER(SEARCH(LOWER("graph"),LOWER(AB$2:AB$1000))))</f>
        <v>0</v>
      </c>
      <c r="HL13" cm="1">
        <f t="array" ref="HL13">SUMPRODUCT((Y$2:Y$1000="PS")*(F$2:F$1000=GZ13)*ISNUMBER(SEARCH("prioritization",LOWER(Z$2:Z$1000)))*ISNUMBER(SEARCH(LOWER("greedy"),LOWER(AB$2:AB$1000))))</f>
        <v>0</v>
      </c>
      <c r="HM13" cm="1">
        <f t="array" ref="HM13">SUMPRODUCT((Y$2:Y$1000="PS")*(F$2:F$1000=GZ13)*ISNUMBER(SEARCH("prioritization",LOWER(Z$2:Z$1000)))*ISNUMBER(SEARCH(LOWER("dynamic"),LOWER(AB$2:AB$1000))))</f>
        <v>0</v>
      </c>
    </row>
    <row r="14" spans="1:221" ht="409.6">
      <c r="A14" s="2">
        <v>7273420</v>
      </c>
      <c r="B14" s="2" t="s">
        <v>34</v>
      </c>
      <c r="C14" s="2" t="s">
        <v>198</v>
      </c>
      <c r="D14" s="2" t="s">
        <v>148</v>
      </c>
      <c r="E14" s="2" t="s">
        <v>199</v>
      </c>
      <c r="F14" s="2">
        <v>2015</v>
      </c>
      <c r="G14" s="2">
        <v>3</v>
      </c>
      <c r="H14" s="2"/>
      <c r="I14" s="2" t="s">
        <v>200</v>
      </c>
      <c r="J14" s="2" t="s">
        <v>201</v>
      </c>
      <c r="K14" s="2" t="s">
        <v>202</v>
      </c>
      <c r="L14" s="2" t="s">
        <v>203</v>
      </c>
      <c r="M14" s="2" t="s">
        <v>55</v>
      </c>
      <c r="N14" s="2" t="s">
        <v>56</v>
      </c>
      <c r="O14" s="2"/>
      <c r="P14" s="2"/>
      <c r="Q14" s="2"/>
      <c r="R14" s="2"/>
      <c r="S14" s="2"/>
      <c r="T14" s="2"/>
      <c r="U14" s="2"/>
      <c r="V14" s="2"/>
      <c r="W14" s="2"/>
      <c r="X14" s="2" t="s">
        <v>204</v>
      </c>
      <c r="Y14" s="2" t="s">
        <v>58</v>
      </c>
      <c r="Z14" s="2" t="s">
        <v>205</v>
      </c>
      <c r="AA14" s="2" t="s">
        <v>206</v>
      </c>
      <c r="AB14" s="2" t="s">
        <v>207</v>
      </c>
      <c r="AC14" s="2" t="s">
        <v>208</v>
      </c>
      <c r="AD14" s="2" t="s">
        <v>209</v>
      </c>
      <c r="AE14" s="2" t="s">
        <v>210</v>
      </c>
      <c r="AF14" s="2" t="s">
        <v>65</v>
      </c>
      <c r="AG14" s="2" t="s">
        <v>94</v>
      </c>
      <c r="AH14" s="2">
        <v>0</v>
      </c>
      <c r="AK14">
        <f t="shared" si="6"/>
        <v>1</v>
      </c>
      <c r="AL14">
        <f t="shared" si="0"/>
        <v>0</v>
      </c>
      <c r="AM14">
        <f t="shared" si="1"/>
        <v>0</v>
      </c>
      <c r="AN14">
        <f t="shared" si="2"/>
        <v>1</v>
      </c>
      <c r="AP14">
        <v>2024</v>
      </c>
      <c r="AQ14">
        <f t="shared" si="7"/>
        <v>7</v>
      </c>
      <c r="AR14">
        <f t="shared" si="3"/>
        <v>1</v>
      </c>
      <c r="AS14">
        <f t="shared" si="4"/>
        <v>1</v>
      </c>
      <c r="AT14">
        <f t="shared" si="5"/>
        <v>5</v>
      </c>
      <c r="BH14" t="s">
        <v>966</v>
      </c>
      <c r="BI14" cm="1">
        <f t="array" ref="BI14">SUMPRODUCT(($Y$2:$Y$1000="PS")*(ISNUMBER(FIND(UPPER("selection"),UPPER($Z$2:$Z$1000))))*(ISNUMBER(FIND(UPPER("other"),UPPER($AA$2:$AA$1000))))*((ISNUMBER(FIND(UPPER("heuristic"),UPPER($AB$2:$AB$1000))))*(NOT(ISNUMBER(FIND(UPPER("meta"),UPPER($AB$2:$AB$1000)))))))</f>
        <v>1</v>
      </c>
      <c r="BJ14" cm="1">
        <f t="array" ref="BJ14">SUMPRODUCT(($Y$2:$Y$1000="PS")*(ISNUMBER(FIND(UPPER("selection"),UPPER($Z$2:$Z$1000))))*(ISNUMBER(FIND(UPPER("other"),UPPER($AA$2:$AA$1000))))*((ISNUMBER(FIND(UPPER("metaheuristic"),UPPER($AB$2:$AB$1000))))+(ISNUMBER(FIND(UPPER("meta-heuristic"),UPPER($AB$2:$AB$1000))))))</f>
        <v>3</v>
      </c>
      <c r="BK14" cm="1">
        <f t="array" ref="BK14">SUMPRODUCT(($Y$2:$Y$1000="PS")*(ISNUMBER(FIND(UPPER("selection"),UPPER($Z$2:$Z$1000))))*(ISNUMBER(FIND(UPPER("other"),UPPER($AA$2:$AA$1000))))*(ISNUMBER(FIND(UPPER("graph"),UPPER($AB$2:$AB$1000)))))</f>
        <v>0</v>
      </c>
      <c r="BL14" cm="1">
        <f t="array" ref="BL14">SUMPRODUCT(($Y$2:$Y$1000="PS")*(ISNUMBER(FIND(UPPER("selection"),UPPER($Z$2:$Z$1000))))*(ISNUMBER(FIND(UPPER("other"),UPPER($AA$2:$AA$1000))))*(ISNUMBER(FIND(UPPER("dynamic programming"),UPPER($AB$2:$AB$1000)))))</f>
        <v>1</v>
      </c>
      <c r="BM14" cm="1">
        <f t="array" ref="BM14">SUMPRODUCT(($Y$2:$Y$1000="PS")*(ISNUMBER(FIND(UPPER("selection"),UPPER($Z$2:$Z$1000))))*(ISNUMBER(FIND(UPPER("other"),UPPER($AA$2:$AA$1000))))*(ISNUMBER(FIND(UPPER("ml-based"),UPPER($AB$2:$AB$1000)))))</f>
        <v>0</v>
      </c>
      <c r="BN14" cm="1">
        <f t="array" ref="BN14">SUMPRODUCT(($Y$2:$Y$1000="PS")*(ISNUMBER(FIND(UPPER("selection"),UPPER($Z$2:$Z$1000))))*(ISNUMBER(FIND(UPPER("other"),UPPER($AA$2:$AA$1000))))*(ISNUMBER(FIND(UPPER("greedy"),UPPER($AB$2:$AB$1000)))))</f>
        <v>0</v>
      </c>
      <c r="CG14" t="s">
        <v>966</v>
      </c>
      <c r="CO14" s="41" t="s">
        <v>1454</v>
      </c>
      <c r="CP14" s="41">
        <v>2</v>
      </c>
      <c r="CZ14" s="34" t="s">
        <v>1326</v>
      </c>
      <c r="DA14" cm="1">
        <f t="array" ref="DA14">SUMPRODUCT((Y$2:Y$1000="PS")*ISNUMBER(SEARCH(LOWER(CZ14),LOWER(AD$2:AD$1000))))</f>
        <v>3</v>
      </c>
      <c r="DB14" cm="1">
        <f t="array" ref="DB14">SUMPRODUCT((Y$2:Y$1000="PS")*ISNUMBER(SEARCH("prioritization",LOWER(Z$2:Z$1000)))*ISNUMBER(SEARCH(LOWER(CZ14),LOWER(AD$2:AD$1000))))</f>
        <v>2</v>
      </c>
      <c r="DC14" cm="1">
        <f t="array" ref="DC14">SUMPRODUCT((Y$2:Y$1000="PS")*ISNUMBER(SEARCH("selection",LOWER(Z$2:Z$1000)))*ISNUMBER(SEARCH(LOWER(CZ14),LOWER(AD$2:AD$1000))))</f>
        <v>0</v>
      </c>
      <c r="DD14" cm="1">
        <f t="array" ref="DD14">SUMPRODUCT((Y$2:Y$1000="PS")*ISNUMBER(SEARCH("minimization",LOWER(Z$2:Z$1000)))*ISNUMBER(SEARCH(LOWER(CZ14),LOWER(AD$2:AD$1000))))</f>
        <v>0</v>
      </c>
      <c r="DH14" s="34" t="s">
        <v>1349</v>
      </c>
      <c r="DI14" s="34" cm="1">
        <f t="array" ref="DI14">SUMPRODUCT((Y$2:Y$1000="PS")*ISNUMBER(SEARCH("multimedia",LOWER(AE$2:AE$1000))))</f>
        <v>1</v>
      </c>
      <c r="EM14">
        <v>2024</v>
      </c>
      <c r="EN14" cm="1">
        <f t="array" ref="EN14">SUMPRODUCT((Y$2:Y$1000="PS")*(F$2:F$1000=EM14)*ISNUMBER(SEARCH("prioritization",LOWER(Z$2:Z$1000)))*ISNUMBER(SEARCH(LOWER("0"),LOWER(AH$2:AH$1000))))</f>
        <v>3</v>
      </c>
      <c r="EO14" cm="1">
        <f t="array" ref="EO14">SUMPRODUCT((Y$2:Y$1000="PS")*(F$2:F$1000=EM14)*ISNUMBER(SEARCH("prioritization",LOWER(Z$2:Z$1000)))*ISNUMBER(SEARCH(LOWER("0,5"),LOWER(AH$2:AH$1000))))</f>
        <v>2</v>
      </c>
      <c r="EP14" cm="1">
        <f t="array" ref="EP14">SUMPRODUCT((Y$2:Y$1000="PS")*(F$2:F$1000=EM14)*ISNUMBER(SEARCH("prioritization",LOWER(Z$2:Z$1000)))*ISNUMBER(SEARCH(LOWER("1"),LOWER(AH$2:AH$1000))))</f>
        <v>2</v>
      </c>
      <c r="ES14">
        <v>2024</v>
      </c>
      <c r="ET14" cm="1">
        <f t="array" ref="ET14">SUMPRODUCT((Y$2:Y$1000="PS")*(F$2:F$1000=$ES14)*(AH$2:AH$1000=0))</f>
        <v>2</v>
      </c>
      <c r="EU14" cm="1">
        <f t="array" ref="EU14">SUMPRODUCT((Y$2:Y$1000="PS")*(F$2:F$1000=$ES14)*(AH$2:AH$1000=0.5))</f>
        <v>2</v>
      </c>
      <c r="EV14" cm="1">
        <f t="array" ref="EV14">SUMPRODUCT((Y$2:Y$1000="PS")*(F$2:F$1000=$ES14)*(AH$2:AH$1000=1))</f>
        <v>3</v>
      </c>
      <c r="FQ14" t="s">
        <v>1281</v>
      </c>
      <c r="FR14" s="35" cm="1">
        <f t="array" ref="FR14">SUMPRODUCT((Y$2:Y$1000="PS")*ISNUMBER(SEARCH(LOWER(FQ14),LOWER(AA$2:AA$1000)))*ISNUMBER(SEARCH("prioritization",LOWER(Z$2:Z$1000))))</f>
        <v>0</v>
      </c>
      <c r="FV14">
        <v>2024</v>
      </c>
      <c r="FW14" s="35" cm="1">
        <f t="array" ref="FW14">SUMPRODUCT((Y$2:Y$1000="PS")*(F$2:F$1000=FV14)*ISNUMBER(SEARCH("prioritization",LOWER(Z$2:Z$1000)))*ISNUMBER(SEARCH("coverage",LOWER(AA$2:AA$1000))))</f>
        <v>2</v>
      </c>
      <c r="FX14" s="35" cm="1">
        <f t="array" ref="FX14">SUMPRODUCT((Y$2:Y$1000="PS")*(F$2:F$1000=FV14)*ISNUMBER(SEARCH("prioritization",LOWER(Z$2:Z$1000)))*ISNUMBER(SEARCH("requirement",LOWER(AA$2:AA$1000))))</f>
        <v>0</v>
      </c>
      <c r="FY14" s="35" cm="1">
        <f t="array" ref="FY14">SUMPRODUCT((Y$2:Y$1000="PS")*(F$2:F$1000=FV14)*ISNUMBER(SEARCH("prioritization",LOWER(Z$2:Z$1000)))*ISNUMBER(SEARCH("probab",LOWER(AA$2:AA$1000))))</f>
        <v>0</v>
      </c>
      <c r="FZ14" s="35" cm="1">
        <f t="array" ref="FZ14">SUMPRODUCT((Y$2:Y$1000="PS")*(F$2:F$1000=FV14)*ISNUMBER(SEARCH("prioritization",LOWER(Z$2:Z$1000)))*ISNUMBER(SEARCH("distribution",LOWER(AA$2:AA$1000))))</f>
        <v>0</v>
      </c>
      <c r="GA14" s="35" cm="1">
        <f t="array" ref="GA14">SUMPRODUCT((Y$2:Y$1000="PS")*(F$2:F$1000=FV14)*ISNUMBER(SEARCH("prioritization",LOWER(Z$2:Z$1000)))*ISNUMBER(SEARCH("clustering",LOWER(AA$2:AA$1000))))</f>
        <v>1</v>
      </c>
      <c r="GB14" s="35" cm="1">
        <f t="array" ref="GB14">SUMPRODUCT((Y$2:Y$1000="PS")*(F$2:F$1000=FV14)*ISNUMBER(SEARCH("prioritization",LOWER(Z$2:Z$1000)))*ISNUMBER(SEARCH("history",LOWER(AA$2:AA$1000))))</f>
        <v>2</v>
      </c>
      <c r="GC14" s="35" cm="1">
        <f t="array" ref="GC14">SUMPRODUCT((Y$2:Y$1000="PS")*(F$2:F$1000=FV14)*ISNUMBER(SEARCH("prioritization",LOWER(Z$2:Z$1000)))*ISNUMBER(SEARCH("model",LOWER(AA$2:AA$1000))))</f>
        <v>0</v>
      </c>
      <c r="GD14" s="35" cm="1">
        <f t="array" ref="GD14">SUMPRODUCT((Y$2:Y$1000="PS")*(F$2:F$1000=FV14)*ISNUMBER(SEARCH("prioritization",LOWER(Z$2:Z$1000)))*ISNUMBER(SEARCH("cost-aware",LOWER(AA$2:AA$1000))))</f>
        <v>0</v>
      </c>
      <c r="GE14" s="35" cm="1">
        <f t="array" ref="GE14">SUMPRODUCT((Y$2:Y$1000="PS")*(F$2:F$1000=FV14)*ISNUMBER(SEARCH("prioritization",LOWER(Z$2:Z$1000)))*ISNUMBER(SEARCH("similarity",LOWER(AA$2:AA$1000))))</f>
        <v>0</v>
      </c>
      <c r="GF14" s="35" cm="1">
        <f t="array" ref="GF14">SUMPRODUCT((Y$2:Y$1000="PS")*(F$2:F$1000=FV14)*ISNUMBER(SEARCH("prioritization",LOWER(Z$2:Z$1000)))*ISNUMBER(SEARCH("input",LOWER(AA$2:AA$1000))))</f>
        <v>0</v>
      </c>
      <c r="GG14" s="35" cm="1">
        <f t="array" ref="GG14">SUMPRODUCT((Y$2:Y$1000="PS")*(F$2:F$1000=FV14)*ISNUMBER(SEARCH("prioritization",LOWER(Z$2:Z$1000)))*ISNUMBER(SEARCH("structure",LOWER(AA$2:AA$1000))))</f>
        <v>0</v>
      </c>
      <c r="GH14" s="35" cm="1">
        <f t="array" ref="GH14">SUMPRODUCT((Y$2:Y$1000="PS")*(F$2:F$1000=FV14)*ISNUMBER(SEARCH("prioritization",LOWER(Z$2:Z$1000)))*ISNUMBER(SEARCH("change",LOWER(AA$2:AA$1000))))</f>
        <v>0</v>
      </c>
      <c r="GI14" s="35" cm="1">
        <f t="array" ref="GI14">SUMPRODUCT((Y$2:Y$1000="PS")*(F$2:F$1000=FV14)*ISNUMBER(SEARCH("prioritization",LOWER(Z$2:Z$1000)))*ISNUMBER(SEARCH("ml",LOWER(AA$2:AA$1000))))</f>
        <v>0</v>
      </c>
      <c r="GJ14" s="35" cm="1">
        <f t="array" ref="GJ14">SUMPRODUCT((Y$2:Y$1000="PS")*(F$2:F$1000=FV14)*ISNUMBER(SEARCH("prioritization",LOWER(Z$2:Z$1000)))*ISNUMBER(SEARCH("heuristic",LOWER(AA$2:AA$1000))))</f>
        <v>0</v>
      </c>
      <c r="GK14" s="35" cm="1">
        <f t="array" ref="GK14">SUMPRODUCT((Y$2:Y$1000="PS")*(F$2:F$1000=FV14)*ISNUMBER(SEARCH("prioritization",LOWER(Z$2:Z$1000)))*ISNUMBER(SEARCH("search",LOWER(AA$2:AA$1000))))</f>
        <v>0</v>
      </c>
      <c r="GL14" s="35" cm="1">
        <f t="array" ref="GL14">SUMPRODUCT((Y$2:Y$1000="PS")*(F$2:F$1000=FV14)*ISNUMBER(SEARCH("prioritization",LOWER(Z$2:Z$1000)))*ISNUMBER(SEARCH("transfer",LOWER(AA$2:AA$1000))))</f>
        <v>0</v>
      </c>
      <c r="GM14" s="35" cm="1">
        <f t="array" ref="GM14">SUMPRODUCT((Y$2:Y$1000="PS")*(F$2:F$1000=FV14)*ISNUMBER(SEARCH("prioritization",LOWER(Z$2:Z$1000)))*ISNUMBER(SEARCH("riski",LOWER(AA$2:AA$1000))))</f>
        <v>0</v>
      </c>
      <c r="GN14" s="35" cm="1">
        <f t="array" ref="GN14">SUMPRODUCT((Y$2:Y$1000="PS")*(F$2:F$1000=FV14)*ISNUMBER(SEARCH("prioritization",LOWER(Z$2:Z$1000)))*ISNUMBER(SEARCH("nlp",LOWER(AA$2:AA$1000))))</f>
        <v>0</v>
      </c>
      <c r="GO14" s="35" cm="1">
        <f t="array" ref="GO14">SUMPRODUCT((Y$2:Y$1000="PS")*(F$2:F$1000=FV14)*ISNUMBER(SEARCH("prioritization",LOWER(Z$2:Z$1000)))*ISNUMBER(SEARCH("design",LOWER(AA$2:AA$1000))))</f>
        <v>0</v>
      </c>
      <c r="GP14" s="35" cm="1">
        <f t="array" ref="GP14">SUMPRODUCT((Y$2:Y$1000="PS")*(F$2:F$1000=FV14)*ISNUMBER(SEARCH("prioritization",LOWER(Z$2:Z$1000)))*ISNUMBER(SEARCH("other",LOWER(AA$2:AA$1000))))</f>
        <v>0</v>
      </c>
      <c r="GQ14">
        <f t="shared" si="8"/>
        <v>0</v>
      </c>
      <c r="GZ14">
        <v>2024</v>
      </c>
      <c r="HA14" cm="1">
        <f t="array" ref="HA14">SUMPRODUCT((Y$2:Y$1000="PS")*(F$2:F$1000=GZ14)*ISNUMBER(SEARCH("prioritization",LOWER(Z$2:Z$1000)))*ISNUMBER(SEARCH(LOWER("metaheuristic"),LOWER(AB$2:AB$1000))))</f>
        <v>0</v>
      </c>
      <c r="HB14" cm="1">
        <f t="array" ref="HB14">SUMPRODUCT((Y$2:Y$1000="PS")*(F$2:F$1000=GZ14)*ISNUMBER(SEARCH("prioritization",LOWER(Z$2:Z$1000)))*ISNUMBER(SEARCH(LOWER("search"),LOWER(AB$2:AB$1000))))</f>
        <v>0</v>
      </c>
      <c r="HC14" cm="1">
        <f t="array" ref="HC14">SUMPRODUCT((Y$2:Y$1000="PS")*(F$2:F$1000=GZ14)*ISNUMBER(SEARCH("prioritization",LOWER(Z$2:Z$1000)))*ISNUMBER(SEARCH(LOWER("heuristic"),LOWER(AB$2:AB$1000))))</f>
        <v>4</v>
      </c>
      <c r="HD14" cm="1">
        <f t="array" ref="HD14">SUMPRODUCT((Y$2:Y$1000="PS")*(F$2:F$1000=GZ14)*ISNUMBER(SEARCH("prioritization",LOWER(Z$2:Z$1000)))*ISNUMBER(SEARCH(LOWER("ml"),LOWER(AB$2:AB$1000))))</f>
        <v>2</v>
      </c>
      <c r="HE14" cm="1">
        <f t="array" ref="HE14">SUMPRODUCT((Y$2:Y$1000="PS")*(F$2:F$1000=GZ14)*ISNUMBER(SEARCH("prioritization",LOWER(Z$2:Z$1000)))*ISNUMBER(SEARCH(LOWER("rule"),LOWER(AB$2:AB$1000))))</f>
        <v>0</v>
      </c>
      <c r="HF14" cm="1">
        <f t="array" ref="HF14">SUMPRODUCT((Y$2:Y$1000="PS")*(F$2:F$1000=GZ14)*ISNUMBER(SEARCH("prioritization",LOWER(Z$2:Z$1000)))*ISNUMBER(SEARCH(LOWER(HF$2),LOWER(AB$2:AB$1000))))</f>
        <v>0</v>
      </c>
      <c r="HG14" cm="1">
        <f t="array" ref="HG14">SUMPRODUCT((Y$2:Y$1000="PS")*(F$2:F$1000=GZ14)*ISNUMBER(SEARCH("prioritization",LOWER(Z$2:Z$1000)))*ISNUMBER(SEARCH(LOWER("model"),LOWER(AB$2:AB$1000))))</f>
        <v>0</v>
      </c>
      <c r="HH14" cm="1">
        <f t="array" ref="HH14">SUMPRODUCT((Y$2:Y$1000="PS")*(F$2:F$1000=GZ14)*ISNUMBER(SEARCH("prioritization",LOWER(Z$2:Z$1000)))*ISNUMBER(SEARCH(LOWER(HH$2),LOWER(AB$2:AB$1000))))</f>
        <v>0</v>
      </c>
      <c r="HI14" cm="1">
        <f t="array" ref="HI14">SUMPRODUCT((Y$2:Y$1000="PS")*(F$2:F$1000=GZ14)*ISNUMBER(SEARCH("prioritization",LOWER(Z$2:Z$1000)))*ISNUMBER(SEARCH(LOWER("quantum"),LOWER(AB$2:AB$1000))))</f>
        <v>0</v>
      </c>
      <c r="HJ14" cm="1">
        <f t="array" ref="HJ14">SUMPRODUCT((Y$2:Y$1000="PS")*(F$2:F$1000=GZ14)*ISNUMBER(SEARCH("prioritization",LOWER(Z$2:Z$1000)))*ISNUMBER(SEARCH(LOWER("genetic"),LOWER(AB$2:AB$1000))))</f>
        <v>0</v>
      </c>
      <c r="HK14" cm="1">
        <f t="array" ref="HK14">SUMPRODUCT((Y$2:Y$1000="PS")*(F$2:F$1000=GZ14)*ISNUMBER(SEARCH("prioritization",LOWER(Z$2:Z$1000)))*ISNUMBER(SEARCH(LOWER("graph"),LOWER(AB$2:AB$1000))))</f>
        <v>0</v>
      </c>
      <c r="HL14" cm="1">
        <f t="array" ref="HL14">SUMPRODUCT((Y$2:Y$1000="PS")*(F$2:F$1000=GZ14)*ISNUMBER(SEARCH("prioritization",LOWER(Z$2:Z$1000)))*ISNUMBER(SEARCH(LOWER("greedy"),LOWER(AB$2:AB$1000))))</f>
        <v>0</v>
      </c>
      <c r="HM14" cm="1">
        <f t="array" ref="HM14">SUMPRODUCT((Y$2:Y$1000="PS")*(F$2:F$1000=GZ14)*ISNUMBER(SEARCH("prioritization",LOWER(Z$2:Z$1000)))*ISNUMBER(SEARCH(LOWER("dynamic"),LOWER(AB$2:AB$1000))))</f>
        <v>0</v>
      </c>
    </row>
    <row r="15" spans="1:221" ht="409.6">
      <c r="A15" s="2">
        <v>9787970</v>
      </c>
      <c r="B15" s="2" t="s">
        <v>34</v>
      </c>
      <c r="C15" s="2" t="s">
        <v>211</v>
      </c>
      <c r="D15" s="2" t="s">
        <v>212</v>
      </c>
      <c r="E15" s="2" t="s">
        <v>213</v>
      </c>
      <c r="F15" s="2">
        <v>2022</v>
      </c>
      <c r="G15" s="2"/>
      <c r="H15" s="2"/>
      <c r="I15" s="2" t="s">
        <v>214</v>
      </c>
      <c r="J15" s="2" t="s">
        <v>215</v>
      </c>
      <c r="K15" s="2" t="s">
        <v>216</v>
      </c>
      <c r="L15" s="2" t="s">
        <v>217</v>
      </c>
      <c r="M15" s="2" t="s">
        <v>218</v>
      </c>
      <c r="N15" s="2" t="s">
        <v>139</v>
      </c>
      <c r="O15" s="2"/>
      <c r="P15" s="2"/>
      <c r="Q15" s="2"/>
      <c r="R15" s="2"/>
      <c r="S15" s="2"/>
      <c r="T15" s="2"/>
      <c r="U15" s="2"/>
      <c r="V15" s="2"/>
      <c r="W15" s="2"/>
      <c r="X15" s="2" t="s">
        <v>219</v>
      </c>
      <c r="Y15" s="2" t="s">
        <v>58</v>
      </c>
      <c r="Z15" s="2" t="s">
        <v>220</v>
      </c>
      <c r="AA15" s="2" t="s">
        <v>142</v>
      </c>
      <c r="AB15" s="2" t="s">
        <v>207</v>
      </c>
      <c r="AC15" s="2" t="s">
        <v>208</v>
      </c>
      <c r="AD15" s="2" t="s">
        <v>221</v>
      </c>
      <c r="AE15" s="2" t="s">
        <v>222</v>
      </c>
      <c r="AF15" s="2"/>
      <c r="AG15" s="2" t="s">
        <v>223</v>
      </c>
      <c r="AH15" s="2">
        <v>0.5</v>
      </c>
      <c r="AK15">
        <f t="shared" si="6"/>
        <v>1</v>
      </c>
      <c r="AL15">
        <f t="shared" si="0"/>
        <v>0</v>
      </c>
      <c r="AM15">
        <f t="shared" si="1"/>
        <v>0</v>
      </c>
      <c r="AN15">
        <f t="shared" si="2"/>
        <v>1</v>
      </c>
      <c r="AP15">
        <v>2025</v>
      </c>
      <c r="AQ15">
        <f t="shared" si="7"/>
        <v>1</v>
      </c>
      <c r="AR15">
        <f t="shared" si="3"/>
        <v>0</v>
      </c>
      <c r="AS15">
        <f t="shared" si="4"/>
        <v>1</v>
      </c>
      <c r="AT15">
        <f t="shared" si="5"/>
        <v>0</v>
      </c>
      <c r="CO15" s="41" t="s">
        <v>1455</v>
      </c>
      <c r="CP15" s="41">
        <v>1</v>
      </c>
      <c r="CZ15" s="34" t="s">
        <v>1328</v>
      </c>
      <c r="DA15" cm="1">
        <f t="array" ref="DA15">SUMPRODUCT((Y$2:Y$1000="PS")*ISNUMBER(SEARCH(LOWER(CZ15),LOWER(AD$2:AD$1000))))</f>
        <v>3</v>
      </c>
      <c r="DB15" cm="1">
        <f t="array" ref="DB15">SUMPRODUCT((Y$2:Y$1000="PS")*ISNUMBER(SEARCH("prioritization",LOWER(Z$2:Z$1000)))*ISNUMBER(SEARCH(LOWER(CZ15),LOWER(AD$2:AD$1000))))</f>
        <v>2</v>
      </c>
      <c r="DC15" cm="1">
        <f t="array" ref="DC15">SUMPRODUCT((Y$2:Y$1000="PS")*ISNUMBER(SEARCH("selection",LOWER(Z$2:Z$1000)))*ISNUMBER(SEARCH(LOWER(CZ15),LOWER(AD$2:AD$1000))))</f>
        <v>0</v>
      </c>
      <c r="DD15" cm="1">
        <f t="array" ref="DD15">SUMPRODUCT((Y$2:Y$1000="PS")*ISNUMBER(SEARCH("minimization",LOWER(Z$2:Z$1000)))*ISNUMBER(SEARCH(LOWER(CZ15),LOWER(AD$2:AD$1000))))</f>
        <v>0</v>
      </c>
      <c r="DH15" s="34" t="s">
        <v>1350</v>
      </c>
      <c r="DI15" s="34" cm="1">
        <f t="array" ref="DI15">SUMPRODUCT((Y$2:Y$1000="PS")*ISNUMBER(SEARCH("game",LOWER(AE$2:AE$1000))))</f>
        <v>1</v>
      </c>
      <c r="EM15">
        <v>2025</v>
      </c>
      <c r="EN15" cm="1">
        <f t="array" ref="EN15">SUMPRODUCT((Y$2:Y$1000="PS")*(F$2:F$1000=EM15)*ISNUMBER(SEARCH("prioritization",LOWER(Z$2:Z$1000)))*ISNUMBER(SEARCH(LOWER("0"),LOWER(AH$2:AH$1000))))</f>
        <v>0</v>
      </c>
      <c r="EO15" cm="1">
        <f t="array" ref="EO15">SUMPRODUCT((Y$2:Y$1000="PS")*(F$2:F$1000=EM15)*ISNUMBER(SEARCH("prioritization",LOWER(Z$2:Z$1000)))*ISNUMBER(SEARCH(LOWER("0,5"),LOWER(AH$2:AH$1000))))</f>
        <v>0</v>
      </c>
      <c r="EP15" cm="1">
        <f t="array" ref="EP15">SUMPRODUCT((Y$2:Y$1000="PS")*(F$2:F$1000=EM15)*ISNUMBER(SEARCH("prioritization",LOWER(Z$2:Z$1000)))*ISNUMBER(SEARCH(LOWER("1"),LOWER(AH$2:AH$1000))))</f>
        <v>0</v>
      </c>
      <c r="ES15">
        <v>2025</v>
      </c>
      <c r="ET15" cm="1">
        <f t="array" ref="ET15">SUMPRODUCT((Y$2:Y$1000="PS")*(F$2:F$1000=$ES15)*(AH$2:AH$1000=0))</f>
        <v>0</v>
      </c>
      <c r="EU15" cm="1">
        <f t="array" ref="EU15">SUMPRODUCT((Y$2:Y$1000="PS")*(F$2:F$1000=$ES15)*(AH$2:AH$1000=0.5))</f>
        <v>1</v>
      </c>
      <c r="EV15" cm="1">
        <f t="array" ref="EV15">SUMPRODUCT((Y$2:Y$1000="PS")*(F$2:F$1000=$ES15)*(AH$2:AH$1000=1))</f>
        <v>0</v>
      </c>
      <c r="FQ15" t="s">
        <v>1282</v>
      </c>
      <c r="FR15" s="35" cm="1">
        <f t="array" ref="FR15">SUMPRODUCT((Y$2:Y$1000="PS")*ISNUMBER(SEARCH(LOWER(FQ15),LOWER(AA$2:AA$1000)))*ISNUMBER(SEARCH("prioritization",LOWER(Z$2:Z$1000))))</f>
        <v>0</v>
      </c>
      <c r="FV15">
        <v>2025</v>
      </c>
      <c r="FW15" s="35" cm="1">
        <f t="array" ref="FW15">SUMPRODUCT((Y$2:Y$1000="PS")*(F$2:F$1000=FV15)*ISNUMBER(SEARCH("prioritization",LOWER(Z$2:Z$1000)))*ISNUMBER(SEARCH("coverage",LOWER(AA$2:AA$1000))))</f>
        <v>0</v>
      </c>
      <c r="FX15" s="35" cm="1">
        <f t="array" ref="FX15">SUMPRODUCT((Y$2:Y$1000="PS")*(F$2:F$1000=FV15)*ISNUMBER(SEARCH("prioritization",LOWER(Z$2:Z$1000)))*ISNUMBER(SEARCH("requirement",LOWER(AA$2:AA$1000))))</f>
        <v>0</v>
      </c>
      <c r="FY15" s="35" cm="1">
        <f t="array" ref="FY15">SUMPRODUCT((Y$2:Y$1000="PS")*(F$2:F$1000=FV15)*ISNUMBER(SEARCH("prioritization",LOWER(Z$2:Z$1000)))*ISNUMBER(SEARCH("probab",LOWER(AA$2:AA$1000))))</f>
        <v>0</v>
      </c>
      <c r="FZ15" s="35" cm="1">
        <f t="array" ref="FZ15">SUMPRODUCT((Y$2:Y$1000="PS")*(F$2:F$1000=FV15)*ISNUMBER(SEARCH("prioritization",LOWER(Z$2:Z$1000)))*ISNUMBER(SEARCH("distribution",LOWER(AA$2:AA$1000))))</f>
        <v>0</v>
      </c>
      <c r="GA15" s="35" cm="1">
        <f t="array" ref="GA15">SUMPRODUCT((Y$2:Y$1000="PS")*(F$2:F$1000=FV15)*ISNUMBER(SEARCH("prioritization",LOWER(Z$2:Z$1000)))*ISNUMBER(SEARCH("clustering",LOWER(AA$2:AA$1000))))</f>
        <v>0</v>
      </c>
      <c r="GB15" s="35" cm="1">
        <f t="array" ref="GB15">SUMPRODUCT((Y$2:Y$1000="PS")*(F$2:F$1000=FV15)*ISNUMBER(SEARCH("prioritization",LOWER(Z$2:Z$1000)))*ISNUMBER(SEARCH("history",LOWER(AA$2:AA$1000))))</f>
        <v>0</v>
      </c>
      <c r="GC15" s="35" cm="1">
        <f t="array" ref="GC15">SUMPRODUCT((Y$2:Y$1000="PS")*(F$2:F$1000=FV15)*ISNUMBER(SEARCH("prioritization",LOWER(Z$2:Z$1000)))*ISNUMBER(SEARCH("model",LOWER(AA$2:AA$1000))))</f>
        <v>0</v>
      </c>
      <c r="GD15" s="35" cm="1">
        <f t="array" ref="GD15">SUMPRODUCT((Y$2:Y$1000="PS")*(F$2:F$1000=FV15)*ISNUMBER(SEARCH("prioritization",LOWER(Z$2:Z$1000)))*ISNUMBER(SEARCH("cost-aware",LOWER(AA$2:AA$1000))))</f>
        <v>0</v>
      </c>
      <c r="GE15" s="35" cm="1">
        <f t="array" ref="GE15">SUMPRODUCT((Y$2:Y$1000="PS")*(F$2:F$1000=FV15)*ISNUMBER(SEARCH("prioritization",LOWER(Z$2:Z$1000)))*ISNUMBER(SEARCH("similarity",LOWER(AA$2:AA$1000))))</f>
        <v>0</v>
      </c>
      <c r="GF15" s="35" cm="1">
        <f t="array" ref="GF15">SUMPRODUCT((Y$2:Y$1000="PS")*(F$2:F$1000=FV15)*ISNUMBER(SEARCH("prioritization",LOWER(Z$2:Z$1000)))*ISNUMBER(SEARCH("input",LOWER(AA$2:AA$1000))))</f>
        <v>0</v>
      </c>
      <c r="GG15" s="35" cm="1">
        <f t="array" ref="GG15">SUMPRODUCT((Y$2:Y$1000="PS")*(F$2:F$1000=FV15)*ISNUMBER(SEARCH("prioritization",LOWER(Z$2:Z$1000)))*ISNUMBER(SEARCH("structure",LOWER(AA$2:AA$1000))))</f>
        <v>0</v>
      </c>
      <c r="GH15" s="35" cm="1">
        <f t="array" ref="GH15">SUMPRODUCT((Y$2:Y$1000="PS")*(F$2:F$1000=FV15)*ISNUMBER(SEARCH("prioritization",LOWER(Z$2:Z$1000)))*ISNUMBER(SEARCH("change",LOWER(AA$2:AA$1000))))</f>
        <v>0</v>
      </c>
      <c r="GI15" s="35" cm="1">
        <f t="array" ref="GI15">SUMPRODUCT((Y$2:Y$1000="PS")*(F$2:F$1000=FV15)*ISNUMBER(SEARCH("prioritization",LOWER(Z$2:Z$1000)))*ISNUMBER(SEARCH("ml",LOWER(AA$2:AA$1000))))</f>
        <v>0</v>
      </c>
      <c r="GJ15" s="35" cm="1">
        <f t="array" ref="GJ15">SUMPRODUCT((Y$2:Y$1000="PS")*(F$2:F$1000=FV15)*ISNUMBER(SEARCH("prioritization",LOWER(Z$2:Z$1000)))*ISNUMBER(SEARCH("heuristic",LOWER(AA$2:AA$1000))))</f>
        <v>0</v>
      </c>
      <c r="GK15" s="35" cm="1">
        <f t="array" ref="GK15">SUMPRODUCT((Y$2:Y$1000="PS")*(F$2:F$1000=FV15)*ISNUMBER(SEARCH("prioritization",LOWER(Z$2:Z$1000)))*ISNUMBER(SEARCH("search",LOWER(AA$2:AA$1000))))</f>
        <v>0</v>
      </c>
      <c r="GL15" s="35" cm="1">
        <f t="array" ref="GL15">SUMPRODUCT((Y$2:Y$1000="PS")*(F$2:F$1000=FV15)*ISNUMBER(SEARCH("prioritization",LOWER(Z$2:Z$1000)))*ISNUMBER(SEARCH("transfer",LOWER(AA$2:AA$1000))))</f>
        <v>0</v>
      </c>
      <c r="GM15" s="35" cm="1">
        <f t="array" ref="GM15">SUMPRODUCT((Y$2:Y$1000="PS")*(F$2:F$1000=FV15)*ISNUMBER(SEARCH("prioritization",LOWER(Z$2:Z$1000)))*ISNUMBER(SEARCH("riski",LOWER(AA$2:AA$1000))))</f>
        <v>0</v>
      </c>
      <c r="GN15" s="35" cm="1">
        <f t="array" ref="GN15">SUMPRODUCT((Y$2:Y$1000="PS")*(F$2:F$1000=FV15)*ISNUMBER(SEARCH("prioritization",LOWER(Z$2:Z$1000)))*ISNUMBER(SEARCH("nlp",LOWER(AA$2:AA$1000))))</f>
        <v>0</v>
      </c>
      <c r="GO15" s="35" cm="1">
        <f t="array" ref="GO15">SUMPRODUCT((Y$2:Y$1000="PS")*(F$2:F$1000=FV15)*ISNUMBER(SEARCH("prioritization",LOWER(Z$2:Z$1000)))*ISNUMBER(SEARCH("design",LOWER(AA$2:AA$1000))))</f>
        <v>0</v>
      </c>
      <c r="GP15" s="35" cm="1">
        <f t="array" ref="GP15">SUMPRODUCT((Y$2:Y$1000="PS")*(F$2:F$1000=FV15)*ISNUMBER(SEARCH("prioritization",LOWER(Z$2:Z$1000)))*ISNUMBER(SEARCH("other",LOWER(AA$2:AA$1000))))</f>
        <v>0</v>
      </c>
      <c r="GQ15">
        <f t="shared" si="8"/>
        <v>0</v>
      </c>
      <c r="GZ15">
        <v>2025</v>
      </c>
      <c r="HA15" cm="1">
        <f t="array" ref="HA15">SUMPRODUCT((Y$2:Y$1000="PS")*(F$2:F$1000=GZ15)*ISNUMBER(SEARCH("prioritization",LOWER(Z$2:Z$1000)))*ISNUMBER(SEARCH(LOWER("metaheuristic"),LOWER(AB$2:AB$1000))))</f>
        <v>0</v>
      </c>
      <c r="HB15" cm="1">
        <f t="array" ref="HB15">SUMPRODUCT((Y$2:Y$1000="PS")*(F$2:F$1000=GZ15)*ISNUMBER(SEARCH("prioritization",LOWER(Z$2:Z$1000)))*ISNUMBER(SEARCH(LOWER("search"),LOWER(AB$2:AB$1000))))</f>
        <v>0</v>
      </c>
      <c r="HC15" cm="1">
        <f t="array" ref="HC15">SUMPRODUCT((Y$2:Y$1000="PS")*(F$2:F$1000=GZ15)*ISNUMBER(SEARCH("prioritization",LOWER(Z$2:Z$1000)))*ISNUMBER(SEARCH(LOWER("heuristic"),LOWER(AB$2:AB$1000))))</f>
        <v>0</v>
      </c>
      <c r="HD15" cm="1">
        <f t="array" ref="HD15">SUMPRODUCT((Y$2:Y$1000="PS")*(F$2:F$1000=GZ15)*ISNUMBER(SEARCH("prioritization",LOWER(Z$2:Z$1000)))*ISNUMBER(SEARCH(LOWER("ml"),LOWER(AB$2:AB$1000))))</f>
        <v>0</v>
      </c>
      <c r="HE15" cm="1">
        <f t="array" ref="HE15">SUMPRODUCT((Y$2:Y$1000="PS")*(F$2:F$1000=GZ15)*ISNUMBER(SEARCH("prioritization",LOWER(Z$2:Z$1000)))*ISNUMBER(SEARCH(LOWER("rule"),LOWER(AB$2:AB$1000))))</f>
        <v>0</v>
      </c>
      <c r="HF15" cm="1">
        <f t="array" ref="HF15">SUMPRODUCT((Y$2:Y$1000="PS")*(F$2:F$1000=GZ15)*ISNUMBER(SEARCH("prioritization",LOWER(Z$2:Z$1000)))*ISNUMBER(SEARCH(LOWER(HF$2),LOWER(AB$2:AB$1000))))</f>
        <v>0</v>
      </c>
      <c r="HG15" cm="1">
        <f t="array" ref="HG15">SUMPRODUCT((Y$2:Y$1000="PS")*(F$2:F$1000=GZ15)*ISNUMBER(SEARCH("prioritization",LOWER(Z$2:Z$1000)))*ISNUMBER(SEARCH(LOWER("model"),LOWER(AB$2:AB$1000))))</f>
        <v>0</v>
      </c>
      <c r="HH15" cm="1">
        <f t="array" ref="HH15">SUMPRODUCT((Y$2:Y$1000="PS")*(F$2:F$1000=GZ15)*ISNUMBER(SEARCH("prioritization",LOWER(Z$2:Z$1000)))*ISNUMBER(SEARCH(LOWER(HH$2),LOWER(AB$2:AB$1000))))</f>
        <v>0</v>
      </c>
      <c r="HI15" cm="1">
        <f t="array" ref="HI15">SUMPRODUCT((Y$2:Y$1000="PS")*(F$2:F$1000=GZ15)*ISNUMBER(SEARCH("prioritization",LOWER(Z$2:Z$1000)))*ISNUMBER(SEARCH(LOWER("quantum"),LOWER(AB$2:AB$1000))))</f>
        <v>0</v>
      </c>
      <c r="HJ15" cm="1">
        <f t="array" ref="HJ15">SUMPRODUCT((Y$2:Y$1000="PS")*(F$2:F$1000=GZ15)*ISNUMBER(SEARCH("prioritization",LOWER(Z$2:Z$1000)))*ISNUMBER(SEARCH(LOWER("genetic"),LOWER(AB$2:AB$1000))))</f>
        <v>0</v>
      </c>
      <c r="HK15" cm="1">
        <f t="array" ref="HK15">SUMPRODUCT((Y$2:Y$1000="PS")*(F$2:F$1000=GZ15)*ISNUMBER(SEARCH("prioritization",LOWER(Z$2:Z$1000)))*ISNUMBER(SEARCH(LOWER("graph"),LOWER(AB$2:AB$1000))))</f>
        <v>0</v>
      </c>
      <c r="HL15" cm="1">
        <f t="array" ref="HL15">SUMPRODUCT((Y$2:Y$1000="PS")*(F$2:F$1000=GZ15)*ISNUMBER(SEARCH("prioritization",LOWER(Z$2:Z$1000)))*ISNUMBER(SEARCH(LOWER("greedy"),LOWER(AB$2:AB$1000))))</f>
        <v>0</v>
      </c>
      <c r="HM15" cm="1">
        <f t="array" ref="HM15">SUMPRODUCT((Y$2:Y$1000="PS")*(F$2:F$1000=GZ15)*ISNUMBER(SEARCH("prioritization",LOWER(Z$2:Z$1000)))*ISNUMBER(SEARCH(LOWER("dynamic"),LOWER(AB$2:AB$1000))))</f>
        <v>0</v>
      </c>
    </row>
    <row r="16" spans="1:221" ht="409.6">
      <c r="A16" s="2">
        <v>8855691</v>
      </c>
      <c r="B16" s="2" t="s">
        <v>34</v>
      </c>
      <c r="C16" s="2" t="s">
        <v>224</v>
      </c>
      <c r="D16" s="2" t="s">
        <v>225</v>
      </c>
      <c r="E16" s="2" t="s">
        <v>226</v>
      </c>
      <c r="F16" s="2">
        <v>2019</v>
      </c>
      <c r="G16" s="2"/>
      <c r="H16" s="2"/>
      <c r="I16" s="2" t="s">
        <v>227</v>
      </c>
      <c r="J16" s="2" t="s">
        <v>228</v>
      </c>
      <c r="K16" s="2" t="s">
        <v>229</v>
      </c>
      <c r="L16" s="2" t="s">
        <v>230</v>
      </c>
      <c r="M16" s="2"/>
      <c r="N16" s="2" t="s">
        <v>231</v>
      </c>
      <c r="O16" s="2"/>
      <c r="P16" s="2"/>
      <c r="Q16" s="2"/>
      <c r="R16" s="2"/>
      <c r="S16" s="2"/>
      <c r="T16" s="2"/>
      <c r="U16" s="2"/>
      <c r="V16" s="2"/>
      <c r="W16" s="2"/>
      <c r="X16" s="2" t="s">
        <v>232</v>
      </c>
      <c r="Y16" s="2" t="s">
        <v>58</v>
      </c>
      <c r="Z16" s="2" t="s">
        <v>233</v>
      </c>
      <c r="AA16" s="2" t="s">
        <v>90</v>
      </c>
      <c r="AB16" s="2" t="s">
        <v>1435</v>
      </c>
      <c r="AC16" s="2" t="s">
        <v>105</v>
      </c>
      <c r="AD16" s="2" t="s">
        <v>234</v>
      </c>
      <c r="AE16" s="2" t="s">
        <v>235</v>
      </c>
      <c r="AF16" s="2"/>
      <c r="AG16" s="2" t="s">
        <v>236</v>
      </c>
      <c r="AH16" s="2">
        <v>0.5</v>
      </c>
      <c r="AK16">
        <f t="shared" si="6"/>
        <v>1</v>
      </c>
      <c r="AL16">
        <f t="shared" si="0"/>
        <v>0</v>
      </c>
      <c r="AM16">
        <f t="shared" si="1"/>
        <v>0</v>
      </c>
      <c r="AN16">
        <f t="shared" si="2"/>
        <v>1</v>
      </c>
      <c r="AP16" t="s">
        <v>1263</v>
      </c>
      <c r="AQ16">
        <v>3</v>
      </c>
      <c r="AR16">
        <v>25</v>
      </c>
      <c r="AS16">
        <v>91</v>
      </c>
      <c r="AT16" s="33">
        <v>119</v>
      </c>
      <c r="CO16" s="41" t="s">
        <v>1456</v>
      </c>
      <c r="CP16" s="41">
        <v>1</v>
      </c>
      <c r="CZ16" s="34" t="s">
        <v>1333</v>
      </c>
      <c r="DA16" cm="1">
        <f t="array" ref="DA16">SUMPRODUCT((Y$2:Y$1000="PS")*ISNUMBER(SEARCH(LOWER(CZ16),LOWER(AD$2:AD$1000))))</f>
        <v>3</v>
      </c>
      <c r="DB16" cm="1">
        <f t="array" ref="DB16">SUMPRODUCT((Y$2:Y$1000="PS")*ISNUMBER(SEARCH("prioritization",LOWER(Z$2:Z$1000)))*ISNUMBER(SEARCH(LOWER(CZ16),LOWER(AD$2:AD$1000))))</f>
        <v>2</v>
      </c>
      <c r="DC16" cm="1">
        <f t="array" ref="DC16">SUMPRODUCT((Y$2:Y$1000="PS")*ISNUMBER(SEARCH("selection",LOWER(Z$2:Z$1000)))*ISNUMBER(SEARCH(LOWER(CZ16),LOWER(AD$2:AD$1000))))</f>
        <v>1</v>
      </c>
      <c r="DD16" cm="1">
        <f t="array" ref="DD16">SUMPRODUCT((Y$2:Y$1000="PS")*ISNUMBER(SEARCH("minimization",LOWER(Z$2:Z$1000)))*ISNUMBER(SEARCH(LOWER(CZ16),LOWER(AD$2:AD$1000))))</f>
        <v>0</v>
      </c>
      <c r="EM16" t="s">
        <v>1404</v>
      </c>
      <c r="EN16">
        <f>SUM(EN3:EN15)</f>
        <v>73</v>
      </c>
      <c r="EO16">
        <f>SUM(EO3:EO15)</f>
        <v>31</v>
      </c>
      <c r="EP16">
        <f>SUM(EP3:EP15)</f>
        <v>17</v>
      </c>
      <c r="EQ16">
        <f>SUM(EN16:EP16)</f>
        <v>121</v>
      </c>
      <c r="ES16" t="s">
        <v>1405</v>
      </c>
      <c r="ET16">
        <f>SUM(ET3:ET15)</f>
        <v>53</v>
      </c>
      <c r="EU16">
        <f>SUM(EU3:EU15)</f>
        <v>34</v>
      </c>
      <c r="EV16">
        <f>SUM(EV3:EV15)</f>
        <v>22</v>
      </c>
      <c r="EW16">
        <f>SUM(ET16:EV16)</f>
        <v>109</v>
      </c>
      <c r="FQ16" t="s">
        <v>1283</v>
      </c>
      <c r="FR16" s="35" cm="1">
        <f t="array" ref="FR16">SUMPRODUCT((Y$2:Y$1000="PS")*ISNUMBER(SEARCH(LOWER(FQ16),LOWER(AA$2:AA$1000)))*ISNUMBER(SEARCH("prioritization",LOWER(Z$2:Z$1000))))</f>
        <v>0</v>
      </c>
    </row>
    <row r="17" spans="1:221" ht="409.6">
      <c r="A17" s="2">
        <v>8029584</v>
      </c>
      <c r="B17" s="2" t="s">
        <v>34</v>
      </c>
      <c r="C17" s="2" t="s">
        <v>237</v>
      </c>
      <c r="D17" s="2" t="s">
        <v>238</v>
      </c>
      <c r="E17" s="2" t="s">
        <v>239</v>
      </c>
      <c r="F17" s="2">
        <v>2017</v>
      </c>
      <c r="G17" s="2">
        <v>1</v>
      </c>
      <c r="H17" s="2"/>
      <c r="I17" s="2" t="s">
        <v>240</v>
      </c>
      <c r="J17" s="2" t="s">
        <v>241</v>
      </c>
      <c r="K17" s="2" t="s">
        <v>242</v>
      </c>
      <c r="L17" s="2" t="s">
        <v>243</v>
      </c>
      <c r="M17" s="2" t="s">
        <v>55</v>
      </c>
      <c r="N17" s="2" t="s">
        <v>56</v>
      </c>
      <c r="O17" s="2"/>
      <c r="P17" s="2"/>
      <c r="Q17" s="2"/>
      <c r="R17" s="2"/>
      <c r="S17" s="2"/>
      <c r="T17" s="2"/>
      <c r="U17" s="2"/>
      <c r="V17" s="2"/>
      <c r="W17" s="2"/>
      <c r="X17" s="2" t="s">
        <v>244</v>
      </c>
      <c r="Y17" s="2" t="s">
        <v>58</v>
      </c>
      <c r="Z17" s="2" t="s">
        <v>169</v>
      </c>
      <c r="AA17" s="2" t="s">
        <v>1407</v>
      </c>
      <c r="AB17" s="2" t="s">
        <v>91</v>
      </c>
      <c r="AC17" s="2"/>
      <c r="AD17" s="2" t="s">
        <v>245</v>
      </c>
      <c r="AE17" s="2" t="s">
        <v>246</v>
      </c>
      <c r="AF17" s="2" t="s">
        <v>247</v>
      </c>
      <c r="AG17" s="2" t="s">
        <v>248</v>
      </c>
      <c r="AH17" s="2">
        <v>1</v>
      </c>
      <c r="AK17">
        <f t="shared" si="6"/>
        <v>1</v>
      </c>
      <c r="AL17">
        <f t="shared" si="0"/>
        <v>0</v>
      </c>
      <c r="AM17">
        <f t="shared" si="1"/>
        <v>0</v>
      </c>
      <c r="AN17">
        <f t="shared" si="2"/>
        <v>1</v>
      </c>
      <c r="CO17" s="41" t="s">
        <v>1457</v>
      </c>
      <c r="CP17" s="41">
        <v>1</v>
      </c>
      <c r="CZ17" s="34" t="s">
        <v>1321</v>
      </c>
      <c r="DA17" cm="1">
        <f t="array" ref="DA17">SUMPRODUCT((Y$2:Y$1000="PS")*ISNUMBER(SEARCH(LOWER(CZ17),LOWER(AD$2:AD$1000))))</f>
        <v>2</v>
      </c>
      <c r="DB17" cm="1">
        <f t="array" ref="DB17">SUMPRODUCT((Y$2:Y$1000="PS")*ISNUMBER(SEARCH("prioritization",LOWER(Z$2:Z$1000)))*ISNUMBER(SEARCH(LOWER(CZ17),LOWER(AD$2:AD$1000))))</f>
        <v>1</v>
      </c>
      <c r="DC17" cm="1">
        <f t="array" ref="DC17">SUMPRODUCT((Y$2:Y$1000="PS")*ISNUMBER(SEARCH("selection",LOWER(Z$2:Z$1000)))*ISNUMBER(SEARCH(LOWER(CZ17),LOWER(AD$2:AD$1000))))</f>
        <v>1</v>
      </c>
      <c r="DD17" cm="1">
        <f t="array" ref="DD17">SUMPRODUCT((Y$2:Y$1000="PS")*ISNUMBER(SEARCH("minimization",LOWER(Z$2:Z$1000)))*ISNUMBER(SEARCH(LOWER(CZ17),LOWER(AD$2:AD$1000))))</f>
        <v>0</v>
      </c>
      <c r="FQ17" t="s">
        <v>1284</v>
      </c>
      <c r="FR17" s="35" cm="1">
        <f t="array" ref="FR17">SUMPRODUCT((Y$2:Y$1000="PS")*ISNUMBER(SEARCH(LOWER(FQ17),LOWER(AA$2:AA$1000)))*ISNUMBER(SEARCH("prioritization",LOWER(Z$2:Z$1000))))</f>
        <v>2</v>
      </c>
    </row>
    <row r="18" spans="1:221" ht="409.6">
      <c r="A18" s="2">
        <v>7838169</v>
      </c>
      <c r="B18" s="2" t="s">
        <v>34</v>
      </c>
      <c r="C18" s="2" t="s">
        <v>249</v>
      </c>
      <c r="D18" s="2" t="s">
        <v>250</v>
      </c>
      <c r="E18" s="2" t="s">
        <v>251</v>
      </c>
      <c r="F18" s="2">
        <v>2016</v>
      </c>
      <c r="G18" s="2"/>
      <c r="H18" s="2"/>
      <c r="I18" s="2" t="s">
        <v>252</v>
      </c>
      <c r="J18" s="2" t="s">
        <v>253</v>
      </c>
      <c r="K18" s="2" t="s">
        <v>254</v>
      </c>
      <c r="L18" s="2" t="s">
        <v>255</v>
      </c>
      <c r="M18" s="2"/>
      <c r="N18" s="2" t="s">
        <v>167</v>
      </c>
      <c r="O18" s="2"/>
      <c r="P18" s="2"/>
      <c r="Q18" s="2"/>
      <c r="R18" s="2"/>
      <c r="S18" s="2"/>
      <c r="T18" s="2"/>
      <c r="U18" s="2"/>
      <c r="V18" s="2"/>
      <c r="W18" s="2"/>
      <c r="X18" s="2" t="s">
        <v>256</v>
      </c>
      <c r="Y18" s="2" t="s">
        <v>58</v>
      </c>
      <c r="Z18" s="2" t="s">
        <v>257</v>
      </c>
      <c r="AA18" s="2" t="s">
        <v>1408</v>
      </c>
      <c r="AB18" s="2" t="s">
        <v>207</v>
      </c>
      <c r="AC18" s="2" t="s">
        <v>258</v>
      </c>
      <c r="AD18" s="2" t="s">
        <v>259</v>
      </c>
      <c r="AE18" s="2" t="s">
        <v>260</v>
      </c>
      <c r="AF18" s="2" t="s">
        <v>65</v>
      </c>
      <c r="AG18" s="2" t="s">
        <v>66</v>
      </c>
      <c r="AH18" s="2">
        <v>0.5</v>
      </c>
      <c r="AK18">
        <f t="shared" si="6"/>
        <v>1</v>
      </c>
      <c r="AL18">
        <f t="shared" si="0"/>
        <v>0</v>
      </c>
      <c r="AM18">
        <f t="shared" si="1"/>
        <v>0</v>
      </c>
      <c r="AN18">
        <f t="shared" si="2"/>
        <v>1</v>
      </c>
      <c r="CO18" s="41" t="s">
        <v>1458</v>
      </c>
      <c r="CP18" s="41">
        <v>1</v>
      </c>
      <c r="CZ18" s="34" t="s">
        <v>1325</v>
      </c>
      <c r="DA18" cm="1">
        <f t="array" ref="DA18">SUMPRODUCT((Y$2:Y$1000="PS")*ISNUMBER(SEARCH(LOWER(CZ18),LOWER(AD$2:AD$1000))))</f>
        <v>2</v>
      </c>
      <c r="DB18" cm="1">
        <f t="array" ref="DB18">SUMPRODUCT((Y$2:Y$1000="PS")*ISNUMBER(SEARCH("prioritization",LOWER(Z$2:Z$1000)))*ISNUMBER(SEARCH(LOWER(CZ18),LOWER(AD$2:AD$1000))))</f>
        <v>2</v>
      </c>
      <c r="DC18" cm="1">
        <f t="array" ref="DC18">SUMPRODUCT((Y$2:Y$1000="PS")*ISNUMBER(SEARCH("selection",LOWER(Z$2:Z$1000)))*ISNUMBER(SEARCH(LOWER(CZ18),LOWER(AD$2:AD$1000))))</f>
        <v>0</v>
      </c>
      <c r="DD18" cm="1">
        <f t="array" ref="DD18">SUMPRODUCT((Y$2:Y$1000="PS")*ISNUMBER(SEARCH("minimization",LOWER(Z$2:Z$1000)))*ISNUMBER(SEARCH(LOWER(CZ18),LOWER(AD$2:AD$1000))))</f>
        <v>0</v>
      </c>
      <c r="EM18" t="s">
        <v>1288</v>
      </c>
      <c r="FQ18" t="s">
        <v>1285</v>
      </c>
      <c r="FR18" s="35" cm="1">
        <f t="array" ref="FR18">SUMPRODUCT((Y$2:Y$1000="PS")*ISNUMBER(SEARCH(LOWER(FQ18),LOWER(AA$2:AA$1000)))*ISNUMBER(SEARCH("prioritization",LOWER(Z$2:Z$1000))))</f>
        <v>0</v>
      </c>
    </row>
    <row r="19" spans="1:221" ht="409.6">
      <c r="A19" s="2">
        <v>6569743</v>
      </c>
      <c r="B19" s="2" t="s">
        <v>34</v>
      </c>
      <c r="C19" s="2" t="s">
        <v>261</v>
      </c>
      <c r="D19" s="2" t="s">
        <v>262</v>
      </c>
      <c r="E19" s="2" t="s">
        <v>263</v>
      </c>
      <c r="F19" s="2">
        <v>2013</v>
      </c>
      <c r="G19" s="2"/>
      <c r="H19" s="2"/>
      <c r="I19" s="2" t="s">
        <v>264</v>
      </c>
      <c r="J19" s="2" t="s">
        <v>265</v>
      </c>
      <c r="K19" s="2" t="s">
        <v>266</v>
      </c>
      <c r="L19" s="2" t="s">
        <v>267</v>
      </c>
      <c r="M19" s="2" t="s">
        <v>218</v>
      </c>
      <c r="N19" s="2" t="s">
        <v>126</v>
      </c>
      <c r="O19" s="2"/>
      <c r="P19" s="2"/>
      <c r="Q19" s="2"/>
      <c r="R19" s="2"/>
      <c r="S19" s="2"/>
      <c r="T19" s="2"/>
      <c r="U19" s="2"/>
      <c r="V19" s="2"/>
      <c r="W19" s="2"/>
      <c r="X19" s="2" t="s">
        <v>268</v>
      </c>
      <c r="Y19" s="2" t="s">
        <v>58</v>
      </c>
      <c r="Z19" s="2" t="s">
        <v>269</v>
      </c>
      <c r="AA19" s="2" t="s">
        <v>270</v>
      </c>
      <c r="AB19" s="2" t="s">
        <v>271</v>
      </c>
      <c r="AC19" s="2" t="s">
        <v>194</v>
      </c>
      <c r="AD19" s="2" t="s">
        <v>272</v>
      </c>
      <c r="AE19" s="2" t="s">
        <v>273</v>
      </c>
      <c r="AF19" s="2" t="s">
        <v>65</v>
      </c>
      <c r="AG19" s="2" t="s">
        <v>66</v>
      </c>
      <c r="AH19" s="2">
        <v>0.5</v>
      </c>
      <c r="AK19">
        <f t="shared" si="6"/>
        <v>1</v>
      </c>
      <c r="AL19">
        <f t="shared" si="0"/>
        <v>0</v>
      </c>
      <c r="AM19">
        <f t="shared" si="1"/>
        <v>0</v>
      </c>
      <c r="AN19">
        <f t="shared" si="2"/>
        <v>1</v>
      </c>
      <c r="CO19" s="41" t="s">
        <v>588</v>
      </c>
      <c r="CP19" s="41">
        <v>1</v>
      </c>
      <c r="CZ19" s="34" t="s">
        <v>1327</v>
      </c>
      <c r="DA19" cm="1">
        <f t="array" ref="DA19">SUMPRODUCT((Y$2:Y$1000="PS")*ISNUMBER(SEARCH(LOWER(CZ19),LOWER(AD$2:AD$1000))))</f>
        <v>2</v>
      </c>
      <c r="DB19" cm="1">
        <f t="array" ref="DB19">SUMPRODUCT((Y$2:Y$1000="PS")*ISNUMBER(SEARCH("prioritization",LOWER(Z$2:Z$1000)))*ISNUMBER(SEARCH(LOWER(CZ19),LOWER(AD$2:AD$1000))))</f>
        <v>1</v>
      </c>
      <c r="DC19" cm="1">
        <f t="array" ref="DC19">SUMPRODUCT((Y$2:Y$1000="PS")*ISNUMBER(SEARCH("selection",LOWER(Z$2:Z$1000)))*ISNUMBER(SEARCH(LOWER(CZ19),LOWER(AD$2:AD$1000))))</f>
        <v>0</v>
      </c>
      <c r="DD19" cm="1">
        <f t="array" ref="DD19">SUMPRODUCT((Y$2:Y$1000="PS")*ISNUMBER(SEARCH("minimization",LOWER(Z$2:Z$1000)))*ISNUMBER(SEARCH(LOWER(CZ19),LOWER(AD$2:AD$1000))))</f>
        <v>0</v>
      </c>
      <c r="EM19" t="s">
        <v>1307</v>
      </c>
      <c r="EN19">
        <v>0</v>
      </c>
      <c r="EO19">
        <v>0.5</v>
      </c>
      <c r="EP19">
        <v>1</v>
      </c>
      <c r="FQ19" t="s">
        <v>1308</v>
      </c>
      <c r="FR19" s="35" cm="1">
        <f t="array" ref="FR19">SUMPRODUCT((Y$2:Y$1000="PS")*ISNUMBER(SEARCH(LOWER(FQ19),LOWER(AA$2:AA$1000)))*ISNUMBER(SEARCH("prioritization",LOWER(Z$2:Z$1000))))</f>
        <v>0</v>
      </c>
      <c r="GZ19" t="s">
        <v>1307</v>
      </c>
      <c r="HA19" t="s">
        <v>46</v>
      </c>
      <c r="HB19" t="s">
        <v>61</v>
      </c>
      <c r="HC19" t="s">
        <v>91</v>
      </c>
      <c r="HD19" t="s">
        <v>207</v>
      </c>
      <c r="HE19" t="s">
        <v>1390</v>
      </c>
      <c r="HF19" t="s">
        <v>1371</v>
      </c>
      <c r="HG19" t="s">
        <v>60</v>
      </c>
      <c r="HH19" t="s">
        <v>1391</v>
      </c>
      <c r="HI19" t="s">
        <v>1392</v>
      </c>
      <c r="HJ19" t="s">
        <v>1397</v>
      </c>
      <c r="HK19" t="s">
        <v>1394</v>
      </c>
      <c r="HL19" t="s">
        <v>1398</v>
      </c>
      <c r="HM19" t="s">
        <v>1396</v>
      </c>
    </row>
    <row r="20" spans="1:221" ht="409.6">
      <c r="A20" s="2">
        <v>8854718</v>
      </c>
      <c r="B20" s="2" t="s">
        <v>34</v>
      </c>
      <c r="C20" s="2" t="s">
        <v>274</v>
      </c>
      <c r="D20" s="2" t="s">
        <v>275</v>
      </c>
      <c r="E20" s="2" t="s">
        <v>276</v>
      </c>
      <c r="F20" s="2">
        <v>2019</v>
      </c>
      <c r="G20" s="2"/>
      <c r="H20" s="2"/>
      <c r="I20" s="2" t="s">
        <v>277</v>
      </c>
      <c r="J20" s="2" t="s">
        <v>278</v>
      </c>
      <c r="K20" s="2" t="s">
        <v>279</v>
      </c>
      <c r="L20" s="2" t="s">
        <v>280</v>
      </c>
      <c r="M20" s="2"/>
      <c r="N20" s="2" t="s">
        <v>56</v>
      </c>
      <c r="O20" s="2"/>
      <c r="P20" s="2"/>
      <c r="Q20" s="2"/>
      <c r="R20" s="2"/>
      <c r="S20" s="2"/>
      <c r="T20" s="2"/>
      <c r="U20" s="2"/>
      <c r="V20" s="2"/>
      <c r="W20" s="2"/>
      <c r="X20" s="2" t="s">
        <v>281</v>
      </c>
      <c r="Y20" s="2" t="s">
        <v>58</v>
      </c>
      <c r="Z20" s="2" t="s">
        <v>233</v>
      </c>
      <c r="AA20" s="2" t="s">
        <v>90</v>
      </c>
      <c r="AB20" s="2" t="s">
        <v>91</v>
      </c>
      <c r="AC20" s="2" t="s">
        <v>194</v>
      </c>
      <c r="AD20" s="2" t="s">
        <v>282</v>
      </c>
      <c r="AE20" s="2" t="s">
        <v>283</v>
      </c>
      <c r="AF20" s="2" t="s">
        <v>65</v>
      </c>
      <c r="AG20" s="2" t="s">
        <v>66</v>
      </c>
      <c r="AH20" s="2">
        <v>0.5</v>
      </c>
      <c r="AK20">
        <f t="shared" si="6"/>
        <v>1</v>
      </c>
      <c r="AL20">
        <f t="shared" si="0"/>
        <v>0</v>
      </c>
      <c r="AM20">
        <f t="shared" si="1"/>
        <v>0</v>
      </c>
      <c r="AN20">
        <f t="shared" si="2"/>
        <v>1</v>
      </c>
      <c r="CO20" s="41" t="s">
        <v>1459</v>
      </c>
      <c r="CP20" s="41">
        <v>1</v>
      </c>
      <c r="CZ20" s="34" t="s">
        <v>1331</v>
      </c>
      <c r="DA20" cm="1">
        <f t="array" ref="DA20">SUMPRODUCT((Y$2:Y$1000="PS")*ISNUMBER(SEARCH(LOWER(CZ20),LOWER(AD$2:AD$1000))))</f>
        <v>2</v>
      </c>
      <c r="DB20" cm="1">
        <f t="array" ref="DB20">SUMPRODUCT((Y$2:Y$1000="PS")*ISNUMBER(SEARCH("prioritization",LOWER(Z$2:Z$1000)))*ISNUMBER(SEARCH(LOWER(CZ20),LOWER(AD$2:AD$1000))))</f>
        <v>2</v>
      </c>
      <c r="DC20" cm="1">
        <f t="array" ref="DC20">SUMPRODUCT((Y$2:Y$1000="PS")*ISNUMBER(SEARCH("selection",LOWER(Z$2:Z$1000)))*ISNUMBER(SEARCH(LOWER(CZ20),LOWER(AD$2:AD$1000))))</f>
        <v>0</v>
      </c>
      <c r="DD20" cm="1">
        <f t="array" ref="DD20">SUMPRODUCT((Y$2:Y$1000="PS")*ISNUMBER(SEARCH("minimization",LOWER(Z$2:Z$1000)))*ISNUMBER(SEARCH(LOWER(CZ20),LOWER(AD$2:AD$1000))))</f>
        <v>0</v>
      </c>
      <c r="EM20">
        <v>2013</v>
      </c>
      <c r="EN20" cm="1">
        <f t="array" ref="EN20">SUMPRODUCT((Y$2:Y$1000="PS")*(F$2:F$1000=EM20)*ISNUMBER(SEARCH("selection",LOWER(Z$2:Z$1000)))*ISNUMBER(SEARCH(LOWER("0"),LOWER(AH$2:AH$1000))))</f>
        <v>1</v>
      </c>
      <c r="EO20" cm="1">
        <f t="array" ref="EO20">SUMPRODUCT((Y$2:Y$1000="PS")*(F$2:F$1000=EM20)*ISNUMBER(SEARCH("selection",LOWER(Z$2:Z$1000)))*ISNUMBER(SEARCH(LOWER("0,5"),LOWER(AH$2:AH$1000))))</f>
        <v>0</v>
      </c>
      <c r="EP20" cm="1">
        <f t="array" ref="EP20">SUMPRODUCT((Y$2:Y$1000="PS")*(F$2:F$1000=EM20)*ISNUMBER(SEARCH("selection",LOWER(Z$2:Z$1000)))*ISNUMBER(SEARCH(LOWER("1"),LOWER(AH$2:AH$1000))))</f>
        <v>0</v>
      </c>
      <c r="FQ20" t="s">
        <v>1286</v>
      </c>
      <c r="FR20" s="35" cm="1">
        <f t="array" ref="FR20">SUMPRODUCT((Y$2:Y$1000="PS")*ISNUMBER(SEARCH(LOWER(FQ20),LOWER(AA$2:AA$1000)))*ISNUMBER(SEARCH("prioritization",LOWER(Z$2:Z$1000))))</f>
        <v>0</v>
      </c>
      <c r="GZ20">
        <v>2013</v>
      </c>
      <c r="HA20" cm="1">
        <f t="array" ref="HA20">SUMPRODUCT((Y$2:Y$1000="PS")*(F$2:F$1000=GZ20)*ISNUMBER(SEARCH("selection",LOWER(Z$2:Z$1000)))*ISNUMBER(SEARCH(LOWER("metaheuristic"),LOWER(AB$2:AB$1000))))</f>
        <v>0</v>
      </c>
      <c r="HB20" cm="1">
        <f t="array" ref="HB20">SUMPRODUCT((Y$2:Y$1000="PS")*(F$2:F$1000=GZ20)*ISNUMBER(SEARCH("selection",LOWER(Z$2:Z$1000)))*ISNUMBER(SEARCH(LOWER("search"),LOWER(AB$2:AB$1000))))</f>
        <v>0</v>
      </c>
      <c r="HC20" cm="1">
        <f t="array" ref="HC20">SUMPRODUCT((Y$2:Y$1000="PS")*(F$2:F$1000=GZ20)*ISNUMBER(SEARCH("selection",LOWER(Z$2:Z$1000)))*ISNUMBER(SEARCH(LOWER("heuristic"),LOWER(AB$2:AB$1000))))</f>
        <v>2</v>
      </c>
      <c r="HD20" cm="1">
        <f t="array" ref="HD20">SUMPRODUCT((Y$2:Y$1000="PS")*(F$2:F$1000=GZ20)*ISNUMBER(SEARCH("selection",LOWER(Z$2:Z$1000)))*ISNUMBER(SEARCH(LOWER("ml"),LOWER(AB$2:AB$1000))))</f>
        <v>0</v>
      </c>
      <c r="HE20" cm="1">
        <f t="array" ref="HE20">SUMPRODUCT((Y$2:Y$1000="PS")*(F$2:F$1000=GZ20)*ISNUMBER(SEARCH("selection",LOWER(Z$2:Z$1000)))*ISNUMBER(SEARCH(LOWER("rule"),LOWER(AB$2:AB$1000))))</f>
        <v>0</v>
      </c>
      <c r="HF20" cm="1">
        <f t="array" ref="HF20">SUMPRODUCT((Y$2:Y$1000="PS")*(F$2:F$1000=GZ20)*ISNUMBER(SEARCH("selection",LOWER(Z$2:Z$1000)))*ISNUMBER(SEARCH(LOWER("similarity"),LOWER(AB$2:AB$1000))))</f>
        <v>0</v>
      </c>
      <c r="HG20" cm="1">
        <f t="array" ref="HG20">SUMPRODUCT((Y$2:Y$1000="PS")*(F$2:F$1000=GZ20)*ISNUMBER(SEARCH("selection",LOWER(Z$2:Z$1000)))*ISNUMBER(SEARCH(LOWER("model"),LOWER(AB$2:AB$1000))))</f>
        <v>0</v>
      </c>
      <c r="HH20" cm="1">
        <f t="array" ref="HH20">SUMPRODUCT((Y$2:Y$1000="PS")*(F$2:F$1000=GZ20)*ISNUMBER(SEARCH("selection",LOWER(Z$2:Z$1000)))*ISNUMBER(SEARCH(LOWER("dependency"),LOWER(AB$2:AB$1000))))</f>
        <v>0</v>
      </c>
      <c r="HI20" cm="1">
        <f t="array" ref="HI20">SUMPRODUCT((Y$2:Y$1000="PS")*(F$2:F$1000=GZ20)*ISNUMBER(SEARCH("selection",LOWER(Z$2:Z$1000)))*ISNUMBER(SEARCH(LOWER("quantum"),LOWER(AB$2:AB$1000))))</f>
        <v>0</v>
      </c>
      <c r="HJ20" cm="1">
        <f t="array" ref="HJ20">SUMPRODUCT((Y$2:Y$1000="PS")*(F$2:F$1000=GZ20)*ISNUMBER(SEARCH("selection",LOWER(Z$2:Z$1000)))*ISNUMBER(SEARCH(LOWER("genetic"),LOWER(AB$2:AB$1000))))</f>
        <v>0</v>
      </c>
      <c r="HK20" cm="1">
        <f t="array" ref="HK20">SUMPRODUCT((Y$2:Y$1000="PS")*(F$2:F$1000=GZ20)*ISNUMBER(SEARCH("selection",LOWER(Z$2:Z$1000)))*ISNUMBER(SEARCH(LOWER("graph"),LOWER(AB$2:AB$1000))))</f>
        <v>0</v>
      </c>
      <c r="HL20" cm="1">
        <f t="array" ref="HL20">SUMPRODUCT((Y$2:Y$1000="PS")*(F$2:F$1000=GZ20)*ISNUMBER(SEARCH("selection",LOWER(Z$2:Z$1000)))*ISNUMBER(SEARCH(LOWER("greedy"),LOWER(AB$2:AB$1000))))</f>
        <v>0</v>
      </c>
      <c r="HM20" cm="1">
        <f t="array" ref="HM20">SUMPRODUCT((Y$2:Y$1000="PS")*(F$2:F$1000=GZ20)*ISNUMBER(SEARCH("selection",LOWER(Z$2:Z$1000)))*ISNUMBER(SEARCH(LOWER("dynamic"),LOWER(AB$2:AB$1000))))</f>
        <v>0</v>
      </c>
    </row>
    <row r="21" spans="1:221" ht="409.6">
      <c r="A21" s="2">
        <v>7272924</v>
      </c>
      <c r="B21" s="2" t="s">
        <v>34</v>
      </c>
      <c r="C21" s="2" t="s">
        <v>284</v>
      </c>
      <c r="D21" s="2" t="s">
        <v>285</v>
      </c>
      <c r="E21" s="2" t="s">
        <v>286</v>
      </c>
      <c r="F21" s="2">
        <v>2015</v>
      </c>
      <c r="G21" s="2"/>
      <c r="H21" s="2"/>
      <c r="I21" s="2" t="s">
        <v>287</v>
      </c>
      <c r="J21" s="2" t="s">
        <v>288</v>
      </c>
      <c r="K21" s="2" t="s">
        <v>289</v>
      </c>
      <c r="L21" s="2" t="s">
        <v>290</v>
      </c>
      <c r="M21" s="2"/>
      <c r="N21" s="2" t="s">
        <v>231</v>
      </c>
      <c r="O21" s="2"/>
      <c r="P21" s="2"/>
      <c r="Q21" s="2"/>
      <c r="R21" s="2"/>
      <c r="S21" s="2"/>
      <c r="T21" s="2"/>
      <c r="U21" s="2"/>
      <c r="V21" s="2"/>
      <c r="W21" s="2"/>
      <c r="X21" s="2" t="s">
        <v>291</v>
      </c>
      <c r="Y21" s="2" t="s">
        <v>58</v>
      </c>
      <c r="Z21" s="2" t="s">
        <v>205</v>
      </c>
      <c r="AA21" s="2" t="s">
        <v>1409</v>
      </c>
      <c r="AB21" s="2" t="s">
        <v>91</v>
      </c>
      <c r="AC21" s="2" t="s">
        <v>258</v>
      </c>
      <c r="AD21" s="2" t="s">
        <v>293</v>
      </c>
      <c r="AE21" s="2" t="s">
        <v>294</v>
      </c>
      <c r="AF21" s="2"/>
      <c r="AG21" s="2" t="s">
        <v>295</v>
      </c>
      <c r="AH21" s="2">
        <v>0.5</v>
      </c>
      <c r="AK21">
        <f t="shared" si="6"/>
        <v>1</v>
      </c>
      <c r="AL21">
        <f t="shared" si="0"/>
        <v>0</v>
      </c>
      <c r="AM21">
        <f t="shared" si="1"/>
        <v>0</v>
      </c>
      <c r="AN21">
        <f t="shared" si="2"/>
        <v>1</v>
      </c>
      <c r="CZ21" s="34" t="s">
        <v>1334</v>
      </c>
      <c r="DA21" cm="1">
        <f t="array" ref="DA21">SUMPRODUCT((Y$2:Y$1000="PS")*ISNUMBER(SEARCH(LOWER(CZ21),LOWER(AD$2:AD$1000))))</f>
        <v>2</v>
      </c>
      <c r="DB21" cm="1">
        <f t="array" ref="DB21">SUMPRODUCT((Y$2:Y$1000="PS")*ISNUMBER(SEARCH("prioritization",LOWER(Z$2:Z$1000)))*ISNUMBER(SEARCH(LOWER(CZ21),LOWER(AD$2:AD$1000))))</f>
        <v>2</v>
      </c>
      <c r="DC21" cm="1">
        <f t="array" ref="DC21">SUMPRODUCT((Y$2:Y$1000="PS")*ISNUMBER(SEARCH("selection",LOWER(Z$2:Z$1000)))*ISNUMBER(SEARCH(LOWER(CZ21),LOWER(AD$2:AD$1000))))</f>
        <v>0</v>
      </c>
      <c r="DD21" cm="1">
        <f t="array" ref="DD21">SUMPRODUCT((Y$2:Y$1000="PS")*ISNUMBER(SEARCH("minimization",LOWER(Z$2:Z$1000)))*ISNUMBER(SEARCH(LOWER(CZ21),LOWER(AD$2:AD$1000))))</f>
        <v>0</v>
      </c>
      <c r="EM21">
        <v>2014</v>
      </c>
      <c r="EN21" cm="1">
        <f t="array" ref="EN21">SUMPRODUCT((Y$2:Y$1000="PS")*(F$2:F$1000=EM21)*ISNUMBER(SEARCH("selection",LOWER(Z$2:Z$1000)))*ISNUMBER(SEARCH(LOWER("0"),LOWER(AH$2:AH$1000))))</f>
        <v>2</v>
      </c>
      <c r="EO21" cm="1">
        <f t="array" ref="EO21">SUMPRODUCT((Y$2:Y$1000="PS")*(F$2:F$1000=EM21)*ISNUMBER(SEARCH("selection",LOWER(Z$2:Z$1000)))*ISNUMBER(SEARCH(LOWER("0,5"),LOWER(AH$2:AH$1000))))</f>
        <v>1</v>
      </c>
      <c r="EP21" cm="1">
        <f t="array" ref="EP21">SUMPRODUCT((Y$2:Y$1000="PS")*(F$2:F$1000=EM21)*ISNUMBER(SEARCH("selection",LOWER(Z$2:Z$1000)))*ISNUMBER(SEARCH(LOWER("1"),LOWER(AH$2:AH$1000))))</f>
        <v>0</v>
      </c>
      <c r="FQ21" t="s">
        <v>1287</v>
      </c>
      <c r="FR21" s="35" cm="1">
        <f t="array" ref="FR21">SUMPRODUCT((Y$2:Y$1000="PS")*ISNUMBER(SEARCH(LOWER(FQ21),LOWER(AA$2:AA$1000)))*ISNUMBER(SEARCH("prioritization",LOWER(Z$2:Z$1000))))</f>
        <v>0</v>
      </c>
      <c r="GZ21">
        <v>2014</v>
      </c>
      <c r="HA21" cm="1">
        <f t="array" ref="HA21">SUMPRODUCT((Y$2:Y$1000="PS")*(F$2:F$1000=GZ21)*ISNUMBER(SEARCH("selection",LOWER(Z$2:Z$1000)))*ISNUMBER(SEARCH(LOWER("metaheuristic"),LOWER(AB$2:AB$1000))))</f>
        <v>0</v>
      </c>
      <c r="HB21" cm="1">
        <f t="array" ref="HB21">SUMPRODUCT((Y$2:Y$1000="PS")*(F$2:F$1000=GZ21)*ISNUMBER(SEARCH("selection",LOWER(Z$2:Z$1000)))*ISNUMBER(SEARCH(LOWER("search"),LOWER(AB$2:AB$1000))))</f>
        <v>0</v>
      </c>
      <c r="HC21" cm="1">
        <f t="array" ref="HC21">SUMPRODUCT((Y$2:Y$1000="PS")*(F$2:F$1000=GZ21)*ISNUMBER(SEARCH("selection",LOWER(Z$2:Z$1000)))*ISNUMBER(SEARCH(LOWER("heuristic"),LOWER(AB$2:AB$1000))))</f>
        <v>2</v>
      </c>
      <c r="HD21" cm="1">
        <f t="array" ref="HD21">SUMPRODUCT((Y$2:Y$1000="PS")*(F$2:F$1000=GZ21)*ISNUMBER(SEARCH("selection",LOWER(Z$2:Z$1000)))*ISNUMBER(SEARCH(LOWER("ml"),LOWER(AB$2:AB$1000))))</f>
        <v>0</v>
      </c>
      <c r="HE21" cm="1">
        <f t="array" ref="HE21">SUMPRODUCT((Y$2:Y$1000="PS")*(F$2:F$1000=GZ21)*ISNUMBER(SEARCH("selection",LOWER(Z$2:Z$1000)))*ISNUMBER(SEARCH(LOWER("rule"),LOWER(AB$2:AB$1000))))</f>
        <v>0</v>
      </c>
      <c r="HF21" cm="1">
        <f t="array" ref="HF21">SUMPRODUCT((Y$2:Y$1000="PS")*(F$2:F$1000=GZ21)*ISNUMBER(SEARCH("selection",LOWER(Z$2:Z$1000)))*ISNUMBER(SEARCH(LOWER("similarity"),LOWER(AB$2:AB$1000))))</f>
        <v>0</v>
      </c>
      <c r="HG21" cm="1">
        <f t="array" ref="HG21">SUMPRODUCT((Y$2:Y$1000="PS")*(F$2:F$1000=GZ21)*ISNUMBER(SEARCH("selection",LOWER(Z$2:Z$1000)))*ISNUMBER(SEARCH(LOWER("model"),LOWER(AB$2:AB$1000))))</f>
        <v>0</v>
      </c>
      <c r="HH21" cm="1">
        <f t="array" ref="HH21">SUMPRODUCT((Y$2:Y$1000="PS")*(F$2:F$1000=GZ21)*ISNUMBER(SEARCH("selection",LOWER(Z$2:Z$1000)))*ISNUMBER(SEARCH(LOWER("dependency"),LOWER(AB$2:AB$1000))))</f>
        <v>0</v>
      </c>
      <c r="HI21" cm="1">
        <f t="array" ref="HI21">SUMPRODUCT((Y$2:Y$1000="PS")*(F$2:F$1000=GZ21)*ISNUMBER(SEARCH("selection",LOWER(Z$2:Z$1000)))*ISNUMBER(SEARCH(LOWER("quantum"),LOWER(AB$2:AB$1000))))</f>
        <v>0</v>
      </c>
      <c r="HJ21" cm="1">
        <f t="array" ref="HJ21">SUMPRODUCT((Y$2:Y$1000="PS")*(F$2:F$1000=GZ21)*ISNUMBER(SEARCH("selection",LOWER(Z$2:Z$1000)))*ISNUMBER(SEARCH(LOWER("genetic"),LOWER(AB$2:AB$1000))))</f>
        <v>0</v>
      </c>
      <c r="HK21" cm="1">
        <f t="array" ref="HK21">SUMPRODUCT((Y$2:Y$1000="PS")*(F$2:F$1000=GZ21)*ISNUMBER(SEARCH("selection",LOWER(Z$2:Z$1000)))*ISNUMBER(SEARCH(LOWER("graph"),LOWER(AB$2:AB$1000))))</f>
        <v>0</v>
      </c>
      <c r="HL21" cm="1">
        <f t="array" ref="HL21">SUMPRODUCT((Y$2:Y$1000="PS")*(F$2:F$1000=GZ21)*ISNUMBER(SEARCH("selection",LOWER(Z$2:Z$1000)))*ISNUMBER(SEARCH(LOWER("greedy"),LOWER(AB$2:AB$1000))))</f>
        <v>1</v>
      </c>
      <c r="HM21" cm="1">
        <f t="array" ref="HM21">SUMPRODUCT((Y$2:Y$1000="PS")*(F$2:F$1000=GZ21)*ISNUMBER(SEARCH("selection",LOWER(Z$2:Z$1000)))*ISNUMBER(SEARCH(LOWER("dynamic"),LOWER(AB$2:AB$1000))))</f>
        <v>0</v>
      </c>
    </row>
    <row r="22" spans="1:221" ht="409.6">
      <c r="A22" s="2">
        <v>10196878</v>
      </c>
      <c r="B22" s="2" t="s">
        <v>34</v>
      </c>
      <c r="C22" s="2" t="s">
        <v>296</v>
      </c>
      <c r="D22" s="2" t="s">
        <v>297</v>
      </c>
      <c r="E22" s="2" t="s">
        <v>298</v>
      </c>
      <c r="F22" s="2">
        <v>2023</v>
      </c>
      <c r="G22" s="2"/>
      <c r="H22" s="2"/>
      <c r="I22" s="2" t="s">
        <v>299</v>
      </c>
      <c r="J22" s="2" t="s">
        <v>300</v>
      </c>
      <c r="K22" s="2" t="s">
        <v>301</v>
      </c>
      <c r="L22" s="2" t="s">
        <v>302</v>
      </c>
      <c r="M22" s="2" t="s">
        <v>55</v>
      </c>
      <c r="N22" s="2" t="s">
        <v>102</v>
      </c>
      <c r="O22" s="2"/>
      <c r="P22" s="2"/>
      <c r="Q22" s="2"/>
      <c r="R22" s="2"/>
      <c r="S22" s="2"/>
      <c r="T22" s="2"/>
      <c r="U22" s="2"/>
      <c r="V22" s="2"/>
      <c r="W22" s="2"/>
      <c r="X22" s="2" t="s">
        <v>303</v>
      </c>
      <c r="Y22" s="2" t="s">
        <v>58</v>
      </c>
      <c r="Z22" s="2" t="s">
        <v>304</v>
      </c>
      <c r="AA22" s="2" t="s">
        <v>60</v>
      </c>
      <c r="AB22" s="2" t="s">
        <v>305</v>
      </c>
      <c r="AC22" s="2" t="s">
        <v>258</v>
      </c>
      <c r="AD22" s="2" t="s">
        <v>306</v>
      </c>
      <c r="AE22" s="2" t="s">
        <v>307</v>
      </c>
      <c r="AF22" s="2"/>
      <c r="AG22" s="2" t="s">
        <v>308</v>
      </c>
      <c r="AH22" s="2">
        <v>0.5</v>
      </c>
      <c r="AK22">
        <f t="shared" si="6"/>
        <v>1</v>
      </c>
      <c r="AL22">
        <f t="shared" si="0"/>
        <v>0</v>
      </c>
      <c r="AM22">
        <f t="shared" si="1"/>
        <v>0</v>
      </c>
      <c r="AN22">
        <f t="shared" si="2"/>
        <v>1</v>
      </c>
      <c r="CZ22" s="34" t="s">
        <v>1171</v>
      </c>
      <c r="DA22" cm="1">
        <f t="array" ref="DA22">SUMPRODUCT((Y$2:Y$1000="PS")*ISNUMBER(SEARCH(LOWER(CZ22),LOWER(AD$2:AD$1000))))</f>
        <v>1</v>
      </c>
      <c r="DB22" cm="1">
        <f t="array" ref="DB22">SUMPRODUCT((Y$2:Y$1000="PS")*ISNUMBER(SEARCH("prioritization",LOWER(Z$2:Z$1000)))*ISNUMBER(SEARCH(LOWER(CZ22),LOWER(AD$2:AD$1000))))</f>
        <v>1</v>
      </c>
      <c r="DC22" cm="1">
        <f t="array" ref="DC22">SUMPRODUCT((Y$2:Y$1000="PS")*ISNUMBER(SEARCH("selection",LOWER(Z$2:Z$1000)))*ISNUMBER(SEARCH(LOWER(CZ22),LOWER(AD$2:AD$1000))))</f>
        <v>1</v>
      </c>
      <c r="DD22" cm="1">
        <f t="array" ref="DD22">SUMPRODUCT((Y$2:Y$1000="PS")*ISNUMBER(SEARCH("minimization",LOWER(Z$2:Z$1000)))*ISNUMBER(SEARCH(LOWER(CZ22),LOWER(AD$2:AD$1000))))</f>
        <v>0</v>
      </c>
      <c r="EM22">
        <v>2015</v>
      </c>
      <c r="EN22" cm="1">
        <f t="array" ref="EN22">SUMPRODUCT((Y$2:Y$1000="PS")*(F$2:F$1000=EM22)*ISNUMBER(SEARCH("selection",LOWER(Z$2:Z$1000)))*ISNUMBER(SEARCH(LOWER("0"),LOWER(AH$2:AH$1000))))</f>
        <v>0</v>
      </c>
      <c r="EO22" cm="1">
        <f t="array" ref="EO22">SUMPRODUCT((Y$2:Y$1000="PS")*(F$2:F$1000=EM22)*ISNUMBER(SEARCH("selection",LOWER(Z$2:Z$1000)))*ISNUMBER(SEARCH(LOWER("0,5"),LOWER(AH$2:AH$1000))))</f>
        <v>0</v>
      </c>
      <c r="EP22" cm="1">
        <f t="array" ref="EP22">SUMPRODUCT((Y$2:Y$1000="PS")*(F$2:F$1000=EM22)*ISNUMBER(SEARCH("selection",LOWER(Z$2:Z$1000)))*ISNUMBER(SEARCH(LOWER("1"),LOWER(AH$2:AH$1000))))</f>
        <v>0</v>
      </c>
      <c r="FQ22" t="s">
        <v>1302</v>
      </c>
      <c r="FR22" s="35" cm="1">
        <f t="array" ref="FR22">SUMPRODUCT((Y$2:Y$1000="PS")*ISNUMBER(SEARCH(LOWER(FQ22),LOWER(AA$2:AA$1000)))*ISNUMBER(SEARCH("prioritization",LOWER(Z$2:Z$1000))))</f>
        <v>5</v>
      </c>
      <c r="GZ22">
        <v>2015</v>
      </c>
      <c r="HA22" cm="1">
        <f t="array" ref="HA22">SUMPRODUCT((Y$2:Y$1000="PS")*(F$2:F$1000=GZ22)*ISNUMBER(SEARCH("selection",LOWER(Z$2:Z$1000)))*ISNUMBER(SEARCH(LOWER("metaheuristic"),LOWER(AB$2:AB$1000))))</f>
        <v>0</v>
      </c>
      <c r="HB22" cm="1">
        <f t="array" ref="HB22">SUMPRODUCT((Y$2:Y$1000="PS")*(F$2:F$1000=GZ22)*ISNUMBER(SEARCH("selection",LOWER(Z$2:Z$1000)))*ISNUMBER(SEARCH(LOWER("search"),LOWER(AB$2:AB$1000))))</f>
        <v>0</v>
      </c>
      <c r="HC22" cm="1">
        <f t="array" ref="HC22">SUMPRODUCT((Y$2:Y$1000="PS")*(F$2:F$1000=GZ22)*ISNUMBER(SEARCH("selection",LOWER(Z$2:Z$1000)))*ISNUMBER(SEARCH(LOWER("heuristic"),LOWER(AB$2:AB$1000))))</f>
        <v>0</v>
      </c>
      <c r="HD22" cm="1">
        <f t="array" ref="HD22">SUMPRODUCT((Y$2:Y$1000="PS")*(F$2:F$1000=GZ22)*ISNUMBER(SEARCH("selection",LOWER(Z$2:Z$1000)))*ISNUMBER(SEARCH(LOWER("ml"),LOWER(AB$2:AB$1000))))</f>
        <v>0</v>
      </c>
      <c r="HE22" cm="1">
        <f t="array" ref="HE22">SUMPRODUCT((Y$2:Y$1000="PS")*(F$2:F$1000=GZ22)*ISNUMBER(SEARCH("selection",LOWER(Z$2:Z$1000)))*ISNUMBER(SEARCH(LOWER("rule"),LOWER(AB$2:AB$1000))))</f>
        <v>0</v>
      </c>
      <c r="HF22" cm="1">
        <f t="array" ref="HF22">SUMPRODUCT((Y$2:Y$1000="PS")*(F$2:F$1000=GZ22)*ISNUMBER(SEARCH("selection",LOWER(Z$2:Z$1000)))*ISNUMBER(SEARCH(LOWER("similarity"),LOWER(AB$2:AB$1000))))</f>
        <v>0</v>
      </c>
      <c r="HG22" cm="1">
        <f t="array" ref="HG22">SUMPRODUCT((Y$2:Y$1000="PS")*(F$2:F$1000=GZ22)*ISNUMBER(SEARCH("selection",LOWER(Z$2:Z$1000)))*ISNUMBER(SEARCH(LOWER("model"),LOWER(AB$2:AB$1000))))</f>
        <v>0</v>
      </c>
      <c r="HH22" cm="1">
        <f t="array" ref="HH22">SUMPRODUCT((Y$2:Y$1000="PS")*(F$2:F$1000=GZ22)*ISNUMBER(SEARCH("selection",LOWER(Z$2:Z$1000)))*ISNUMBER(SEARCH(LOWER("dependency"),LOWER(AB$2:AB$1000))))</f>
        <v>0</v>
      </c>
      <c r="HI22" cm="1">
        <f t="array" ref="HI22">SUMPRODUCT((Y$2:Y$1000="PS")*(F$2:F$1000=GZ22)*ISNUMBER(SEARCH("selection",LOWER(Z$2:Z$1000)))*ISNUMBER(SEARCH(LOWER("quantum"),LOWER(AB$2:AB$1000))))</f>
        <v>0</v>
      </c>
      <c r="HJ22" cm="1">
        <f t="array" ref="HJ22">SUMPRODUCT((Y$2:Y$1000="PS")*(F$2:F$1000=GZ22)*ISNUMBER(SEARCH("selection",LOWER(Z$2:Z$1000)))*ISNUMBER(SEARCH(LOWER("genetic"),LOWER(AB$2:AB$1000))))</f>
        <v>0</v>
      </c>
      <c r="HK22" cm="1">
        <f t="array" ref="HK22">SUMPRODUCT((Y$2:Y$1000="PS")*(F$2:F$1000=GZ22)*ISNUMBER(SEARCH("selection",LOWER(Z$2:Z$1000)))*ISNUMBER(SEARCH(LOWER("graph"),LOWER(AB$2:AB$1000))))</f>
        <v>0</v>
      </c>
      <c r="HL22" cm="1">
        <f t="array" ref="HL22">SUMPRODUCT((Y$2:Y$1000="PS")*(F$2:F$1000=GZ22)*ISNUMBER(SEARCH("selection",LOWER(Z$2:Z$1000)))*ISNUMBER(SEARCH(LOWER("greedy"),LOWER(AB$2:AB$1000))))</f>
        <v>0</v>
      </c>
      <c r="HM22" cm="1">
        <f t="array" ref="HM22">SUMPRODUCT((Y$2:Y$1000="PS")*(F$2:F$1000=GZ22)*ISNUMBER(SEARCH("selection",LOWER(Z$2:Z$1000)))*ISNUMBER(SEARCH(LOWER("dynamic"),LOWER(AB$2:AB$1000))))</f>
        <v>0</v>
      </c>
    </row>
    <row r="23" spans="1:221" ht="409.6">
      <c r="A23" s="2">
        <v>7589817</v>
      </c>
      <c r="B23" s="2" t="s">
        <v>34</v>
      </c>
      <c r="C23" s="2" t="s">
        <v>309</v>
      </c>
      <c r="D23" s="2" t="s">
        <v>310</v>
      </c>
      <c r="E23" s="2" t="s">
        <v>311</v>
      </c>
      <c r="F23" s="2">
        <v>2016</v>
      </c>
      <c r="G23" s="2"/>
      <c r="H23" s="2"/>
      <c r="I23" s="2" t="s">
        <v>277</v>
      </c>
      <c r="J23" s="2" t="s">
        <v>312</v>
      </c>
      <c r="K23" s="2" t="s">
        <v>313</v>
      </c>
      <c r="L23" s="2" t="s">
        <v>314</v>
      </c>
      <c r="M23" s="2"/>
      <c r="N23" s="2" t="s">
        <v>231</v>
      </c>
      <c r="O23" s="2"/>
      <c r="P23" s="2"/>
      <c r="Q23" s="2"/>
      <c r="R23" s="2"/>
      <c r="S23" s="2"/>
      <c r="T23" s="2"/>
      <c r="U23" s="2"/>
      <c r="V23" s="2"/>
      <c r="W23" s="2"/>
      <c r="X23" s="2" t="s">
        <v>315</v>
      </c>
      <c r="Y23" s="2" t="s">
        <v>58</v>
      </c>
      <c r="Z23" s="2" t="s">
        <v>257</v>
      </c>
      <c r="AA23" s="2" t="s">
        <v>1409</v>
      </c>
      <c r="AB23" s="2" t="s">
        <v>91</v>
      </c>
      <c r="AC23" s="2" t="s">
        <v>62</v>
      </c>
      <c r="AD23" s="2" t="s">
        <v>316</v>
      </c>
      <c r="AE23" s="2" t="s">
        <v>317</v>
      </c>
      <c r="AF23" s="2" t="s">
        <v>318</v>
      </c>
      <c r="AG23" s="3" t="s">
        <v>319</v>
      </c>
      <c r="AH23" s="2">
        <v>0.5</v>
      </c>
      <c r="AK23">
        <f t="shared" si="6"/>
        <v>1</v>
      </c>
      <c r="AL23">
        <f t="shared" si="0"/>
        <v>0</v>
      </c>
      <c r="AM23">
        <f t="shared" si="1"/>
        <v>0</v>
      </c>
      <c r="AN23">
        <f t="shared" si="2"/>
        <v>1</v>
      </c>
      <c r="EM23">
        <v>2016</v>
      </c>
      <c r="EN23" cm="1">
        <f t="array" ref="EN23">SUMPRODUCT((Y$2:Y$1000="PS")*(F$2:F$1000=EM23)*ISNUMBER(SEARCH("selection",LOWER(Z$2:Z$1000)))*ISNUMBER(SEARCH(LOWER("0"),LOWER(AH$2:AH$1000))))</f>
        <v>1</v>
      </c>
      <c r="EO23" cm="1">
        <f t="array" ref="EO23">SUMPRODUCT((Y$2:Y$1000="PS")*(F$2:F$1000=EM23)*ISNUMBER(SEARCH("selection",LOWER(Z$2:Z$1000)))*ISNUMBER(SEARCH(LOWER("0,5"),LOWER(AH$2:AH$1000))))</f>
        <v>0</v>
      </c>
      <c r="EP23" cm="1">
        <f t="array" ref="EP23">SUMPRODUCT((Y$2:Y$1000="PS")*(F$2:F$1000=EM23)*ISNUMBER(SEARCH("selection",LOWER(Z$2:Z$1000)))*ISNUMBER(SEARCH(LOWER("1"),LOWER(AH$2:AH$1000))))</f>
        <v>0</v>
      </c>
      <c r="FQ23" t="s">
        <v>1305</v>
      </c>
      <c r="FR23" s="35" cm="1">
        <f t="array" ref="FR23">SUMPRODUCT((Y$2:Y$1000="PS")*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14</v>
      </c>
      <c r="GZ23">
        <v>2016</v>
      </c>
      <c r="HA23" cm="1">
        <f t="array" ref="HA23">SUMPRODUCT((Y$2:Y$1000="PS")*(F$2:F$1000=GZ23)*ISNUMBER(SEARCH("selection",LOWER(Z$2:Z$1000)))*ISNUMBER(SEARCH(LOWER("metaheuristic"),LOWER(AB$2:AB$1000))))</f>
        <v>0</v>
      </c>
      <c r="HB23" cm="1">
        <f t="array" ref="HB23">SUMPRODUCT((Y$2:Y$1000="PS")*(F$2:F$1000=GZ23)*ISNUMBER(SEARCH("selection",LOWER(Z$2:Z$1000)))*ISNUMBER(SEARCH(LOWER("search"),LOWER(AB$2:AB$1000))))</f>
        <v>0</v>
      </c>
      <c r="HC23" cm="1">
        <f t="array" ref="HC23">SUMPRODUCT((Y$2:Y$1000="PS")*(F$2:F$1000=GZ23)*ISNUMBER(SEARCH("selection",LOWER(Z$2:Z$1000)))*ISNUMBER(SEARCH(LOWER("heuristic"),LOWER(AB$2:AB$1000))))</f>
        <v>1</v>
      </c>
      <c r="HD23" cm="1">
        <f t="array" ref="HD23">SUMPRODUCT((Y$2:Y$1000="PS")*(F$2:F$1000=GZ23)*ISNUMBER(SEARCH("selection",LOWER(Z$2:Z$1000)))*ISNUMBER(SEARCH(LOWER("ml"),LOWER(AB$2:AB$1000))))</f>
        <v>0</v>
      </c>
      <c r="HE23" cm="1">
        <f t="array" ref="HE23">SUMPRODUCT((Y$2:Y$1000="PS")*(F$2:F$1000=GZ23)*ISNUMBER(SEARCH("selection",LOWER(Z$2:Z$1000)))*ISNUMBER(SEARCH(LOWER("rule"),LOWER(AB$2:AB$1000))))</f>
        <v>0</v>
      </c>
      <c r="HF23" cm="1">
        <f t="array" ref="HF23">SUMPRODUCT((Y$2:Y$1000="PS")*(F$2:F$1000=GZ23)*ISNUMBER(SEARCH("selection",LOWER(Z$2:Z$1000)))*ISNUMBER(SEARCH(LOWER("similarity"),LOWER(AB$2:AB$1000))))</f>
        <v>0</v>
      </c>
      <c r="HG23" cm="1">
        <f t="array" ref="HG23">SUMPRODUCT((Y$2:Y$1000="PS")*(F$2:F$1000=GZ23)*ISNUMBER(SEARCH("selection",LOWER(Z$2:Z$1000)))*ISNUMBER(SEARCH(LOWER("model"),LOWER(AB$2:AB$1000))))</f>
        <v>0</v>
      </c>
      <c r="HH23" cm="1">
        <f t="array" ref="HH23">SUMPRODUCT((Y$2:Y$1000="PS")*(F$2:F$1000=GZ23)*ISNUMBER(SEARCH("selection",LOWER(Z$2:Z$1000)))*ISNUMBER(SEARCH(LOWER("dependency"),LOWER(AB$2:AB$1000))))</f>
        <v>0</v>
      </c>
      <c r="HI23" cm="1">
        <f t="array" ref="HI23">SUMPRODUCT((Y$2:Y$1000="PS")*(F$2:F$1000=GZ23)*ISNUMBER(SEARCH("selection",LOWER(Z$2:Z$1000)))*ISNUMBER(SEARCH(LOWER("quantum"),LOWER(AB$2:AB$1000))))</f>
        <v>0</v>
      </c>
      <c r="HJ23" cm="1">
        <f t="array" ref="HJ23">SUMPRODUCT((Y$2:Y$1000="PS")*(F$2:F$1000=GZ23)*ISNUMBER(SEARCH("selection",LOWER(Z$2:Z$1000)))*ISNUMBER(SEARCH(LOWER("genetic"),LOWER(AB$2:AB$1000))))</f>
        <v>0</v>
      </c>
      <c r="HK23" cm="1">
        <f t="array" ref="HK23">SUMPRODUCT((Y$2:Y$1000="PS")*(F$2:F$1000=GZ23)*ISNUMBER(SEARCH("selection",LOWER(Z$2:Z$1000)))*ISNUMBER(SEARCH(LOWER("graph"),LOWER(AB$2:AB$1000))))</f>
        <v>0</v>
      </c>
      <c r="HL23" cm="1">
        <f t="array" ref="HL23">SUMPRODUCT((Y$2:Y$1000="PS")*(F$2:F$1000=GZ23)*ISNUMBER(SEARCH("selection",LOWER(Z$2:Z$1000)))*ISNUMBER(SEARCH(LOWER("greedy"),LOWER(AB$2:AB$1000))))</f>
        <v>0</v>
      </c>
      <c r="HM23" cm="1">
        <f t="array" ref="HM23">SUMPRODUCT((Y$2:Y$1000="PS")*(F$2:F$1000=GZ23)*ISNUMBER(SEARCH("selection",LOWER(Z$2:Z$1000)))*ISNUMBER(SEARCH(LOWER("dynamic"),LOWER(AB$2:AB$1000))))</f>
        <v>0</v>
      </c>
    </row>
    <row r="24" spans="1:221" ht="409.6">
      <c r="A24" s="2">
        <v>7381799</v>
      </c>
      <c r="B24" s="2" t="s">
        <v>34</v>
      </c>
      <c r="C24" s="2" t="s">
        <v>320</v>
      </c>
      <c r="D24" s="2" t="s">
        <v>321</v>
      </c>
      <c r="E24" s="2" t="s">
        <v>322</v>
      </c>
      <c r="F24" s="2">
        <v>2015</v>
      </c>
      <c r="G24" s="2"/>
      <c r="H24" s="2"/>
      <c r="I24" s="2" t="s">
        <v>323</v>
      </c>
      <c r="J24" s="2" t="s">
        <v>324</v>
      </c>
      <c r="K24" s="2" t="s">
        <v>325</v>
      </c>
      <c r="L24" s="2" t="s">
        <v>326</v>
      </c>
      <c r="M24" s="2"/>
      <c r="N24" s="2" t="s">
        <v>327</v>
      </c>
      <c r="O24" s="2"/>
      <c r="P24" s="2"/>
      <c r="Q24" s="2"/>
      <c r="R24" s="2"/>
      <c r="S24" s="2"/>
      <c r="T24" s="2"/>
      <c r="U24" s="2"/>
      <c r="V24" s="2"/>
      <c r="W24" s="2"/>
      <c r="X24" s="2" t="s">
        <v>328</v>
      </c>
      <c r="Y24" s="2" t="s">
        <v>58</v>
      </c>
      <c r="Z24" s="2" t="s">
        <v>205</v>
      </c>
      <c r="AA24" s="2" t="s">
        <v>114</v>
      </c>
      <c r="AB24" s="2" t="s">
        <v>91</v>
      </c>
      <c r="AC24" s="2" t="s">
        <v>62</v>
      </c>
      <c r="AD24" s="2" t="s">
        <v>329</v>
      </c>
      <c r="AE24" s="2" t="s">
        <v>330</v>
      </c>
      <c r="AF24" s="2"/>
      <c r="AG24" s="2" t="s">
        <v>331</v>
      </c>
      <c r="AH24" s="2">
        <v>0.5</v>
      </c>
      <c r="AK24">
        <f t="shared" si="6"/>
        <v>1</v>
      </c>
      <c r="AL24">
        <f t="shared" si="0"/>
        <v>0</v>
      </c>
      <c r="AM24">
        <f t="shared" si="1"/>
        <v>0</v>
      </c>
      <c r="AN24">
        <f t="shared" si="2"/>
        <v>1</v>
      </c>
      <c r="EM24">
        <v>2017</v>
      </c>
      <c r="EN24" cm="1">
        <f t="array" ref="EN24">SUMPRODUCT((Y$2:Y$1000="PS")*(F$2:F$1000=EM24)*ISNUMBER(SEARCH("selection",LOWER(Z$2:Z$1000)))*ISNUMBER(SEARCH(LOWER("0"),LOWER(AH$2:AH$1000))))</f>
        <v>3</v>
      </c>
      <c r="EO24" cm="1">
        <f t="array" ref="EO24">SUMPRODUCT((Y$2:Y$1000="PS")*(F$2:F$1000=EM24)*ISNUMBER(SEARCH("selection",LOWER(Z$2:Z$1000)))*ISNUMBER(SEARCH(LOWER("0,5"),LOWER(AH$2:AH$1000))))</f>
        <v>0</v>
      </c>
      <c r="EP24" cm="1">
        <f t="array" ref="EP24">SUMPRODUCT((Y$2:Y$1000="PS")*(F$2:F$1000=EM24)*ISNUMBER(SEARCH("selection",LOWER(Z$2:Z$1000)))*ISNUMBER(SEARCH(LOWER("1"),LOWER(AH$2:AH$1000))))</f>
        <v>0</v>
      </c>
      <c r="FQ24" t="s">
        <v>1288</v>
      </c>
      <c r="GZ24">
        <v>2017</v>
      </c>
      <c r="HA24" cm="1">
        <f t="array" ref="HA24">SUMPRODUCT((Y$2:Y$1000="PS")*(F$2:F$1000=GZ24)*ISNUMBER(SEARCH("selection",LOWER(Z$2:Z$1000)))*ISNUMBER(SEARCH(LOWER("metaheuristic"),LOWER(AB$2:AB$1000))))</f>
        <v>0</v>
      </c>
      <c r="HB24" cm="1">
        <f t="array" ref="HB24">SUMPRODUCT((Y$2:Y$1000="PS")*(F$2:F$1000=GZ24)*ISNUMBER(SEARCH("selection",LOWER(Z$2:Z$1000)))*ISNUMBER(SEARCH(LOWER("search"),LOWER(AB$2:AB$1000))))</f>
        <v>0</v>
      </c>
      <c r="HC24" cm="1">
        <f t="array" ref="HC24">SUMPRODUCT((Y$2:Y$1000="PS")*(F$2:F$1000=GZ24)*ISNUMBER(SEARCH("selection",LOWER(Z$2:Z$1000)))*ISNUMBER(SEARCH(LOWER("heuristic"),LOWER(AB$2:AB$1000))))</f>
        <v>2</v>
      </c>
      <c r="HD24" cm="1">
        <f t="array" ref="HD24">SUMPRODUCT((Y$2:Y$1000="PS")*(F$2:F$1000=GZ24)*ISNUMBER(SEARCH("selection",LOWER(Z$2:Z$1000)))*ISNUMBER(SEARCH(LOWER("ml"),LOWER(AB$2:AB$1000))))</f>
        <v>1</v>
      </c>
      <c r="HE24" cm="1">
        <f t="array" ref="HE24">SUMPRODUCT((Y$2:Y$1000="PS")*(F$2:F$1000=GZ24)*ISNUMBER(SEARCH("selection",LOWER(Z$2:Z$1000)))*ISNUMBER(SEARCH(LOWER("rule"),LOWER(AB$2:AB$1000))))</f>
        <v>0</v>
      </c>
      <c r="HF24" cm="1">
        <f t="array" ref="HF24">SUMPRODUCT((Y$2:Y$1000="PS")*(F$2:F$1000=GZ24)*ISNUMBER(SEARCH("selection",LOWER(Z$2:Z$1000)))*ISNUMBER(SEARCH(LOWER("similarity"),LOWER(AB$2:AB$1000))))</f>
        <v>0</v>
      </c>
      <c r="HG24" cm="1">
        <f t="array" ref="HG24">SUMPRODUCT((Y$2:Y$1000="PS")*(F$2:F$1000=GZ24)*ISNUMBER(SEARCH("selection",LOWER(Z$2:Z$1000)))*ISNUMBER(SEARCH(LOWER("model"),LOWER(AB$2:AB$1000))))</f>
        <v>0</v>
      </c>
      <c r="HH24" cm="1">
        <f t="array" ref="HH24">SUMPRODUCT((Y$2:Y$1000="PS")*(F$2:F$1000=GZ24)*ISNUMBER(SEARCH("selection",LOWER(Z$2:Z$1000)))*ISNUMBER(SEARCH(LOWER("dependency"),LOWER(AB$2:AB$1000))))</f>
        <v>0</v>
      </c>
      <c r="HI24" cm="1">
        <f t="array" ref="HI24">SUMPRODUCT((Y$2:Y$1000="PS")*(F$2:F$1000=GZ24)*ISNUMBER(SEARCH("selection",LOWER(Z$2:Z$1000)))*ISNUMBER(SEARCH(LOWER("quantum"),LOWER(AB$2:AB$1000))))</f>
        <v>0</v>
      </c>
      <c r="HJ24" cm="1">
        <f t="array" ref="HJ24">SUMPRODUCT((Y$2:Y$1000="PS")*(F$2:F$1000=GZ24)*ISNUMBER(SEARCH("selection",LOWER(Z$2:Z$1000)))*ISNUMBER(SEARCH(LOWER("genetic"),LOWER(AB$2:AB$1000))))</f>
        <v>0</v>
      </c>
      <c r="HK24" cm="1">
        <f t="array" ref="HK24">SUMPRODUCT((Y$2:Y$1000="PS")*(F$2:F$1000=GZ24)*ISNUMBER(SEARCH("selection",LOWER(Z$2:Z$1000)))*ISNUMBER(SEARCH(LOWER("graph"),LOWER(AB$2:AB$1000))))</f>
        <v>0</v>
      </c>
      <c r="HL24" cm="1">
        <f t="array" ref="HL24">SUMPRODUCT((Y$2:Y$1000="PS")*(F$2:F$1000=GZ24)*ISNUMBER(SEARCH("selection",LOWER(Z$2:Z$1000)))*ISNUMBER(SEARCH(LOWER("greedy"),LOWER(AB$2:AB$1000))))</f>
        <v>0</v>
      </c>
      <c r="HM24" cm="1">
        <f t="array" ref="HM24">SUMPRODUCT((Y$2:Y$1000="PS")*(F$2:F$1000=GZ24)*ISNUMBER(SEARCH("selection",LOWER(Z$2:Z$1000)))*ISNUMBER(SEARCH(LOWER("dynamic"),LOWER(AB$2:AB$1000))))</f>
        <v>0</v>
      </c>
    </row>
    <row r="25" spans="1:221" ht="409.6">
      <c r="A25" s="2">
        <v>10621714</v>
      </c>
      <c r="B25" s="2" t="s">
        <v>34</v>
      </c>
      <c r="C25" s="2" t="s">
        <v>332</v>
      </c>
      <c r="D25" s="2" t="s">
        <v>333</v>
      </c>
      <c r="E25" s="2" t="s">
        <v>334</v>
      </c>
      <c r="F25" s="2">
        <v>2024</v>
      </c>
      <c r="G25" s="2"/>
      <c r="H25" s="2"/>
      <c r="I25" s="2" t="s">
        <v>335</v>
      </c>
      <c r="J25" s="2" t="s">
        <v>336</v>
      </c>
      <c r="K25" s="2" t="s">
        <v>337</v>
      </c>
      <c r="L25" s="2" t="s">
        <v>338</v>
      </c>
      <c r="M25" s="2"/>
      <c r="N25" s="2" t="s">
        <v>126</v>
      </c>
      <c r="O25" s="2"/>
      <c r="P25" s="2"/>
      <c r="Q25" s="2"/>
      <c r="R25" s="2"/>
      <c r="S25" s="2"/>
      <c r="T25" s="2"/>
      <c r="U25" s="2"/>
      <c r="V25" s="2"/>
      <c r="W25" s="2"/>
      <c r="X25" s="2" t="s">
        <v>339</v>
      </c>
      <c r="Y25" s="2" t="s">
        <v>58</v>
      </c>
      <c r="Z25" s="2" t="s">
        <v>340</v>
      </c>
      <c r="AA25" s="2" t="s">
        <v>114</v>
      </c>
      <c r="AB25" s="2" t="s">
        <v>271</v>
      </c>
      <c r="AC25" s="2" t="s">
        <v>341</v>
      </c>
      <c r="AD25" s="2" t="s">
        <v>342</v>
      </c>
      <c r="AE25" s="2" t="s">
        <v>343</v>
      </c>
      <c r="AF25" s="2" t="s">
        <v>65</v>
      </c>
      <c r="AG25" s="2" t="s">
        <v>344</v>
      </c>
      <c r="AH25" s="2">
        <v>0.5</v>
      </c>
      <c r="AK25">
        <f t="shared" si="6"/>
        <v>1</v>
      </c>
      <c r="AL25">
        <f t="shared" si="0"/>
        <v>0</v>
      </c>
      <c r="AM25">
        <f t="shared" si="1"/>
        <v>0</v>
      </c>
      <c r="AN25">
        <f t="shared" si="2"/>
        <v>1</v>
      </c>
      <c r="EM25">
        <v>2018</v>
      </c>
      <c r="EN25" cm="1">
        <f t="array" ref="EN25">SUMPRODUCT((Y$2:Y$1000="PS")*(F$2:F$1000=EM25)*ISNUMBER(SEARCH("selection",LOWER(Z$2:Z$1000)))*ISNUMBER(SEARCH(LOWER("0"),LOWER(AH$2:AH$1000))))</f>
        <v>4</v>
      </c>
      <c r="EO25" cm="1">
        <f t="array" ref="EO25">SUMPRODUCT((Y$2:Y$1000="PS")*(F$2:F$1000=EM25)*ISNUMBER(SEARCH("selection",LOWER(Z$2:Z$1000)))*ISNUMBER(SEARCH(LOWER("0,5"),LOWER(AH$2:AH$1000))))</f>
        <v>2</v>
      </c>
      <c r="EP25" cm="1">
        <f t="array" ref="EP25">SUMPRODUCT((Y$2:Y$1000="PS")*(F$2:F$1000=EM25)*ISNUMBER(SEARCH("selection",LOWER(Z$2:Z$1000)))*ISNUMBER(SEARCH(LOWER("1"),LOWER(AH$2:AH$1000))))</f>
        <v>0</v>
      </c>
      <c r="FQ25" t="s">
        <v>1266</v>
      </c>
      <c r="FR25" t="s">
        <v>1267</v>
      </c>
      <c r="GZ25">
        <v>2018</v>
      </c>
      <c r="HA25" cm="1">
        <f t="array" ref="HA25">SUMPRODUCT((Y$2:Y$1000="PS")*(F$2:F$1000=GZ25)*ISNUMBER(SEARCH("selection",LOWER(Z$2:Z$1000)))*ISNUMBER(SEARCH(LOWER("metaheuristic"),LOWER(AB$2:AB$1000))))</f>
        <v>0</v>
      </c>
      <c r="HB25" cm="1">
        <f t="array" ref="HB25">SUMPRODUCT((Y$2:Y$1000="PS")*(F$2:F$1000=GZ25)*ISNUMBER(SEARCH("selection",LOWER(Z$2:Z$1000)))*ISNUMBER(SEARCH(LOWER("search"),LOWER(AB$2:AB$1000))))</f>
        <v>0</v>
      </c>
      <c r="HC25" cm="1">
        <f t="array" ref="HC25">SUMPRODUCT((Y$2:Y$1000="PS")*(F$2:F$1000=GZ25)*ISNUMBER(SEARCH("selection",LOWER(Z$2:Z$1000)))*ISNUMBER(SEARCH(LOWER("heuristic"),LOWER(AB$2:AB$1000))))</f>
        <v>3</v>
      </c>
      <c r="HD25" cm="1">
        <f t="array" ref="HD25">SUMPRODUCT((Y$2:Y$1000="PS")*(F$2:F$1000=GZ25)*ISNUMBER(SEARCH("selection",LOWER(Z$2:Z$1000)))*ISNUMBER(SEARCH(LOWER("ml"),LOWER(AB$2:AB$1000))))</f>
        <v>0</v>
      </c>
      <c r="HE25" cm="1">
        <f t="array" ref="HE25">SUMPRODUCT((Y$2:Y$1000="PS")*(F$2:F$1000=GZ25)*ISNUMBER(SEARCH("selection",LOWER(Z$2:Z$1000)))*ISNUMBER(SEARCH(LOWER("rule"),LOWER(AB$2:AB$1000))))</f>
        <v>0</v>
      </c>
      <c r="HF25" cm="1">
        <f t="array" ref="HF25">SUMPRODUCT((Y$2:Y$1000="PS")*(F$2:F$1000=GZ25)*ISNUMBER(SEARCH("selection",LOWER(Z$2:Z$1000)))*ISNUMBER(SEARCH(LOWER("similarity"),LOWER(AB$2:AB$1000))))</f>
        <v>0</v>
      </c>
      <c r="HG25" cm="1">
        <f t="array" ref="HG25">SUMPRODUCT((Y$2:Y$1000="PS")*(F$2:F$1000=GZ25)*ISNUMBER(SEARCH("selection",LOWER(Z$2:Z$1000)))*ISNUMBER(SEARCH(LOWER("model"),LOWER(AB$2:AB$1000))))</f>
        <v>0</v>
      </c>
      <c r="HH25" cm="1">
        <f t="array" ref="HH25">SUMPRODUCT((Y$2:Y$1000="PS")*(F$2:F$1000=GZ25)*ISNUMBER(SEARCH("selection",LOWER(Z$2:Z$1000)))*ISNUMBER(SEARCH(LOWER("dependency"),LOWER(AB$2:AB$1000))))</f>
        <v>0</v>
      </c>
      <c r="HI25" cm="1">
        <f t="array" ref="HI25">SUMPRODUCT((Y$2:Y$1000="PS")*(F$2:F$1000=GZ25)*ISNUMBER(SEARCH("selection",LOWER(Z$2:Z$1000)))*ISNUMBER(SEARCH(LOWER("quantum"),LOWER(AB$2:AB$1000))))</f>
        <v>0</v>
      </c>
      <c r="HJ25" cm="1">
        <f t="array" ref="HJ25">SUMPRODUCT((Y$2:Y$1000="PS")*(F$2:F$1000=GZ25)*ISNUMBER(SEARCH("selection",LOWER(Z$2:Z$1000)))*ISNUMBER(SEARCH(LOWER("genetic"),LOWER(AB$2:AB$1000))))</f>
        <v>0</v>
      </c>
      <c r="HK25" cm="1">
        <f t="array" ref="HK25">SUMPRODUCT((Y$2:Y$1000="PS")*(F$2:F$1000=GZ25)*ISNUMBER(SEARCH("selection",LOWER(Z$2:Z$1000)))*ISNUMBER(SEARCH(LOWER("graph"),LOWER(AB$2:AB$1000))))</f>
        <v>1</v>
      </c>
      <c r="HL25" cm="1">
        <f t="array" ref="HL25">SUMPRODUCT((Y$2:Y$1000="PS")*(F$2:F$1000=GZ25)*ISNUMBER(SEARCH("selection",LOWER(Z$2:Z$1000)))*ISNUMBER(SEARCH(LOWER("greedy"),LOWER(AB$2:AB$1000))))</f>
        <v>0</v>
      </c>
      <c r="HM25" cm="1">
        <f t="array" ref="HM25">SUMPRODUCT((Y$2:Y$1000="PS")*(F$2:F$1000=GZ25)*ISNUMBER(SEARCH("selection",LOWER(Z$2:Z$1000)))*ISNUMBER(SEARCH(LOWER("dynamic"),LOWER(AB$2:AB$1000))))</f>
        <v>0</v>
      </c>
    </row>
    <row r="26" spans="1:221" ht="409.6">
      <c r="A26" s="2">
        <v>8530033</v>
      </c>
      <c r="B26" s="2" t="s">
        <v>34</v>
      </c>
      <c r="C26" s="2" t="s">
        <v>345</v>
      </c>
      <c r="D26" s="2" t="s">
        <v>346</v>
      </c>
      <c r="E26" s="2" t="s">
        <v>347</v>
      </c>
      <c r="F26" s="2">
        <v>2018</v>
      </c>
      <c r="G26" s="2"/>
      <c r="H26" s="2"/>
      <c r="I26" s="2" t="s">
        <v>348</v>
      </c>
      <c r="J26" s="2" t="s">
        <v>349</v>
      </c>
      <c r="K26" s="2" t="s">
        <v>350</v>
      </c>
      <c r="L26" s="2" t="s">
        <v>351</v>
      </c>
      <c r="M26" s="2" t="s">
        <v>352</v>
      </c>
      <c r="N26" s="2" t="s">
        <v>353</v>
      </c>
      <c r="O26" s="2"/>
      <c r="P26" s="2"/>
      <c r="Q26" s="2"/>
      <c r="R26" s="2"/>
      <c r="S26" s="2"/>
      <c r="T26" s="2"/>
      <c r="U26" s="2"/>
      <c r="V26" s="2"/>
      <c r="W26" s="2"/>
      <c r="X26" s="2" t="s">
        <v>354</v>
      </c>
      <c r="Y26" s="2" t="s">
        <v>58</v>
      </c>
      <c r="Z26" s="2" t="s">
        <v>355</v>
      </c>
      <c r="AA26" s="2" t="s">
        <v>356</v>
      </c>
      <c r="AB26" s="2" t="s">
        <v>1437</v>
      </c>
      <c r="AC26" s="2" t="s">
        <v>357</v>
      </c>
      <c r="AD26" s="2" t="s">
        <v>358</v>
      </c>
      <c r="AE26" s="2" t="s">
        <v>359</v>
      </c>
      <c r="AF26" s="2" t="s">
        <v>360</v>
      </c>
      <c r="AG26" s="2" t="s">
        <v>361</v>
      </c>
      <c r="AH26" s="2">
        <v>0.5</v>
      </c>
      <c r="AK26">
        <f t="shared" si="6"/>
        <v>1</v>
      </c>
      <c r="AL26">
        <f t="shared" si="0"/>
        <v>0</v>
      </c>
      <c r="AM26">
        <f t="shared" si="1"/>
        <v>0</v>
      </c>
      <c r="AN26">
        <f t="shared" si="2"/>
        <v>1</v>
      </c>
      <c r="EM26">
        <v>2019</v>
      </c>
      <c r="EN26" cm="1">
        <f t="array" ref="EN26">SUMPRODUCT((Y$2:Y$1000="PS")*(F$2:F$1000=EM26)*ISNUMBER(SEARCH("selection",LOWER(Z$2:Z$1000)))*ISNUMBER(SEARCH(LOWER("0"),LOWER(AH$2:AH$1000))))</f>
        <v>2</v>
      </c>
      <c r="EO26" cm="1">
        <f t="array" ref="EO26">SUMPRODUCT((Y$2:Y$1000="PS")*(F$2:F$1000=EM26)*ISNUMBER(SEARCH("selection",LOWER(Z$2:Z$1000)))*ISNUMBER(SEARCH(LOWER("0,5"),LOWER(AH$2:AH$1000))))</f>
        <v>0</v>
      </c>
      <c r="EP26" cm="1">
        <f t="array" ref="EP26">SUMPRODUCT((Y$2:Y$1000="PS")*(F$2:F$1000=EM26)*ISNUMBER(SEARCH("selection",LOWER(Z$2:Z$1000)))*ISNUMBER(SEARCH(LOWER("1"),LOWER(AH$2:AH$1000))))</f>
        <v>0</v>
      </c>
      <c r="FQ26" t="s">
        <v>1289</v>
      </c>
      <c r="FR26" s="35" cm="1">
        <f t="array" ref="FR26">SUMPRODUCT((Y$2:Y$1000="PS")*ISNUMBER(SEARCH(LOWER(FQ26),LOWER(AA$2:AA$1000)))*ISNUMBER(SEARCH("selection",LOWER(Z$2:Z$1000))))</f>
        <v>1</v>
      </c>
      <c r="GZ26">
        <v>2019</v>
      </c>
      <c r="HA26" cm="1">
        <f t="array" ref="HA26">SUMPRODUCT((Y$2:Y$1000="PS")*(F$2:F$1000=GZ26)*ISNUMBER(SEARCH("selection",LOWER(Z$2:Z$1000)))*ISNUMBER(SEARCH(LOWER("metaheuristic"),LOWER(AB$2:AB$1000))))</f>
        <v>0</v>
      </c>
      <c r="HB26" cm="1">
        <f t="array" ref="HB26">SUMPRODUCT((Y$2:Y$1000="PS")*(F$2:F$1000=GZ26)*ISNUMBER(SEARCH("selection",LOWER(Z$2:Z$1000)))*ISNUMBER(SEARCH(LOWER("search"),LOWER(AB$2:AB$1000))))</f>
        <v>0</v>
      </c>
      <c r="HC26" cm="1">
        <f t="array" ref="HC26">SUMPRODUCT((Y$2:Y$1000="PS")*(F$2:F$1000=GZ26)*ISNUMBER(SEARCH("selection",LOWER(Z$2:Z$1000)))*ISNUMBER(SEARCH(LOWER("heuristic"),LOWER(AB$2:AB$1000))))</f>
        <v>1</v>
      </c>
      <c r="HD26" cm="1">
        <f t="array" ref="HD26">SUMPRODUCT((Y$2:Y$1000="PS")*(F$2:F$1000=GZ26)*ISNUMBER(SEARCH("selection",LOWER(Z$2:Z$1000)))*ISNUMBER(SEARCH(LOWER("ml"),LOWER(AB$2:AB$1000))))</f>
        <v>0</v>
      </c>
      <c r="HE26" cm="1">
        <f t="array" ref="HE26">SUMPRODUCT((Y$2:Y$1000="PS")*(F$2:F$1000=GZ26)*ISNUMBER(SEARCH("selection",LOWER(Z$2:Z$1000)))*ISNUMBER(SEARCH(LOWER("rule"),LOWER(AB$2:AB$1000))))</f>
        <v>0</v>
      </c>
      <c r="HF26" cm="1">
        <f t="array" ref="HF26">SUMPRODUCT((Y$2:Y$1000="PS")*(F$2:F$1000=GZ26)*ISNUMBER(SEARCH("selection",LOWER(Z$2:Z$1000)))*ISNUMBER(SEARCH(LOWER("similarity"),LOWER(AB$2:AB$1000))))</f>
        <v>0</v>
      </c>
      <c r="HG26" cm="1">
        <f t="array" ref="HG26">SUMPRODUCT((Y$2:Y$1000="PS")*(F$2:F$1000=GZ26)*ISNUMBER(SEARCH("selection",LOWER(Z$2:Z$1000)))*ISNUMBER(SEARCH(LOWER("model"),LOWER(AB$2:AB$1000))))</f>
        <v>0</v>
      </c>
      <c r="HH26" cm="1">
        <f t="array" ref="HH26">SUMPRODUCT((Y$2:Y$1000="PS")*(F$2:F$1000=GZ26)*ISNUMBER(SEARCH("selection",LOWER(Z$2:Z$1000)))*ISNUMBER(SEARCH(LOWER("dependency"),LOWER(AB$2:AB$1000))))</f>
        <v>0</v>
      </c>
      <c r="HI26" cm="1">
        <f t="array" ref="HI26">SUMPRODUCT((Y$2:Y$1000="PS")*(F$2:F$1000=GZ26)*ISNUMBER(SEARCH("selection",LOWER(Z$2:Z$1000)))*ISNUMBER(SEARCH(LOWER("quantum"),LOWER(AB$2:AB$1000))))</f>
        <v>0</v>
      </c>
      <c r="HJ26" cm="1">
        <f t="array" ref="HJ26">SUMPRODUCT((Y$2:Y$1000="PS")*(F$2:F$1000=GZ26)*ISNUMBER(SEARCH("selection",LOWER(Z$2:Z$1000)))*ISNUMBER(SEARCH(LOWER("genetic"),LOWER(AB$2:AB$1000))))</f>
        <v>0</v>
      </c>
      <c r="HK26" cm="1">
        <f t="array" ref="HK26">SUMPRODUCT((Y$2:Y$1000="PS")*(F$2:F$1000=GZ26)*ISNUMBER(SEARCH("selection",LOWER(Z$2:Z$1000)))*ISNUMBER(SEARCH(LOWER("graph"),LOWER(AB$2:AB$1000))))</f>
        <v>0</v>
      </c>
      <c r="HL26" cm="1">
        <f t="array" ref="HL26">SUMPRODUCT((Y$2:Y$1000="PS")*(F$2:F$1000=GZ26)*ISNUMBER(SEARCH("selection",LOWER(Z$2:Z$1000)))*ISNUMBER(SEARCH(LOWER("greedy"),LOWER(AB$2:AB$1000))))</f>
        <v>0</v>
      </c>
      <c r="HM26" cm="1">
        <f t="array" ref="HM26">SUMPRODUCT((Y$2:Y$1000="PS")*(F$2:F$1000=GZ26)*ISNUMBER(SEARCH("selection",LOWER(Z$2:Z$1000)))*ISNUMBER(SEARCH(LOWER("dynamic"),LOWER(AB$2:AB$1000))))</f>
        <v>1</v>
      </c>
    </row>
    <row r="27" spans="1:221" ht="409.6">
      <c r="A27" s="2">
        <v>9825820</v>
      </c>
      <c r="B27" s="2" t="s">
        <v>34</v>
      </c>
      <c r="C27" s="2" t="s">
        <v>362</v>
      </c>
      <c r="D27" s="2" t="s">
        <v>363</v>
      </c>
      <c r="E27" s="2" t="s">
        <v>364</v>
      </c>
      <c r="F27" s="2">
        <v>2022</v>
      </c>
      <c r="G27" s="2"/>
      <c r="H27" s="2"/>
      <c r="I27" s="2" t="s">
        <v>365</v>
      </c>
      <c r="J27" s="2" t="s">
        <v>366</v>
      </c>
      <c r="K27" s="2" t="s">
        <v>367</v>
      </c>
      <c r="L27" s="2" t="s">
        <v>368</v>
      </c>
      <c r="M27" s="2" t="s">
        <v>369</v>
      </c>
      <c r="N27" s="2" t="s">
        <v>126</v>
      </c>
      <c r="O27" s="2"/>
      <c r="P27" s="2"/>
      <c r="Q27" s="2"/>
      <c r="R27" s="2"/>
      <c r="S27" s="2"/>
      <c r="T27" s="2"/>
      <c r="U27" s="2"/>
      <c r="V27" s="2"/>
      <c r="W27" s="2"/>
      <c r="X27" s="2" t="s">
        <v>370</v>
      </c>
      <c r="Y27" s="2" t="s">
        <v>58</v>
      </c>
      <c r="Z27" s="2" t="s">
        <v>220</v>
      </c>
      <c r="AA27" s="2" t="s">
        <v>114</v>
      </c>
      <c r="AB27" s="2" t="s">
        <v>371</v>
      </c>
      <c r="AC27" s="2" t="s">
        <v>208</v>
      </c>
      <c r="AD27" s="2" t="s">
        <v>372</v>
      </c>
      <c r="AE27" s="2" t="s">
        <v>373</v>
      </c>
      <c r="AF27" s="2" t="s">
        <v>65</v>
      </c>
      <c r="AG27" s="2" t="s">
        <v>374</v>
      </c>
      <c r="AH27" s="2">
        <v>0.5</v>
      </c>
      <c r="AK27">
        <f t="shared" si="6"/>
        <v>1</v>
      </c>
      <c r="AL27">
        <f t="shared" si="0"/>
        <v>0</v>
      </c>
      <c r="AM27">
        <f t="shared" si="1"/>
        <v>0</v>
      </c>
      <c r="AN27">
        <f t="shared" si="2"/>
        <v>1</v>
      </c>
      <c r="EM27">
        <v>2020</v>
      </c>
      <c r="EN27" cm="1">
        <f t="array" ref="EN27">SUMPRODUCT((Y$2:Y$1000="PS")*(F$2:F$1000=EM27)*ISNUMBER(SEARCH("selection",LOWER(Z$2:Z$1000)))*ISNUMBER(SEARCH(LOWER("0"),LOWER(AH$2:AH$1000))))</f>
        <v>1</v>
      </c>
      <c r="EO27" cm="1">
        <f t="array" ref="EO27">SUMPRODUCT((Y$2:Y$1000="PS")*(F$2:F$1000=EM27)*ISNUMBER(SEARCH("selection",LOWER(Z$2:Z$1000)))*ISNUMBER(SEARCH(LOWER("0,5"),LOWER(AH$2:AH$1000))))</f>
        <v>0</v>
      </c>
      <c r="EP27" cm="1">
        <f t="array" ref="EP27">SUMPRODUCT((Y$2:Y$1000="PS")*(F$2:F$1000=EM27)*ISNUMBER(SEARCH("selection",LOWER(Z$2:Z$1000)))*ISNUMBER(SEARCH(LOWER("1"),LOWER(AH$2:AH$1000))))</f>
        <v>1</v>
      </c>
      <c r="FQ27" t="s">
        <v>1290</v>
      </c>
      <c r="FR27" s="35" cm="1">
        <f t="array" ref="FR27">SUMPRODUCT((Y$2:Y$1000="PS")*ISNUMBER(SEARCH(LOWER(FQ27),LOWER(AA$2:AA$1000)))*ISNUMBER(SEARCH("selection",LOWER(Z$2:Z$1000))))</f>
        <v>0</v>
      </c>
      <c r="GZ27">
        <v>2020</v>
      </c>
      <c r="HA27" cm="1">
        <f t="array" ref="HA27">SUMPRODUCT((Y$2:Y$1000="PS")*(F$2:F$1000=GZ27)*ISNUMBER(SEARCH("selection",LOWER(Z$2:Z$1000)))*ISNUMBER(SEARCH(LOWER("metaheuristic"),LOWER(AB$2:AB$1000))))</f>
        <v>0</v>
      </c>
      <c r="HB27" cm="1">
        <f t="array" ref="HB27">SUMPRODUCT((Y$2:Y$1000="PS")*(F$2:F$1000=GZ27)*ISNUMBER(SEARCH("selection",LOWER(Z$2:Z$1000)))*ISNUMBER(SEARCH(LOWER("search"),LOWER(AB$2:AB$1000))))</f>
        <v>0</v>
      </c>
      <c r="HC27" cm="1">
        <f t="array" ref="HC27">SUMPRODUCT((Y$2:Y$1000="PS")*(F$2:F$1000=GZ27)*ISNUMBER(SEARCH("selection",LOWER(Z$2:Z$1000)))*ISNUMBER(SEARCH(LOWER("heuristic"),LOWER(AB$2:AB$1000))))</f>
        <v>2</v>
      </c>
      <c r="HD27" cm="1">
        <f t="array" ref="HD27">SUMPRODUCT((Y$2:Y$1000="PS")*(F$2:F$1000=GZ27)*ISNUMBER(SEARCH("selection",LOWER(Z$2:Z$1000)))*ISNUMBER(SEARCH(LOWER("ml"),LOWER(AB$2:AB$1000))))</f>
        <v>0</v>
      </c>
      <c r="HE27" cm="1">
        <f t="array" ref="HE27">SUMPRODUCT((Y$2:Y$1000="PS")*(F$2:F$1000=GZ27)*ISNUMBER(SEARCH("selection",LOWER(Z$2:Z$1000)))*ISNUMBER(SEARCH(LOWER("rule"),LOWER(AB$2:AB$1000))))</f>
        <v>0</v>
      </c>
      <c r="HF27" cm="1">
        <f t="array" ref="HF27">SUMPRODUCT((Y$2:Y$1000="PS")*(F$2:F$1000=GZ27)*ISNUMBER(SEARCH("selection",LOWER(Z$2:Z$1000)))*ISNUMBER(SEARCH(LOWER("similarity"),LOWER(AB$2:AB$1000))))</f>
        <v>0</v>
      </c>
      <c r="HG27" cm="1">
        <f t="array" ref="HG27">SUMPRODUCT((Y$2:Y$1000="PS")*(F$2:F$1000=GZ27)*ISNUMBER(SEARCH("selection",LOWER(Z$2:Z$1000)))*ISNUMBER(SEARCH(LOWER("model"),LOWER(AB$2:AB$1000))))</f>
        <v>0</v>
      </c>
      <c r="HH27" cm="1">
        <f t="array" ref="HH27">SUMPRODUCT((Y$2:Y$1000="PS")*(F$2:F$1000=GZ27)*ISNUMBER(SEARCH("selection",LOWER(Z$2:Z$1000)))*ISNUMBER(SEARCH(LOWER("dependency"),LOWER(AB$2:AB$1000))))</f>
        <v>0</v>
      </c>
      <c r="HI27" cm="1">
        <f t="array" ref="HI27">SUMPRODUCT((Y$2:Y$1000="PS")*(F$2:F$1000=GZ27)*ISNUMBER(SEARCH("selection",LOWER(Z$2:Z$1000)))*ISNUMBER(SEARCH(LOWER("quantum"),LOWER(AB$2:AB$1000))))</f>
        <v>0</v>
      </c>
      <c r="HJ27" cm="1">
        <f t="array" ref="HJ27">SUMPRODUCT((Y$2:Y$1000="PS")*(F$2:F$1000=GZ27)*ISNUMBER(SEARCH("selection",LOWER(Z$2:Z$1000)))*ISNUMBER(SEARCH(LOWER("genetic"),LOWER(AB$2:AB$1000))))</f>
        <v>0</v>
      </c>
      <c r="HK27" cm="1">
        <f t="array" ref="HK27">SUMPRODUCT((Y$2:Y$1000="PS")*(F$2:F$1000=GZ27)*ISNUMBER(SEARCH("selection",LOWER(Z$2:Z$1000)))*ISNUMBER(SEARCH(LOWER("graph"),LOWER(AB$2:AB$1000))))</f>
        <v>0</v>
      </c>
      <c r="HL27" cm="1">
        <f t="array" ref="HL27">SUMPRODUCT((Y$2:Y$1000="PS")*(F$2:F$1000=GZ27)*ISNUMBER(SEARCH("selection",LOWER(Z$2:Z$1000)))*ISNUMBER(SEARCH(LOWER("greedy"),LOWER(AB$2:AB$1000))))</f>
        <v>0</v>
      </c>
      <c r="HM27" cm="1">
        <f t="array" ref="HM27">SUMPRODUCT((Y$2:Y$1000="PS")*(F$2:F$1000=GZ27)*ISNUMBER(SEARCH("selection",LOWER(Z$2:Z$1000)))*ISNUMBER(SEARCH(LOWER("dynamic"),LOWER(AB$2:AB$1000))))</f>
        <v>0</v>
      </c>
    </row>
    <row r="28" spans="1:221" ht="409.6">
      <c r="A28" s="2">
        <v>7272927</v>
      </c>
      <c r="B28" s="2" t="s">
        <v>34</v>
      </c>
      <c r="C28" s="2" t="s">
        <v>375</v>
      </c>
      <c r="D28" s="2" t="s">
        <v>285</v>
      </c>
      <c r="E28" s="2" t="s">
        <v>376</v>
      </c>
      <c r="F28" s="2">
        <v>2015</v>
      </c>
      <c r="G28" s="2"/>
      <c r="H28" s="2"/>
      <c r="I28" s="2" t="s">
        <v>377</v>
      </c>
      <c r="J28" s="2" t="s">
        <v>378</v>
      </c>
      <c r="K28" s="2" t="s">
        <v>379</v>
      </c>
      <c r="L28" s="2" t="s">
        <v>380</v>
      </c>
      <c r="M28" s="2"/>
      <c r="N28" s="2" t="s">
        <v>231</v>
      </c>
      <c r="O28" s="2"/>
      <c r="P28" s="2"/>
      <c r="Q28" s="2"/>
      <c r="R28" s="2"/>
      <c r="S28" s="2"/>
      <c r="T28" s="2"/>
      <c r="U28" s="2"/>
      <c r="V28" s="2"/>
      <c r="W28" s="2"/>
      <c r="X28" s="2" t="s">
        <v>381</v>
      </c>
      <c r="Y28" s="2" t="s">
        <v>58</v>
      </c>
      <c r="Z28" s="2" t="s">
        <v>382</v>
      </c>
      <c r="AA28" s="2" t="s">
        <v>114</v>
      </c>
      <c r="AB28" s="2" t="s">
        <v>383</v>
      </c>
      <c r="AC28" s="2" t="s">
        <v>384</v>
      </c>
      <c r="AD28" s="2"/>
      <c r="AE28" s="2" t="s">
        <v>385</v>
      </c>
      <c r="AF28" s="2"/>
      <c r="AG28" s="2" t="s">
        <v>66</v>
      </c>
      <c r="AH28" s="2">
        <v>0</v>
      </c>
      <c r="AK28">
        <f t="shared" si="6"/>
        <v>1</v>
      </c>
      <c r="AL28">
        <f t="shared" si="0"/>
        <v>0</v>
      </c>
      <c r="AM28">
        <f t="shared" si="1"/>
        <v>0</v>
      </c>
      <c r="AN28">
        <f t="shared" si="2"/>
        <v>1</v>
      </c>
      <c r="EM28">
        <v>2021</v>
      </c>
      <c r="EN28" cm="1">
        <f t="array" ref="EN28">SUMPRODUCT((Y$2:Y$1000="PS")*(F$2:F$1000=EM28)*ISNUMBER(SEARCH("selection",LOWER(Z$2:Z$1000)))*ISNUMBER(SEARCH(LOWER("0"),LOWER(AH$2:AH$1000))))</f>
        <v>0</v>
      </c>
      <c r="EO28" cm="1">
        <f t="array" ref="EO28">SUMPRODUCT((Y$2:Y$1000="PS")*(F$2:F$1000=EM28)*ISNUMBER(SEARCH("selection",LOWER(Z$2:Z$1000)))*ISNUMBER(SEARCH(LOWER("0,5"),LOWER(AH$2:AH$1000))))</f>
        <v>0</v>
      </c>
      <c r="EP28" cm="1">
        <f t="array" ref="EP28">SUMPRODUCT((Y$2:Y$1000="PS")*(F$2:F$1000=EM28)*ISNUMBER(SEARCH("selection",LOWER(Z$2:Z$1000)))*ISNUMBER(SEARCH(LOWER("1"),LOWER(AH$2:AH$1000))))</f>
        <v>1</v>
      </c>
      <c r="FQ28" t="s">
        <v>1291</v>
      </c>
      <c r="FR28" s="35" cm="1">
        <f t="array" ref="FR28">SUMPRODUCT((Y$2:Y$1000="PS")*ISNUMBER(SEARCH(LOWER(FQ28),LOWER(AA$2:AA$1000)))*ISNUMBER(SEARCH("selection",LOWER(Z$2:Z$1000))))</f>
        <v>0</v>
      </c>
      <c r="GZ28">
        <v>2021</v>
      </c>
      <c r="HA28" cm="1">
        <f t="array" ref="HA28">SUMPRODUCT((Y$2:Y$1000="PS")*(F$2:F$1000=GZ28)*ISNUMBER(SEARCH("selection",LOWER(Z$2:Z$1000)))*ISNUMBER(SEARCH(LOWER("metaheuristic"),LOWER(AB$2:AB$1000))))</f>
        <v>0</v>
      </c>
      <c r="HB28" cm="1">
        <f t="array" ref="HB28">SUMPRODUCT((Y$2:Y$1000="PS")*(F$2:F$1000=GZ28)*ISNUMBER(SEARCH("selection",LOWER(Z$2:Z$1000)))*ISNUMBER(SEARCH(LOWER("search"),LOWER(AB$2:AB$1000))))</f>
        <v>0</v>
      </c>
      <c r="HC28" cm="1">
        <f t="array" ref="HC28">SUMPRODUCT((Y$2:Y$1000="PS")*(F$2:F$1000=GZ28)*ISNUMBER(SEARCH("selection",LOWER(Z$2:Z$1000)))*ISNUMBER(SEARCH(LOWER("heuristic"),LOWER(AB$2:AB$1000))))</f>
        <v>0</v>
      </c>
      <c r="HD28" cm="1">
        <f t="array" ref="HD28">SUMPRODUCT((Y$2:Y$1000="PS")*(F$2:F$1000=GZ28)*ISNUMBER(SEARCH("selection",LOWER(Z$2:Z$1000)))*ISNUMBER(SEARCH(LOWER("ml"),LOWER(AB$2:AB$1000))))</f>
        <v>1</v>
      </c>
      <c r="HE28" cm="1">
        <f t="array" ref="HE28">SUMPRODUCT((Y$2:Y$1000="PS")*(F$2:F$1000=GZ28)*ISNUMBER(SEARCH("selection",LOWER(Z$2:Z$1000)))*ISNUMBER(SEARCH(LOWER("rule"),LOWER(AB$2:AB$1000))))</f>
        <v>0</v>
      </c>
      <c r="HF28" cm="1">
        <f t="array" ref="HF28">SUMPRODUCT((Y$2:Y$1000="PS")*(F$2:F$1000=GZ28)*ISNUMBER(SEARCH("selection",LOWER(Z$2:Z$1000)))*ISNUMBER(SEARCH(LOWER("similarity"),LOWER(AB$2:AB$1000))))</f>
        <v>0</v>
      </c>
      <c r="HG28" cm="1">
        <f t="array" ref="HG28">SUMPRODUCT((Y$2:Y$1000="PS")*(F$2:F$1000=GZ28)*ISNUMBER(SEARCH("selection",LOWER(Z$2:Z$1000)))*ISNUMBER(SEARCH(LOWER("model"),LOWER(AB$2:AB$1000))))</f>
        <v>0</v>
      </c>
      <c r="HH28" cm="1">
        <f t="array" ref="HH28">SUMPRODUCT((Y$2:Y$1000="PS")*(F$2:F$1000=GZ28)*ISNUMBER(SEARCH("selection",LOWER(Z$2:Z$1000)))*ISNUMBER(SEARCH(LOWER("dependency"),LOWER(AB$2:AB$1000))))</f>
        <v>0</v>
      </c>
      <c r="HI28" cm="1">
        <f t="array" ref="HI28">SUMPRODUCT((Y$2:Y$1000="PS")*(F$2:F$1000=GZ28)*ISNUMBER(SEARCH("selection",LOWER(Z$2:Z$1000)))*ISNUMBER(SEARCH(LOWER("quantum"),LOWER(AB$2:AB$1000))))</f>
        <v>0</v>
      </c>
      <c r="HJ28" cm="1">
        <f t="array" ref="HJ28">SUMPRODUCT((Y$2:Y$1000="PS")*(F$2:F$1000=GZ28)*ISNUMBER(SEARCH("selection",LOWER(Z$2:Z$1000)))*ISNUMBER(SEARCH(LOWER("genetic"),LOWER(AB$2:AB$1000))))</f>
        <v>0</v>
      </c>
      <c r="HK28" cm="1">
        <f t="array" ref="HK28">SUMPRODUCT((Y$2:Y$1000="PS")*(F$2:F$1000=GZ28)*ISNUMBER(SEARCH("selection",LOWER(Z$2:Z$1000)))*ISNUMBER(SEARCH(LOWER("graph"),LOWER(AB$2:AB$1000))))</f>
        <v>0</v>
      </c>
      <c r="HL28" cm="1">
        <f t="array" ref="HL28">SUMPRODUCT((Y$2:Y$1000="PS")*(F$2:F$1000=GZ28)*ISNUMBER(SEARCH("selection",LOWER(Z$2:Z$1000)))*ISNUMBER(SEARCH(LOWER("greedy"),LOWER(AB$2:AB$1000))))</f>
        <v>0</v>
      </c>
      <c r="HM28" cm="1">
        <f t="array" ref="HM28">SUMPRODUCT((Y$2:Y$1000="PS")*(F$2:F$1000=GZ28)*ISNUMBER(SEARCH("selection",LOWER(Z$2:Z$1000)))*ISNUMBER(SEARCH(LOWER("dynamic"),LOWER(AB$2:AB$1000))))</f>
        <v>0</v>
      </c>
    </row>
    <row r="29" spans="1:221" ht="409.6">
      <c r="A29" s="2">
        <v>8539203</v>
      </c>
      <c r="B29" s="2" t="s">
        <v>34</v>
      </c>
      <c r="C29" s="2" t="s">
        <v>386</v>
      </c>
      <c r="D29" s="2" t="s">
        <v>387</v>
      </c>
      <c r="E29" s="2" t="s">
        <v>388</v>
      </c>
      <c r="F29" s="2">
        <v>2018</v>
      </c>
      <c r="G29" s="2"/>
      <c r="H29" s="2"/>
      <c r="I29" s="2" t="s">
        <v>389</v>
      </c>
      <c r="J29" s="2" t="s">
        <v>390</v>
      </c>
      <c r="K29" s="2" t="s">
        <v>391</v>
      </c>
      <c r="L29" s="2" t="s">
        <v>392</v>
      </c>
      <c r="M29" s="2"/>
      <c r="N29" s="2" t="s">
        <v>393</v>
      </c>
      <c r="O29" s="2"/>
      <c r="P29" s="2"/>
      <c r="Q29" s="2"/>
      <c r="R29" s="2"/>
      <c r="S29" s="2"/>
      <c r="T29" s="2"/>
      <c r="U29" s="2"/>
      <c r="V29" s="2"/>
      <c r="W29" s="2"/>
      <c r="X29" s="2" t="s">
        <v>394</v>
      </c>
      <c r="Y29" s="2" t="s">
        <v>58</v>
      </c>
      <c r="Z29" s="2" t="s">
        <v>355</v>
      </c>
      <c r="AA29" s="2" t="s">
        <v>1410</v>
      </c>
      <c r="AB29" s="2" t="s">
        <v>1423</v>
      </c>
      <c r="AC29" s="2" t="s">
        <v>384</v>
      </c>
      <c r="AD29" s="2" t="s">
        <v>396</v>
      </c>
      <c r="AE29" s="2" t="s">
        <v>397</v>
      </c>
      <c r="AF29" s="2" t="s">
        <v>184</v>
      </c>
      <c r="AG29" s="2" t="s">
        <v>398</v>
      </c>
      <c r="AH29" s="2">
        <v>0.5</v>
      </c>
      <c r="AK29">
        <f t="shared" si="6"/>
        <v>1</v>
      </c>
      <c r="AL29">
        <f t="shared" si="0"/>
        <v>0</v>
      </c>
      <c r="AM29">
        <f t="shared" si="1"/>
        <v>0</v>
      </c>
      <c r="AN29">
        <f t="shared" si="2"/>
        <v>1</v>
      </c>
      <c r="EM29">
        <v>2022</v>
      </c>
      <c r="EN29" cm="1">
        <f t="array" ref="EN29">SUMPRODUCT((Y$2:Y$1000="PS")*(F$2:F$1000=EM29)*ISNUMBER(SEARCH("selection",LOWER(Z$2:Z$1000)))*ISNUMBER(SEARCH(LOWER("0"),LOWER(AH$2:AH$1000))))</f>
        <v>1</v>
      </c>
      <c r="EO29" cm="1">
        <f t="array" ref="EO29">SUMPRODUCT((Y$2:Y$1000="PS")*(F$2:F$1000=EM29)*ISNUMBER(SEARCH("selection",LOWER(Z$2:Z$1000)))*ISNUMBER(SEARCH(LOWER("0,5"),LOWER(AH$2:AH$1000))))</f>
        <v>1</v>
      </c>
      <c r="EP29" cm="1">
        <f t="array" ref="EP29">SUMPRODUCT((Y$2:Y$1000="PS")*(F$2:F$1000=EM29)*ISNUMBER(SEARCH("selection",LOWER(Z$2:Z$1000)))*ISNUMBER(SEARCH(LOWER("1"),LOWER(AH$2:AH$1000))))</f>
        <v>0</v>
      </c>
      <c r="FQ29" t="s">
        <v>1292</v>
      </c>
      <c r="FR29" s="35" cm="1">
        <f t="array" ref="FR29">SUMPRODUCT((Y$2:Y$1000="PS")*ISNUMBER(SEARCH(LOWER(FQ29),LOWER(AA$2:AA$1000)))*ISNUMBER(SEARCH("selection",LOWER(Z$2:Z$1000))))</f>
        <v>0</v>
      </c>
      <c r="GZ29">
        <v>2022</v>
      </c>
      <c r="HA29" cm="1">
        <f t="array" ref="HA29">SUMPRODUCT((Y$2:Y$1000="PS")*(F$2:F$1000=GZ29)*ISNUMBER(SEARCH("selection",LOWER(Z$2:Z$1000)))*ISNUMBER(SEARCH(LOWER("metaheuristic"),LOWER(AB$2:AB$1000))))</f>
        <v>0</v>
      </c>
      <c r="HB29" cm="1">
        <f t="array" ref="HB29">SUMPRODUCT((Y$2:Y$1000="PS")*(F$2:F$1000=GZ29)*ISNUMBER(SEARCH("selection",LOWER(Z$2:Z$1000)))*ISNUMBER(SEARCH(LOWER("search"),LOWER(AB$2:AB$1000))))</f>
        <v>0</v>
      </c>
      <c r="HC29" cm="1">
        <f t="array" ref="HC29">SUMPRODUCT((Y$2:Y$1000="PS")*(F$2:F$1000=GZ29)*ISNUMBER(SEARCH("selection",LOWER(Z$2:Z$1000)))*ISNUMBER(SEARCH(LOWER("heuristic"),LOWER(AB$2:AB$1000))))</f>
        <v>1</v>
      </c>
      <c r="HD29" cm="1">
        <f t="array" ref="HD29">SUMPRODUCT((Y$2:Y$1000="PS")*(F$2:F$1000=GZ29)*ISNUMBER(SEARCH("selection",LOWER(Z$2:Z$1000)))*ISNUMBER(SEARCH(LOWER("ml"),LOWER(AB$2:AB$1000))))</f>
        <v>0</v>
      </c>
      <c r="HE29" cm="1">
        <f t="array" ref="HE29">SUMPRODUCT((Y$2:Y$1000="PS")*(F$2:F$1000=GZ29)*ISNUMBER(SEARCH("selection",LOWER(Z$2:Z$1000)))*ISNUMBER(SEARCH(LOWER("rule"),LOWER(AB$2:AB$1000))))</f>
        <v>0</v>
      </c>
      <c r="HF29" cm="1">
        <f t="array" ref="HF29">SUMPRODUCT((Y$2:Y$1000="PS")*(F$2:F$1000=GZ29)*ISNUMBER(SEARCH("selection",LOWER(Z$2:Z$1000)))*ISNUMBER(SEARCH(LOWER("similarity"),LOWER(AB$2:AB$1000))))</f>
        <v>0</v>
      </c>
      <c r="HG29" cm="1">
        <f t="array" ref="HG29">SUMPRODUCT((Y$2:Y$1000="PS")*(F$2:F$1000=GZ29)*ISNUMBER(SEARCH("selection",LOWER(Z$2:Z$1000)))*ISNUMBER(SEARCH(LOWER("model"),LOWER(AB$2:AB$1000))))</f>
        <v>0</v>
      </c>
      <c r="HH29" cm="1">
        <f t="array" ref="HH29">SUMPRODUCT((Y$2:Y$1000="PS")*(F$2:F$1000=GZ29)*ISNUMBER(SEARCH("selection",LOWER(Z$2:Z$1000)))*ISNUMBER(SEARCH(LOWER("dependency"),LOWER(AB$2:AB$1000))))</f>
        <v>0</v>
      </c>
      <c r="HI29" cm="1">
        <f t="array" ref="HI29">SUMPRODUCT((Y$2:Y$1000="PS")*(F$2:F$1000=GZ29)*ISNUMBER(SEARCH("selection",LOWER(Z$2:Z$1000)))*ISNUMBER(SEARCH(LOWER("quantum"),LOWER(AB$2:AB$1000))))</f>
        <v>0</v>
      </c>
      <c r="HJ29" cm="1">
        <f t="array" ref="HJ29">SUMPRODUCT((Y$2:Y$1000="PS")*(F$2:F$1000=GZ29)*ISNUMBER(SEARCH("selection",LOWER(Z$2:Z$1000)))*ISNUMBER(SEARCH(LOWER("genetic"),LOWER(AB$2:AB$1000))))</f>
        <v>0</v>
      </c>
      <c r="HK29" cm="1">
        <f t="array" ref="HK29">SUMPRODUCT((Y$2:Y$1000="PS")*(F$2:F$1000=GZ29)*ISNUMBER(SEARCH("selection",LOWER(Z$2:Z$1000)))*ISNUMBER(SEARCH(LOWER("graph"),LOWER(AB$2:AB$1000))))</f>
        <v>0</v>
      </c>
      <c r="HL29" cm="1">
        <f t="array" ref="HL29">SUMPRODUCT((Y$2:Y$1000="PS")*(F$2:F$1000=GZ29)*ISNUMBER(SEARCH("selection",LOWER(Z$2:Z$1000)))*ISNUMBER(SEARCH(LOWER("greedy"),LOWER(AB$2:AB$1000))))</f>
        <v>0</v>
      </c>
      <c r="HM29" cm="1">
        <f t="array" ref="HM29">SUMPRODUCT((Y$2:Y$1000="PS")*(F$2:F$1000=GZ29)*ISNUMBER(SEARCH("selection",LOWER(Z$2:Z$1000)))*ISNUMBER(SEARCH(LOWER("dynamic"),LOWER(AB$2:AB$1000))))</f>
        <v>0</v>
      </c>
    </row>
    <row r="30" spans="1:221" ht="409.6">
      <c r="A30" s="2">
        <v>6928903</v>
      </c>
      <c r="B30" s="2" t="s">
        <v>34</v>
      </c>
      <c r="C30" s="2" t="s">
        <v>399</v>
      </c>
      <c r="D30" s="2" t="s">
        <v>400</v>
      </c>
      <c r="E30" s="2" t="s">
        <v>401</v>
      </c>
      <c r="F30" s="2">
        <v>2014</v>
      </c>
      <c r="G30" s="2"/>
      <c r="H30" s="2"/>
      <c r="I30" s="2" t="s">
        <v>402</v>
      </c>
      <c r="J30" s="2" t="s">
        <v>403</v>
      </c>
      <c r="K30" s="2" t="s">
        <v>404</v>
      </c>
      <c r="L30" s="2" t="s">
        <v>405</v>
      </c>
      <c r="M30" s="2"/>
      <c r="N30" s="2" t="s">
        <v>102</v>
      </c>
      <c r="O30" s="2"/>
      <c r="P30" s="2"/>
      <c r="Q30" s="2"/>
      <c r="R30" s="2"/>
      <c r="S30" s="2"/>
      <c r="T30" s="2"/>
      <c r="U30" s="2"/>
      <c r="V30" s="2"/>
      <c r="W30" s="2"/>
      <c r="X30" s="2" t="s">
        <v>406</v>
      </c>
      <c r="Y30" s="2" t="s">
        <v>58</v>
      </c>
      <c r="Z30" s="2" t="s">
        <v>407</v>
      </c>
      <c r="AA30" s="2" t="s">
        <v>408</v>
      </c>
      <c r="AB30" s="2" t="s">
        <v>409</v>
      </c>
      <c r="AC30" s="2" t="s">
        <v>131</v>
      </c>
      <c r="AD30" s="2" t="s">
        <v>410</v>
      </c>
      <c r="AE30" s="2"/>
      <c r="AF30" s="2" t="s">
        <v>411</v>
      </c>
      <c r="AG30" s="2" t="s">
        <v>66</v>
      </c>
      <c r="AH30" s="2">
        <v>0.5</v>
      </c>
      <c r="AK30">
        <f t="shared" si="6"/>
        <v>1</v>
      </c>
      <c r="AL30">
        <f t="shared" si="0"/>
        <v>0</v>
      </c>
      <c r="AM30">
        <f t="shared" si="1"/>
        <v>0</v>
      </c>
      <c r="AN30">
        <f t="shared" si="2"/>
        <v>1</v>
      </c>
      <c r="EM30">
        <v>2023</v>
      </c>
      <c r="EN30" cm="1">
        <f t="array" ref="EN30">SUMPRODUCT((Y$2:Y$1000="PS")*(F$2:F$1000=EM30)*ISNUMBER(SEARCH("selection",LOWER(Z$2:Z$1000)))*ISNUMBER(SEARCH(LOWER("0"),LOWER(AH$2:AH$1000))))</f>
        <v>0</v>
      </c>
      <c r="EO30" cm="1">
        <f t="array" ref="EO30">SUMPRODUCT((Y$2:Y$1000="PS")*(F$2:F$1000=EM30)*ISNUMBER(SEARCH("selection",LOWER(Z$2:Z$1000)))*ISNUMBER(SEARCH(LOWER("0,5"),LOWER(AH$2:AH$1000))))</f>
        <v>0</v>
      </c>
      <c r="EP30" cm="1">
        <f t="array" ref="EP30">SUMPRODUCT((Y$2:Y$1000="PS")*(F$2:F$1000=EM30)*ISNUMBER(SEARCH("selection",LOWER(Z$2:Z$1000)))*ISNUMBER(SEARCH(LOWER("1"),LOWER(AH$2:AH$1000))))</f>
        <v>1</v>
      </c>
      <c r="FQ30" t="s">
        <v>1293</v>
      </c>
      <c r="FR30" s="35" cm="1">
        <f t="array" ref="FR30">SUMPRODUCT((Y$2:Y$1000="PS")*ISNUMBER(SEARCH(LOWER(FQ30),LOWER(AA$2:AA$1000)))*ISNUMBER(SEARCH("selection",LOWER(Z$2:Z$1000))))</f>
        <v>3</v>
      </c>
      <c r="GZ30">
        <v>2023</v>
      </c>
      <c r="HA30" cm="1">
        <f t="array" ref="HA30">SUMPRODUCT((Y$2:Y$1000="PS")*(F$2:F$1000=GZ30)*ISNUMBER(SEARCH("selection",LOWER(Z$2:Z$1000)))*ISNUMBER(SEARCH(LOWER("metaheuristic"),LOWER(AB$2:AB$1000))))</f>
        <v>0</v>
      </c>
      <c r="HB30" cm="1">
        <f t="array" ref="HB30">SUMPRODUCT((Y$2:Y$1000="PS")*(F$2:F$1000=GZ30)*ISNUMBER(SEARCH("selection",LOWER(Z$2:Z$1000)))*ISNUMBER(SEARCH(LOWER("search"),LOWER(AB$2:AB$1000))))</f>
        <v>0</v>
      </c>
      <c r="HC30" cm="1">
        <f t="array" ref="HC30">SUMPRODUCT((Y$2:Y$1000="PS")*(F$2:F$1000=GZ30)*ISNUMBER(SEARCH("selection",LOWER(Z$2:Z$1000)))*ISNUMBER(SEARCH(LOWER("heuristic"),LOWER(AB$2:AB$1000))))</f>
        <v>0</v>
      </c>
      <c r="HD30" cm="1">
        <f t="array" ref="HD30">SUMPRODUCT((Y$2:Y$1000="PS")*(F$2:F$1000=GZ30)*ISNUMBER(SEARCH("selection",LOWER(Z$2:Z$1000)))*ISNUMBER(SEARCH(LOWER("ml"),LOWER(AB$2:AB$1000))))</f>
        <v>0</v>
      </c>
      <c r="HE30" cm="1">
        <f t="array" ref="HE30">SUMPRODUCT((Y$2:Y$1000="PS")*(F$2:F$1000=GZ30)*ISNUMBER(SEARCH("selection",LOWER(Z$2:Z$1000)))*ISNUMBER(SEARCH(LOWER("rule"),LOWER(AB$2:AB$1000))))</f>
        <v>0</v>
      </c>
      <c r="HF30" cm="1">
        <f t="array" ref="HF30">SUMPRODUCT((Y$2:Y$1000="PS")*(F$2:F$1000=GZ30)*ISNUMBER(SEARCH("selection",LOWER(Z$2:Z$1000)))*ISNUMBER(SEARCH(LOWER("similarity"),LOWER(AB$2:AB$1000))))</f>
        <v>0</v>
      </c>
      <c r="HG30" cm="1">
        <f t="array" ref="HG30">SUMPRODUCT((Y$2:Y$1000="PS")*(F$2:F$1000=GZ30)*ISNUMBER(SEARCH("selection",LOWER(Z$2:Z$1000)))*ISNUMBER(SEARCH(LOWER("model"),LOWER(AB$2:AB$1000))))</f>
        <v>0</v>
      </c>
      <c r="HH30" cm="1">
        <f t="array" ref="HH30">SUMPRODUCT((Y$2:Y$1000="PS")*(F$2:F$1000=GZ30)*ISNUMBER(SEARCH("selection",LOWER(Z$2:Z$1000)))*ISNUMBER(SEARCH(LOWER("dependency"),LOWER(AB$2:AB$1000))))</f>
        <v>0</v>
      </c>
      <c r="HI30" cm="1">
        <f t="array" ref="HI30">SUMPRODUCT((Y$2:Y$1000="PS")*(F$2:F$1000=GZ30)*ISNUMBER(SEARCH("selection",LOWER(Z$2:Z$1000)))*ISNUMBER(SEARCH(LOWER("quantum"),LOWER(AB$2:AB$1000))))</f>
        <v>0</v>
      </c>
      <c r="HJ30" cm="1">
        <f t="array" ref="HJ30">SUMPRODUCT((Y$2:Y$1000="PS")*(F$2:F$1000=GZ30)*ISNUMBER(SEARCH("selection",LOWER(Z$2:Z$1000)))*ISNUMBER(SEARCH(LOWER("genetic"),LOWER(AB$2:AB$1000))))</f>
        <v>0</v>
      </c>
      <c r="HK30" cm="1">
        <f t="array" ref="HK30">SUMPRODUCT((Y$2:Y$1000="PS")*(F$2:F$1000=GZ30)*ISNUMBER(SEARCH("selection",LOWER(Z$2:Z$1000)))*ISNUMBER(SEARCH(LOWER("graph"),LOWER(AB$2:AB$1000))))</f>
        <v>0</v>
      </c>
      <c r="HL30" cm="1">
        <f t="array" ref="HL30">SUMPRODUCT((Y$2:Y$1000="PS")*(F$2:F$1000=GZ30)*ISNUMBER(SEARCH("selection",LOWER(Z$2:Z$1000)))*ISNUMBER(SEARCH(LOWER("greedy"),LOWER(AB$2:AB$1000))))</f>
        <v>0</v>
      </c>
      <c r="HM30" cm="1">
        <f t="array" ref="HM30">SUMPRODUCT((Y$2:Y$1000="PS")*(F$2:F$1000=GZ30)*ISNUMBER(SEARCH("selection",LOWER(Z$2:Z$1000)))*ISNUMBER(SEARCH(LOWER("dynamic"),LOWER(AB$2:AB$1000))))</f>
        <v>0</v>
      </c>
    </row>
    <row r="31" spans="1:221" ht="409.6">
      <c r="A31" s="2">
        <v>7091286</v>
      </c>
      <c r="B31" s="2" t="s">
        <v>34</v>
      </c>
      <c r="C31" s="2" t="s">
        <v>412</v>
      </c>
      <c r="D31" s="2" t="s">
        <v>413</v>
      </c>
      <c r="E31" s="2" t="s">
        <v>414</v>
      </c>
      <c r="F31" s="2">
        <v>2014</v>
      </c>
      <c r="G31" s="2">
        <v>1</v>
      </c>
      <c r="H31" s="2"/>
      <c r="I31" s="2" t="s">
        <v>415</v>
      </c>
      <c r="J31" s="2" t="s">
        <v>416</v>
      </c>
      <c r="K31" s="2" t="s">
        <v>417</v>
      </c>
      <c r="L31" s="2" t="s">
        <v>418</v>
      </c>
      <c r="M31" s="2" t="s">
        <v>419</v>
      </c>
      <c r="N31" s="2" t="s">
        <v>167</v>
      </c>
      <c r="O31" s="2"/>
      <c r="P31" s="2"/>
      <c r="Q31" s="2"/>
      <c r="R31" s="2"/>
      <c r="S31" s="2"/>
      <c r="T31" s="2"/>
      <c r="U31" s="2"/>
      <c r="V31" s="2"/>
      <c r="W31" s="2"/>
      <c r="X31" s="2" t="s">
        <v>420</v>
      </c>
      <c r="Y31" s="2" t="s">
        <v>58</v>
      </c>
      <c r="Z31" s="2" t="s">
        <v>407</v>
      </c>
      <c r="AA31" s="2" t="s">
        <v>114</v>
      </c>
      <c r="AB31" s="2" t="s">
        <v>271</v>
      </c>
      <c r="AC31" s="2" t="s">
        <v>208</v>
      </c>
      <c r="AD31" s="2" t="s">
        <v>421</v>
      </c>
      <c r="AE31" s="2" t="s">
        <v>422</v>
      </c>
      <c r="AF31" s="2" t="s">
        <v>423</v>
      </c>
      <c r="AG31" s="2" t="s">
        <v>424</v>
      </c>
      <c r="AH31" s="2">
        <v>0.5</v>
      </c>
      <c r="AK31">
        <f t="shared" si="6"/>
        <v>1</v>
      </c>
      <c r="AL31">
        <f t="shared" si="0"/>
        <v>0</v>
      </c>
      <c r="AM31">
        <f t="shared" si="1"/>
        <v>0</v>
      </c>
      <c r="AN31">
        <f t="shared" si="2"/>
        <v>1</v>
      </c>
      <c r="EM31">
        <v>2024</v>
      </c>
      <c r="EN31" cm="1">
        <f t="array" ref="EN31">SUMPRODUCT((Y$2:Y$1000="PS")*(F$2:F$1000=EM31)*ISNUMBER(SEARCH("selection",LOWER(Z$2:Z$1000)))*ISNUMBER(SEARCH(LOWER("0"),LOWER(AH$2:AH$1000))))</f>
        <v>1</v>
      </c>
      <c r="EO31" cm="1">
        <f t="array" ref="EO31">SUMPRODUCT((Y$2:Y$1000="PS")*(F$2:F$1000=EM31)*ISNUMBER(SEARCH("selection",LOWER(Z$2:Z$1000)))*ISNUMBER(SEARCH(LOWER("0,5"),LOWER(AH$2:AH$1000))))</f>
        <v>0</v>
      </c>
      <c r="EP31" cm="1">
        <f t="array" ref="EP31">SUMPRODUCT((Y$2:Y$1000="PS")*(F$2:F$1000=EM31)*ISNUMBER(SEARCH("selection",LOWER(Z$2:Z$1000)))*ISNUMBER(SEARCH(LOWER("1"),LOWER(AH$2:AH$1000))))</f>
        <v>0</v>
      </c>
      <c r="FQ31" t="s">
        <v>1294</v>
      </c>
      <c r="FR31" s="35" cm="1">
        <f t="array" ref="FR31">SUMPRODUCT((Y$2:Y$1000="PS")*ISNUMBER(SEARCH(LOWER(FQ31),LOWER(AA$2:AA$1000)))*ISNUMBER(SEARCH("selection",LOWER(Z$2:Z$1000))))</f>
        <v>0</v>
      </c>
      <c r="GZ31">
        <v>2024</v>
      </c>
      <c r="HA31" cm="1">
        <f t="array" ref="HA31">SUMPRODUCT((Y$2:Y$1000="PS")*(F$2:F$1000=GZ31)*ISNUMBER(SEARCH("selection",LOWER(Z$2:Z$1000)))*ISNUMBER(SEARCH(LOWER("metaheuristic"),LOWER(AB$2:AB$1000))))</f>
        <v>0</v>
      </c>
      <c r="HB31" cm="1">
        <f t="array" ref="HB31">SUMPRODUCT((Y$2:Y$1000="PS")*(F$2:F$1000=GZ31)*ISNUMBER(SEARCH("selection",LOWER(Z$2:Z$1000)))*ISNUMBER(SEARCH(LOWER("search"),LOWER(AB$2:AB$1000))))</f>
        <v>0</v>
      </c>
      <c r="HC31" cm="1">
        <f t="array" ref="HC31">SUMPRODUCT((Y$2:Y$1000="PS")*(F$2:F$1000=GZ31)*ISNUMBER(SEARCH("selection",LOWER(Z$2:Z$1000)))*ISNUMBER(SEARCH(LOWER("heuristic"),LOWER(AB$2:AB$1000))))</f>
        <v>1</v>
      </c>
      <c r="HD31" cm="1">
        <f t="array" ref="HD31">SUMPRODUCT((Y$2:Y$1000="PS")*(F$2:F$1000=GZ31)*ISNUMBER(SEARCH("selection",LOWER(Z$2:Z$1000)))*ISNUMBER(SEARCH(LOWER("ml"),LOWER(AB$2:AB$1000))))</f>
        <v>0</v>
      </c>
      <c r="HE31" cm="1">
        <f t="array" ref="HE31">SUMPRODUCT((Y$2:Y$1000="PS")*(F$2:F$1000=GZ31)*ISNUMBER(SEARCH("selection",LOWER(Z$2:Z$1000)))*ISNUMBER(SEARCH(LOWER("rule"),LOWER(AB$2:AB$1000))))</f>
        <v>0</v>
      </c>
      <c r="HF31" cm="1">
        <f t="array" ref="HF31">SUMPRODUCT((Y$2:Y$1000="PS")*(F$2:F$1000=GZ31)*ISNUMBER(SEARCH("selection",LOWER(Z$2:Z$1000)))*ISNUMBER(SEARCH(LOWER("similarity"),LOWER(AB$2:AB$1000))))</f>
        <v>0</v>
      </c>
      <c r="HG31" cm="1">
        <f t="array" ref="HG31">SUMPRODUCT((Y$2:Y$1000="PS")*(F$2:F$1000=GZ31)*ISNUMBER(SEARCH("selection",LOWER(Z$2:Z$1000)))*ISNUMBER(SEARCH(LOWER("model"),LOWER(AB$2:AB$1000))))</f>
        <v>0</v>
      </c>
      <c r="HH31" cm="1">
        <f t="array" ref="HH31">SUMPRODUCT((Y$2:Y$1000="PS")*(F$2:F$1000=GZ31)*ISNUMBER(SEARCH("selection",LOWER(Z$2:Z$1000)))*ISNUMBER(SEARCH(LOWER("dependency"),LOWER(AB$2:AB$1000))))</f>
        <v>0</v>
      </c>
      <c r="HI31" cm="1">
        <f t="array" ref="HI31">SUMPRODUCT((Y$2:Y$1000="PS")*(F$2:F$1000=GZ31)*ISNUMBER(SEARCH("selection",LOWER(Z$2:Z$1000)))*ISNUMBER(SEARCH(LOWER("quantum"),LOWER(AB$2:AB$1000))))</f>
        <v>0</v>
      </c>
      <c r="HJ31" cm="1">
        <f t="array" ref="HJ31">SUMPRODUCT((Y$2:Y$1000="PS")*(F$2:F$1000=GZ31)*ISNUMBER(SEARCH("selection",LOWER(Z$2:Z$1000)))*ISNUMBER(SEARCH(LOWER("genetic"),LOWER(AB$2:AB$1000))))</f>
        <v>0</v>
      </c>
      <c r="HK31" cm="1">
        <f t="array" ref="HK31">SUMPRODUCT((Y$2:Y$1000="PS")*(F$2:F$1000=GZ31)*ISNUMBER(SEARCH("selection",LOWER(Z$2:Z$1000)))*ISNUMBER(SEARCH(LOWER("graph"),LOWER(AB$2:AB$1000))))</f>
        <v>0</v>
      </c>
      <c r="HL31" cm="1">
        <f t="array" ref="HL31">SUMPRODUCT((Y$2:Y$1000="PS")*(F$2:F$1000=GZ31)*ISNUMBER(SEARCH("selection",LOWER(Z$2:Z$1000)))*ISNUMBER(SEARCH(LOWER("greedy"),LOWER(AB$2:AB$1000))))</f>
        <v>0</v>
      </c>
      <c r="HM31" cm="1">
        <f t="array" ref="HM31">SUMPRODUCT((Y$2:Y$1000="PS")*(F$2:F$1000=GZ31)*ISNUMBER(SEARCH("selection",LOWER(Z$2:Z$1000)))*ISNUMBER(SEARCH(LOWER("dynamic"),LOWER(AB$2:AB$1000))))</f>
        <v>0</v>
      </c>
    </row>
    <row r="32" spans="1:221" ht="409.6">
      <c r="A32" s="2">
        <v>10336260</v>
      </c>
      <c r="B32" s="2" t="s">
        <v>34</v>
      </c>
      <c r="C32" s="2" t="s">
        <v>425</v>
      </c>
      <c r="D32" s="2" t="s">
        <v>426</v>
      </c>
      <c r="E32" s="2" t="s">
        <v>427</v>
      </c>
      <c r="F32" s="2">
        <v>2023</v>
      </c>
      <c r="G32" s="2"/>
      <c r="H32" s="2"/>
      <c r="I32" s="2" t="s">
        <v>428</v>
      </c>
      <c r="J32" s="2" t="s">
        <v>429</v>
      </c>
      <c r="K32" s="2" t="s">
        <v>430</v>
      </c>
      <c r="L32" s="2" t="s">
        <v>431</v>
      </c>
      <c r="M32" s="2" t="s">
        <v>352</v>
      </c>
      <c r="N32" s="2" t="s">
        <v>393</v>
      </c>
      <c r="O32" s="2"/>
      <c r="P32" s="2"/>
      <c r="Q32" s="2"/>
      <c r="R32" s="2"/>
      <c r="S32" s="2"/>
      <c r="T32" s="2"/>
      <c r="U32" s="2"/>
      <c r="V32" s="2"/>
      <c r="W32" s="2"/>
      <c r="X32" s="2" t="s">
        <v>432</v>
      </c>
      <c r="Y32" s="2" t="s">
        <v>58</v>
      </c>
      <c r="Z32" s="2" t="s">
        <v>304</v>
      </c>
      <c r="AA32" s="2" t="s">
        <v>114</v>
      </c>
      <c r="AB32" s="2" t="s">
        <v>271</v>
      </c>
      <c r="AC32" s="2" t="s">
        <v>433</v>
      </c>
      <c r="AD32" s="2" t="s">
        <v>434</v>
      </c>
      <c r="AE32" s="2" t="s">
        <v>435</v>
      </c>
      <c r="AF32" s="2" t="s">
        <v>436</v>
      </c>
      <c r="AG32" s="2" t="s">
        <v>437</v>
      </c>
      <c r="AH32" s="2">
        <v>1</v>
      </c>
      <c r="AK32">
        <f t="shared" si="6"/>
        <v>1</v>
      </c>
      <c r="AL32">
        <f t="shared" si="0"/>
        <v>0</v>
      </c>
      <c r="AM32">
        <f t="shared" si="1"/>
        <v>0</v>
      </c>
      <c r="AN32">
        <f t="shared" si="2"/>
        <v>1</v>
      </c>
      <c r="EM32">
        <v>2025</v>
      </c>
      <c r="EN32" cm="1">
        <f t="array" ref="EN32">SUMPRODUCT((Y$2:Y$1000="PS")*(F$2:F$1000=EM32)*ISNUMBER(SEARCH("selection",LOWER(Z$2:Z$1000)))*ISNUMBER(SEARCH(LOWER("0"),LOWER(AH$2:AH$1000))))</f>
        <v>1</v>
      </c>
      <c r="EO32" cm="1">
        <f t="array" ref="EO32">SUMPRODUCT((Y$2:Y$1000="PS")*(F$2:F$1000=EM32)*ISNUMBER(SEARCH("selection",LOWER(Z$2:Z$1000)))*ISNUMBER(SEARCH(LOWER("0,5"),LOWER(AH$2:AH$1000))))</f>
        <v>1</v>
      </c>
      <c r="EP32" cm="1">
        <f t="array" ref="EP32">SUMPRODUCT((Y$2:Y$1000="PS")*(F$2:F$1000=EM32)*ISNUMBER(SEARCH("selection",LOWER(Z$2:Z$1000)))*ISNUMBER(SEARCH(LOWER("1"),LOWER(AH$2:AH$1000))))</f>
        <v>0</v>
      </c>
      <c r="FQ32" t="s">
        <v>1295</v>
      </c>
      <c r="FR32" s="35" cm="1">
        <f t="array" ref="FR32">SUMPRODUCT((Y$2:Y$1000="PS")*ISNUMBER(SEARCH(LOWER(FQ32),LOWER(AA$2:AA$1000)))*ISNUMBER(SEARCH("selection",LOWER(Z$2:Z$1000))))</f>
        <v>0</v>
      </c>
      <c r="GZ32">
        <v>2025</v>
      </c>
      <c r="HA32" cm="1">
        <f t="array" ref="HA32">SUMPRODUCT((Y$2:Y$1000="PS")*(F$2:F$1000=GZ32)*ISNUMBER(SEARCH("selection",LOWER(Z$2:Z$1000)))*ISNUMBER(SEARCH(LOWER("metaheuristic"),LOWER(AB$2:AB$1000))))</f>
        <v>0</v>
      </c>
      <c r="HB32" cm="1">
        <f t="array" ref="HB32">SUMPRODUCT((Y$2:Y$1000="PS")*(F$2:F$1000=GZ32)*ISNUMBER(SEARCH("selection",LOWER(Z$2:Z$1000)))*ISNUMBER(SEARCH(LOWER("search"),LOWER(AB$2:AB$1000))))</f>
        <v>0</v>
      </c>
      <c r="HC32" cm="1">
        <f t="array" ref="HC32">SUMPRODUCT((Y$2:Y$1000="PS")*(F$2:F$1000=GZ32)*ISNUMBER(SEARCH("selection",LOWER(Z$2:Z$1000)))*ISNUMBER(SEARCH(LOWER("heuristic"),LOWER(AB$2:AB$1000))))</f>
        <v>0</v>
      </c>
      <c r="HD32" cm="1">
        <f t="array" ref="HD32">SUMPRODUCT((Y$2:Y$1000="PS")*(F$2:F$1000=GZ32)*ISNUMBER(SEARCH("selection",LOWER(Z$2:Z$1000)))*ISNUMBER(SEARCH(LOWER("ml"),LOWER(AB$2:AB$1000))))</f>
        <v>0</v>
      </c>
      <c r="HE32" cm="1">
        <f t="array" ref="HE32">SUMPRODUCT((Y$2:Y$1000="PS")*(F$2:F$1000=GZ32)*ISNUMBER(SEARCH("selection",LOWER(Z$2:Z$1000)))*ISNUMBER(SEARCH(LOWER("rule"),LOWER(AB$2:AB$1000))))</f>
        <v>0</v>
      </c>
      <c r="HF32" cm="1">
        <f t="array" ref="HF32">SUMPRODUCT((Y$2:Y$1000="PS")*(F$2:F$1000=GZ32)*ISNUMBER(SEARCH("selection",LOWER(Z$2:Z$1000)))*ISNUMBER(SEARCH(LOWER("similarity"),LOWER(AB$2:AB$1000))))</f>
        <v>0</v>
      </c>
      <c r="HG32" cm="1">
        <f t="array" ref="HG32">SUMPRODUCT((Y$2:Y$1000="PS")*(F$2:F$1000=GZ32)*ISNUMBER(SEARCH("selection",LOWER(Z$2:Z$1000)))*ISNUMBER(SEARCH(LOWER("model"),LOWER(AB$2:AB$1000))))</f>
        <v>0</v>
      </c>
      <c r="HH32" cm="1">
        <f t="array" ref="HH32">SUMPRODUCT((Y$2:Y$1000="PS")*(F$2:F$1000=GZ32)*ISNUMBER(SEARCH("selection",LOWER(Z$2:Z$1000)))*ISNUMBER(SEARCH(LOWER("dependency"),LOWER(AB$2:AB$1000))))</f>
        <v>0</v>
      </c>
      <c r="HI32" cm="1">
        <f t="array" ref="HI32">SUMPRODUCT((Y$2:Y$1000="PS")*(F$2:F$1000=GZ32)*ISNUMBER(SEARCH("selection",LOWER(Z$2:Z$1000)))*ISNUMBER(SEARCH(LOWER("quantum"),LOWER(AB$2:AB$1000))))</f>
        <v>0</v>
      </c>
      <c r="HJ32" cm="1">
        <f t="array" ref="HJ32">SUMPRODUCT((Y$2:Y$1000="PS")*(F$2:F$1000=GZ32)*ISNUMBER(SEARCH("selection",LOWER(Z$2:Z$1000)))*ISNUMBER(SEARCH(LOWER("genetic"),LOWER(AB$2:AB$1000))))</f>
        <v>0</v>
      </c>
      <c r="HK32" cm="1">
        <f t="array" ref="HK32">SUMPRODUCT((Y$2:Y$1000="PS")*(F$2:F$1000=GZ32)*ISNUMBER(SEARCH("selection",LOWER(Z$2:Z$1000)))*ISNUMBER(SEARCH(LOWER("graph"),LOWER(AB$2:AB$1000))))</f>
        <v>1</v>
      </c>
      <c r="HL32" cm="1">
        <f t="array" ref="HL32">SUMPRODUCT((Y$2:Y$1000="PS")*(F$2:F$1000=GZ32)*ISNUMBER(SEARCH("selection",LOWER(Z$2:Z$1000)))*ISNUMBER(SEARCH(LOWER("greedy"),LOWER(AB$2:AB$1000))))</f>
        <v>0</v>
      </c>
      <c r="HM32" cm="1">
        <f t="array" ref="HM32">SUMPRODUCT((Y$2:Y$1000="PS")*(F$2:F$1000=GZ32)*ISNUMBER(SEARCH("selection",LOWER(Z$2:Z$1000)))*ISNUMBER(SEARCH(LOWER("dynamic"),LOWER(AB$2:AB$1000))))</f>
        <v>0</v>
      </c>
    </row>
    <row r="33" spans="1:221" ht="409.6">
      <c r="A33" s="2">
        <v>10304799</v>
      </c>
      <c r="B33" s="2" t="s">
        <v>34</v>
      </c>
      <c r="C33" s="2" t="s">
        <v>438</v>
      </c>
      <c r="D33" s="2" t="s">
        <v>439</v>
      </c>
      <c r="E33" s="2" t="s">
        <v>440</v>
      </c>
      <c r="F33" s="2">
        <v>2023</v>
      </c>
      <c r="G33" s="2"/>
      <c r="H33" s="2"/>
      <c r="I33" s="2" t="s">
        <v>441</v>
      </c>
      <c r="J33" s="2" t="s">
        <v>442</v>
      </c>
      <c r="K33" s="2" t="s">
        <v>443</v>
      </c>
      <c r="L33" s="2" t="s">
        <v>444</v>
      </c>
      <c r="M33" s="2"/>
      <c r="N33" s="2" t="s">
        <v>393</v>
      </c>
      <c r="O33" s="2"/>
      <c r="P33" s="2"/>
      <c r="Q33" s="2"/>
      <c r="R33" s="2"/>
      <c r="S33" s="2"/>
      <c r="T33" s="2"/>
      <c r="U33" s="2"/>
      <c r="V33" s="2"/>
      <c r="W33" s="2"/>
      <c r="X33" s="2" t="s">
        <v>445</v>
      </c>
      <c r="Y33" s="2" t="s">
        <v>58</v>
      </c>
      <c r="Z33" s="2" t="s">
        <v>1018</v>
      </c>
      <c r="AA33" s="2"/>
      <c r="AB33" s="2"/>
      <c r="AC33" s="2"/>
      <c r="AD33" s="2"/>
      <c r="AE33" s="2"/>
      <c r="AF33" s="2"/>
      <c r="AG33" s="2"/>
      <c r="AH33" s="2"/>
      <c r="AK33">
        <f t="shared" si="6"/>
        <v>1</v>
      </c>
      <c r="AL33">
        <f t="shared" si="0"/>
        <v>0</v>
      </c>
      <c r="AM33">
        <f t="shared" si="1"/>
        <v>1</v>
      </c>
      <c r="AN33">
        <f t="shared" si="2"/>
        <v>0</v>
      </c>
      <c r="EM33" t="s">
        <v>1404</v>
      </c>
      <c r="EN33">
        <f>SUM(EN20:EN32)</f>
        <v>17</v>
      </c>
      <c r="EO33">
        <f>SUM(EO20:EO32)</f>
        <v>5</v>
      </c>
      <c r="EP33">
        <f>SUM(EP20:EP32)</f>
        <v>3</v>
      </c>
      <c r="EQ33">
        <f>SUM(EN33:EP33)</f>
        <v>25</v>
      </c>
      <c r="FQ33" t="s">
        <v>1296</v>
      </c>
      <c r="FR33" s="35" cm="1">
        <f t="array" ref="FR33">SUMPRODUCT((Y$2:Y$1000="PS")*ISNUMBER(SEARCH(LOWER(FQ33),LOWER(AA$2:AA$1000)))*ISNUMBER(SEARCH("selection",LOWER(Z$2:Z$1000))))</f>
        <v>0</v>
      </c>
    </row>
    <row r="34" spans="1:221" ht="409.6">
      <c r="A34" s="2">
        <v>10011478</v>
      </c>
      <c r="B34" s="2" t="s">
        <v>34</v>
      </c>
      <c r="C34" s="2" t="s">
        <v>446</v>
      </c>
      <c r="D34" s="2" t="s">
        <v>447</v>
      </c>
      <c r="E34" s="2" t="s">
        <v>448</v>
      </c>
      <c r="F34" s="2">
        <v>2022</v>
      </c>
      <c r="G34" s="2"/>
      <c r="H34" s="2"/>
      <c r="I34" s="2" t="s">
        <v>449</v>
      </c>
      <c r="J34" s="2" t="s">
        <v>450</v>
      </c>
      <c r="K34" s="2" t="s">
        <v>451</v>
      </c>
      <c r="L34" s="2" t="s">
        <v>452</v>
      </c>
      <c r="M34" s="2"/>
      <c r="N34" s="2" t="s">
        <v>231</v>
      </c>
      <c r="O34" s="2"/>
      <c r="P34" s="2"/>
      <c r="Q34" s="2"/>
      <c r="R34" s="2"/>
      <c r="S34" s="2"/>
      <c r="T34" s="2"/>
      <c r="U34" s="2"/>
      <c r="V34" s="2"/>
      <c r="W34" s="2"/>
      <c r="X34" s="2" t="s">
        <v>453</v>
      </c>
      <c r="Y34" s="2" t="s">
        <v>58</v>
      </c>
      <c r="Z34" s="2" t="s">
        <v>220</v>
      </c>
      <c r="AA34" s="2" t="s">
        <v>408</v>
      </c>
      <c r="AB34" s="2" t="s">
        <v>1435</v>
      </c>
      <c r="AC34" s="2" t="s">
        <v>115</v>
      </c>
      <c r="AD34" s="2" t="s">
        <v>455</v>
      </c>
      <c r="AE34" s="2" t="s">
        <v>456</v>
      </c>
      <c r="AF34" s="2" t="s">
        <v>457</v>
      </c>
      <c r="AG34" s="2" t="s">
        <v>424</v>
      </c>
      <c r="AH34" s="2">
        <v>0.5</v>
      </c>
      <c r="AK34">
        <f t="shared" si="6"/>
        <v>1</v>
      </c>
      <c r="AL34">
        <f t="shared" si="0"/>
        <v>0</v>
      </c>
      <c r="AM34">
        <f t="shared" si="1"/>
        <v>0</v>
      </c>
      <c r="AN34">
        <f t="shared" si="2"/>
        <v>1</v>
      </c>
      <c r="FQ34" t="s">
        <v>1297</v>
      </c>
      <c r="FR34" s="35" cm="1">
        <f t="array" ref="FR34">SUMPRODUCT((Y$2:Y$1000="PS")*ISNUMBER(SEARCH(LOWER(FQ34),LOWER(AA$2:AA$1000)))*ISNUMBER(SEARCH("selection",LOWER(Z$2:Z$1000))))</f>
        <v>5</v>
      </c>
    </row>
    <row r="35" spans="1:221" ht="144">
      <c r="C35" t="s">
        <v>458</v>
      </c>
      <c r="D35" t="s">
        <v>459</v>
      </c>
      <c r="E35" t="s">
        <v>460</v>
      </c>
      <c r="F35">
        <v>2022</v>
      </c>
      <c r="J35" t="s">
        <v>461</v>
      </c>
      <c r="Y35" t="s">
        <v>58</v>
      </c>
      <c r="Z35" s="6" t="s">
        <v>462</v>
      </c>
      <c r="AA35" s="7" t="s">
        <v>142</v>
      </c>
      <c r="AB35" s="7" t="s">
        <v>463</v>
      </c>
      <c r="AC35" s="6"/>
      <c r="AD35" s="7" t="s">
        <v>464</v>
      </c>
      <c r="AE35" s="6" t="s">
        <v>465</v>
      </c>
      <c r="AF35" s="7" t="s">
        <v>466</v>
      </c>
      <c r="AG35" s="7" t="s">
        <v>467</v>
      </c>
      <c r="AH35" s="6">
        <v>1</v>
      </c>
      <c r="AK35">
        <f t="shared" si="6"/>
        <v>1</v>
      </c>
      <c r="AL35">
        <f t="shared" si="0"/>
        <v>0</v>
      </c>
      <c r="AM35">
        <f t="shared" si="1"/>
        <v>0</v>
      </c>
      <c r="AN35">
        <f t="shared" si="2"/>
        <v>1</v>
      </c>
      <c r="EM35" t="s">
        <v>1303</v>
      </c>
      <c r="FQ35" t="s">
        <v>1298</v>
      </c>
      <c r="FR35" s="35" cm="1">
        <f t="array" ref="FR35">SUMPRODUCT((Y$2:Y$1000="PS")*ISNUMBER(SEARCH(LOWER(FQ35),LOWER(AA$2:AA$1000)))*ISNUMBER(SEARCH("selection",LOWER(Z$2:Z$1000))))</f>
        <v>0</v>
      </c>
      <c r="FV35" t="s">
        <v>1309</v>
      </c>
    </row>
    <row r="36" spans="1:221" ht="409.6">
      <c r="C36" t="s">
        <v>468</v>
      </c>
      <c r="D36" t="s">
        <v>469</v>
      </c>
      <c r="E36" t="s">
        <v>470</v>
      </c>
      <c r="F36">
        <v>2018</v>
      </c>
      <c r="J36" t="s">
        <v>471</v>
      </c>
      <c r="Y36" t="s">
        <v>58</v>
      </c>
      <c r="Z36" s="6" t="s">
        <v>472</v>
      </c>
      <c r="AA36" s="7" t="s">
        <v>1418</v>
      </c>
      <c r="AB36" s="7" t="s">
        <v>1423</v>
      </c>
      <c r="AC36" s="8"/>
      <c r="AD36" s="6" t="s">
        <v>473</v>
      </c>
      <c r="AE36" s="6" t="s">
        <v>474</v>
      </c>
      <c r="AF36" s="7" t="s">
        <v>475</v>
      </c>
      <c r="AG36" s="7" t="s">
        <v>476</v>
      </c>
      <c r="AH36" s="7">
        <v>0.5</v>
      </c>
      <c r="AK36">
        <f t="shared" si="6"/>
        <v>1</v>
      </c>
      <c r="AL36">
        <f t="shared" si="0"/>
        <v>0</v>
      </c>
      <c r="AM36">
        <f t="shared" si="1"/>
        <v>1</v>
      </c>
      <c r="AN36">
        <f t="shared" si="2"/>
        <v>0</v>
      </c>
      <c r="EM36" t="s">
        <v>1307</v>
      </c>
      <c r="EN36">
        <v>0</v>
      </c>
      <c r="EO36">
        <v>0.5</v>
      </c>
      <c r="EP36">
        <v>1</v>
      </c>
      <c r="FQ36" t="s">
        <v>1299</v>
      </c>
      <c r="FR36" s="35" cm="1">
        <f t="array" ref="FR36">SUMPRODUCT((Y$2:Y$1000="PS")*ISNUMBER(SEARCH(LOWER(FQ36),LOWER(AA$2:AA$1000)))*ISNUMBER(SEARCH("selection",LOWER(Z$2:Z$1000))))</f>
        <v>0</v>
      </c>
      <c r="FV36" t="s">
        <v>1307</v>
      </c>
      <c r="FW36" t="s">
        <v>1375</v>
      </c>
      <c r="FX36" t="s">
        <v>1376</v>
      </c>
      <c r="FY36" t="s">
        <v>1377</v>
      </c>
      <c r="FZ36" t="s">
        <v>1378</v>
      </c>
      <c r="GA36" t="s">
        <v>868</v>
      </c>
      <c r="GB36" t="s">
        <v>1379</v>
      </c>
      <c r="GC36" t="s">
        <v>1380</v>
      </c>
      <c r="GD36" t="s">
        <v>1381</v>
      </c>
      <c r="GE36" t="s">
        <v>1382</v>
      </c>
      <c r="GF36" t="s">
        <v>1383</v>
      </c>
      <c r="GG36" t="s">
        <v>1384</v>
      </c>
      <c r="GH36" t="s">
        <v>1374</v>
      </c>
      <c r="GI36" t="s">
        <v>1385</v>
      </c>
      <c r="GJ36" t="s">
        <v>1386</v>
      </c>
      <c r="GK36" t="s">
        <v>1387</v>
      </c>
      <c r="GL36" t="s">
        <v>408</v>
      </c>
      <c r="GM36" t="s">
        <v>454</v>
      </c>
      <c r="GN36" t="s">
        <v>60</v>
      </c>
      <c r="GO36" t="s">
        <v>1388</v>
      </c>
      <c r="GP36" t="s">
        <v>1370</v>
      </c>
      <c r="GQ36" t="s">
        <v>1371</v>
      </c>
      <c r="GR36" t="s">
        <v>966</v>
      </c>
      <c r="GZ36" t="s">
        <v>1307</v>
      </c>
      <c r="HA36" t="s">
        <v>1311</v>
      </c>
      <c r="HB36" t="s">
        <v>1284</v>
      </c>
      <c r="HC36" t="s">
        <v>1283</v>
      </c>
      <c r="HD36" t="s">
        <v>1282</v>
      </c>
      <c r="HE36" t="s">
        <v>1312</v>
      </c>
      <c r="HF36" t="s">
        <v>1278</v>
      </c>
      <c r="HG36" t="s">
        <v>1276</v>
      </c>
      <c r="HH36" t="s">
        <v>1313</v>
      </c>
      <c r="HI36" t="s">
        <v>1314</v>
      </c>
      <c r="HJ36" t="s">
        <v>1315</v>
      </c>
      <c r="HK36" t="s">
        <v>1293</v>
      </c>
      <c r="HL36" t="s">
        <v>1316</v>
      </c>
      <c r="HM36" t="s">
        <v>1292</v>
      </c>
    </row>
    <row r="37" spans="1:221" ht="112">
      <c r="C37" t="s">
        <v>477</v>
      </c>
      <c r="D37" t="s">
        <v>478</v>
      </c>
      <c r="E37" t="s">
        <v>479</v>
      </c>
      <c r="F37">
        <v>2016</v>
      </c>
      <c r="J37" t="s">
        <v>480</v>
      </c>
      <c r="Y37" t="s">
        <v>58</v>
      </c>
      <c r="Z37" s="6" t="s">
        <v>481</v>
      </c>
      <c r="AA37" s="7" t="s">
        <v>408</v>
      </c>
      <c r="AB37" s="7" t="s">
        <v>787</v>
      </c>
      <c r="AC37" s="7" t="s">
        <v>115</v>
      </c>
      <c r="AD37" s="7" t="s">
        <v>482</v>
      </c>
      <c r="AE37" s="6" t="s">
        <v>483</v>
      </c>
      <c r="AF37" s="7" t="s">
        <v>484</v>
      </c>
      <c r="AG37" s="7" t="s">
        <v>485</v>
      </c>
      <c r="AH37" s="7">
        <v>1</v>
      </c>
      <c r="AK37">
        <f t="shared" si="6"/>
        <v>1</v>
      </c>
      <c r="AL37">
        <f t="shared" si="0"/>
        <v>0</v>
      </c>
      <c r="AM37">
        <f t="shared" si="1"/>
        <v>0</v>
      </c>
      <c r="AN37">
        <f t="shared" si="2"/>
        <v>1</v>
      </c>
      <c r="EM37">
        <v>2013</v>
      </c>
      <c r="EN37">
        <v>1</v>
      </c>
      <c r="FQ37" t="s">
        <v>1287</v>
      </c>
      <c r="FR37" s="35" cm="1">
        <f t="array" ref="FR37">SUMPRODUCT((Y$2:Y$1000="PS")*ISNUMBER(SEARCH(LOWER(FQ37),LOWER(AA$2:AA$1000)))*ISNUMBER(SEARCH("selection",LOWER(Z$2:Z$1000))))</f>
        <v>2</v>
      </c>
      <c r="FV37">
        <v>2013</v>
      </c>
      <c r="FW37" s="35" cm="1">
        <f t="array" ref="FW37">SUMPRODUCT((Y$2:Y$1000="PS")*(F$2:F$1000=FV37)*ISNUMBER(SEARCH("selection",LOWER(Z$2:Z$1000)))*ISNUMBER(SEARCH("integer",LOWER(AA$2:AA$1000))))</f>
        <v>0</v>
      </c>
      <c r="FX37" cm="1">
        <f t="array" ref="FX37">SUMPRODUCT((Y$2:Y$1000="PS")*(F$2:F$1000=FV37)*ISNUMBER(SEARCH("selection",LOWER(Z$2:Z$1000)))*ISNUMBER(SEARCH("data-flow",LOWER(AA$2:AA$1000))))</f>
        <v>0</v>
      </c>
      <c r="FY37" cm="1">
        <f t="array" ref="FY37">SUMPRODUCT((Y$2:Y$1000="PS")*(F$2:F$1000=FV37)*ISNUMBER(SEARCH("selection",LOWER(Z$2:Z$1000)))*ISNUMBER(SEARCH("symbolic",LOWER(AA$2:AA$1000))))</f>
        <v>0</v>
      </c>
      <c r="FZ37" cm="1">
        <f t="array" ref="FZ37">SUMPRODUCT((Y$2:Y$1000="PS")*(F$2:F$1000=FV37)*ISNUMBER(SEARCH("selection",LOWER(Z$2:Z$1000)))*ISNUMBER(SEARCH("dynamyc",LOWER(AA$2:AA$1000))))</f>
        <v>0</v>
      </c>
      <c r="GA37" cm="1">
        <f t="array" ref="GA37">SUMPRODUCT((Y$2:Y$1000="PS")*(F$2:F$1000=FV37)*ISNUMBER(SEARCH("selection",LOWER(Z$2:Z$1000)))*ISNUMBER(SEARCH("graph",LOWER(AA$2:AA$1000))))</f>
        <v>0</v>
      </c>
      <c r="GB37" cm="1">
        <f t="array" ref="GB37">SUMPRODUCT((Y$2:Y$1000="PS")*(F$2:F$1000=FV37)*ISNUMBER(SEARCH("selection",LOWER(Z$2:Z$1000)))*ISNUMBER(SEARCH("textual",LOWER(AA$2:AA$1000))))</f>
        <v>0</v>
      </c>
      <c r="GC37" cm="1">
        <f t="array" ref="GC37">SUMPRODUCT((Y$2:Y$1000="PS")*(F$2:F$1000=FV37)*ISNUMBER(SEARCH("selection",LOWER(Z$2:Z$1000)))*ISNUMBER(SEARCH("sdg",LOWER(AA$2:AA$1000))))</f>
        <v>0</v>
      </c>
      <c r="GD37" cm="1">
        <f t="array" ref="GD37">SUMPRODUCT((Y$2:Y$1000="PS")*(F$2:F$1000=FV37)*ISNUMBER(SEARCH("selection",LOWER(Z$2:Z$1000)))*ISNUMBER(SEARCH("path",LOWER(AA$2:AA$1000))))</f>
        <v>0</v>
      </c>
      <c r="GE37" cm="1">
        <f t="array" ref="GE37">SUMPRODUCT((Y$2:Y$1000="PS")*(F$2:F$1000=FV37)*ISNUMBER(SEARCH("selection",LOWER(Z$2:Z$1000)))*ISNUMBER(SEARCH("mod",LOWER(AA$2:AA$1000))))</f>
        <v>1</v>
      </c>
      <c r="GF37" cm="1">
        <f t="array" ref="GF37">SUMPRODUCT((Y$2:Y$1000="PS")*(F$2:F$1000=FV37)*ISNUMBER(SEARCH("selection",LOWER(Z$2:Z$1000)))*ISNUMBER(SEARCH("firewall",LOWER(AA$2:AA$1000))))</f>
        <v>0</v>
      </c>
      <c r="GG37" cm="1">
        <f t="array" ref="GG37">SUMPRODUCT((Y$2:Y$1000="PS")*(F$2:F$1000=FV37)*ISNUMBER(SEARCH("selection",LOWER(Z$2:Z$1000)))*ISNUMBER(SEARCH("cluster",LOWER(AA$2:AA$1000))))</f>
        <v>0</v>
      </c>
      <c r="GH37" cm="1">
        <f t="array" ref="GH37">SUMPRODUCT((Y$2:Y$1000="PS")*(F$2:F$1000=FV37)*ISNUMBER(SEARCH("selection",LOWER(Z$2:Z$1000)))*ISNUMBER(SEARCH("design",LOWER(AA$2:AA$1000))))</f>
        <v>0</v>
      </c>
      <c r="GI37" cm="1">
        <f t="array" ref="GI37">SUMPRODUCT((Y$2:Y$1000="PS")*(F$2:F$1000=FV37)*ISNUMBER(SEARCH("selection",LOWER(Z$2:Z$1000)))*ISNUMBER(SEARCH("hybrid",LOWER(AA$2:AA$1000))))</f>
        <v>0</v>
      </c>
      <c r="GJ37" cm="1">
        <f t="array" ref="GJ37">SUMPRODUCT((Y$2:Y$1000="PS")*(F$2:F$1000=FV37)*ISNUMBER(SEARCH("selection",LOWER(Z$2:Z$1000)))*ISNUMBER(SEARCH("selection",LOWER(AA$2:AA$1000))))</f>
        <v>0</v>
      </c>
      <c r="GK37" cm="1">
        <f t="array" ref="GK37">SUMPRODUCT((Y$2:Y$1000="PS")*(F$2:F$1000=FV37)*ISNUMBER(SEARCH("selection",LOWER(Z$2:Z$1000)))*ISNUMBER(SEARCH("detection",LOWER(AA$2:AA$1000))))</f>
        <v>0</v>
      </c>
      <c r="GL37" cm="1">
        <f t="array" ref="GL37">SUMPRODUCT((Y$2:Y$1000="PS")*(F$2:F$1000=FV37)*ISNUMBER(SEARCH("selection",LOWER(Z$2:Z$1000)))*ISNUMBER(SEARCH("coverage",LOWER(AA$2:AA$1000))))</f>
        <v>0</v>
      </c>
      <c r="GM37" cm="1">
        <f t="array" ref="GM37">SUMPRODUCT((Y$2:Y$1000="PS")*(F$2:F$1000=FV37)*ISNUMBER(SEARCH("selection",LOWER(Z$2:Z$1000)))*ISNUMBER(SEARCH("change",LOWER(AA$2:AA$1000))))</f>
        <v>0</v>
      </c>
      <c r="GN37" cm="1">
        <f t="array" ref="GN37">SUMPRODUCT((Y$2:Y$1000="PS")*(F$2:F$1000=FV37)*ISNUMBER(SEARCH("selection",LOWER(Z$2:Z$1000)))*ISNUMBER(SEARCH("model",LOWER(AA$2:AA$1000))))</f>
        <v>0</v>
      </c>
      <c r="GO37" cm="1">
        <f t="array" ref="GO37">SUMPRODUCT((Y$2:Y$1000="PS")*(F$2:F$1000=$FV3)*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v>
      </c>
      <c r="GP37" cm="1">
        <f t="array" ref="GP37">SUMPRODUCT((Y$2:Y$1000="PS")*(F$2:F$1000=FV37)*ISNUMBER(SEARCH("selection",LOWER(Z$2:Z$1000)))*ISNUMBER(SEARCH("cost-aware",LOWER(AA$2:AA$1000))))</f>
        <v>0</v>
      </c>
      <c r="GQ37" cm="1">
        <f t="array" ref="GQ37">SUMPRODUCT((Y$2:Y$1000="PS")*(F$2:F$1000=FV37)*ISNUMBER(SEARCH("selection",LOWER(Z$2:Z$1000)))*ISNUMBER(SEARCH("similarity",LOWER(AA$2:AA$1000))))</f>
        <v>0</v>
      </c>
      <c r="GR37" s="35" cm="1">
        <f t="array" ref="GR37">SUMPRODUCT((Y$2:Y$1000="PS")*(F$2:F$1000=FV37)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37">
        <v>2013</v>
      </c>
      <c r="HA37" cm="1">
        <f t="array" ref="HA37">SUMPRODUCT((Y$2:Y$1000="PS")*(F$2:F$1000=GZ37)*ISNUMBER(SEARCH("minimization",LOWER(Z$2:Z$1000)))*ISNUMBER(SEARCH(LOWER(HA$36),LOWER(AB$2:AB$1000))))</f>
        <v>0</v>
      </c>
      <c r="HB37" cm="1">
        <f t="array" ref="HB37">SUMPRODUCT((Y$2:Y$1000="PS")*(F$2:F$1000=GZ37)*ISNUMBER(SEARCH("minimization",LOWER(Z$2:Z$1000)))*ISNUMBER(SEARCH(LOWER(HB$36),LOWER(AB$2:AB$1000))))</f>
        <v>0</v>
      </c>
      <c r="HC37" cm="1">
        <f t="array" ref="HC37">SUMPRODUCT((Y$2:Y$1000="PS")*(F$2:F$1000=GZ37)*ISNUMBER(SEARCH("minimization",LOWER(Z$2:Z$1000)))*ISNUMBER(SEARCH(LOWER(HC$36),LOWER(AB$2:AB$1000))))</f>
        <v>1</v>
      </c>
      <c r="HD37" cm="1">
        <f t="array" ref="HD37">SUMPRODUCT((Y$2:Y$1000="PS")*(F$2:F$1000=GZ37)*ISNUMBER(SEARCH("minimization",LOWER(Z$2:Z$1000)))*ISNUMBER(SEARCH(LOWER(HD$36),LOWER(AB$2:AB$1000))))</f>
        <v>0</v>
      </c>
      <c r="HE37" cm="1">
        <f t="array" ref="HE37">SUMPRODUCT((Y$2:Y$1000="PS")*(F$2:F$1000=GZ37)*ISNUMBER(SEARCH("minimization",LOWER(Z$2:Z$1000)))*ISNUMBER(SEARCH(LOWER(HE$36),LOWER(AB$2:AB$1000))))</f>
        <v>0</v>
      </c>
      <c r="HF37" cm="1">
        <f t="array" ref="HF37">SUMPRODUCT((Y$2:Y$1000="PS")*(F$2:F$1000=GZ37)*ISNUMBER(SEARCH("minimization",LOWER(Z$2:Z$1000)))*ISNUMBER(SEARCH(LOWER(HF$36),LOWER(AB$2:AB$1000))))</f>
        <v>0</v>
      </c>
      <c r="HG37" cm="1">
        <f t="array" ref="HG37">SUMPRODUCT((Y$2:Y$1000="PS")*(F$2:F$1000=GZ37)*ISNUMBER(SEARCH("minimization",LOWER(Z$2:Z$1000)))*ISNUMBER(SEARCH(LOWER(HG$36),LOWER(AB$2:AB$1000))))</f>
        <v>0</v>
      </c>
      <c r="HH37" cm="1">
        <f t="array" ref="HH37">SUMPRODUCT((Y$2:Y$1000="PS")*(F$2:F$1000=GZ37)*ISNUMBER(SEARCH("minimization",LOWER(Z$2:Z$1000)))*ISNUMBER(SEARCH(LOWER(HH$36),LOWER(AB$2:AB$1000))))</f>
        <v>0</v>
      </c>
      <c r="HI37" cm="1">
        <f t="array" ref="HI37">SUMPRODUCT((Y$2:Y$1000="PS")*(F$2:F$1000=GZ37)*ISNUMBER(SEARCH("minimization",LOWER(Z$2:Z$1000)))*ISNUMBER(SEARCH(LOWER(HI$36),LOWER(AB$2:AB$1000))))</f>
        <v>0</v>
      </c>
      <c r="HJ37" cm="1">
        <f t="array" ref="HJ37">SUMPRODUCT((Y$2:Y$1000="PS")*(F$2:F$1000=GZ37)*ISNUMBER(SEARCH("minimization",LOWER(Z$2:Z$1000)))*ISNUMBER(SEARCH(LOWER(HJ$36),LOWER(AB$2:AB$1000))))</f>
        <v>0</v>
      </c>
      <c r="HK37" cm="1">
        <f t="array" ref="HK37">SUMPRODUCT((Y$2:Y$1000="PS")*(F$2:F$1000=GZ37)*ISNUMBER(SEARCH("minimization",LOWER(Z$2:Z$1000)))*ISNUMBER(SEARCH(LOWER(HK$36),LOWER(AB$2:AB$1000))))</f>
        <v>0</v>
      </c>
      <c r="HL37" cm="1">
        <f t="array" ref="HL37">SUMPRODUCT((Y$2:Y$1000="PS")*(F$2:F$1000=GZ37)*ISNUMBER(SEARCH("minimization",LOWER(Z$2:Z$1000)))*ISNUMBER(SEARCH(LOWER(HL$36),LOWER(AB$2:AB$1000))))</f>
        <v>0</v>
      </c>
      <c r="HM37" cm="1">
        <f t="array" ref="HM37">SUMPRODUCT((Y$2:Y$1000="PS")*(F$2:F$1000=GZ37)*ISNUMBER(SEARCH("minimization",LOWER(Z$2:Z$1000)))*ISNUMBER(SEARCH(LOWER(HM$36),LOWER(AB$2:AB$1000))))</f>
        <v>0</v>
      </c>
    </row>
    <row r="38" spans="1:221" ht="128">
      <c r="C38" t="s">
        <v>486</v>
      </c>
      <c r="D38" t="s">
        <v>487</v>
      </c>
      <c r="E38" t="s">
        <v>488</v>
      </c>
      <c r="F38">
        <v>2019</v>
      </c>
      <c r="J38" t="s">
        <v>489</v>
      </c>
      <c r="Y38" t="s">
        <v>58</v>
      </c>
      <c r="Z38" s="9" t="s">
        <v>490</v>
      </c>
      <c r="AA38" s="10" t="s">
        <v>1302</v>
      </c>
      <c r="AB38" s="10" t="s">
        <v>91</v>
      </c>
      <c r="AC38" s="9"/>
      <c r="AD38" s="10" t="s">
        <v>491</v>
      </c>
      <c r="AE38" s="9" t="s">
        <v>492</v>
      </c>
      <c r="AF38" s="10" t="s">
        <v>493</v>
      </c>
      <c r="AG38" s="10" t="s">
        <v>494</v>
      </c>
      <c r="AH38" s="10">
        <v>0</v>
      </c>
      <c r="AK38">
        <f t="shared" si="6"/>
        <v>1</v>
      </c>
      <c r="AL38">
        <f t="shared" si="0"/>
        <v>0</v>
      </c>
      <c r="AM38">
        <f t="shared" si="1"/>
        <v>1</v>
      </c>
      <c r="AN38">
        <f t="shared" si="2"/>
        <v>0</v>
      </c>
      <c r="EM38">
        <v>2014</v>
      </c>
      <c r="FQ38" t="s">
        <v>1300</v>
      </c>
      <c r="FR38" s="35" cm="1">
        <f t="array" ref="FR38">SUMPRODUCT((Y$2:Y$1000="PS")*ISNUMBER(SEARCH(LOWER(FQ38),LOWER(AA$2:AA$1000)))*ISNUMBER(SEARCH("selection",LOWER(Z$2:Z$1000))))</f>
        <v>0</v>
      </c>
      <c r="FV38">
        <v>2014</v>
      </c>
      <c r="FW38" s="35" cm="1">
        <f t="array" ref="FW38">SUMPRODUCT((Y$2:Y$1000="PS")*(F$2:F$1000=FV38)*ISNUMBER(SEARCH("selection",LOWER(Z$2:Z$1000)))*ISNUMBER(SEARCH("integer",LOWER(AA$2:AA$1000))))</f>
        <v>0</v>
      </c>
      <c r="FX38" cm="1">
        <f t="array" ref="FX38">SUMPRODUCT((Y$2:Y$1000="PS")*(F$2:F$1000=FV38)*ISNUMBER(SEARCH("selection",LOWER(Z$2:Z$1000)))*ISNUMBER(SEARCH("data-flow",LOWER(AA$2:AA$1000))))</f>
        <v>0</v>
      </c>
      <c r="FY38" cm="1">
        <f t="array" ref="FY38">SUMPRODUCT((Y$2:Y$1000="PS")*(F$2:F$1000=FV38)*ISNUMBER(SEARCH("selection",LOWER(Z$2:Z$1000)))*ISNUMBER(SEARCH("symbolic",LOWER(AA$2:AA$1000))))</f>
        <v>0</v>
      </c>
      <c r="FZ38" cm="1">
        <f t="array" ref="FZ38">SUMPRODUCT((Y$2:Y$1000="PS")*(F$2:F$1000=FV38)*ISNUMBER(SEARCH("selection",LOWER(Z$2:Z$1000)))*ISNUMBER(SEARCH("dynamyc",LOWER(AA$2:AA$1000))))</f>
        <v>0</v>
      </c>
      <c r="GA38" cm="1">
        <f t="array" ref="GA38">SUMPRODUCT((Y$2:Y$1000="PS")*(F$2:F$1000=FV38)*ISNUMBER(SEARCH("selection",LOWER(Z$2:Z$1000)))*ISNUMBER(SEARCH("graph",LOWER(AA$2:AA$1000))))</f>
        <v>0</v>
      </c>
      <c r="GB38" cm="1">
        <f t="array" ref="GB38">SUMPRODUCT((Y$2:Y$1000="PS")*(F$2:F$1000=FV38)*ISNUMBER(SEARCH("selection",LOWER(Z$2:Z$1000)))*ISNUMBER(SEARCH("textual",LOWER(AA$2:AA$1000))))</f>
        <v>0</v>
      </c>
      <c r="GC38" cm="1">
        <f t="array" ref="GC38">SUMPRODUCT((Y$2:Y$1000="PS")*(F$2:F$1000=FV38)*ISNUMBER(SEARCH("selection",LOWER(Z$2:Z$1000)))*ISNUMBER(SEARCH("sdg",LOWER(AA$2:AA$1000))))</f>
        <v>0</v>
      </c>
      <c r="GD38" cm="1">
        <f t="array" ref="GD38">SUMPRODUCT((Y$2:Y$1000="PS")*(F$2:F$1000=FV38)*ISNUMBER(SEARCH("selection",LOWER(Z$2:Z$1000)))*ISNUMBER(SEARCH("path",LOWER(AA$2:AA$1000))))</f>
        <v>0</v>
      </c>
      <c r="GE38" cm="1">
        <f t="array" ref="GE38">SUMPRODUCT((Y$2:Y$1000="PS")*(F$2:F$1000=FV38)*ISNUMBER(SEARCH("selection",LOWER(Z$2:Z$1000)))*ISNUMBER(SEARCH("mod",LOWER(AA$2:AA$1000))))</f>
        <v>1</v>
      </c>
      <c r="GF38" cm="1">
        <f t="array" ref="GF38">SUMPRODUCT((Y$2:Y$1000="PS")*(F$2:F$1000=FV38)*ISNUMBER(SEARCH("selection",LOWER(Z$2:Z$1000)))*ISNUMBER(SEARCH("firewall",LOWER(AA$2:AA$1000))))</f>
        <v>0</v>
      </c>
      <c r="GG38" cm="1">
        <f t="array" ref="GG38">SUMPRODUCT((Y$2:Y$1000="PS")*(F$2:F$1000=FV38)*ISNUMBER(SEARCH("selection",LOWER(Z$2:Z$1000)))*ISNUMBER(SEARCH("cluster",LOWER(AA$2:AA$1000))))</f>
        <v>0</v>
      </c>
      <c r="GH38" cm="1">
        <f t="array" ref="GH38">SUMPRODUCT((Y$2:Y$1000="PS")*(F$2:F$1000=FV38)*ISNUMBER(SEARCH("selection",LOWER(Z$2:Z$1000)))*ISNUMBER(SEARCH("design",LOWER(AA$2:AA$1000))))</f>
        <v>0</v>
      </c>
      <c r="GI38" cm="1">
        <f t="array" ref="GI38">SUMPRODUCT((Y$2:Y$1000="PS")*(F$2:F$1000=FV38)*ISNUMBER(SEARCH("selection",LOWER(Z$2:Z$1000)))*ISNUMBER(SEARCH("hybrid",LOWER(AA$2:AA$1000))))</f>
        <v>0</v>
      </c>
      <c r="GJ38" cm="1">
        <f t="array" ref="GJ38">SUMPRODUCT((Y$2:Y$1000="PS")*(F$2:F$1000=FV38)*ISNUMBER(SEARCH("selection",LOWER(Z$2:Z$1000)))*ISNUMBER(SEARCH("selection",LOWER(AA$2:AA$1000))))</f>
        <v>0</v>
      </c>
      <c r="GK38" cm="1">
        <f t="array" ref="GK38">SUMPRODUCT((Y$2:Y$1000="PS")*(F$2:F$1000=FV38)*ISNUMBER(SEARCH("selection",LOWER(Z$2:Z$1000)))*ISNUMBER(SEARCH("detection",LOWER(AA$2:AA$1000))))</f>
        <v>0</v>
      </c>
      <c r="GL38" cm="1">
        <f t="array" ref="GL38">SUMPRODUCT((Y$2:Y$1000="PS")*(F$2:F$1000=FV38)*ISNUMBER(SEARCH("selection",LOWER(Z$2:Z$1000)))*ISNUMBER(SEARCH("coverage",LOWER(AA$2:AA$1000))))</f>
        <v>0</v>
      </c>
      <c r="GM38" cm="1">
        <f t="array" ref="GM38">SUMPRODUCT((Y$2:Y$1000="PS")*(F$2:F$1000=FV38)*ISNUMBER(SEARCH("selection",LOWER(Z$2:Z$1000)))*ISNUMBER(SEARCH("change",LOWER(AA$2:AA$1000))))</f>
        <v>0</v>
      </c>
      <c r="GN38" cm="1">
        <f t="array" ref="GN38">SUMPRODUCT((Y$2:Y$1000="PS")*(F$2:F$1000=FV38)*ISNUMBER(SEARCH("selection",LOWER(Z$2:Z$1000)))*ISNUMBER(SEARCH("model",LOWER(AA$2:AA$1000))))</f>
        <v>0</v>
      </c>
      <c r="GO38" cm="1">
        <f t="array" ref="GO38">SUMPRODUCT((Y$2:Y$1000="PS")*(F$2:F$1000=FV38)*ISNUMBER(SEARCH("selection",LOWER(Z$2:Z$1000)))*ISNUMBER(SEARCH("hystory",LOWER(AA$2:AA$1000))))</f>
        <v>0</v>
      </c>
      <c r="GP38" cm="1">
        <f t="array" ref="GP38">SUMPRODUCT((Y$2:Y$1000="PS")*(F$2:F$1000=FV38)*ISNUMBER(SEARCH("selection",LOWER(Z$2:Z$1000)))*ISNUMBER(SEARCH("cost-aware",LOWER(AA$2:AA$1000))))</f>
        <v>0</v>
      </c>
      <c r="GQ38" cm="1">
        <f t="array" ref="GQ38">SUMPRODUCT((Y$2:Y$1000="PS")*(F$2:F$1000=FV38)*ISNUMBER(SEARCH("selection",LOWER(Z$2:Z$1000)))*ISNUMBER(SEARCH("similarity",LOWER(AA$2:AA$1000))))</f>
        <v>0</v>
      </c>
      <c r="GR38" s="35" cm="1">
        <f t="array" ref="GR38">SUMPRODUCT((Y$2:Y$1000="PS")*(F$2:F$1000=FV38)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8">
        <v>2014</v>
      </c>
      <c r="HA38" cm="1">
        <f t="array" ref="HA38">SUMPRODUCT((Y$2:Y$1000="PS")*(F$2:F$1000=GZ38)*ISNUMBER(SEARCH("minimization",LOWER(Z$2:Z$1000)))*ISNUMBER(SEARCH(LOWER(HA$36),LOWER(AB$2:AB$1000))))</f>
        <v>0</v>
      </c>
      <c r="HB38" cm="1">
        <f t="array" ref="HB38">SUMPRODUCT((Y$2:Y$1000="PS")*(F$2:F$1000=GZ38)*ISNUMBER(SEARCH("minimization",LOWER(Z$2:Z$1000)))*ISNUMBER(SEARCH(LOWER(HB$36),LOWER(AB$2:AB$1000))))</f>
        <v>0</v>
      </c>
      <c r="HC38" cm="1">
        <f t="array" ref="HC38">SUMPRODUCT((Y$2:Y$1000="PS")*(F$2:F$1000=GZ38)*ISNUMBER(SEARCH("minimization",LOWER(Z$2:Z$1000)))*ISNUMBER(SEARCH(LOWER(HC$36),LOWER(AB$2:AB$1000))))</f>
        <v>0</v>
      </c>
      <c r="HD38" cm="1">
        <f t="array" ref="HD38">SUMPRODUCT((Y$2:Y$1000="PS")*(F$2:F$1000=GZ38)*ISNUMBER(SEARCH("minimization",LOWER(Z$2:Z$1000)))*ISNUMBER(SEARCH(LOWER(HD$36),LOWER(AB$2:AB$1000))))</f>
        <v>0</v>
      </c>
      <c r="HE38" cm="1">
        <f t="array" ref="HE38">SUMPRODUCT((Y$2:Y$1000="PS")*(F$2:F$1000=GZ38)*ISNUMBER(SEARCH("minimization",LOWER(Z$2:Z$1000)))*ISNUMBER(SEARCH(LOWER(HE$36),LOWER(AB$2:AB$1000))))</f>
        <v>0</v>
      </c>
      <c r="HF38" cm="1">
        <f t="array" ref="HF38">SUMPRODUCT((Y$2:Y$1000="PS")*(F$2:F$1000=GZ38)*ISNUMBER(SEARCH("minimization",LOWER(Z$2:Z$1000)))*ISNUMBER(SEARCH(LOWER(HF$36),LOWER(AB$2:AB$1000))))</f>
        <v>0</v>
      </c>
      <c r="HG38" cm="1">
        <f t="array" ref="HG38">SUMPRODUCT((Y$2:Y$1000="PS")*(F$2:F$1000=GZ38)*ISNUMBER(SEARCH("minimization",LOWER(Z$2:Z$1000)))*ISNUMBER(SEARCH(LOWER(HG$36),LOWER(AB$2:AB$1000))))</f>
        <v>0</v>
      </c>
      <c r="HH38" cm="1">
        <f t="array" ref="HH38">SUMPRODUCT((Y$2:Y$1000="PS")*(F$2:F$1000=GZ38)*ISNUMBER(SEARCH("minimization",LOWER(Z$2:Z$1000)))*ISNUMBER(SEARCH(LOWER(HH$36),LOWER(AB$2:AB$1000))))</f>
        <v>0</v>
      </c>
      <c r="HI38" cm="1">
        <f t="array" ref="HI38">SUMPRODUCT((Y$2:Y$1000="PS")*(F$2:F$1000=GZ38)*ISNUMBER(SEARCH("minimization",LOWER(Z$2:Z$1000)))*ISNUMBER(SEARCH(LOWER(HI$36),LOWER(AB$2:AB$1000))))</f>
        <v>0</v>
      </c>
      <c r="HJ38" cm="1">
        <f t="array" ref="HJ38">SUMPRODUCT((Y$2:Y$1000="PS")*(F$2:F$1000=GZ38)*ISNUMBER(SEARCH("minimization",LOWER(Z$2:Z$1000)))*ISNUMBER(SEARCH(LOWER(HJ$36),LOWER(AB$2:AB$1000))))</f>
        <v>0</v>
      </c>
      <c r="HK38" cm="1">
        <f t="array" ref="HK38">SUMPRODUCT((Y$2:Y$1000="PS")*(F$2:F$1000=GZ38)*ISNUMBER(SEARCH("minimization",LOWER(Z$2:Z$1000)))*ISNUMBER(SEARCH(LOWER(HK$36),LOWER(AB$2:AB$1000))))</f>
        <v>0</v>
      </c>
      <c r="HL38" cm="1">
        <f t="array" ref="HL38">SUMPRODUCT((Y$2:Y$1000="PS")*(F$2:F$1000=GZ38)*ISNUMBER(SEARCH("minimization",LOWER(Z$2:Z$1000)))*ISNUMBER(SEARCH(LOWER(HL$36),LOWER(AB$2:AB$1000))))</f>
        <v>0</v>
      </c>
      <c r="HM38" cm="1">
        <f t="array" ref="HM38">SUMPRODUCT((Y$2:Y$1000="PS")*(F$2:F$1000=GZ38)*ISNUMBER(SEARCH("minimization",LOWER(Z$2:Z$1000)))*ISNUMBER(SEARCH(LOWER(HM$36),LOWER(AB$2:AB$1000))))</f>
        <v>0</v>
      </c>
    </row>
    <row r="39" spans="1:221" ht="128">
      <c r="C39" t="s">
        <v>495</v>
      </c>
      <c r="D39" t="s">
        <v>496</v>
      </c>
      <c r="E39" t="s">
        <v>497</v>
      </c>
      <c r="F39">
        <v>2016</v>
      </c>
      <c r="J39" t="s">
        <v>498</v>
      </c>
      <c r="Y39" t="s">
        <v>44</v>
      </c>
      <c r="Z39" s="11" t="s">
        <v>499</v>
      </c>
      <c r="AA39" s="12" t="s">
        <v>1418</v>
      </c>
      <c r="AB39" s="12" t="s">
        <v>1423</v>
      </c>
      <c r="AC39" s="12"/>
      <c r="AD39" s="12" t="s">
        <v>500</v>
      </c>
      <c r="AE39" s="11" t="s">
        <v>501</v>
      </c>
      <c r="AF39" s="12" t="s">
        <v>502</v>
      </c>
      <c r="AG39" s="12" t="s">
        <v>503</v>
      </c>
      <c r="AH39" s="12">
        <v>0</v>
      </c>
      <c r="AK39">
        <f t="shared" si="6"/>
        <v>0</v>
      </c>
      <c r="AL39">
        <f t="shared" si="0"/>
        <v>0</v>
      </c>
      <c r="AM39">
        <f t="shared" si="1"/>
        <v>0</v>
      </c>
      <c r="AN39">
        <f t="shared" si="2"/>
        <v>0</v>
      </c>
      <c r="EM39">
        <v>2015</v>
      </c>
      <c r="FQ39" t="s">
        <v>1288</v>
      </c>
      <c r="FR39" s="35" cm="1">
        <f t="array" ref="FR39">SUMPRODUCT((Y$2:Y$1000="PS")*ISNUMBER(SEARCH(LOWER(FQ39),LOWER(AA$2:AA$1000)))*ISNUMBER(SEARCH("selection",LOWER(Z$2:Z$1000))))</f>
        <v>0</v>
      </c>
      <c r="FV39">
        <v>2015</v>
      </c>
      <c r="FW39" s="35" cm="1">
        <f t="array" ref="FW39">SUMPRODUCT((Y$2:Y$1000="PS")*(F$2:F$1000=FV39)*ISNUMBER(SEARCH("selection",LOWER(Z$2:Z$1000)))*ISNUMBER(SEARCH("integer",LOWER(AA$2:AA$1000))))</f>
        <v>0</v>
      </c>
      <c r="FX39" cm="1">
        <f t="array" ref="FX39">SUMPRODUCT((Y$2:Y$1000="PS")*(F$2:F$1000=FV39)*ISNUMBER(SEARCH("selection",LOWER(Z$2:Z$1000)))*ISNUMBER(SEARCH("data-flow",LOWER(AA$2:AA$1000))))</f>
        <v>0</v>
      </c>
      <c r="FY39" cm="1">
        <f t="array" ref="FY39">SUMPRODUCT((Y$2:Y$1000="PS")*(F$2:F$1000=FV39)*ISNUMBER(SEARCH("selection",LOWER(Z$2:Z$1000)))*ISNUMBER(SEARCH("symbolic",LOWER(AA$2:AA$1000))))</f>
        <v>0</v>
      </c>
      <c r="FZ39" cm="1">
        <f t="array" ref="FZ39">SUMPRODUCT((Y$2:Y$1000="PS")*(F$2:F$1000=FV39)*ISNUMBER(SEARCH("selection",LOWER(Z$2:Z$1000)))*ISNUMBER(SEARCH("dynamyc",LOWER(AA$2:AA$1000))))</f>
        <v>0</v>
      </c>
      <c r="GA39" cm="1">
        <f t="array" ref="GA39">SUMPRODUCT((Y$2:Y$1000="PS")*(F$2:F$1000=FV39)*ISNUMBER(SEARCH("selection",LOWER(Z$2:Z$1000)))*ISNUMBER(SEARCH("graph",LOWER(AA$2:AA$1000))))</f>
        <v>0</v>
      </c>
      <c r="GB39" cm="1">
        <f t="array" ref="GB39">SUMPRODUCT((Y$2:Y$1000="PS")*(F$2:F$1000=FV39)*ISNUMBER(SEARCH("selection",LOWER(Z$2:Z$1000)))*ISNUMBER(SEARCH("textual",LOWER(AA$2:AA$1000))))</f>
        <v>0</v>
      </c>
      <c r="GC39" cm="1">
        <f t="array" ref="GC39">SUMPRODUCT((Y$2:Y$1000="PS")*(F$2:F$1000=FV39)*ISNUMBER(SEARCH("selection",LOWER(Z$2:Z$1000)))*ISNUMBER(SEARCH("sdg",LOWER(AA$2:AA$1000))))</f>
        <v>0</v>
      </c>
      <c r="GD39" cm="1">
        <f t="array" ref="GD39">SUMPRODUCT((Y$2:Y$1000="PS")*(F$2:F$1000=FV39)*ISNUMBER(SEARCH("selection",LOWER(Z$2:Z$1000)))*ISNUMBER(SEARCH("path",LOWER(AA$2:AA$1000))))</f>
        <v>0</v>
      </c>
      <c r="GE39" cm="1">
        <f t="array" ref="GE39">SUMPRODUCT((Y$2:Y$1000="PS")*(F$2:F$1000=FV39)*ISNUMBER(SEARCH("selection",LOWER(Z$2:Z$1000)))*ISNUMBER(SEARCH("mod",LOWER(AA$2:AA$1000))))</f>
        <v>0</v>
      </c>
      <c r="GF39" cm="1">
        <f t="array" ref="GF39">SUMPRODUCT((Y$2:Y$1000="PS")*(F$2:F$1000=FV39)*ISNUMBER(SEARCH("selection",LOWER(Z$2:Z$1000)))*ISNUMBER(SEARCH("firewall",LOWER(AA$2:AA$1000))))</f>
        <v>0</v>
      </c>
      <c r="GG39" cm="1">
        <f t="array" ref="GG39">SUMPRODUCT((Y$2:Y$1000="PS")*(F$2:F$1000=FV39)*ISNUMBER(SEARCH("selection",LOWER(Z$2:Z$1000)))*ISNUMBER(SEARCH("cluster",LOWER(AA$2:AA$1000))))</f>
        <v>0</v>
      </c>
      <c r="GH39" cm="1">
        <f t="array" ref="GH39">SUMPRODUCT((Y$2:Y$1000="PS")*(F$2:F$1000=FV39)*ISNUMBER(SEARCH("selection",LOWER(Z$2:Z$1000)))*ISNUMBER(SEARCH("design",LOWER(AA$2:AA$1000))))</f>
        <v>0</v>
      </c>
      <c r="GI39" cm="1">
        <f t="array" ref="GI39">SUMPRODUCT((Y$2:Y$1000="PS")*(F$2:F$1000=FV39)*ISNUMBER(SEARCH("selection",LOWER(Z$2:Z$1000)))*ISNUMBER(SEARCH("hybrid",LOWER(AA$2:AA$1000))))</f>
        <v>0</v>
      </c>
      <c r="GJ39" cm="1">
        <f t="array" ref="GJ39">SUMPRODUCT((Y$2:Y$1000="PS")*(F$2:F$1000=FV39)*ISNUMBER(SEARCH("selection",LOWER(Z$2:Z$1000)))*ISNUMBER(SEARCH("selection",LOWER(AA$2:AA$1000))))</f>
        <v>0</v>
      </c>
      <c r="GK39" cm="1">
        <f t="array" ref="GK39">SUMPRODUCT((Y$2:Y$1000="PS")*(F$2:F$1000=FV39)*ISNUMBER(SEARCH("selection",LOWER(Z$2:Z$1000)))*ISNUMBER(SEARCH("detection",LOWER(AA$2:AA$1000))))</f>
        <v>0</v>
      </c>
      <c r="GL39" cm="1">
        <f t="array" ref="GL39">SUMPRODUCT((Y$2:Y$1000="PS")*(F$2:F$1000=FV39)*ISNUMBER(SEARCH("selection",LOWER(Z$2:Z$1000)))*ISNUMBER(SEARCH("coverage",LOWER(AA$2:AA$1000))))</f>
        <v>0</v>
      </c>
      <c r="GM39" cm="1">
        <f t="array" ref="GM39">SUMPRODUCT((Y$2:Y$1000="PS")*(F$2:F$1000=FV39)*ISNUMBER(SEARCH("selection",LOWER(Z$2:Z$1000)))*ISNUMBER(SEARCH("change",LOWER(AA$2:AA$1000))))</f>
        <v>0</v>
      </c>
      <c r="GN39" cm="1">
        <f t="array" ref="GN39">SUMPRODUCT((Y$2:Y$1000="PS")*(F$2:F$1000=FV39)*ISNUMBER(SEARCH("selection",LOWER(Z$2:Z$1000)))*ISNUMBER(SEARCH("model",LOWER(AA$2:AA$1000))))</f>
        <v>0</v>
      </c>
      <c r="GO39" cm="1">
        <f t="array" ref="GO39">SUMPRODUCT((Y$2:Y$1000="PS")*(F$2:F$1000=FV39)*ISNUMBER(SEARCH("selection",LOWER(Z$2:Z$1000)))*ISNUMBER(SEARCH("hystory",LOWER(AA$2:AA$1000))))</f>
        <v>0</v>
      </c>
      <c r="GP39" cm="1">
        <f t="array" ref="GP39">SUMPRODUCT((Y$2:Y$1000="PS")*(F$2:F$1000=FV39)*ISNUMBER(SEARCH("selection",LOWER(Z$2:Z$1000)))*ISNUMBER(SEARCH("cost-aware",LOWER(AA$2:AA$1000))))</f>
        <v>0</v>
      </c>
      <c r="GQ39" cm="1">
        <f t="array" ref="GQ39">SUMPRODUCT((Y$2:Y$1000="PS")*(F$2:F$1000=FV39)*ISNUMBER(SEARCH("selection",LOWER(Z$2:Z$1000)))*ISNUMBER(SEARCH("similarity",LOWER(AA$2:AA$1000))))</f>
        <v>0</v>
      </c>
      <c r="GR39" s="35" cm="1">
        <f t="array" ref="GR39">SUMPRODUCT((Y$2:Y$1000="PS")*(F$2:F$1000=FV39)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9">
        <v>2015</v>
      </c>
      <c r="HA39" cm="1">
        <f t="array" ref="HA39">SUMPRODUCT((Y$2:Y$1000="PS")*(F$2:F$1000=GZ39)*ISNUMBER(SEARCH("minimization",LOWER(Z$2:Z$1000)))*ISNUMBER(SEARCH(LOWER(HA$36),LOWER(AB$2:AB$1000))))</f>
        <v>0</v>
      </c>
      <c r="HB39" cm="1">
        <f t="array" ref="HB39">SUMPRODUCT((Y$2:Y$1000="PS")*(F$2:F$1000=GZ39)*ISNUMBER(SEARCH("minimization",LOWER(Z$2:Z$1000)))*ISNUMBER(SEARCH(LOWER(HB$36),LOWER(AB$2:AB$1000))))</f>
        <v>0</v>
      </c>
      <c r="HC39" cm="1">
        <f t="array" ref="HC39">SUMPRODUCT((Y$2:Y$1000="PS")*(F$2:F$1000=GZ39)*ISNUMBER(SEARCH("minimization",LOWER(Z$2:Z$1000)))*ISNUMBER(SEARCH(LOWER(HC$36),LOWER(AB$2:AB$1000))))</f>
        <v>0</v>
      </c>
      <c r="HD39" cm="1">
        <f t="array" ref="HD39">SUMPRODUCT((Y$2:Y$1000="PS")*(F$2:F$1000=GZ39)*ISNUMBER(SEARCH("minimization",LOWER(Z$2:Z$1000)))*ISNUMBER(SEARCH(LOWER(HD$36),LOWER(AB$2:AB$1000))))</f>
        <v>0</v>
      </c>
      <c r="HE39" cm="1">
        <f t="array" ref="HE39">SUMPRODUCT((Y$2:Y$1000="PS")*(F$2:F$1000=GZ39)*ISNUMBER(SEARCH("minimization",LOWER(Z$2:Z$1000)))*ISNUMBER(SEARCH(LOWER(HE$36),LOWER(AB$2:AB$1000))))</f>
        <v>0</v>
      </c>
      <c r="HF39" cm="1">
        <f t="array" ref="HF39">SUMPRODUCT((Y$2:Y$1000="PS")*(F$2:F$1000=GZ39)*ISNUMBER(SEARCH("minimization",LOWER(Z$2:Z$1000)))*ISNUMBER(SEARCH(LOWER(HF$36),LOWER(AB$2:AB$1000))))</f>
        <v>0</v>
      </c>
      <c r="HG39" cm="1">
        <f t="array" ref="HG39">SUMPRODUCT((Y$2:Y$1000="PS")*(F$2:F$1000=GZ39)*ISNUMBER(SEARCH("minimization",LOWER(Z$2:Z$1000)))*ISNUMBER(SEARCH(LOWER(HG$36),LOWER(AB$2:AB$1000))))</f>
        <v>0</v>
      </c>
      <c r="HH39" cm="1">
        <f t="array" ref="HH39">SUMPRODUCT((Y$2:Y$1000="PS")*(F$2:F$1000=GZ39)*ISNUMBER(SEARCH("minimization",LOWER(Z$2:Z$1000)))*ISNUMBER(SEARCH(LOWER(HH$36),LOWER(AB$2:AB$1000))))</f>
        <v>0</v>
      </c>
      <c r="HI39" cm="1">
        <f t="array" ref="HI39">SUMPRODUCT((Y$2:Y$1000="PS")*(F$2:F$1000=GZ39)*ISNUMBER(SEARCH("minimization",LOWER(Z$2:Z$1000)))*ISNUMBER(SEARCH(LOWER(HI$36),LOWER(AB$2:AB$1000))))</f>
        <v>0</v>
      </c>
      <c r="HJ39" cm="1">
        <f t="array" ref="HJ39">SUMPRODUCT((Y$2:Y$1000="PS")*(F$2:F$1000=GZ39)*ISNUMBER(SEARCH("minimization",LOWER(Z$2:Z$1000)))*ISNUMBER(SEARCH(LOWER(HJ$36),LOWER(AB$2:AB$1000))))</f>
        <v>0</v>
      </c>
      <c r="HK39" cm="1">
        <f t="array" ref="HK39">SUMPRODUCT((Y$2:Y$1000="PS")*(F$2:F$1000=GZ39)*ISNUMBER(SEARCH("minimization",LOWER(Z$2:Z$1000)))*ISNUMBER(SEARCH(LOWER(HK$36),LOWER(AB$2:AB$1000))))</f>
        <v>0</v>
      </c>
      <c r="HL39" cm="1">
        <f t="array" ref="HL39">SUMPRODUCT((Y$2:Y$1000="PS")*(F$2:F$1000=GZ39)*ISNUMBER(SEARCH("minimization",LOWER(Z$2:Z$1000)))*ISNUMBER(SEARCH(LOWER(HL$36),LOWER(AB$2:AB$1000))))</f>
        <v>0</v>
      </c>
      <c r="HM39" cm="1">
        <f t="array" ref="HM39">SUMPRODUCT((Y$2:Y$1000="PS")*(F$2:F$1000=GZ39)*ISNUMBER(SEARCH("minimization",LOWER(Z$2:Z$1000)))*ISNUMBER(SEARCH(LOWER(HM$36),LOWER(AB$2:AB$1000))))</f>
        <v>0</v>
      </c>
    </row>
    <row r="40" spans="1:221" ht="160">
      <c r="C40" t="s">
        <v>504</v>
      </c>
      <c r="D40" t="s">
        <v>505</v>
      </c>
      <c r="E40" t="s">
        <v>506</v>
      </c>
      <c r="F40">
        <v>2018</v>
      </c>
      <c r="J40" t="s">
        <v>507</v>
      </c>
      <c r="Y40" t="s">
        <v>58</v>
      </c>
      <c r="Z40" s="13" t="s">
        <v>1445</v>
      </c>
      <c r="AA40" s="14" t="s">
        <v>129</v>
      </c>
      <c r="AB40" s="14" t="s">
        <v>91</v>
      </c>
      <c r="AC40" s="15"/>
      <c r="AD40" s="14" t="s">
        <v>508</v>
      </c>
      <c r="AE40" s="13" t="s">
        <v>509</v>
      </c>
      <c r="AF40" s="13" t="s">
        <v>510</v>
      </c>
      <c r="AG40" s="14" t="s">
        <v>511</v>
      </c>
      <c r="AH40" s="14">
        <v>1</v>
      </c>
      <c r="AK40">
        <f t="shared" si="6"/>
        <v>1</v>
      </c>
      <c r="AL40">
        <f t="shared" si="0"/>
        <v>0</v>
      </c>
      <c r="AM40">
        <f t="shared" si="1"/>
        <v>0</v>
      </c>
      <c r="AN40">
        <f t="shared" si="2"/>
        <v>0</v>
      </c>
      <c r="EM40">
        <v>2016</v>
      </c>
      <c r="FQ40" t="s">
        <v>1301</v>
      </c>
      <c r="FR40" s="35" cm="1">
        <f t="array" ref="FR40">SUMPRODUCT((Y$2:Y$1000="PS")*ISNUMBER(SEARCH(LOWER(FQ40),LOWER(AA$2:AA$1000)))*ISNUMBER(SEARCH("selection",LOWER(Z$2:Z$1000))))</f>
        <v>0</v>
      </c>
      <c r="FV40">
        <v>2016</v>
      </c>
      <c r="FW40" s="35" cm="1">
        <f t="array" ref="FW40">SUMPRODUCT((Y$2:Y$1000="PS")*(F$2:F$1000=FV40)*ISNUMBER(SEARCH("selection",LOWER(Z$2:Z$1000)))*ISNUMBER(SEARCH("integer",LOWER(AA$2:AA$1000))))</f>
        <v>0</v>
      </c>
      <c r="FX40" cm="1">
        <f t="array" ref="FX40">SUMPRODUCT((Y$2:Y$1000="PS")*(F$2:F$1000=FV40)*ISNUMBER(SEARCH("selection",LOWER(Z$2:Z$1000)))*ISNUMBER(SEARCH("data-flow",LOWER(AA$2:AA$1000))))</f>
        <v>0</v>
      </c>
      <c r="FY40" cm="1">
        <f t="array" ref="FY40">SUMPRODUCT((Y$2:Y$1000="PS")*(F$2:F$1000=FV40)*ISNUMBER(SEARCH("selection",LOWER(Z$2:Z$1000)))*ISNUMBER(SEARCH("symbolic",LOWER(AA$2:AA$1000))))</f>
        <v>0</v>
      </c>
      <c r="FZ40" cm="1">
        <f t="array" ref="FZ40">SUMPRODUCT((Y$2:Y$1000="PS")*(F$2:F$1000=FV40)*ISNUMBER(SEARCH("selection",LOWER(Z$2:Z$1000)))*ISNUMBER(SEARCH("dynamyc",LOWER(AA$2:AA$1000))))</f>
        <v>0</v>
      </c>
      <c r="GA40" cm="1">
        <f t="array" ref="GA40">SUMPRODUCT((Y$2:Y$1000="PS")*(F$2:F$1000=FV40)*ISNUMBER(SEARCH("selection",LOWER(Z$2:Z$1000)))*ISNUMBER(SEARCH("graph",LOWER(AA$2:AA$1000))))</f>
        <v>0</v>
      </c>
      <c r="GB40" cm="1">
        <f t="array" ref="GB40">SUMPRODUCT((Y$2:Y$1000="PS")*(F$2:F$1000=FV40)*ISNUMBER(SEARCH("selection",LOWER(Z$2:Z$1000)))*ISNUMBER(SEARCH("textual",LOWER(AA$2:AA$1000))))</f>
        <v>0</v>
      </c>
      <c r="GC40" cm="1">
        <f t="array" ref="GC40">SUMPRODUCT((Y$2:Y$1000="PS")*(F$2:F$1000=FV40)*ISNUMBER(SEARCH("selection",LOWER(Z$2:Z$1000)))*ISNUMBER(SEARCH("sdg",LOWER(AA$2:AA$1000))))</f>
        <v>0</v>
      </c>
      <c r="GD40" cm="1">
        <f t="array" ref="GD40">SUMPRODUCT((Y$2:Y$1000="PS")*(F$2:F$1000=FV40)*ISNUMBER(SEARCH("selection",LOWER(Z$2:Z$1000)))*ISNUMBER(SEARCH("path",LOWER(AA$2:AA$1000))))</f>
        <v>0</v>
      </c>
      <c r="GE40" cm="1">
        <f t="array" ref="GE40">SUMPRODUCT((Y$2:Y$1000="PS")*(F$2:F$1000=FV40)*ISNUMBER(SEARCH("selection",LOWER(Z$2:Z$1000)))*ISNUMBER(SEARCH("mod",LOWER(AA$2:AA$1000))))</f>
        <v>0</v>
      </c>
      <c r="GF40" cm="1">
        <f t="array" ref="GF40">SUMPRODUCT((Y$2:Y$1000="PS")*(F$2:F$1000=FV40)*ISNUMBER(SEARCH("selection",LOWER(Z$2:Z$1000)))*ISNUMBER(SEARCH("firewall",LOWER(AA$2:AA$1000))))</f>
        <v>0</v>
      </c>
      <c r="GG40" cm="1">
        <f t="array" ref="GG40">SUMPRODUCT((Y$2:Y$1000="PS")*(F$2:F$1000=FV40)*ISNUMBER(SEARCH("selection",LOWER(Z$2:Z$1000)))*ISNUMBER(SEARCH("cluster",LOWER(AA$2:AA$1000))))</f>
        <v>0</v>
      </c>
      <c r="GH40" cm="1">
        <f t="array" ref="GH40">SUMPRODUCT((Y$2:Y$1000="PS")*(F$2:F$1000=FV40)*ISNUMBER(SEARCH("selection",LOWER(Z$2:Z$1000)))*ISNUMBER(SEARCH("design",LOWER(AA$2:AA$1000))))</f>
        <v>1</v>
      </c>
      <c r="GI40" cm="1">
        <f t="array" ref="GI40">SUMPRODUCT((Y$2:Y$1000="PS")*(F$2:F$1000=FV40)*ISNUMBER(SEARCH("selection",LOWER(Z$2:Z$1000)))*ISNUMBER(SEARCH("hybrid",LOWER(AA$2:AA$1000))))</f>
        <v>0</v>
      </c>
      <c r="GJ40" cm="1">
        <f t="array" ref="GJ40">SUMPRODUCT((Y$2:Y$1000="PS")*(F$2:F$1000=FV40)*ISNUMBER(SEARCH("selection",LOWER(Z$2:Z$1000)))*ISNUMBER(SEARCH("selection",LOWER(AA$2:AA$1000))))</f>
        <v>0</v>
      </c>
      <c r="GK40" cm="1">
        <f t="array" ref="GK40">SUMPRODUCT((Y$2:Y$1000="PS")*(F$2:F$1000=FV40)*ISNUMBER(SEARCH("selection",LOWER(Z$2:Z$1000)))*ISNUMBER(SEARCH("detection",LOWER(AA$2:AA$1000))))</f>
        <v>0</v>
      </c>
      <c r="GL40" cm="1">
        <f t="array" ref="GL40">SUMPRODUCT((Y$2:Y$1000="PS")*(F$2:F$1000=FV40)*ISNUMBER(SEARCH("selection",LOWER(Z$2:Z$1000)))*ISNUMBER(SEARCH("coverage",LOWER(AA$2:AA$1000))))</f>
        <v>0</v>
      </c>
      <c r="GM40" cm="1">
        <f t="array" ref="GM40">SUMPRODUCT((Y$2:Y$1000="PS")*(F$2:F$1000=FV40)*ISNUMBER(SEARCH("selection",LOWER(Z$2:Z$1000)))*ISNUMBER(SEARCH("change",LOWER(AA$2:AA$1000))))</f>
        <v>0</v>
      </c>
      <c r="GN40" cm="1">
        <f t="array" ref="GN40">SUMPRODUCT((Y$2:Y$1000="PS")*(F$2:F$1000=FV40)*ISNUMBER(SEARCH("selection",LOWER(Z$2:Z$1000)))*ISNUMBER(SEARCH("model",LOWER(AA$2:AA$1000))))</f>
        <v>0</v>
      </c>
      <c r="GO40" cm="1">
        <f t="array" ref="GO40">SUMPRODUCT((Y$2:Y$1000="PS")*(F$2:F$1000=FV40)*ISNUMBER(SEARCH("selection",LOWER(Z$2:Z$1000)))*ISNUMBER(SEARCH("hystory",LOWER(AA$2:AA$1000))))</f>
        <v>0</v>
      </c>
      <c r="GP40" cm="1">
        <f t="array" ref="GP40">SUMPRODUCT((Y$2:Y$1000="PS")*(F$2:F$1000=FV40)*ISNUMBER(SEARCH("selection",LOWER(Z$2:Z$1000)))*ISNUMBER(SEARCH("cost-aware",LOWER(AA$2:AA$1000))))</f>
        <v>0</v>
      </c>
      <c r="GQ40" cm="1">
        <f t="array" ref="GQ40">SUMPRODUCT((Y$2:Y$1000="PS")*(F$2:F$1000=FV40)*ISNUMBER(SEARCH("selection",LOWER(Z$2:Z$1000)))*ISNUMBER(SEARCH("similarity",LOWER(AA$2:AA$1000))))</f>
        <v>0</v>
      </c>
      <c r="GR40" s="35" cm="1">
        <f t="array" ref="GR40">SUMPRODUCT((Y$2:Y$1000="PS")*(F$2:F$1000=FV40)*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0">
        <v>2016</v>
      </c>
      <c r="HA40" cm="1">
        <f t="array" ref="HA40">SUMPRODUCT((Y$2:Y$1000="PS")*(F$2:F$1000=GZ40)*ISNUMBER(SEARCH("minimization",LOWER(Z$2:Z$1000)))*ISNUMBER(SEARCH(LOWER(HA$36),LOWER(AB$2:AB$1000))))</f>
        <v>0</v>
      </c>
      <c r="HB40" cm="1">
        <f t="array" ref="HB40">SUMPRODUCT((Y$2:Y$1000="PS")*(F$2:F$1000=GZ40)*ISNUMBER(SEARCH("minimization",LOWER(Z$2:Z$1000)))*ISNUMBER(SEARCH(LOWER(HB$36),LOWER(AB$2:AB$1000))))</f>
        <v>0</v>
      </c>
      <c r="HC40" cm="1">
        <f t="array" ref="HC40">SUMPRODUCT((Y$2:Y$1000="PS")*(F$2:F$1000=GZ40)*ISNUMBER(SEARCH("minimization",LOWER(Z$2:Z$1000)))*ISNUMBER(SEARCH(LOWER(HC$36),LOWER(AB$2:AB$1000))))</f>
        <v>0</v>
      </c>
      <c r="HD40" cm="1">
        <f t="array" ref="HD40">SUMPRODUCT((Y$2:Y$1000="PS")*(F$2:F$1000=GZ40)*ISNUMBER(SEARCH("minimization",LOWER(Z$2:Z$1000)))*ISNUMBER(SEARCH(LOWER(HD$36),LOWER(AB$2:AB$1000))))</f>
        <v>0</v>
      </c>
      <c r="HE40" cm="1">
        <f t="array" ref="HE40">SUMPRODUCT((Y$2:Y$1000="PS")*(F$2:F$1000=GZ40)*ISNUMBER(SEARCH("minimization",LOWER(Z$2:Z$1000)))*ISNUMBER(SEARCH(LOWER(HE$36),LOWER(AB$2:AB$1000))))</f>
        <v>0</v>
      </c>
      <c r="HF40" cm="1">
        <f t="array" ref="HF40">SUMPRODUCT((Y$2:Y$1000="PS")*(F$2:F$1000=GZ40)*ISNUMBER(SEARCH("minimization",LOWER(Z$2:Z$1000)))*ISNUMBER(SEARCH(LOWER(HF$36),LOWER(AB$2:AB$1000))))</f>
        <v>0</v>
      </c>
      <c r="HG40" cm="1">
        <f t="array" ref="HG40">SUMPRODUCT((Y$2:Y$1000="PS")*(F$2:F$1000=GZ40)*ISNUMBER(SEARCH("minimization",LOWER(Z$2:Z$1000)))*ISNUMBER(SEARCH(LOWER(HG$36),LOWER(AB$2:AB$1000))))</f>
        <v>0</v>
      </c>
      <c r="HH40" cm="1">
        <f t="array" ref="HH40">SUMPRODUCT((Y$2:Y$1000="PS")*(F$2:F$1000=GZ40)*ISNUMBER(SEARCH("minimization",LOWER(Z$2:Z$1000)))*ISNUMBER(SEARCH(LOWER(HH$36),LOWER(AB$2:AB$1000))))</f>
        <v>0</v>
      </c>
      <c r="HI40" cm="1">
        <f t="array" ref="HI40">SUMPRODUCT((Y$2:Y$1000="PS")*(F$2:F$1000=GZ40)*ISNUMBER(SEARCH("minimization",LOWER(Z$2:Z$1000)))*ISNUMBER(SEARCH(LOWER(HI$36),LOWER(AB$2:AB$1000))))</f>
        <v>0</v>
      </c>
      <c r="HJ40" cm="1">
        <f t="array" ref="HJ40">SUMPRODUCT((Y$2:Y$1000="PS")*(F$2:F$1000=GZ40)*ISNUMBER(SEARCH("minimization",LOWER(Z$2:Z$1000)))*ISNUMBER(SEARCH(LOWER(HJ$36),LOWER(AB$2:AB$1000))))</f>
        <v>0</v>
      </c>
      <c r="HK40" cm="1">
        <f t="array" ref="HK40">SUMPRODUCT((Y$2:Y$1000="PS")*(F$2:F$1000=GZ40)*ISNUMBER(SEARCH("minimization",LOWER(Z$2:Z$1000)))*ISNUMBER(SEARCH(LOWER(HK$36),LOWER(AB$2:AB$1000))))</f>
        <v>0</v>
      </c>
      <c r="HL40" cm="1">
        <f t="array" ref="HL40">SUMPRODUCT((Y$2:Y$1000="PS")*(F$2:F$1000=GZ40)*ISNUMBER(SEARCH("minimization",LOWER(Z$2:Z$1000)))*ISNUMBER(SEARCH(LOWER(HL$36),LOWER(AB$2:AB$1000))))</f>
        <v>0</v>
      </c>
      <c r="HM40" cm="1">
        <f t="array" ref="HM40">SUMPRODUCT((Y$2:Y$1000="PS")*(F$2:F$1000=GZ40)*ISNUMBER(SEARCH("minimization",LOWER(Z$2:Z$1000)))*ISNUMBER(SEARCH(LOWER(HM$36),LOWER(AB$2:AB$1000))))</f>
        <v>0</v>
      </c>
    </row>
    <row r="41" spans="1:221" ht="144">
      <c r="C41" t="s">
        <v>512</v>
      </c>
      <c r="D41" t="s">
        <v>513</v>
      </c>
      <c r="E41" t="s">
        <v>514</v>
      </c>
      <c r="F41">
        <v>2021</v>
      </c>
      <c r="J41" t="s">
        <v>515</v>
      </c>
      <c r="Y41" t="s">
        <v>58</v>
      </c>
      <c r="Z41" s="6" t="s">
        <v>516</v>
      </c>
      <c r="AA41" s="7" t="s">
        <v>408</v>
      </c>
      <c r="AB41" s="7" t="s">
        <v>91</v>
      </c>
      <c r="AC41" s="8"/>
      <c r="AD41" s="7" t="s">
        <v>517</v>
      </c>
      <c r="AE41" s="6" t="s">
        <v>518</v>
      </c>
      <c r="AF41" s="7" t="s">
        <v>519</v>
      </c>
      <c r="AG41" s="7" t="s">
        <v>520</v>
      </c>
      <c r="AH41" s="7">
        <v>1</v>
      </c>
      <c r="AK41">
        <f t="shared" si="6"/>
        <v>1</v>
      </c>
      <c r="AL41">
        <f t="shared" si="0"/>
        <v>0</v>
      </c>
      <c r="AM41">
        <f t="shared" si="1"/>
        <v>0</v>
      </c>
      <c r="AN41">
        <f t="shared" si="2"/>
        <v>1</v>
      </c>
      <c r="EM41">
        <v>2017</v>
      </c>
      <c r="FQ41" t="s">
        <v>1270</v>
      </c>
      <c r="FR41" s="35" cm="1">
        <f t="array" ref="FR41">SUMPRODUCT((Y$2:Y$1000="PS")*ISNUMBER(SEARCH(LOWER(FQ41),LOWER(AA$2:AA$1000)))*ISNUMBER(SEARCH("selection",LOWER(Z$2:Z$1000))))</f>
        <v>1</v>
      </c>
      <c r="FV41">
        <v>2017</v>
      </c>
      <c r="FW41" s="35" cm="1">
        <f t="array" ref="FW41">SUMPRODUCT((Y$2:Y$1000="PS")*(F$2:F$1000=FV41)*ISNUMBER(SEARCH("selection",LOWER(Z$2:Z$1000)))*ISNUMBER(SEARCH("integer",LOWER(AA$2:AA$1000))))</f>
        <v>0</v>
      </c>
      <c r="FX41" cm="1">
        <f t="array" ref="FX41">SUMPRODUCT((Y$2:Y$1000="PS")*(F$2:F$1000=FV41)*ISNUMBER(SEARCH("selection",LOWER(Z$2:Z$1000)))*ISNUMBER(SEARCH("data-flow",LOWER(AA$2:AA$1000))))</f>
        <v>0</v>
      </c>
      <c r="FY41" cm="1">
        <f t="array" ref="FY41">SUMPRODUCT((Y$2:Y$1000="PS")*(F$2:F$1000=FV41)*ISNUMBER(SEARCH("selection",LOWER(Z$2:Z$1000)))*ISNUMBER(SEARCH("symbolic",LOWER(AA$2:AA$1000))))</f>
        <v>0</v>
      </c>
      <c r="FZ41" cm="1">
        <f t="array" ref="FZ41">SUMPRODUCT((Y$2:Y$1000="PS")*(F$2:F$1000=FV41)*ISNUMBER(SEARCH("selection",LOWER(Z$2:Z$1000)))*ISNUMBER(SEARCH("dynamyc",LOWER(AA$2:AA$1000))))</f>
        <v>0</v>
      </c>
      <c r="GA41" cm="1">
        <f t="array" ref="GA41">SUMPRODUCT((Y$2:Y$1000="PS")*(F$2:F$1000=FV41)*ISNUMBER(SEARCH("selection",LOWER(Z$2:Z$1000)))*ISNUMBER(SEARCH("graph",LOWER(AA$2:AA$1000))))</f>
        <v>0</v>
      </c>
      <c r="GB41" cm="1">
        <f t="array" ref="GB41">SUMPRODUCT((Y$2:Y$1000="PS")*(F$2:F$1000=FV41)*ISNUMBER(SEARCH("selection",LOWER(Z$2:Z$1000)))*ISNUMBER(SEARCH("textual",LOWER(AA$2:AA$1000))))</f>
        <v>0</v>
      </c>
      <c r="GC41" cm="1">
        <f t="array" ref="GC41">SUMPRODUCT((Y$2:Y$1000="PS")*(F$2:F$1000=FV41)*ISNUMBER(SEARCH("selection",LOWER(Z$2:Z$1000)))*ISNUMBER(SEARCH("sdg",LOWER(AA$2:AA$1000))))</f>
        <v>0</v>
      </c>
      <c r="GD41" cm="1">
        <f t="array" ref="GD41">SUMPRODUCT((Y$2:Y$1000="PS")*(F$2:F$1000=FV41)*ISNUMBER(SEARCH("selection",LOWER(Z$2:Z$1000)))*ISNUMBER(SEARCH("path",LOWER(AA$2:AA$1000))))</f>
        <v>0</v>
      </c>
      <c r="GE41" cm="1">
        <f t="array" ref="GE41">SUMPRODUCT((Y$2:Y$1000="PS")*(F$2:F$1000=FV41)*ISNUMBER(SEARCH("selection",LOWER(Z$2:Z$1000)))*ISNUMBER(SEARCH("mod",LOWER(AA$2:AA$1000))))</f>
        <v>0</v>
      </c>
      <c r="GF41" cm="1">
        <f t="array" ref="GF41">SUMPRODUCT((Y$2:Y$1000="PS")*(F$2:F$1000=FV41)*ISNUMBER(SEARCH("selection",LOWER(Z$2:Z$1000)))*ISNUMBER(SEARCH("firewall",LOWER(AA$2:AA$1000))))</f>
        <v>0</v>
      </c>
      <c r="GG41" cm="1">
        <f t="array" ref="GG41">SUMPRODUCT((Y$2:Y$1000="PS")*(F$2:F$1000=FV41)*ISNUMBER(SEARCH("selection",LOWER(Z$2:Z$1000)))*ISNUMBER(SEARCH("cluster",LOWER(AA$2:AA$1000))))</f>
        <v>0</v>
      </c>
      <c r="GH41" cm="1">
        <f t="array" ref="GH41">SUMPRODUCT((Y$2:Y$1000="PS")*(F$2:F$1000=FV41)*ISNUMBER(SEARCH("selection",LOWER(Z$2:Z$1000)))*ISNUMBER(SEARCH("design",LOWER(AA$2:AA$1000))))</f>
        <v>1</v>
      </c>
      <c r="GI41" cm="1">
        <f t="array" ref="GI41">SUMPRODUCT((Y$2:Y$1000="PS")*(F$2:F$1000=FV41)*ISNUMBER(SEARCH("selection",LOWER(Z$2:Z$1000)))*ISNUMBER(SEARCH("hybrid",LOWER(AA$2:AA$1000))))</f>
        <v>0</v>
      </c>
      <c r="GJ41" cm="1">
        <f t="array" ref="GJ41">SUMPRODUCT((Y$2:Y$1000="PS")*(F$2:F$1000=FV41)*ISNUMBER(SEARCH("selection",LOWER(Z$2:Z$1000)))*ISNUMBER(SEARCH("selection",LOWER(AA$2:AA$1000))))</f>
        <v>0</v>
      </c>
      <c r="GK41" cm="1">
        <f t="array" ref="GK41">SUMPRODUCT((Y$2:Y$1000="PS")*(F$2:F$1000=FV41)*ISNUMBER(SEARCH("selection",LOWER(Z$2:Z$1000)))*ISNUMBER(SEARCH("detection",LOWER(AA$2:AA$1000))))</f>
        <v>0</v>
      </c>
      <c r="GL41" cm="1">
        <f t="array" ref="GL41">SUMPRODUCT((Y$2:Y$1000="PS")*(F$2:F$1000=FV41)*ISNUMBER(SEARCH("selection",LOWER(Z$2:Z$1000)))*ISNUMBER(SEARCH("coverage",LOWER(AA$2:AA$1000))))</f>
        <v>0</v>
      </c>
      <c r="GM41" cm="1">
        <f t="array" ref="GM41">SUMPRODUCT((Y$2:Y$1000="PS")*(F$2:F$1000=FV41)*ISNUMBER(SEARCH("selection",LOWER(Z$2:Z$1000)))*ISNUMBER(SEARCH("change",LOWER(AA$2:AA$1000))))</f>
        <v>0</v>
      </c>
      <c r="GN41" cm="1">
        <f t="array" ref="GN41">SUMPRODUCT((Y$2:Y$1000="PS")*(F$2:F$1000=FV41)*ISNUMBER(SEARCH("selection",LOWER(Z$2:Z$1000)))*ISNUMBER(SEARCH("model",LOWER(AA$2:AA$1000))))</f>
        <v>0</v>
      </c>
      <c r="GO41" cm="1">
        <f t="array" ref="GO41">SUMPRODUCT((Y$2:Y$1000="PS")*(F$2:F$1000=FV41)*ISNUMBER(SEARCH("selection",LOWER(Z$2:Z$1000)))*ISNUMBER(SEARCH("hystory",LOWER(AA$2:AA$1000))))</f>
        <v>0</v>
      </c>
      <c r="GP41" cm="1">
        <f t="array" ref="GP41">SUMPRODUCT((Y$2:Y$1000="PS")*(F$2:F$1000=FV41)*ISNUMBER(SEARCH("selection",LOWER(Z$2:Z$1000)))*ISNUMBER(SEARCH("cost-aware",LOWER(AA$2:AA$1000))))</f>
        <v>1</v>
      </c>
      <c r="GQ41" cm="1">
        <f t="array" ref="GQ41">SUMPRODUCT((Y$2:Y$1000="PS")*(F$2:F$1000=FV41)*ISNUMBER(SEARCH("selection",LOWER(Z$2:Z$1000)))*ISNUMBER(SEARCH("similarity",LOWER(AA$2:AA$1000))))</f>
        <v>0</v>
      </c>
      <c r="GR41" s="35" cm="1">
        <f t="array" ref="GR41">SUMPRODUCT((Y$2:Y$1000="PS")*(F$2:F$1000=FV41)*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1">
        <v>2017</v>
      </c>
      <c r="HA41" cm="1">
        <f t="array" ref="HA41">SUMPRODUCT((Y$2:Y$1000="PS")*(F$2:F$1000=GZ41)*ISNUMBER(SEARCH("minimization",LOWER(Z$2:Z$1000)))*ISNUMBER(SEARCH(LOWER(HA$36),LOWER(AB$2:AB$1000))))</f>
        <v>0</v>
      </c>
      <c r="HB41" cm="1">
        <f t="array" ref="HB41">SUMPRODUCT((Y$2:Y$1000="PS")*(F$2:F$1000=GZ41)*ISNUMBER(SEARCH("minimization",LOWER(Z$2:Z$1000)))*ISNUMBER(SEARCH(LOWER(HB$36),LOWER(AB$2:AB$1000))))</f>
        <v>0</v>
      </c>
      <c r="HC41" cm="1">
        <f t="array" ref="HC41">SUMPRODUCT((Y$2:Y$1000="PS")*(F$2:F$1000=GZ41)*ISNUMBER(SEARCH("minimization",LOWER(Z$2:Z$1000)))*ISNUMBER(SEARCH(LOWER(HC$36),LOWER(AB$2:AB$1000))))</f>
        <v>0</v>
      </c>
      <c r="HD41" cm="1">
        <f t="array" ref="HD41">SUMPRODUCT((Y$2:Y$1000="PS")*(F$2:F$1000=GZ41)*ISNUMBER(SEARCH("minimization",LOWER(Z$2:Z$1000)))*ISNUMBER(SEARCH(LOWER(HD$36),LOWER(AB$2:AB$1000))))</f>
        <v>0</v>
      </c>
      <c r="HE41" cm="1">
        <f t="array" ref="HE41">SUMPRODUCT((Y$2:Y$1000="PS")*(F$2:F$1000=GZ41)*ISNUMBER(SEARCH("minimization",LOWER(Z$2:Z$1000)))*ISNUMBER(SEARCH(LOWER(HE$36),LOWER(AB$2:AB$1000))))</f>
        <v>0</v>
      </c>
      <c r="HF41" cm="1">
        <f t="array" ref="HF41">SUMPRODUCT((Y$2:Y$1000="PS")*(F$2:F$1000=GZ41)*ISNUMBER(SEARCH("minimization",LOWER(Z$2:Z$1000)))*ISNUMBER(SEARCH(LOWER(HF$36),LOWER(AB$2:AB$1000))))</f>
        <v>0</v>
      </c>
      <c r="HG41" cm="1">
        <f t="array" ref="HG41">SUMPRODUCT((Y$2:Y$1000="PS")*(F$2:F$1000=GZ41)*ISNUMBER(SEARCH("minimization",LOWER(Z$2:Z$1000)))*ISNUMBER(SEARCH(LOWER(HG$36),LOWER(AB$2:AB$1000))))</f>
        <v>0</v>
      </c>
      <c r="HH41" cm="1">
        <f t="array" ref="HH41">SUMPRODUCT((Y$2:Y$1000="PS")*(F$2:F$1000=GZ41)*ISNUMBER(SEARCH("minimization",LOWER(Z$2:Z$1000)))*ISNUMBER(SEARCH(LOWER(HH$36),LOWER(AB$2:AB$1000))))</f>
        <v>0</v>
      </c>
      <c r="HI41" cm="1">
        <f t="array" ref="HI41">SUMPRODUCT((Y$2:Y$1000="PS")*(F$2:F$1000=GZ41)*ISNUMBER(SEARCH("minimization",LOWER(Z$2:Z$1000)))*ISNUMBER(SEARCH(LOWER(HI$36),LOWER(AB$2:AB$1000))))</f>
        <v>0</v>
      </c>
      <c r="HJ41" cm="1">
        <f t="array" ref="HJ41">SUMPRODUCT((Y$2:Y$1000="PS")*(F$2:F$1000=GZ41)*ISNUMBER(SEARCH("minimization",LOWER(Z$2:Z$1000)))*ISNUMBER(SEARCH(LOWER(HJ$36),LOWER(AB$2:AB$1000))))</f>
        <v>0</v>
      </c>
      <c r="HK41" cm="1">
        <f t="array" ref="HK41">SUMPRODUCT((Y$2:Y$1000="PS")*(F$2:F$1000=GZ41)*ISNUMBER(SEARCH("minimization",LOWER(Z$2:Z$1000)))*ISNUMBER(SEARCH(LOWER(HK$36),LOWER(AB$2:AB$1000))))</f>
        <v>0</v>
      </c>
      <c r="HL41" cm="1">
        <f t="array" ref="HL41">SUMPRODUCT((Y$2:Y$1000="PS")*(F$2:F$1000=GZ41)*ISNUMBER(SEARCH("minimization",LOWER(Z$2:Z$1000)))*ISNUMBER(SEARCH(LOWER(HL$36),LOWER(AB$2:AB$1000))))</f>
        <v>0</v>
      </c>
      <c r="HM41" cm="1">
        <f t="array" ref="HM41">SUMPRODUCT((Y$2:Y$1000="PS")*(F$2:F$1000=GZ41)*ISNUMBER(SEARCH("minimization",LOWER(Z$2:Z$1000)))*ISNUMBER(SEARCH(LOWER(HM$36),LOWER(AB$2:AB$1000))))</f>
        <v>0</v>
      </c>
    </row>
    <row r="42" spans="1:221" ht="112">
      <c r="C42" t="s">
        <v>521</v>
      </c>
      <c r="D42" t="s">
        <v>522</v>
      </c>
      <c r="E42" t="s">
        <v>523</v>
      </c>
      <c r="F42">
        <v>2024</v>
      </c>
      <c r="J42" t="s">
        <v>524</v>
      </c>
      <c r="Y42" t="s">
        <v>58</v>
      </c>
      <c r="Z42" s="6" t="s">
        <v>525</v>
      </c>
      <c r="AA42" s="7" t="s">
        <v>526</v>
      </c>
      <c r="AB42" s="7" t="s">
        <v>1435</v>
      </c>
      <c r="AC42" s="6" t="s">
        <v>384</v>
      </c>
      <c r="AD42" s="7" t="s">
        <v>527</v>
      </c>
      <c r="AE42" s="6" t="s">
        <v>528</v>
      </c>
      <c r="AF42" s="7" t="s">
        <v>529</v>
      </c>
      <c r="AG42" s="7" t="s">
        <v>530</v>
      </c>
      <c r="AH42" s="7">
        <v>1</v>
      </c>
      <c r="AK42">
        <f t="shared" si="6"/>
        <v>1</v>
      </c>
      <c r="AL42">
        <f t="shared" si="0"/>
        <v>1</v>
      </c>
      <c r="AM42">
        <f t="shared" si="1"/>
        <v>0</v>
      </c>
      <c r="AN42">
        <f t="shared" si="2"/>
        <v>0</v>
      </c>
      <c r="EM42">
        <v>2018</v>
      </c>
      <c r="FQ42" t="s">
        <v>1281</v>
      </c>
      <c r="FR42" s="35" cm="1">
        <f t="array" ref="FR42">SUMPRODUCT((Y$2:Y$1000="PS")*ISNUMBER(SEARCH(LOWER(FQ42),LOWER(AA$2:AA$1000)))*ISNUMBER(SEARCH("selection",LOWER(Z$2:Z$1000))))</f>
        <v>0</v>
      </c>
      <c r="FV42">
        <v>2018</v>
      </c>
      <c r="FW42" s="35" cm="1">
        <f t="array" ref="FW42">SUMPRODUCT((Y$2:Y$1000="PS")*(F$2:F$1000=FV42)*ISNUMBER(SEARCH("selection",LOWER(Z$2:Z$1000)))*ISNUMBER(SEARCH("integer",LOWER(AA$2:AA$1000))))</f>
        <v>0</v>
      </c>
      <c r="FX42" cm="1">
        <f t="array" ref="FX42">SUMPRODUCT((Y$2:Y$1000="PS")*(F$2:F$1000=FV42)*ISNUMBER(SEARCH("selection",LOWER(Z$2:Z$1000)))*ISNUMBER(SEARCH("data-flow",LOWER(AA$2:AA$1000))))</f>
        <v>0</v>
      </c>
      <c r="FY42" cm="1">
        <f t="array" ref="FY42">SUMPRODUCT((Y$2:Y$1000="PS")*(F$2:F$1000=FV42)*ISNUMBER(SEARCH("selection",LOWER(Z$2:Z$1000)))*ISNUMBER(SEARCH("symbolic",LOWER(AA$2:AA$1000))))</f>
        <v>0</v>
      </c>
      <c r="FZ42" cm="1">
        <f t="array" ref="FZ42">SUMPRODUCT((Y$2:Y$1000="PS")*(F$2:F$1000=FV42)*ISNUMBER(SEARCH("selection",LOWER(Z$2:Z$1000)))*ISNUMBER(SEARCH("dynamyc",LOWER(AA$2:AA$1000))))</f>
        <v>0</v>
      </c>
      <c r="GA42" cm="1">
        <f t="array" ref="GA42">SUMPRODUCT((Y$2:Y$1000="PS")*(F$2:F$1000=FV42)*ISNUMBER(SEARCH("selection",LOWER(Z$2:Z$1000)))*ISNUMBER(SEARCH("graph",LOWER(AA$2:AA$1000))))</f>
        <v>1</v>
      </c>
      <c r="GB42" cm="1">
        <f t="array" ref="GB42">SUMPRODUCT((Y$2:Y$1000="PS")*(F$2:F$1000=FV42)*ISNUMBER(SEARCH("selection",LOWER(Z$2:Z$1000)))*ISNUMBER(SEARCH("textual",LOWER(AA$2:AA$1000))))</f>
        <v>0</v>
      </c>
      <c r="GC42" cm="1">
        <f t="array" ref="GC42">SUMPRODUCT((Y$2:Y$1000="PS")*(F$2:F$1000=FV42)*ISNUMBER(SEARCH("selection",LOWER(Z$2:Z$1000)))*ISNUMBER(SEARCH("sdg",LOWER(AA$2:AA$1000))))</f>
        <v>0</v>
      </c>
      <c r="GD42" cm="1">
        <f t="array" ref="GD42">SUMPRODUCT((Y$2:Y$1000="PS")*(F$2:F$1000=FV42)*ISNUMBER(SEARCH("selection",LOWER(Z$2:Z$1000)))*ISNUMBER(SEARCH("path",LOWER(AA$2:AA$1000))))</f>
        <v>0</v>
      </c>
      <c r="GE42" cm="1">
        <f t="array" ref="GE42">SUMPRODUCT((Y$2:Y$1000="PS")*(F$2:F$1000=FV42)*ISNUMBER(SEARCH("selection",LOWER(Z$2:Z$1000)))*ISNUMBER(SEARCH("mod",LOWER(AA$2:AA$1000))))</f>
        <v>0</v>
      </c>
      <c r="GF42" cm="1">
        <f t="array" ref="GF42">SUMPRODUCT((Y$2:Y$1000="PS")*(F$2:F$1000=FV42)*ISNUMBER(SEARCH("selection",LOWER(Z$2:Z$1000)))*ISNUMBER(SEARCH("firewall",LOWER(AA$2:AA$1000))))</f>
        <v>0</v>
      </c>
      <c r="GG42" cm="1">
        <f t="array" ref="GG42">SUMPRODUCT((Y$2:Y$1000="PS")*(F$2:F$1000=FV42)*ISNUMBER(SEARCH("selection",LOWER(Z$2:Z$1000)))*ISNUMBER(SEARCH("cluster",LOWER(AA$2:AA$1000))))</f>
        <v>0</v>
      </c>
      <c r="GH42" cm="1">
        <f t="array" ref="GH42">SUMPRODUCT((Y$2:Y$1000="PS")*(F$2:F$1000=FV42)*ISNUMBER(SEARCH("selection",LOWER(Z$2:Z$1000)))*ISNUMBER(SEARCH("design",LOWER(AA$2:AA$1000))))</f>
        <v>0</v>
      </c>
      <c r="GI42" cm="1">
        <f t="array" ref="GI42">SUMPRODUCT((Y$2:Y$1000="PS")*(F$2:F$1000=FV42)*ISNUMBER(SEARCH("selection",LOWER(Z$2:Z$1000)))*ISNUMBER(SEARCH("hybrid",LOWER(AA$2:AA$1000))))</f>
        <v>0</v>
      </c>
      <c r="GJ42" cm="1">
        <f t="array" ref="GJ42">SUMPRODUCT((Y$2:Y$1000="PS")*(F$2:F$1000=FV42)*ISNUMBER(SEARCH("selection",LOWER(Z$2:Z$1000)))*ISNUMBER(SEARCH("selection",LOWER(AA$2:AA$1000))))</f>
        <v>0</v>
      </c>
      <c r="GK42" cm="1">
        <f t="array" ref="GK42">SUMPRODUCT((Y$2:Y$1000="PS")*(F$2:F$1000=FV42)*ISNUMBER(SEARCH("selection",LOWER(Z$2:Z$1000)))*ISNUMBER(SEARCH("detection",LOWER(AA$2:AA$1000))))</f>
        <v>0</v>
      </c>
      <c r="GL42" cm="1">
        <f t="array" ref="GL42">SUMPRODUCT((Y$2:Y$1000="PS")*(F$2:F$1000=FV42)*ISNUMBER(SEARCH("selection",LOWER(Z$2:Z$1000)))*ISNUMBER(SEARCH("coverage",LOWER(AA$2:AA$1000))))</f>
        <v>1</v>
      </c>
      <c r="GM42" cm="1">
        <f t="array" ref="GM42">SUMPRODUCT((Y$2:Y$1000="PS")*(F$2:F$1000=FV42)*ISNUMBER(SEARCH("selection",LOWER(Z$2:Z$1000)))*ISNUMBER(SEARCH("change",LOWER(AA$2:AA$1000))))</f>
        <v>0</v>
      </c>
      <c r="GN42" cm="1">
        <f t="array" ref="GN42">SUMPRODUCT((Y$2:Y$1000="PS")*(F$2:F$1000=FV42)*ISNUMBER(SEARCH("selection",LOWER(Z$2:Z$1000)))*ISNUMBER(SEARCH("model",LOWER(AA$2:AA$1000))))</f>
        <v>0</v>
      </c>
      <c r="GO42" cm="1">
        <f t="array" ref="GO42">SUMPRODUCT((Y$2:Y$1000="PS")*(F$2:F$1000=FV42)*ISNUMBER(SEARCH("selection",LOWER(Z$2:Z$1000)))*ISNUMBER(SEARCH("hystory",LOWER(AA$2:AA$1000))))</f>
        <v>0</v>
      </c>
      <c r="GP42" cm="1">
        <f t="array" ref="GP42">SUMPRODUCT((Y$2:Y$1000="PS")*(F$2:F$1000=FV42)*ISNUMBER(SEARCH("selection",LOWER(Z$2:Z$1000)))*ISNUMBER(SEARCH("cost-aware",LOWER(AA$2:AA$1000))))</f>
        <v>0</v>
      </c>
      <c r="GQ42" cm="1">
        <f t="array" ref="GQ42">SUMPRODUCT((Y$2:Y$1000="PS")*(F$2:F$1000=FV42)*ISNUMBER(SEARCH("selection",LOWER(Z$2:Z$1000)))*ISNUMBER(SEARCH("similarity",LOWER(AA$2:AA$1000))))</f>
        <v>0</v>
      </c>
      <c r="GR42" s="35" cm="1">
        <f t="array" ref="GR42">SUMPRODUCT((Y$2:Y$1000="PS")*(F$2:F$1000=FV42)*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2</v>
      </c>
      <c r="GZ42">
        <v>2018</v>
      </c>
      <c r="HA42" cm="1">
        <f t="array" ref="HA42">SUMPRODUCT((Y$2:Y$1000="PS")*(F$2:F$1000=GZ42)*ISNUMBER(SEARCH("minimization",LOWER(Z$2:Z$1000)))*ISNUMBER(SEARCH(LOWER(HA$36),LOWER(AB$2:AB$1000))))</f>
        <v>0</v>
      </c>
      <c r="HB42" cm="1">
        <f t="array" ref="HB42">SUMPRODUCT((Y$2:Y$1000="PS")*(F$2:F$1000=GZ42)*ISNUMBER(SEARCH("minimization",LOWER(Z$2:Z$1000)))*ISNUMBER(SEARCH(LOWER(HB$36),LOWER(AB$2:AB$1000))))</f>
        <v>0</v>
      </c>
      <c r="HC42" cm="1">
        <f t="array" ref="HC42">SUMPRODUCT((Y$2:Y$1000="PS")*(F$2:F$1000=GZ42)*ISNUMBER(SEARCH("minimization",LOWER(Z$2:Z$1000)))*ISNUMBER(SEARCH(LOWER(HC$36),LOWER(AB$2:AB$1000))))</f>
        <v>0</v>
      </c>
      <c r="HD42" cm="1">
        <f t="array" ref="HD42">SUMPRODUCT((Y$2:Y$1000="PS")*(F$2:F$1000=GZ42)*ISNUMBER(SEARCH("minimization",LOWER(Z$2:Z$1000)))*ISNUMBER(SEARCH(LOWER(HD$36),LOWER(AB$2:AB$1000))))</f>
        <v>0</v>
      </c>
      <c r="HE42" cm="1">
        <f t="array" ref="HE42">SUMPRODUCT((Y$2:Y$1000="PS")*(F$2:F$1000=GZ42)*ISNUMBER(SEARCH("minimization",LOWER(Z$2:Z$1000)))*ISNUMBER(SEARCH(LOWER(HE$36),LOWER(AB$2:AB$1000))))</f>
        <v>0</v>
      </c>
      <c r="HF42" cm="1">
        <f t="array" ref="HF42">SUMPRODUCT((Y$2:Y$1000="PS")*(F$2:F$1000=GZ42)*ISNUMBER(SEARCH("minimization",LOWER(Z$2:Z$1000)))*ISNUMBER(SEARCH(LOWER(HF$36),LOWER(AB$2:AB$1000))))</f>
        <v>0</v>
      </c>
      <c r="HG42" cm="1">
        <f t="array" ref="HG42">SUMPRODUCT((Y$2:Y$1000="PS")*(F$2:F$1000=GZ42)*ISNUMBER(SEARCH("minimization",LOWER(Z$2:Z$1000)))*ISNUMBER(SEARCH(LOWER(HG$36),LOWER(AB$2:AB$1000))))</f>
        <v>0</v>
      </c>
      <c r="HH42" cm="1">
        <f t="array" ref="HH42">SUMPRODUCT((Y$2:Y$1000="PS")*(F$2:F$1000=GZ42)*ISNUMBER(SEARCH("minimization",LOWER(Z$2:Z$1000)))*ISNUMBER(SEARCH(LOWER(HH$36),LOWER(AB$2:AB$1000))))</f>
        <v>0</v>
      </c>
      <c r="HI42" cm="1">
        <f t="array" ref="HI42">SUMPRODUCT((Y$2:Y$1000="PS")*(F$2:F$1000=GZ42)*ISNUMBER(SEARCH("minimization",LOWER(Z$2:Z$1000)))*ISNUMBER(SEARCH(LOWER(HI$36),LOWER(AB$2:AB$1000))))</f>
        <v>0</v>
      </c>
      <c r="HJ42" cm="1">
        <f t="array" ref="HJ42">SUMPRODUCT((Y$2:Y$1000="PS")*(F$2:F$1000=GZ42)*ISNUMBER(SEARCH("minimization",LOWER(Z$2:Z$1000)))*ISNUMBER(SEARCH(LOWER(HJ$36),LOWER(AB$2:AB$1000))))</f>
        <v>0</v>
      </c>
      <c r="HK42" cm="1">
        <f t="array" ref="HK42">SUMPRODUCT((Y$2:Y$1000="PS")*(F$2:F$1000=GZ42)*ISNUMBER(SEARCH("minimization",LOWER(Z$2:Z$1000)))*ISNUMBER(SEARCH(LOWER(HK$36),LOWER(AB$2:AB$1000))))</f>
        <v>0</v>
      </c>
      <c r="HL42" cm="1">
        <f t="array" ref="HL42">SUMPRODUCT((Y$2:Y$1000="PS")*(F$2:F$1000=GZ42)*ISNUMBER(SEARCH("minimization",LOWER(Z$2:Z$1000)))*ISNUMBER(SEARCH(LOWER(HL$36),LOWER(AB$2:AB$1000))))</f>
        <v>0</v>
      </c>
      <c r="HM42" cm="1">
        <f t="array" ref="HM42">SUMPRODUCT((Y$2:Y$1000="PS")*(F$2:F$1000=GZ42)*ISNUMBER(SEARCH("minimization",LOWER(Z$2:Z$1000)))*ISNUMBER(SEARCH(LOWER(HM$36),LOWER(AB$2:AB$1000))))</f>
        <v>0</v>
      </c>
    </row>
    <row r="43" spans="1:221" ht="80">
      <c r="C43" t="s">
        <v>531</v>
      </c>
      <c r="D43" t="s">
        <v>532</v>
      </c>
      <c r="E43" t="s">
        <v>533</v>
      </c>
      <c r="F43">
        <v>2023</v>
      </c>
      <c r="J43" t="s">
        <v>534</v>
      </c>
      <c r="Y43" t="s">
        <v>44</v>
      </c>
      <c r="Z43" s="6" t="s">
        <v>535</v>
      </c>
      <c r="AA43" s="16"/>
      <c r="AB43" s="16"/>
      <c r="AC43" s="16"/>
      <c r="AD43" s="16"/>
      <c r="AE43" s="16"/>
      <c r="AF43" s="16"/>
      <c r="AG43" s="16"/>
      <c r="AH43" s="16"/>
      <c r="AK43">
        <f t="shared" si="6"/>
        <v>0</v>
      </c>
      <c r="AL43">
        <f t="shared" si="0"/>
        <v>0</v>
      </c>
      <c r="AM43">
        <f t="shared" si="1"/>
        <v>0</v>
      </c>
      <c r="AN43">
        <f t="shared" si="2"/>
        <v>0</v>
      </c>
      <c r="EM43">
        <v>2019</v>
      </c>
      <c r="FQ43" t="s">
        <v>1276</v>
      </c>
      <c r="FR43" s="35" cm="1">
        <f t="array" ref="FR43">SUMPRODUCT((Y$2:Y$1000="PS")*ISNUMBER(SEARCH(LOWER(FQ43),LOWER(AA$2:AA$1000)))*ISNUMBER(SEARCH("selection",LOWER(Z$2:Z$1000))))</f>
        <v>1</v>
      </c>
      <c r="FV43">
        <v>2019</v>
      </c>
      <c r="FW43" s="35" cm="1">
        <f t="array" ref="FW43">SUMPRODUCT((Y$2:Y$1000="PS")*(F$2:F$1000=FV43)*ISNUMBER(SEARCH("selection",LOWER(Z$2:Z$1000)))*ISNUMBER(SEARCH("integer",LOWER(AA$2:AA$1000))))</f>
        <v>0</v>
      </c>
      <c r="FX43" cm="1">
        <f t="array" ref="FX43">SUMPRODUCT((Y$2:Y$1000="PS")*(F$2:F$1000=FV43)*ISNUMBER(SEARCH("selection",LOWER(Z$2:Z$1000)))*ISNUMBER(SEARCH("data-flow",LOWER(AA$2:AA$1000))))</f>
        <v>0</v>
      </c>
      <c r="FY43" cm="1">
        <f t="array" ref="FY43">SUMPRODUCT((Y$2:Y$1000="PS")*(F$2:F$1000=FV43)*ISNUMBER(SEARCH("selection",LOWER(Z$2:Z$1000)))*ISNUMBER(SEARCH("symbolic",LOWER(AA$2:AA$1000))))</f>
        <v>0</v>
      </c>
      <c r="FZ43" cm="1">
        <f t="array" ref="FZ43">SUMPRODUCT((Y$2:Y$1000="PS")*(F$2:F$1000=FV43)*ISNUMBER(SEARCH("selection",LOWER(Z$2:Z$1000)))*ISNUMBER(SEARCH("dynamyc",LOWER(AA$2:AA$1000))))</f>
        <v>0</v>
      </c>
      <c r="GA43" cm="1">
        <f t="array" ref="GA43">SUMPRODUCT((Y$2:Y$1000="PS")*(F$2:F$1000=FV43)*ISNUMBER(SEARCH("selection",LOWER(Z$2:Z$1000)))*ISNUMBER(SEARCH("graph",LOWER(AA$2:AA$1000))))</f>
        <v>0</v>
      </c>
      <c r="GB43" cm="1">
        <f t="array" ref="GB43">SUMPRODUCT((Y$2:Y$1000="PS")*(F$2:F$1000=FV43)*ISNUMBER(SEARCH("selection",LOWER(Z$2:Z$1000)))*ISNUMBER(SEARCH("textual",LOWER(AA$2:AA$1000))))</f>
        <v>0</v>
      </c>
      <c r="GC43" cm="1">
        <f t="array" ref="GC43">SUMPRODUCT((Y$2:Y$1000="PS")*(F$2:F$1000=FV43)*ISNUMBER(SEARCH("selection",LOWER(Z$2:Z$1000)))*ISNUMBER(SEARCH("sdg",LOWER(AA$2:AA$1000))))</f>
        <v>0</v>
      </c>
      <c r="GD43" cm="1">
        <f t="array" ref="GD43">SUMPRODUCT((Y$2:Y$1000="PS")*(F$2:F$1000=FV43)*ISNUMBER(SEARCH("selection",LOWER(Z$2:Z$1000)))*ISNUMBER(SEARCH("path",LOWER(AA$2:AA$1000))))</f>
        <v>0</v>
      </c>
      <c r="GE43" cm="1">
        <f t="array" ref="GE43">SUMPRODUCT((Y$2:Y$1000="PS")*(F$2:F$1000=FV43)*ISNUMBER(SEARCH("selection",LOWER(Z$2:Z$1000)))*ISNUMBER(SEARCH("mod",LOWER(AA$2:AA$1000))))</f>
        <v>0</v>
      </c>
      <c r="GF43" cm="1">
        <f t="array" ref="GF43">SUMPRODUCT((Y$2:Y$1000="PS")*(F$2:F$1000=FV43)*ISNUMBER(SEARCH("selection",LOWER(Z$2:Z$1000)))*ISNUMBER(SEARCH("firewall",LOWER(AA$2:AA$1000))))</f>
        <v>0</v>
      </c>
      <c r="GG43" cm="1">
        <f t="array" ref="GG43">SUMPRODUCT((Y$2:Y$1000="PS")*(F$2:F$1000=FV43)*ISNUMBER(SEARCH("selection",LOWER(Z$2:Z$1000)))*ISNUMBER(SEARCH("cluster",LOWER(AA$2:AA$1000))))</f>
        <v>0</v>
      </c>
      <c r="GH43" cm="1">
        <f t="array" ref="GH43">SUMPRODUCT((Y$2:Y$1000="PS")*(F$2:F$1000=FV43)*ISNUMBER(SEARCH("selection",LOWER(Z$2:Z$1000)))*ISNUMBER(SEARCH("design",LOWER(AA$2:AA$1000))))</f>
        <v>0</v>
      </c>
      <c r="GI43" cm="1">
        <f t="array" ref="GI43">SUMPRODUCT((Y$2:Y$1000="PS")*(F$2:F$1000=FV43)*ISNUMBER(SEARCH("selection",LOWER(Z$2:Z$1000)))*ISNUMBER(SEARCH("hybrid",LOWER(AA$2:AA$1000))))</f>
        <v>0</v>
      </c>
      <c r="GJ43" cm="1">
        <f t="array" ref="GJ43">SUMPRODUCT((Y$2:Y$1000="PS")*(F$2:F$1000=FV43)*ISNUMBER(SEARCH("selection",LOWER(Z$2:Z$1000)))*ISNUMBER(SEARCH("selection",LOWER(AA$2:AA$1000))))</f>
        <v>0</v>
      </c>
      <c r="GK43" cm="1">
        <f t="array" ref="GK43">SUMPRODUCT((Y$2:Y$1000="PS")*(F$2:F$1000=FV43)*ISNUMBER(SEARCH("selection",LOWER(Z$2:Z$1000)))*ISNUMBER(SEARCH("detection",LOWER(AA$2:AA$1000))))</f>
        <v>0</v>
      </c>
      <c r="GL43" cm="1">
        <f t="array" ref="GL43">SUMPRODUCT((Y$2:Y$1000="PS")*(F$2:F$1000=FV43)*ISNUMBER(SEARCH("selection",LOWER(Z$2:Z$1000)))*ISNUMBER(SEARCH("coverage",LOWER(AA$2:AA$1000))))</f>
        <v>0</v>
      </c>
      <c r="GM43" cm="1">
        <f t="array" ref="GM43">SUMPRODUCT((Y$2:Y$1000="PS")*(F$2:F$1000=FV43)*ISNUMBER(SEARCH("selection",LOWER(Z$2:Z$1000)))*ISNUMBER(SEARCH("change",LOWER(AA$2:AA$1000))))</f>
        <v>0</v>
      </c>
      <c r="GN43" cm="1">
        <f t="array" ref="GN43">SUMPRODUCT((Y$2:Y$1000="PS")*(F$2:F$1000=FV43)*ISNUMBER(SEARCH("selection",LOWER(Z$2:Z$1000)))*ISNUMBER(SEARCH("model",LOWER(AA$2:AA$1000))))</f>
        <v>0</v>
      </c>
      <c r="GO43" cm="1">
        <f t="array" ref="GO43">SUMPRODUCT((Y$2:Y$1000="PS")*(F$2:F$1000=FV43)*ISNUMBER(SEARCH("selection",LOWER(Z$2:Z$1000)))*ISNUMBER(SEARCH("hystory",LOWER(AA$2:AA$1000))))</f>
        <v>0</v>
      </c>
      <c r="GP43" cm="1">
        <f t="array" ref="GP43">SUMPRODUCT((Y$2:Y$1000="PS")*(F$2:F$1000=FV43)*ISNUMBER(SEARCH("selection",LOWER(Z$2:Z$1000)))*ISNUMBER(SEARCH("cost-aware",LOWER(AA$2:AA$1000))))</f>
        <v>0</v>
      </c>
      <c r="GQ43" cm="1">
        <f t="array" ref="GQ43">SUMPRODUCT((Y$2:Y$1000="PS")*(F$2:F$1000=FV43)*ISNUMBER(SEARCH("selection",LOWER(Z$2:Z$1000)))*ISNUMBER(SEARCH("similarity",LOWER(AA$2:AA$1000))))</f>
        <v>0</v>
      </c>
      <c r="GR43" s="35" cm="1">
        <f t="array" ref="GR43">SUMPRODUCT((Y$2:Y$1000="PS")*(F$2:F$1000=FV43)*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2</v>
      </c>
      <c r="GZ43">
        <v>2019</v>
      </c>
      <c r="HA43" cm="1">
        <f t="array" ref="HA43">SUMPRODUCT((Y$2:Y$1000="PS")*(F$2:F$1000=GZ43)*ISNUMBER(SEARCH("minimization",LOWER(Z$2:Z$1000)))*ISNUMBER(SEARCH(LOWER(HA$36),LOWER(AB$2:AB$1000))))</f>
        <v>0</v>
      </c>
      <c r="HB43" cm="1">
        <f t="array" ref="HB43">SUMPRODUCT((Y$2:Y$1000="PS")*(F$2:F$1000=GZ43)*ISNUMBER(SEARCH("minimization",LOWER(Z$2:Z$1000)))*ISNUMBER(SEARCH(LOWER(HB$36),LOWER(AB$2:AB$1000))))</f>
        <v>0</v>
      </c>
      <c r="HC43" cm="1">
        <f t="array" ref="HC43">SUMPRODUCT((Y$2:Y$1000="PS")*(F$2:F$1000=GZ43)*ISNUMBER(SEARCH("minimization",LOWER(Z$2:Z$1000)))*ISNUMBER(SEARCH(LOWER(HC$36),LOWER(AB$2:AB$1000))))</f>
        <v>0</v>
      </c>
      <c r="HD43" cm="1">
        <f t="array" ref="HD43">SUMPRODUCT((Y$2:Y$1000="PS")*(F$2:F$1000=GZ43)*ISNUMBER(SEARCH("minimization",LOWER(Z$2:Z$1000)))*ISNUMBER(SEARCH(LOWER(HD$36),LOWER(AB$2:AB$1000))))</f>
        <v>0</v>
      </c>
      <c r="HE43" cm="1">
        <f t="array" ref="HE43">SUMPRODUCT((Y$2:Y$1000="PS")*(F$2:F$1000=GZ43)*ISNUMBER(SEARCH("minimization",LOWER(Z$2:Z$1000)))*ISNUMBER(SEARCH(LOWER(HE$36),LOWER(AB$2:AB$1000))))</f>
        <v>0</v>
      </c>
      <c r="HF43" cm="1">
        <f t="array" ref="HF43">SUMPRODUCT((Y$2:Y$1000="PS")*(F$2:F$1000=GZ43)*ISNUMBER(SEARCH("minimization",LOWER(Z$2:Z$1000)))*ISNUMBER(SEARCH(LOWER(HF$36),LOWER(AB$2:AB$1000))))</f>
        <v>0</v>
      </c>
      <c r="HG43" cm="1">
        <f t="array" ref="HG43">SUMPRODUCT((Y$2:Y$1000="PS")*(F$2:F$1000=GZ43)*ISNUMBER(SEARCH("minimization",LOWER(Z$2:Z$1000)))*ISNUMBER(SEARCH(LOWER(HG$36),LOWER(AB$2:AB$1000))))</f>
        <v>0</v>
      </c>
      <c r="HH43" cm="1">
        <f t="array" ref="HH43">SUMPRODUCT((Y$2:Y$1000="PS")*(F$2:F$1000=GZ43)*ISNUMBER(SEARCH("minimization",LOWER(Z$2:Z$1000)))*ISNUMBER(SEARCH(LOWER(HH$36),LOWER(AB$2:AB$1000))))</f>
        <v>0</v>
      </c>
      <c r="HI43" cm="1">
        <f t="array" ref="HI43">SUMPRODUCT((Y$2:Y$1000="PS")*(F$2:F$1000=GZ43)*ISNUMBER(SEARCH("minimization",LOWER(Z$2:Z$1000)))*ISNUMBER(SEARCH(LOWER(HI$36),LOWER(AB$2:AB$1000))))</f>
        <v>0</v>
      </c>
      <c r="HJ43" cm="1">
        <f t="array" ref="HJ43">SUMPRODUCT((Y$2:Y$1000="PS")*(F$2:F$1000=GZ43)*ISNUMBER(SEARCH("minimization",LOWER(Z$2:Z$1000)))*ISNUMBER(SEARCH(LOWER(HJ$36),LOWER(AB$2:AB$1000))))</f>
        <v>0</v>
      </c>
      <c r="HK43" cm="1">
        <f t="array" ref="HK43">SUMPRODUCT((Y$2:Y$1000="PS")*(F$2:F$1000=GZ43)*ISNUMBER(SEARCH("minimization",LOWER(Z$2:Z$1000)))*ISNUMBER(SEARCH(LOWER(HK$36),LOWER(AB$2:AB$1000))))</f>
        <v>0</v>
      </c>
      <c r="HL43" cm="1">
        <f t="array" ref="HL43">SUMPRODUCT((Y$2:Y$1000="PS")*(F$2:F$1000=GZ43)*ISNUMBER(SEARCH("minimization",LOWER(Z$2:Z$1000)))*ISNUMBER(SEARCH(LOWER(HL$36),LOWER(AB$2:AB$1000))))</f>
        <v>0</v>
      </c>
      <c r="HM43" cm="1">
        <f t="array" ref="HM43">SUMPRODUCT((Y$2:Y$1000="PS")*(F$2:F$1000=GZ43)*ISNUMBER(SEARCH("minimization",LOWER(Z$2:Z$1000)))*ISNUMBER(SEARCH(LOWER(HM$36),LOWER(AB$2:AB$1000))))</f>
        <v>0</v>
      </c>
    </row>
    <row r="44" spans="1:221" ht="112">
      <c r="C44" t="s">
        <v>536</v>
      </c>
      <c r="D44" t="s">
        <v>537</v>
      </c>
      <c r="E44" t="s">
        <v>538</v>
      </c>
      <c r="F44">
        <v>2024</v>
      </c>
      <c r="J44" t="s">
        <v>539</v>
      </c>
      <c r="Y44" t="s">
        <v>58</v>
      </c>
      <c r="Z44" s="6" t="s">
        <v>540</v>
      </c>
      <c r="AA44" s="7" t="s">
        <v>1274</v>
      </c>
      <c r="AB44" s="7" t="s">
        <v>91</v>
      </c>
      <c r="AC44" s="7"/>
      <c r="AD44" s="7" t="s">
        <v>541</v>
      </c>
      <c r="AE44" s="6" t="s">
        <v>542</v>
      </c>
      <c r="AF44" s="7" t="s">
        <v>543</v>
      </c>
      <c r="AG44" s="7" t="s">
        <v>544</v>
      </c>
      <c r="AH44" s="7">
        <v>1</v>
      </c>
      <c r="AK44">
        <f t="shared" si="6"/>
        <v>1</v>
      </c>
      <c r="AL44">
        <f t="shared" si="0"/>
        <v>0</v>
      </c>
      <c r="AM44">
        <f t="shared" si="1"/>
        <v>0</v>
      </c>
      <c r="AN44">
        <f t="shared" si="2"/>
        <v>1</v>
      </c>
      <c r="EM44">
        <v>2020</v>
      </c>
      <c r="FQ44" t="s">
        <v>1275</v>
      </c>
      <c r="FR44" s="35" cm="1">
        <f t="array" ref="FR44">SUMPRODUCT((Y$2:Y$1000="PS")*ISNUMBER(SEARCH(LOWER(FQ44),LOWER(AA$2:AA$1000)))*ISNUMBER(SEARCH("selection",LOWER(Z$2:Z$1000))))</f>
        <v>2</v>
      </c>
      <c r="FV44">
        <v>2020</v>
      </c>
      <c r="FW44" s="35" cm="1">
        <f t="array" ref="FW44">SUMPRODUCT((Y$2:Y$1000="PS")*(F$2:F$1000=FV44)*ISNUMBER(SEARCH("selection",LOWER(Z$2:Z$1000)))*ISNUMBER(SEARCH("integer",LOWER(AA$2:AA$1000))))</f>
        <v>0</v>
      </c>
      <c r="FX44" cm="1">
        <f t="array" ref="FX44">SUMPRODUCT((Y$2:Y$1000="PS")*(F$2:F$1000=FV44)*ISNUMBER(SEARCH("selection",LOWER(Z$2:Z$1000)))*ISNUMBER(SEARCH("data-flow",LOWER(AA$2:AA$1000))))</f>
        <v>0</v>
      </c>
      <c r="FY44" cm="1">
        <f t="array" ref="FY44">SUMPRODUCT((Y$2:Y$1000="PS")*(F$2:F$1000=FV44)*ISNUMBER(SEARCH("selection",LOWER(Z$2:Z$1000)))*ISNUMBER(SEARCH("symbolic",LOWER(AA$2:AA$1000))))</f>
        <v>0</v>
      </c>
      <c r="FZ44" cm="1">
        <f t="array" ref="FZ44">SUMPRODUCT((Y$2:Y$1000="PS")*(F$2:F$1000=FV44)*ISNUMBER(SEARCH("selection",LOWER(Z$2:Z$1000)))*ISNUMBER(SEARCH("dynamyc",LOWER(AA$2:AA$1000))))</f>
        <v>0</v>
      </c>
      <c r="GA44" cm="1">
        <f t="array" ref="GA44">SUMPRODUCT((Y$2:Y$1000="PS")*(F$2:F$1000=FV44)*ISNUMBER(SEARCH("selection",LOWER(Z$2:Z$1000)))*ISNUMBER(SEARCH("graph",LOWER(AA$2:AA$1000))))</f>
        <v>0</v>
      </c>
      <c r="GB44" cm="1">
        <f t="array" ref="GB44">SUMPRODUCT((Y$2:Y$1000="PS")*(F$2:F$1000=FV44)*ISNUMBER(SEARCH("selection",LOWER(Z$2:Z$1000)))*ISNUMBER(SEARCH("textual",LOWER(AA$2:AA$1000))))</f>
        <v>0</v>
      </c>
      <c r="GC44" cm="1">
        <f t="array" ref="GC44">SUMPRODUCT((Y$2:Y$1000="PS")*(F$2:F$1000=FV44)*ISNUMBER(SEARCH("selection",LOWER(Z$2:Z$1000)))*ISNUMBER(SEARCH("sdg",LOWER(AA$2:AA$1000))))</f>
        <v>0</v>
      </c>
      <c r="GD44" cm="1">
        <f t="array" ref="GD44">SUMPRODUCT((Y$2:Y$1000="PS")*(F$2:F$1000=FV44)*ISNUMBER(SEARCH("selection",LOWER(Z$2:Z$1000)))*ISNUMBER(SEARCH("path",LOWER(AA$2:AA$1000))))</f>
        <v>0</v>
      </c>
      <c r="GE44" cm="1">
        <f t="array" ref="GE44">SUMPRODUCT((Y$2:Y$1000="PS")*(F$2:F$1000=FV44)*ISNUMBER(SEARCH("selection",LOWER(Z$2:Z$1000)))*ISNUMBER(SEARCH("mod",LOWER(AA$2:AA$1000))))</f>
        <v>1</v>
      </c>
      <c r="GF44" cm="1">
        <f t="array" ref="GF44">SUMPRODUCT((Y$2:Y$1000="PS")*(F$2:F$1000=FV44)*ISNUMBER(SEARCH("selection",LOWER(Z$2:Z$1000)))*ISNUMBER(SEARCH("firewall",LOWER(AA$2:AA$1000))))</f>
        <v>0</v>
      </c>
      <c r="GG44" cm="1">
        <f t="array" ref="GG44">SUMPRODUCT((Y$2:Y$1000="PS")*(F$2:F$1000=FV44)*ISNUMBER(SEARCH("selection",LOWER(Z$2:Z$1000)))*ISNUMBER(SEARCH("cluster",LOWER(AA$2:AA$1000))))</f>
        <v>0</v>
      </c>
      <c r="GH44" cm="1">
        <f t="array" ref="GH44">SUMPRODUCT((Y$2:Y$1000="PS")*(F$2:F$1000=FV44)*ISNUMBER(SEARCH("selection",LOWER(Z$2:Z$1000)))*ISNUMBER(SEARCH("design",LOWER(AA$2:AA$1000))))</f>
        <v>0</v>
      </c>
      <c r="GI44" cm="1">
        <f t="array" ref="GI44">SUMPRODUCT((Y$2:Y$1000="PS")*(F$2:F$1000=FV44)*ISNUMBER(SEARCH("selection",LOWER(Z$2:Z$1000)))*ISNUMBER(SEARCH("hybrid",LOWER(AA$2:AA$1000))))</f>
        <v>0</v>
      </c>
      <c r="GJ44" cm="1">
        <f t="array" ref="GJ44">SUMPRODUCT((Y$2:Y$1000="PS")*(F$2:F$1000=FV44)*ISNUMBER(SEARCH("selection",LOWER(Z$2:Z$1000)))*ISNUMBER(SEARCH("selection",LOWER(AA$2:AA$1000))))</f>
        <v>0</v>
      </c>
      <c r="GK44" cm="1">
        <f t="array" ref="GK44">SUMPRODUCT((Y$2:Y$1000="PS")*(F$2:F$1000=FV44)*ISNUMBER(SEARCH("selection",LOWER(Z$2:Z$1000)))*ISNUMBER(SEARCH("detection",LOWER(AA$2:AA$1000))))</f>
        <v>0</v>
      </c>
      <c r="GL44" cm="1">
        <f t="array" ref="GL44">SUMPRODUCT((Y$2:Y$1000="PS")*(F$2:F$1000=FV44)*ISNUMBER(SEARCH("selection",LOWER(Z$2:Z$1000)))*ISNUMBER(SEARCH("coverage",LOWER(AA$2:AA$1000))))</f>
        <v>0</v>
      </c>
      <c r="GM44" cm="1">
        <f t="array" ref="GM44">SUMPRODUCT((Y$2:Y$1000="PS")*(F$2:F$1000=FV44)*ISNUMBER(SEARCH("selection",LOWER(Z$2:Z$1000)))*ISNUMBER(SEARCH("change",LOWER(AA$2:AA$1000))))</f>
        <v>0</v>
      </c>
      <c r="GN44" cm="1">
        <f t="array" ref="GN44">SUMPRODUCT((Y$2:Y$1000="PS")*(F$2:F$1000=FV44)*ISNUMBER(SEARCH("selection",LOWER(Z$2:Z$1000)))*ISNUMBER(SEARCH("model",LOWER(AA$2:AA$1000))))</f>
        <v>1</v>
      </c>
      <c r="GO44" cm="1">
        <f t="array" ref="GO44">SUMPRODUCT((Y$2:Y$1000="PS")*(F$2:F$1000=FV44)*ISNUMBER(SEARCH("selection",LOWER(Z$2:Z$1000)))*ISNUMBER(SEARCH("hystory",LOWER(AA$2:AA$1000))))</f>
        <v>0</v>
      </c>
      <c r="GP44" cm="1">
        <f t="array" ref="GP44">SUMPRODUCT((Y$2:Y$1000="PS")*(F$2:F$1000=FV44)*ISNUMBER(SEARCH("selection",LOWER(Z$2:Z$1000)))*ISNUMBER(SEARCH("cost-aware",LOWER(AA$2:AA$1000))))</f>
        <v>0</v>
      </c>
      <c r="GQ44" cm="1">
        <f t="array" ref="GQ44">SUMPRODUCT((Y$2:Y$1000="PS")*(F$2:F$1000=FV44)*ISNUMBER(SEARCH("selection",LOWER(Z$2:Z$1000)))*ISNUMBER(SEARCH("similarity",LOWER(AA$2:AA$1000))))</f>
        <v>0</v>
      </c>
      <c r="GR44" s="35" cm="1">
        <f t="array" ref="GR44">SUMPRODUCT((Y$2:Y$1000="PS")*(F$2:F$1000=FV44)*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4">
        <v>2020</v>
      </c>
      <c r="HA44" cm="1">
        <f t="array" ref="HA44">SUMPRODUCT((Y$2:Y$1000="PS")*(F$2:F$1000=GZ44)*ISNUMBER(SEARCH("minimization",LOWER(Z$2:Z$1000)))*ISNUMBER(SEARCH(LOWER(HA$36),LOWER(AB$2:AB$1000))))</f>
        <v>0</v>
      </c>
      <c r="HB44" cm="1">
        <f t="array" ref="HB44">SUMPRODUCT((Y$2:Y$1000="PS")*(F$2:F$1000=GZ44)*ISNUMBER(SEARCH("minimization",LOWER(Z$2:Z$1000)))*ISNUMBER(SEARCH(LOWER(HB$36),LOWER(AB$2:AB$1000))))</f>
        <v>0</v>
      </c>
      <c r="HC44" cm="1">
        <f t="array" ref="HC44">SUMPRODUCT((Y$2:Y$1000="PS")*(F$2:F$1000=GZ44)*ISNUMBER(SEARCH("minimization",LOWER(Z$2:Z$1000)))*ISNUMBER(SEARCH(LOWER(HC$36),LOWER(AB$2:AB$1000))))</f>
        <v>0</v>
      </c>
      <c r="HD44" cm="1">
        <f t="array" ref="HD44">SUMPRODUCT((Y$2:Y$1000="PS")*(F$2:F$1000=GZ44)*ISNUMBER(SEARCH("minimization",LOWER(Z$2:Z$1000)))*ISNUMBER(SEARCH(LOWER(HD$36),LOWER(AB$2:AB$1000))))</f>
        <v>0</v>
      </c>
      <c r="HE44" cm="1">
        <f t="array" ref="HE44">SUMPRODUCT((Y$2:Y$1000="PS")*(F$2:F$1000=GZ44)*ISNUMBER(SEARCH("minimization",LOWER(Z$2:Z$1000)))*ISNUMBER(SEARCH(LOWER(HE$36),LOWER(AB$2:AB$1000))))</f>
        <v>0</v>
      </c>
      <c r="HF44" cm="1">
        <f t="array" ref="HF44">SUMPRODUCT((Y$2:Y$1000="PS")*(F$2:F$1000=GZ44)*ISNUMBER(SEARCH("minimization",LOWER(Z$2:Z$1000)))*ISNUMBER(SEARCH(LOWER(HF$36),LOWER(AB$2:AB$1000))))</f>
        <v>0</v>
      </c>
      <c r="HG44" cm="1">
        <f t="array" ref="HG44">SUMPRODUCT((Y$2:Y$1000="PS")*(F$2:F$1000=GZ44)*ISNUMBER(SEARCH("minimization",LOWER(Z$2:Z$1000)))*ISNUMBER(SEARCH(LOWER(HG$36),LOWER(AB$2:AB$1000))))</f>
        <v>0</v>
      </c>
      <c r="HH44" cm="1">
        <f t="array" ref="HH44">SUMPRODUCT((Y$2:Y$1000="PS")*(F$2:F$1000=GZ44)*ISNUMBER(SEARCH("minimization",LOWER(Z$2:Z$1000)))*ISNUMBER(SEARCH(LOWER(HH$36),LOWER(AB$2:AB$1000))))</f>
        <v>0</v>
      </c>
      <c r="HI44" cm="1">
        <f t="array" ref="HI44">SUMPRODUCT((Y$2:Y$1000="PS")*(F$2:F$1000=GZ44)*ISNUMBER(SEARCH("minimization",LOWER(Z$2:Z$1000)))*ISNUMBER(SEARCH(LOWER(HI$36),LOWER(AB$2:AB$1000))))</f>
        <v>0</v>
      </c>
      <c r="HJ44" cm="1">
        <f t="array" ref="HJ44">SUMPRODUCT((Y$2:Y$1000="PS")*(F$2:F$1000=GZ44)*ISNUMBER(SEARCH("minimization",LOWER(Z$2:Z$1000)))*ISNUMBER(SEARCH(LOWER(HJ$36),LOWER(AB$2:AB$1000))))</f>
        <v>0</v>
      </c>
      <c r="HK44" cm="1">
        <f t="array" ref="HK44">SUMPRODUCT((Y$2:Y$1000="PS")*(F$2:F$1000=GZ44)*ISNUMBER(SEARCH("minimization",LOWER(Z$2:Z$1000)))*ISNUMBER(SEARCH(LOWER(HK$36),LOWER(AB$2:AB$1000))))</f>
        <v>0</v>
      </c>
      <c r="HL44" cm="1">
        <f t="array" ref="HL44">SUMPRODUCT((Y$2:Y$1000="PS")*(F$2:F$1000=GZ44)*ISNUMBER(SEARCH("minimization",LOWER(Z$2:Z$1000)))*ISNUMBER(SEARCH(LOWER(HL$36),LOWER(AB$2:AB$1000))))</f>
        <v>0</v>
      </c>
      <c r="HM44" cm="1">
        <f t="array" ref="HM44">SUMPRODUCT((Y$2:Y$1000="PS")*(F$2:F$1000=GZ44)*ISNUMBER(SEARCH("minimization",LOWER(Z$2:Z$1000)))*ISNUMBER(SEARCH(LOWER(HM$36),LOWER(AB$2:AB$1000))))</f>
        <v>0</v>
      </c>
    </row>
    <row r="45" spans="1:221" ht="192">
      <c r="C45" t="s">
        <v>545</v>
      </c>
      <c r="D45" t="s">
        <v>546</v>
      </c>
      <c r="E45" t="s">
        <v>547</v>
      </c>
      <c r="F45">
        <v>2022</v>
      </c>
      <c r="J45" t="s">
        <v>548</v>
      </c>
      <c r="Y45" t="s">
        <v>58</v>
      </c>
      <c r="Z45" s="6" t="s">
        <v>549</v>
      </c>
      <c r="AA45" s="7" t="s">
        <v>408</v>
      </c>
      <c r="AB45" s="7" t="s">
        <v>1316</v>
      </c>
      <c r="AC45" s="8"/>
      <c r="AD45" s="7" t="s">
        <v>551</v>
      </c>
      <c r="AE45" s="6" t="s">
        <v>552</v>
      </c>
      <c r="AF45" s="7" t="s">
        <v>553</v>
      </c>
      <c r="AG45" s="7" t="s">
        <v>554</v>
      </c>
      <c r="AH45" s="6" t="s">
        <v>555</v>
      </c>
      <c r="AK45">
        <f t="shared" si="6"/>
        <v>1</v>
      </c>
      <c r="AL45">
        <f t="shared" si="0"/>
        <v>0</v>
      </c>
      <c r="AM45">
        <f t="shared" si="1"/>
        <v>0</v>
      </c>
      <c r="AN45">
        <f t="shared" si="2"/>
        <v>1</v>
      </c>
      <c r="EM45">
        <v>2021</v>
      </c>
      <c r="FQ45" t="s">
        <v>1277</v>
      </c>
      <c r="FR45" s="35" cm="1">
        <f t="array" ref="FR45">SUMPRODUCT((Y$2:Y$1000="PS")*ISNUMBER(SEARCH(LOWER(FQ45),LOWER(AA$2:AA$1000)))*ISNUMBER(SEARCH("selection",LOWER(Z$2:Z$1000))))</f>
        <v>1</v>
      </c>
      <c r="FV45">
        <v>2021</v>
      </c>
      <c r="FW45" s="35" cm="1">
        <f t="array" ref="FW45">SUMPRODUCT((Y$2:Y$1000="PS")*(F$2:F$1000=FV45)*ISNUMBER(SEARCH("selection",LOWER(Z$2:Z$1000)))*ISNUMBER(SEARCH("integer",LOWER(AA$2:AA$1000))))</f>
        <v>0</v>
      </c>
      <c r="FX45" cm="1">
        <f t="array" ref="FX45">SUMPRODUCT((Y$2:Y$1000="PS")*(F$2:F$1000=FV45)*ISNUMBER(SEARCH("selection",LOWER(Z$2:Z$1000)))*ISNUMBER(SEARCH("data-flow",LOWER(AA$2:AA$1000))))</f>
        <v>0</v>
      </c>
      <c r="FY45" cm="1">
        <f t="array" ref="FY45">SUMPRODUCT((Y$2:Y$1000="PS")*(F$2:F$1000=FV45)*ISNUMBER(SEARCH("selection",LOWER(Z$2:Z$1000)))*ISNUMBER(SEARCH("symbolic",LOWER(AA$2:AA$1000))))</f>
        <v>0</v>
      </c>
      <c r="FZ45" cm="1">
        <f t="array" ref="FZ45">SUMPRODUCT((Y$2:Y$1000="PS")*(F$2:F$1000=FV45)*ISNUMBER(SEARCH("selection",LOWER(Z$2:Z$1000)))*ISNUMBER(SEARCH("dynamyc",LOWER(AA$2:AA$1000))))</f>
        <v>0</v>
      </c>
      <c r="GA45" cm="1">
        <f t="array" ref="GA45">SUMPRODUCT((Y$2:Y$1000="PS")*(F$2:F$1000=FV45)*ISNUMBER(SEARCH("selection",LOWER(Z$2:Z$1000)))*ISNUMBER(SEARCH("graph",LOWER(AA$2:AA$1000))))</f>
        <v>0</v>
      </c>
      <c r="GB45" cm="1">
        <f t="array" ref="GB45">SUMPRODUCT((Y$2:Y$1000="PS")*(F$2:F$1000=FV45)*ISNUMBER(SEARCH("selection",LOWER(Z$2:Z$1000)))*ISNUMBER(SEARCH("textual",LOWER(AA$2:AA$1000))))</f>
        <v>0</v>
      </c>
      <c r="GC45" cm="1">
        <f t="array" ref="GC45">SUMPRODUCT((Y$2:Y$1000="PS")*(F$2:F$1000=FV45)*ISNUMBER(SEARCH("selection",LOWER(Z$2:Z$1000)))*ISNUMBER(SEARCH("sdg",LOWER(AA$2:AA$1000))))</f>
        <v>0</v>
      </c>
      <c r="GD45" cm="1">
        <f t="array" ref="GD45">SUMPRODUCT((Y$2:Y$1000="PS")*(F$2:F$1000=FV45)*ISNUMBER(SEARCH("selection",LOWER(Z$2:Z$1000)))*ISNUMBER(SEARCH("path",LOWER(AA$2:AA$1000))))</f>
        <v>0</v>
      </c>
      <c r="GE45" cm="1">
        <f t="array" ref="GE45">SUMPRODUCT((Y$2:Y$1000="PS")*(F$2:F$1000=FV45)*ISNUMBER(SEARCH("selection",LOWER(Z$2:Z$1000)))*ISNUMBER(SEARCH("mod",LOWER(AA$2:AA$1000))))</f>
        <v>1</v>
      </c>
      <c r="GF45" cm="1">
        <f t="array" ref="GF45">SUMPRODUCT((Y$2:Y$1000="PS")*(F$2:F$1000=FV45)*ISNUMBER(SEARCH("selection",LOWER(Z$2:Z$1000)))*ISNUMBER(SEARCH("firewall",LOWER(AA$2:AA$1000))))</f>
        <v>0</v>
      </c>
      <c r="GG45" cm="1">
        <f t="array" ref="GG45">SUMPRODUCT((Y$2:Y$1000="PS")*(F$2:F$1000=FV45)*ISNUMBER(SEARCH("selection",LOWER(Z$2:Z$1000)))*ISNUMBER(SEARCH("cluster",LOWER(AA$2:AA$1000))))</f>
        <v>0</v>
      </c>
      <c r="GH45" cm="1">
        <f t="array" ref="GH45">SUMPRODUCT((Y$2:Y$1000="PS")*(F$2:F$1000=FV45)*ISNUMBER(SEARCH("selection",LOWER(Z$2:Z$1000)))*ISNUMBER(SEARCH("design",LOWER(AA$2:AA$1000))))</f>
        <v>0</v>
      </c>
      <c r="GI45" cm="1">
        <f t="array" ref="GI45">SUMPRODUCT((Y$2:Y$1000="PS")*(F$2:F$1000=FV45)*ISNUMBER(SEARCH("selection",LOWER(Z$2:Z$1000)))*ISNUMBER(SEARCH("hybrid",LOWER(AA$2:AA$1000))))</f>
        <v>0</v>
      </c>
      <c r="GJ45" cm="1">
        <f t="array" ref="GJ45">SUMPRODUCT((Y$2:Y$1000="PS")*(F$2:F$1000=FV45)*ISNUMBER(SEARCH("selection",LOWER(Z$2:Z$1000)))*ISNUMBER(SEARCH("selection",LOWER(AA$2:AA$1000))))</f>
        <v>0</v>
      </c>
      <c r="GK45" cm="1">
        <f t="array" ref="GK45">SUMPRODUCT((Y$2:Y$1000="PS")*(F$2:F$1000=FV45)*ISNUMBER(SEARCH("selection",LOWER(Z$2:Z$1000)))*ISNUMBER(SEARCH("detection",LOWER(AA$2:AA$1000))))</f>
        <v>0</v>
      </c>
      <c r="GL45" cm="1">
        <f t="array" ref="GL45">SUMPRODUCT((Y$2:Y$1000="PS")*(F$2:F$1000=FV45)*ISNUMBER(SEARCH("selection",LOWER(Z$2:Z$1000)))*ISNUMBER(SEARCH("coverage",LOWER(AA$2:AA$1000))))</f>
        <v>0</v>
      </c>
      <c r="GM45" cm="1">
        <f t="array" ref="GM45">SUMPRODUCT((Y$2:Y$1000="PS")*(F$2:F$1000=FV45)*ISNUMBER(SEARCH("selection",LOWER(Z$2:Z$1000)))*ISNUMBER(SEARCH("change",LOWER(AA$2:AA$1000))))</f>
        <v>0</v>
      </c>
      <c r="GN45" cm="1">
        <f t="array" ref="GN45">SUMPRODUCT((Y$2:Y$1000="PS")*(F$2:F$1000=FV45)*ISNUMBER(SEARCH("selection",LOWER(Z$2:Z$1000)))*ISNUMBER(SEARCH("model",LOWER(AA$2:AA$1000))))</f>
        <v>0</v>
      </c>
      <c r="GO45" cm="1">
        <f t="array" ref="GO45">SUMPRODUCT((Y$2:Y$1000="PS")*(F$2:F$1000=FV45)*ISNUMBER(SEARCH("selection",LOWER(Z$2:Z$1000)))*ISNUMBER(SEARCH("hystory",LOWER(AA$2:AA$1000))))</f>
        <v>0</v>
      </c>
      <c r="GP45" cm="1">
        <f t="array" ref="GP45">SUMPRODUCT((Y$2:Y$1000="PS")*(F$2:F$1000=FV45)*ISNUMBER(SEARCH("selection",LOWER(Z$2:Z$1000)))*ISNUMBER(SEARCH("cost-aware",LOWER(AA$2:AA$1000))))</f>
        <v>0</v>
      </c>
      <c r="GQ45" cm="1">
        <f t="array" ref="GQ45">SUMPRODUCT((Y$2:Y$1000="PS")*(F$2:F$1000=FV45)*ISNUMBER(SEARCH("selection",LOWER(Z$2:Z$1000)))*ISNUMBER(SEARCH("similarity",LOWER(AA$2:AA$1000))))</f>
        <v>0</v>
      </c>
      <c r="GR45" s="35" cm="1">
        <f t="array" ref="GR45">SUMPRODUCT((Y$2:Y$1000="PS")*(F$2:F$1000=FV45)*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5">
        <v>2021</v>
      </c>
      <c r="HA45" cm="1">
        <f t="array" ref="HA45">SUMPRODUCT((Y$2:Y$1000="PS")*(F$2:F$1000=GZ45)*ISNUMBER(SEARCH("minimization",LOWER(Z$2:Z$1000)))*ISNUMBER(SEARCH(LOWER(HA$36),LOWER(AB$2:AB$1000))))</f>
        <v>0</v>
      </c>
      <c r="HB45" cm="1">
        <f t="array" ref="HB45">SUMPRODUCT((Y$2:Y$1000="PS")*(F$2:F$1000=GZ45)*ISNUMBER(SEARCH("minimization",LOWER(Z$2:Z$1000)))*ISNUMBER(SEARCH(LOWER(HB$36),LOWER(AB$2:AB$1000))))</f>
        <v>0</v>
      </c>
      <c r="HC45" cm="1">
        <f t="array" ref="HC45">SUMPRODUCT((Y$2:Y$1000="PS")*(F$2:F$1000=GZ45)*ISNUMBER(SEARCH("minimization",LOWER(Z$2:Z$1000)))*ISNUMBER(SEARCH(LOWER(HC$36),LOWER(AB$2:AB$1000))))</f>
        <v>0</v>
      </c>
      <c r="HD45" cm="1">
        <f t="array" ref="HD45">SUMPRODUCT((Y$2:Y$1000="PS")*(F$2:F$1000=GZ45)*ISNUMBER(SEARCH("minimization",LOWER(Z$2:Z$1000)))*ISNUMBER(SEARCH(LOWER(HD$36),LOWER(AB$2:AB$1000))))</f>
        <v>0</v>
      </c>
      <c r="HE45" cm="1">
        <f t="array" ref="HE45">SUMPRODUCT((Y$2:Y$1000="PS")*(F$2:F$1000=GZ45)*ISNUMBER(SEARCH("minimization",LOWER(Z$2:Z$1000)))*ISNUMBER(SEARCH(LOWER(HE$36),LOWER(AB$2:AB$1000))))</f>
        <v>0</v>
      </c>
      <c r="HF45" cm="1">
        <f t="array" ref="HF45">SUMPRODUCT((Y$2:Y$1000="PS")*(F$2:F$1000=GZ45)*ISNUMBER(SEARCH("minimization",LOWER(Z$2:Z$1000)))*ISNUMBER(SEARCH(LOWER(HF$36),LOWER(AB$2:AB$1000))))</f>
        <v>0</v>
      </c>
      <c r="HG45" cm="1">
        <f t="array" ref="HG45">SUMPRODUCT((Y$2:Y$1000="PS")*(F$2:F$1000=GZ45)*ISNUMBER(SEARCH("minimization",LOWER(Z$2:Z$1000)))*ISNUMBER(SEARCH(LOWER(HG$36),LOWER(AB$2:AB$1000))))</f>
        <v>0</v>
      </c>
      <c r="HH45" cm="1">
        <f t="array" ref="HH45">SUMPRODUCT((Y$2:Y$1000="PS")*(F$2:F$1000=GZ45)*ISNUMBER(SEARCH("minimization",LOWER(Z$2:Z$1000)))*ISNUMBER(SEARCH(LOWER(HH$36),LOWER(AB$2:AB$1000))))</f>
        <v>0</v>
      </c>
      <c r="HI45" cm="1">
        <f t="array" ref="HI45">SUMPRODUCT((Y$2:Y$1000="PS")*(F$2:F$1000=GZ45)*ISNUMBER(SEARCH("minimization",LOWER(Z$2:Z$1000)))*ISNUMBER(SEARCH(LOWER(HI$36),LOWER(AB$2:AB$1000))))</f>
        <v>0</v>
      </c>
      <c r="HJ45" cm="1">
        <f t="array" ref="HJ45">SUMPRODUCT((Y$2:Y$1000="PS")*(F$2:F$1000=GZ45)*ISNUMBER(SEARCH("minimization",LOWER(Z$2:Z$1000)))*ISNUMBER(SEARCH(LOWER(HJ$36),LOWER(AB$2:AB$1000))))</f>
        <v>0</v>
      </c>
      <c r="HK45" cm="1">
        <f t="array" ref="HK45">SUMPRODUCT((Y$2:Y$1000="PS")*(F$2:F$1000=GZ45)*ISNUMBER(SEARCH("minimization",LOWER(Z$2:Z$1000)))*ISNUMBER(SEARCH(LOWER(HK$36),LOWER(AB$2:AB$1000))))</f>
        <v>0</v>
      </c>
      <c r="HL45" cm="1">
        <f t="array" ref="HL45">SUMPRODUCT((Y$2:Y$1000="PS")*(F$2:F$1000=GZ45)*ISNUMBER(SEARCH("minimization",LOWER(Z$2:Z$1000)))*ISNUMBER(SEARCH(LOWER(HL$36),LOWER(AB$2:AB$1000))))</f>
        <v>0</v>
      </c>
      <c r="HM45" cm="1">
        <f t="array" ref="HM45">SUMPRODUCT((Y$2:Y$1000="PS")*(F$2:F$1000=GZ45)*ISNUMBER(SEARCH("minimization",LOWER(Z$2:Z$1000)))*ISNUMBER(SEARCH(LOWER(HM$36),LOWER(AB$2:AB$1000))))</f>
        <v>0</v>
      </c>
    </row>
    <row r="46" spans="1:221" ht="80">
      <c r="C46" t="s">
        <v>556</v>
      </c>
      <c r="D46" t="s">
        <v>557</v>
      </c>
      <c r="E46" t="s">
        <v>558</v>
      </c>
      <c r="F46">
        <v>2021</v>
      </c>
      <c r="J46" t="s">
        <v>559</v>
      </c>
      <c r="Y46" t="s">
        <v>77</v>
      </c>
      <c r="Z46" s="6" t="s">
        <v>560</v>
      </c>
      <c r="AA46" s="17"/>
      <c r="AB46" s="17"/>
      <c r="AC46" s="17"/>
      <c r="AD46" s="17"/>
      <c r="AE46" s="17"/>
      <c r="AF46" s="17"/>
      <c r="AG46" s="17"/>
      <c r="AH46" s="17"/>
      <c r="AK46">
        <f t="shared" si="6"/>
        <v>0</v>
      </c>
      <c r="AL46">
        <f t="shared" si="0"/>
        <v>0</v>
      </c>
      <c r="AM46">
        <f t="shared" si="1"/>
        <v>0</v>
      </c>
      <c r="AN46">
        <f t="shared" si="2"/>
        <v>0</v>
      </c>
      <c r="EM46">
        <v>2022</v>
      </c>
      <c r="EN46">
        <v>1</v>
      </c>
      <c r="FQ46" t="s">
        <v>1278</v>
      </c>
      <c r="FR46" s="35" cm="1">
        <f t="array" ref="FR46">SUMPRODUCT((Y$2:Y$1000="PS")*ISNUMBER(SEARCH(LOWER(FQ46),LOWER(AA$2:AA$1000)))*ISNUMBER(SEARCH("selection",LOWER(Z$2:Z$1000))))</f>
        <v>0</v>
      </c>
      <c r="FV46">
        <v>2022</v>
      </c>
      <c r="FW46" s="35" cm="1">
        <f t="array" ref="FW46">SUMPRODUCT((Y$2:Y$1000="PS")*(F$2:F$1000=FV46)*ISNUMBER(SEARCH("selection",LOWER(Z$2:Z$1000)))*ISNUMBER(SEARCH("integer",LOWER(AA$2:AA$1000))))</f>
        <v>0</v>
      </c>
      <c r="FX46" cm="1">
        <f t="array" ref="FX46">SUMPRODUCT((Y$2:Y$1000="PS")*(F$2:F$1000=FV46)*ISNUMBER(SEARCH("selection",LOWER(Z$2:Z$1000)))*ISNUMBER(SEARCH("data-flow",LOWER(AA$2:AA$1000))))</f>
        <v>0</v>
      </c>
      <c r="FY46" cm="1">
        <f t="array" ref="FY46">SUMPRODUCT((Y$2:Y$1000="PS")*(F$2:F$1000=FV46)*ISNUMBER(SEARCH("selection",LOWER(Z$2:Z$1000)))*ISNUMBER(SEARCH("symbolic",LOWER(AA$2:AA$1000))))</f>
        <v>0</v>
      </c>
      <c r="FZ46" cm="1">
        <f t="array" ref="FZ46">SUMPRODUCT((Y$2:Y$1000="PS")*(F$2:F$1000=FV46)*ISNUMBER(SEARCH("selection",LOWER(Z$2:Z$1000)))*ISNUMBER(SEARCH("dynamyc",LOWER(AA$2:AA$1000))))</f>
        <v>0</v>
      </c>
      <c r="GA46" cm="1">
        <f t="array" ref="GA46">SUMPRODUCT((Y$2:Y$1000="PS")*(F$2:F$1000=FV46)*ISNUMBER(SEARCH("selection",LOWER(Z$2:Z$1000)))*ISNUMBER(SEARCH("graph",LOWER(AA$2:AA$1000))))</f>
        <v>0</v>
      </c>
      <c r="GB46" cm="1">
        <f t="array" ref="GB46">SUMPRODUCT((Y$2:Y$1000="PS")*(F$2:F$1000=FV46)*ISNUMBER(SEARCH("selection",LOWER(Z$2:Z$1000)))*ISNUMBER(SEARCH("textual",LOWER(AA$2:AA$1000))))</f>
        <v>0</v>
      </c>
      <c r="GC46" cm="1">
        <f t="array" ref="GC46">SUMPRODUCT((Y$2:Y$1000="PS")*(F$2:F$1000=FV46)*ISNUMBER(SEARCH("selection",LOWER(Z$2:Z$1000)))*ISNUMBER(SEARCH("sdg",LOWER(AA$2:AA$1000))))</f>
        <v>0</v>
      </c>
      <c r="GD46" cm="1">
        <f t="array" ref="GD46">SUMPRODUCT((Y$2:Y$1000="PS")*(F$2:F$1000=FV46)*ISNUMBER(SEARCH("selection",LOWER(Z$2:Z$1000)))*ISNUMBER(SEARCH("path",LOWER(AA$2:AA$1000))))</f>
        <v>0</v>
      </c>
      <c r="GE46" cm="1">
        <f t="array" ref="GE46">SUMPRODUCT((Y$2:Y$1000="PS")*(F$2:F$1000=FV46)*ISNUMBER(SEARCH("selection",LOWER(Z$2:Z$1000)))*ISNUMBER(SEARCH("mod",LOWER(AA$2:AA$1000))))</f>
        <v>1</v>
      </c>
      <c r="GF46" cm="1">
        <f t="array" ref="GF46">SUMPRODUCT((Y$2:Y$1000="PS")*(F$2:F$1000=FV46)*ISNUMBER(SEARCH("selection",LOWER(Z$2:Z$1000)))*ISNUMBER(SEARCH("firewall",LOWER(AA$2:AA$1000))))</f>
        <v>0</v>
      </c>
      <c r="GG46" cm="1">
        <f t="array" ref="GG46">SUMPRODUCT((Y$2:Y$1000="PS")*(F$2:F$1000=FV46)*ISNUMBER(SEARCH("selection",LOWER(Z$2:Z$1000)))*ISNUMBER(SEARCH("cluster",LOWER(AA$2:AA$1000))))</f>
        <v>0</v>
      </c>
      <c r="GH46" cm="1">
        <f t="array" ref="GH46">SUMPRODUCT((Y$2:Y$1000="PS")*(F$2:F$1000=FV46)*ISNUMBER(SEARCH("selection",LOWER(Z$2:Z$1000)))*ISNUMBER(SEARCH("design",LOWER(AA$2:AA$1000))))</f>
        <v>0</v>
      </c>
      <c r="GI46" cm="1">
        <f t="array" ref="GI46">SUMPRODUCT((Y$2:Y$1000="PS")*(F$2:F$1000=FV46)*ISNUMBER(SEARCH("selection",LOWER(Z$2:Z$1000)))*ISNUMBER(SEARCH("hybrid",LOWER(AA$2:AA$1000))))</f>
        <v>0</v>
      </c>
      <c r="GJ46" cm="1">
        <f t="array" ref="GJ46">SUMPRODUCT((Y$2:Y$1000="PS")*(F$2:F$1000=FV46)*ISNUMBER(SEARCH("selection",LOWER(Z$2:Z$1000)))*ISNUMBER(SEARCH("selection",LOWER(AA$2:AA$1000))))</f>
        <v>0</v>
      </c>
      <c r="GK46" cm="1">
        <f t="array" ref="GK46">SUMPRODUCT((Y$2:Y$1000="PS")*(F$2:F$1000=FV46)*ISNUMBER(SEARCH("selection",LOWER(Z$2:Z$1000)))*ISNUMBER(SEARCH("detection",LOWER(AA$2:AA$1000))))</f>
        <v>0</v>
      </c>
      <c r="GL46" cm="1">
        <f t="array" ref="GL46">SUMPRODUCT((Y$2:Y$1000="PS")*(F$2:F$1000=FV46)*ISNUMBER(SEARCH("selection",LOWER(Z$2:Z$1000)))*ISNUMBER(SEARCH("coverage",LOWER(AA$2:AA$1000))))</f>
        <v>0</v>
      </c>
      <c r="GM46" cm="1">
        <f t="array" ref="GM46">SUMPRODUCT((Y$2:Y$1000="PS")*(F$2:F$1000=FV46)*ISNUMBER(SEARCH("selection",LOWER(Z$2:Z$1000)))*ISNUMBER(SEARCH("change",LOWER(AA$2:AA$1000))))</f>
        <v>0</v>
      </c>
      <c r="GN46" cm="1">
        <f t="array" ref="GN46">SUMPRODUCT((Y$2:Y$1000="PS")*(F$2:F$1000=FV46)*ISNUMBER(SEARCH("selection",LOWER(Z$2:Z$1000)))*ISNUMBER(SEARCH("model",LOWER(AA$2:AA$1000))))</f>
        <v>0</v>
      </c>
      <c r="GO46" cm="1">
        <f t="array" ref="GO46">SUMPRODUCT((Y$2:Y$1000="PS")*(F$2:F$1000=FV46)*ISNUMBER(SEARCH("selection",LOWER(Z$2:Z$1000)))*ISNUMBER(SEARCH("hystory",LOWER(AA$2:AA$1000))))</f>
        <v>0</v>
      </c>
      <c r="GP46" cm="1">
        <f t="array" ref="GP46">SUMPRODUCT((Y$2:Y$1000="PS")*(F$2:F$1000=FV46)*ISNUMBER(SEARCH("selection",LOWER(Z$2:Z$1000)))*ISNUMBER(SEARCH("cost-aware",LOWER(AA$2:AA$1000))))</f>
        <v>0</v>
      </c>
      <c r="GQ46" cm="1">
        <f t="array" ref="GQ46">SUMPRODUCT((Y$2:Y$1000="PS")*(F$2:F$1000=FV46)*ISNUMBER(SEARCH("selection",LOWER(Z$2:Z$1000)))*ISNUMBER(SEARCH("similarity",LOWER(AA$2:AA$1000))))</f>
        <v>0</v>
      </c>
      <c r="GR46" s="35" cm="1">
        <f t="array" ref="GR46">SUMPRODUCT((Y$2:Y$1000="PS")*(F$2:F$1000=FV46)*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6">
        <v>2022</v>
      </c>
      <c r="HA46" cm="1">
        <f t="array" ref="HA46">SUMPRODUCT((Y$2:Y$1000="PS")*(F$2:F$1000=GZ46)*ISNUMBER(SEARCH("minimization",LOWER(Z$2:Z$1000)))*ISNUMBER(SEARCH(LOWER(HA$36),LOWER(AB$2:AB$1000))))</f>
        <v>0</v>
      </c>
      <c r="HB46" cm="1">
        <f t="array" ref="HB46">SUMPRODUCT((Y$2:Y$1000="PS")*(F$2:F$1000=GZ46)*ISNUMBER(SEARCH("minimization",LOWER(Z$2:Z$1000)))*ISNUMBER(SEARCH(LOWER(HB$36),LOWER(AB$2:AB$1000))))</f>
        <v>0</v>
      </c>
      <c r="HC46" cm="1">
        <f t="array" ref="HC46">SUMPRODUCT((Y$2:Y$1000="PS")*(F$2:F$1000=GZ46)*ISNUMBER(SEARCH("minimization",LOWER(Z$2:Z$1000)))*ISNUMBER(SEARCH(LOWER(HC$36),LOWER(AB$2:AB$1000))))</f>
        <v>1</v>
      </c>
      <c r="HD46" cm="1">
        <f t="array" ref="HD46">SUMPRODUCT((Y$2:Y$1000="PS")*(F$2:F$1000=GZ46)*ISNUMBER(SEARCH("minimization",LOWER(Z$2:Z$1000)))*ISNUMBER(SEARCH(LOWER(HD$36),LOWER(AB$2:AB$1000))))</f>
        <v>0</v>
      </c>
      <c r="HE46" cm="1">
        <f t="array" ref="HE46">SUMPRODUCT((Y$2:Y$1000="PS")*(F$2:F$1000=GZ46)*ISNUMBER(SEARCH("minimization",LOWER(Z$2:Z$1000)))*ISNUMBER(SEARCH(LOWER(HE$36),LOWER(AB$2:AB$1000))))</f>
        <v>0</v>
      </c>
      <c r="HF46" cm="1">
        <f t="array" ref="HF46">SUMPRODUCT((Y$2:Y$1000="PS")*(F$2:F$1000=GZ46)*ISNUMBER(SEARCH("minimization",LOWER(Z$2:Z$1000)))*ISNUMBER(SEARCH(LOWER(HF$36),LOWER(AB$2:AB$1000))))</f>
        <v>0</v>
      </c>
      <c r="HG46" cm="1">
        <f t="array" ref="HG46">SUMPRODUCT((Y$2:Y$1000="PS")*(F$2:F$1000=GZ46)*ISNUMBER(SEARCH("minimization",LOWER(Z$2:Z$1000)))*ISNUMBER(SEARCH(LOWER(HG$36),LOWER(AB$2:AB$1000))))</f>
        <v>0</v>
      </c>
      <c r="HH46" cm="1">
        <f t="array" ref="HH46">SUMPRODUCT((Y$2:Y$1000="PS")*(F$2:F$1000=GZ46)*ISNUMBER(SEARCH("minimization",LOWER(Z$2:Z$1000)))*ISNUMBER(SEARCH(LOWER(HH$36),LOWER(AB$2:AB$1000))))</f>
        <v>0</v>
      </c>
      <c r="HI46" cm="1">
        <f t="array" ref="HI46">SUMPRODUCT((Y$2:Y$1000="PS")*(F$2:F$1000=GZ46)*ISNUMBER(SEARCH("minimization",LOWER(Z$2:Z$1000)))*ISNUMBER(SEARCH(LOWER(HI$36),LOWER(AB$2:AB$1000))))</f>
        <v>0</v>
      </c>
      <c r="HJ46" cm="1">
        <f t="array" ref="HJ46">SUMPRODUCT((Y$2:Y$1000="PS")*(F$2:F$1000=GZ46)*ISNUMBER(SEARCH("minimization",LOWER(Z$2:Z$1000)))*ISNUMBER(SEARCH(LOWER(HJ$36),LOWER(AB$2:AB$1000))))</f>
        <v>0</v>
      </c>
      <c r="HK46" cm="1">
        <f t="array" ref="HK46">SUMPRODUCT((Y$2:Y$1000="PS")*(F$2:F$1000=GZ46)*ISNUMBER(SEARCH("minimization",LOWER(Z$2:Z$1000)))*ISNUMBER(SEARCH(LOWER(HK$36),LOWER(AB$2:AB$1000))))</f>
        <v>0</v>
      </c>
      <c r="HL46" cm="1">
        <f t="array" ref="HL46">SUMPRODUCT((Y$2:Y$1000="PS")*(F$2:F$1000=GZ46)*ISNUMBER(SEARCH("minimization",LOWER(Z$2:Z$1000)))*ISNUMBER(SEARCH(LOWER(HL$36),LOWER(AB$2:AB$1000))))</f>
        <v>0</v>
      </c>
      <c r="HM46" cm="1">
        <f t="array" ref="HM46">SUMPRODUCT((Y$2:Y$1000="PS")*(F$2:F$1000=GZ46)*ISNUMBER(SEARCH("minimization",LOWER(Z$2:Z$1000)))*ISNUMBER(SEARCH(LOWER(HM$36),LOWER(AB$2:AB$1000))))</f>
        <v>0</v>
      </c>
    </row>
    <row r="47" spans="1:221" ht="80">
      <c r="C47" t="s">
        <v>561</v>
      </c>
      <c r="D47" t="s">
        <v>562</v>
      </c>
      <c r="E47" t="s">
        <v>563</v>
      </c>
      <c r="F47">
        <v>2021</v>
      </c>
      <c r="J47" t="s">
        <v>564</v>
      </c>
      <c r="Y47" t="s">
        <v>44</v>
      </c>
      <c r="Z47" s="6" t="s">
        <v>560</v>
      </c>
      <c r="AA47" s="17"/>
      <c r="AB47" s="17"/>
      <c r="AC47" s="17"/>
      <c r="AD47" s="17"/>
      <c r="AE47" s="17"/>
      <c r="AF47" s="17"/>
      <c r="AG47" s="17"/>
      <c r="AH47" s="17"/>
      <c r="AK47">
        <f t="shared" si="6"/>
        <v>0</v>
      </c>
      <c r="AL47">
        <f t="shared" si="0"/>
        <v>0</v>
      </c>
      <c r="AM47">
        <f t="shared" si="1"/>
        <v>0</v>
      </c>
      <c r="AN47">
        <f t="shared" si="2"/>
        <v>0</v>
      </c>
      <c r="EM47">
        <v>2023</v>
      </c>
      <c r="FQ47" t="s">
        <v>1302</v>
      </c>
      <c r="FR47" s="35" cm="1">
        <f t="array" ref="FR47">SUMPRODUCT((Y$2:Y$1000="PS")*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10</v>
      </c>
      <c r="FV47">
        <v>2023</v>
      </c>
      <c r="FW47" s="35" cm="1">
        <f t="array" ref="FW47">SUMPRODUCT((Y$2:Y$1000="PS")*(F$2:F$1000=FV47)*ISNUMBER(SEARCH("selection",LOWER(Z$2:Z$1000)))*ISNUMBER(SEARCH("integer",LOWER(AA$2:AA$1000))))</f>
        <v>1</v>
      </c>
      <c r="FX47" cm="1">
        <f t="array" ref="FX47">SUMPRODUCT((Y$2:Y$1000="PS")*(F$2:F$1000=FV47)*ISNUMBER(SEARCH("selection",LOWER(Z$2:Z$1000)))*ISNUMBER(SEARCH("data-flow",LOWER(AA$2:AA$1000))))</f>
        <v>0</v>
      </c>
      <c r="FY47" cm="1">
        <f t="array" ref="FY47">SUMPRODUCT((Y$2:Y$1000="PS")*(F$2:F$1000=FV47)*ISNUMBER(SEARCH("selection",LOWER(Z$2:Z$1000)))*ISNUMBER(SEARCH("symbolic",LOWER(AA$2:AA$1000))))</f>
        <v>0</v>
      </c>
      <c r="FZ47" cm="1">
        <f t="array" ref="FZ47">SUMPRODUCT((Y$2:Y$1000="PS")*(F$2:F$1000=FV47)*ISNUMBER(SEARCH("selection",LOWER(Z$2:Z$1000)))*ISNUMBER(SEARCH("dynamyc",LOWER(AA$2:AA$1000))))</f>
        <v>0</v>
      </c>
      <c r="GA47" cm="1">
        <f t="array" ref="GA47">SUMPRODUCT((Y$2:Y$1000="PS")*(F$2:F$1000=FV47)*ISNUMBER(SEARCH("selection",LOWER(Z$2:Z$1000)))*ISNUMBER(SEARCH("graph",LOWER(AA$2:AA$1000))))</f>
        <v>0</v>
      </c>
      <c r="GB47" cm="1">
        <f t="array" ref="GB47">SUMPRODUCT((Y$2:Y$1000="PS")*(F$2:F$1000=FV47)*ISNUMBER(SEARCH("selection",LOWER(Z$2:Z$1000)))*ISNUMBER(SEARCH("textual",LOWER(AA$2:AA$1000))))</f>
        <v>0</v>
      </c>
      <c r="GC47" cm="1">
        <f t="array" ref="GC47">SUMPRODUCT((Y$2:Y$1000="PS")*(F$2:F$1000=FV47)*ISNUMBER(SEARCH("selection",LOWER(Z$2:Z$1000)))*ISNUMBER(SEARCH("sdg",LOWER(AA$2:AA$1000))))</f>
        <v>0</v>
      </c>
      <c r="GD47" cm="1">
        <f t="array" ref="GD47">SUMPRODUCT((Y$2:Y$1000="PS")*(F$2:F$1000=FV47)*ISNUMBER(SEARCH("selection",LOWER(Z$2:Z$1000)))*ISNUMBER(SEARCH("path",LOWER(AA$2:AA$1000))))</f>
        <v>0</v>
      </c>
      <c r="GE47" cm="1">
        <f t="array" ref="GE47">SUMPRODUCT((Y$2:Y$1000="PS")*(F$2:F$1000=FV47)*ISNUMBER(SEARCH("selection",LOWER(Z$2:Z$1000)))*ISNUMBER(SEARCH("mod",LOWER(AA$2:AA$1000))))</f>
        <v>0</v>
      </c>
      <c r="GF47" cm="1">
        <f t="array" ref="GF47">SUMPRODUCT((Y$2:Y$1000="PS")*(F$2:F$1000=FV47)*ISNUMBER(SEARCH("selection",LOWER(Z$2:Z$1000)))*ISNUMBER(SEARCH("firewall",LOWER(AA$2:AA$1000))))</f>
        <v>0</v>
      </c>
      <c r="GG47" cm="1">
        <f t="array" ref="GG47">SUMPRODUCT((Y$2:Y$1000="PS")*(F$2:F$1000=FV47)*ISNUMBER(SEARCH("selection",LOWER(Z$2:Z$1000)))*ISNUMBER(SEARCH("cluster",LOWER(AA$2:AA$1000))))</f>
        <v>0</v>
      </c>
      <c r="GH47" cm="1">
        <f t="array" ref="GH47">SUMPRODUCT((Y$2:Y$1000="PS")*(F$2:F$1000=FV47)*ISNUMBER(SEARCH("selection",LOWER(Z$2:Z$1000)))*ISNUMBER(SEARCH("design",LOWER(AA$2:AA$1000))))</f>
        <v>0</v>
      </c>
      <c r="GI47" cm="1">
        <f t="array" ref="GI47">SUMPRODUCT((Y$2:Y$1000="PS")*(F$2:F$1000=FV47)*ISNUMBER(SEARCH("selection",LOWER(Z$2:Z$1000)))*ISNUMBER(SEARCH("hybrid",LOWER(AA$2:AA$1000))))</f>
        <v>0</v>
      </c>
      <c r="GJ47" cm="1">
        <f t="array" ref="GJ47">SUMPRODUCT((Y$2:Y$1000="PS")*(F$2:F$1000=FV47)*ISNUMBER(SEARCH("selection",LOWER(Z$2:Z$1000)))*ISNUMBER(SEARCH("selection",LOWER(AA$2:AA$1000))))</f>
        <v>0</v>
      </c>
      <c r="GK47" cm="1">
        <f t="array" ref="GK47">SUMPRODUCT((Y$2:Y$1000="PS")*(F$2:F$1000=FV47)*ISNUMBER(SEARCH("selection",LOWER(Z$2:Z$1000)))*ISNUMBER(SEARCH("detection",LOWER(AA$2:AA$1000))))</f>
        <v>0</v>
      </c>
      <c r="GL47" cm="1">
        <f t="array" ref="GL47">SUMPRODUCT((Y$2:Y$1000="PS")*(F$2:F$1000=FV47)*ISNUMBER(SEARCH("selection",LOWER(Z$2:Z$1000)))*ISNUMBER(SEARCH("coverage",LOWER(AA$2:AA$1000))))</f>
        <v>0</v>
      </c>
      <c r="GM47" cm="1">
        <f t="array" ref="GM47">SUMPRODUCT((Y$2:Y$1000="PS")*(F$2:F$1000=FV47)*ISNUMBER(SEARCH("selection",LOWER(Z$2:Z$1000)))*ISNUMBER(SEARCH("change",LOWER(AA$2:AA$1000))))</f>
        <v>0</v>
      </c>
      <c r="GN47" cm="1">
        <f t="array" ref="GN47">SUMPRODUCT((Y$2:Y$1000="PS")*(F$2:F$1000=FV47)*ISNUMBER(SEARCH("selection",LOWER(Z$2:Z$1000)))*ISNUMBER(SEARCH("model",LOWER(AA$2:AA$1000))))</f>
        <v>0</v>
      </c>
      <c r="GO47" cm="1">
        <f t="array" ref="GO47">SUMPRODUCT((Y$2:Y$1000="PS")*(F$2:F$1000=FV47)*ISNUMBER(SEARCH("selection",LOWER(Z$2:Z$1000)))*ISNUMBER(SEARCH("hystory",LOWER(AA$2:AA$1000))))</f>
        <v>0</v>
      </c>
      <c r="GP47" cm="1">
        <f t="array" ref="GP47">SUMPRODUCT((Y$2:Y$1000="PS")*(F$2:F$1000=FV47)*ISNUMBER(SEARCH("selection",LOWER(Z$2:Z$1000)))*ISNUMBER(SEARCH("cost-aware",LOWER(AA$2:AA$1000))))</f>
        <v>0</v>
      </c>
      <c r="GQ47" cm="1">
        <f t="array" ref="GQ47">SUMPRODUCT((Y$2:Y$1000="PS")*(F$2:F$1000=FV47)*ISNUMBER(SEARCH("selection",LOWER(Z$2:Z$1000)))*ISNUMBER(SEARCH("similarity",LOWER(AA$2:AA$1000))))</f>
        <v>0</v>
      </c>
      <c r="GR47" s="35" cm="1">
        <f t="array" ref="GR47">SUMPRODUCT((Y$2:Y$1000="PS")*(F$2:F$1000=FV47)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7">
        <v>2023</v>
      </c>
      <c r="HA47" cm="1">
        <f t="array" ref="HA47">SUMPRODUCT((Y$2:Y$1000="PS")*(F$2:F$1000=GZ47)*ISNUMBER(SEARCH("minimization",LOWER(Z$2:Z$1000)))*ISNUMBER(SEARCH(LOWER(HA$36),LOWER(AB$2:AB$1000))))</f>
        <v>0</v>
      </c>
      <c r="HB47" cm="1">
        <f t="array" ref="HB47">SUMPRODUCT((Y$2:Y$1000="PS")*(F$2:F$1000=GZ47)*ISNUMBER(SEARCH("minimization",LOWER(Z$2:Z$1000)))*ISNUMBER(SEARCH(LOWER(HB$36),LOWER(AB$2:AB$1000))))</f>
        <v>0</v>
      </c>
      <c r="HC47" cm="1">
        <f t="array" ref="HC47">SUMPRODUCT((Y$2:Y$1000="PS")*(F$2:F$1000=GZ47)*ISNUMBER(SEARCH("minimization",LOWER(Z$2:Z$1000)))*ISNUMBER(SEARCH(LOWER(HC$36),LOWER(AB$2:AB$1000))))</f>
        <v>0</v>
      </c>
      <c r="HD47" cm="1">
        <f t="array" ref="HD47">SUMPRODUCT((Y$2:Y$1000="PS")*(F$2:F$1000=GZ47)*ISNUMBER(SEARCH("minimization",LOWER(Z$2:Z$1000)))*ISNUMBER(SEARCH(LOWER(HD$36),LOWER(AB$2:AB$1000))))</f>
        <v>0</v>
      </c>
      <c r="HE47" cm="1">
        <f t="array" ref="HE47">SUMPRODUCT((Y$2:Y$1000="PS")*(F$2:F$1000=GZ47)*ISNUMBER(SEARCH("minimization",LOWER(Z$2:Z$1000)))*ISNUMBER(SEARCH(LOWER(HE$36),LOWER(AB$2:AB$1000))))</f>
        <v>0</v>
      </c>
      <c r="HF47" cm="1">
        <f t="array" ref="HF47">SUMPRODUCT((Y$2:Y$1000="PS")*(F$2:F$1000=GZ47)*ISNUMBER(SEARCH("minimization",LOWER(Z$2:Z$1000)))*ISNUMBER(SEARCH(LOWER(HF$36),LOWER(AB$2:AB$1000))))</f>
        <v>0</v>
      </c>
      <c r="HG47" cm="1">
        <f t="array" ref="HG47">SUMPRODUCT((Y$2:Y$1000="PS")*(F$2:F$1000=GZ47)*ISNUMBER(SEARCH("minimization",LOWER(Z$2:Z$1000)))*ISNUMBER(SEARCH(LOWER(HG$36),LOWER(AB$2:AB$1000))))</f>
        <v>0</v>
      </c>
      <c r="HH47" cm="1">
        <f t="array" ref="HH47">SUMPRODUCT((Y$2:Y$1000="PS")*(F$2:F$1000=GZ47)*ISNUMBER(SEARCH("minimization",LOWER(Z$2:Z$1000)))*ISNUMBER(SEARCH(LOWER(HH$36),LOWER(AB$2:AB$1000))))</f>
        <v>0</v>
      </c>
      <c r="HI47" cm="1">
        <f t="array" ref="HI47">SUMPRODUCT((Y$2:Y$1000="PS")*(F$2:F$1000=GZ47)*ISNUMBER(SEARCH("minimization",LOWER(Z$2:Z$1000)))*ISNUMBER(SEARCH(LOWER(HI$36),LOWER(AB$2:AB$1000))))</f>
        <v>0</v>
      </c>
      <c r="HJ47" cm="1">
        <f t="array" ref="HJ47">SUMPRODUCT((Y$2:Y$1000="PS")*(F$2:F$1000=GZ47)*ISNUMBER(SEARCH("minimization",LOWER(Z$2:Z$1000)))*ISNUMBER(SEARCH(LOWER(HJ$36),LOWER(AB$2:AB$1000))))</f>
        <v>0</v>
      </c>
      <c r="HK47" cm="1">
        <f t="array" ref="HK47">SUMPRODUCT((Y$2:Y$1000="PS")*(F$2:F$1000=GZ47)*ISNUMBER(SEARCH("minimization",LOWER(Z$2:Z$1000)))*ISNUMBER(SEARCH(LOWER(HK$36),LOWER(AB$2:AB$1000))))</f>
        <v>0</v>
      </c>
      <c r="HL47" cm="1">
        <f t="array" ref="HL47">SUMPRODUCT((Y$2:Y$1000="PS")*(F$2:F$1000=GZ47)*ISNUMBER(SEARCH("minimization",LOWER(Z$2:Z$1000)))*ISNUMBER(SEARCH(LOWER(HL$36),LOWER(AB$2:AB$1000))))</f>
        <v>0</v>
      </c>
      <c r="HM47" cm="1">
        <f t="array" ref="HM47">SUMPRODUCT((Y$2:Y$1000="PS")*(F$2:F$1000=GZ47)*ISNUMBER(SEARCH("minimization",LOWER(Z$2:Z$1000)))*ISNUMBER(SEARCH(LOWER(HM$36),LOWER(AB$2:AB$1000))))</f>
        <v>0</v>
      </c>
    </row>
    <row r="48" spans="1:221" ht="144">
      <c r="C48" t="s">
        <v>565</v>
      </c>
      <c r="D48" t="s">
        <v>566</v>
      </c>
      <c r="E48" t="s">
        <v>567</v>
      </c>
      <c r="F48">
        <v>2024</v>
      </c>
      <c r="J48" t="s">
        <v>568</v>
      </c>
      <c r="Y48" t="s">
        <v>58</v>
      </c>
      <c r="Z48" s="6" t="s">
        <v>569</v>
      </c>
      <c r="AA48" s="7" t="s">
        <v>408</v>
      </c>
      <c r="AB48" s="7" t="s">
        <v>1435</v>
      </c>
      <c r="AC48" s="7"/>
      <c r="AD48" s="7" t="s">
        <v>570</v>
      </c>
      <c r="AE48" s="6" t="s">
        <v>571</v>
      </c>
      <c r="AF48" s="7" t="s">
        <v>572</v>
      </c>
      <c r="AG48" s="7" t="s">
        <v>573</v>
      </c>
      <c r="AH48" s="6">
        <v>0.5</v>
      </c>
      <c r="AK48">
        <f t="shared" si="6"/>
        <v>1</v>
      </c>
      <c r="AL48">
        <f t="shared" si="0"/>
        <v>0</v>
      </c>
      <c r="AM48">
        <f t="shared" si="1"/>
        <v>0</v>
      </c>
      <c r="AN48">
        <f t="shared" si="2"/>
        <v>1</v>
      </c>
      <c r="EM48">
        <v>2024</v>
      </c>
      <c r="EP48">
        <v>1</v>
      </c>
      <c r="FV48">
        <v>2024</v>
      </c>
      <c r="FW48" s="35" cm="1">
        <f t="array" ref="FW48">SUMPRODUCT((Y$2:Y$1000="PS")*(F$2:F$1000=FV48)*ISNUMBER(SEARCH("selection",LOWER(Z$2:Z$1000)))*ISNUMBER(SEARCH("integer",LOWER(AA$2:AA$1000))))</f>
        <v>0</v>
      </c>
      <c r="FX48" cm="1">
        <f t="array" ref="FX48">SUMPRODUCT((Y$2:Y$1000="PS")*(F$2:F$1000=FV48)*ISNUMBER(SEARCH("selection",LOWER(Z$2:Z$1000)))*ISNUMBER(SEARCH("data-flow",LOWER(AA$2:AA$1000))))</f>
        <v>0</v>
      </c>
      <c r="FY48" cm="1">
        <f t="array" ref="FY48">SUMPRODUCT((Y$2:Y$1000="PS")*(F$2:F$1000=FV48)*ISNUMBER(SEARCH("selection",LOWER(Z$2:Z$1000)))*ISNUMBER(SEARCH("symbolic",LOWER(AA$2:AA$1000))))</f>
        <v>0</v>
      </c>
      <c r="FZ48" cm="1">
        <f t="array" ref="FZ48">SUMPRODUCT((Y$2:Y$1000="PS")*(F$2:F$1000=FV48)*ISNUMBER(SEARCH("selection",LOWER(Z$2:Z$1000)))*ISNUMBER(SEARCH("dynamyc",LOWER(AA$2:AA$1000))))</f>
        <v>0</v>
      </c>
      <c r="GA48" cm="1">
        <f t="array" ref="GA48">SUMPRODUCT((Y$2:Y$1000="PS")*(F$2:F$1000=FV48)*ISNUMBER(SEARCH("selection",LOWER(Z$2:Z$1000)))*ISNUMBER(SEARCH("graph",LOWER(AA$2:AA$1000))))</f>
        <v>1</v>
      </c>
      <c r="GB48" cm="1">
        <f t="array" ref="GB48">SUMPRODUCT((Y$2:Y$1000="PS")*(F$2:F$1000=FV48)*ISNUMBER(SEARCH("selection",LOWER(Z$2:Z$1000)))*ISNUMBER(SEARCH("textual",LOWER(AA$2:AA$1000))))</f>
        <v>0</v>
      </c>
      <c r="GC48" cm="1">
        <f t="array" ref="GC48">SUMPRODUCT((Y$2:Y$1000="PS")*(F$2:F$1000=FV48)*ISNUMBER(SEARCH("selection",LOWER(Z$2:Z$1000)))*ISNUMBER(SEARCH("sdg",LOWER(AA$2:AA$1000))))</f>
        <v>0</v>
      </c>
      <c r="GD48" cm="1">
        <f t="array" ref="GD48">SUMPRODUCT((Y$2:Y$1000="PS")*(F$2:F$1000=FV48)*ISNUMBER(SEARCH("selection",LOWER(Z$2:Z$1000)))*ISNUMBER(SEARCH("path",LOWER(AA$2:AA$1000))))</f>
        <v>0</v>
      </c>
      <c r="GE48" cm="1">
        <f t="array" ref="GE48">SUMPRODUCT((Y$2:Y$1000="PS")*(F$2:F$1000=FV48)*ISNUMBER(SEARCH("selection",LOWER(Z$2:Z$1000)))*ISNUMBER(SEARCH("mod",LOWER(AA$2:AA$1000))))</f>
        <v>0</v>
      </c>
      <c r="GF48" cm="1">
        <f t="array" ref="GF48">SUMPRODUCT((Y$2:Y$1000="PS")*(F$2:F$1000=FV48)*ISNUMBER(SEARCH("selection",LOWER(Z$2:Z$1000)))*ISNUMBER(SEARCH("firewall",LOWER(AA$2:AA$1000))))</f>
        <v>0</v>
      </c>
      <c r="GG48" cm="1">
        <f t="array" ref="GG48">SUMPRODUCT((Y$2:Y$1000="PS")*(F$2:F$1000=FV48)*ISNUMBER(SEARCH("selection",LOWER(Z$2:Z$1000)))*ISNUMBER(SEARCH("cluster",LOWER(AA$2:AA$1000))))</f>
        <v>0</v>
      </c>
      <c r="GH48" cm="1">
        <f t="array" ref="GH48">SUMPRODUCT((Y$2:Y$1000="PS")*(F$2:F$1000=FV48)*ISNUMBER(SEARCH("selection",LOWER(Z$2:Z$1000)))*ISNUMBER(SEARCH("design",LOWER(AA$2:AA$1000))))</f>
        <v>0</v>
      </c>
      <c r="GI48" cm="1">
        <f t="array" ref="GI48">SUMPRODUCT((Y$2:Y$1000="PS")*(F$2:F$1000=FV48)*ISNUMBER(SEARCH("selection",LOWER(Z$2:Z$1000)))*ISNUMBER(SEARCH("hybrid",LOWER(AA$2:AA$1000))))</f>
        <v>0</v>
      </c>
      <c r="GJ48" cm="1">
        <f t="array" ref="GJ48">SUMPRODUCT((Y$2:Y$1000="PS")*(F$2:F$1000=FV48)*ISNUMBER(SEARCH("selection",LOWER(Z$2:Z$1000)))*ISNUMBER(SEARCH("selection",LOWER(AA$2:AA$1000))))</f>
        <v>0</v>
      </c>
      <c r="GK48" cm="1">
        <f t="array" ref="GK48">SUMPRODUCT((Y$2:Y$1000="PS")*(F$2:F$1000=FV48)*ISNUMBER(SEARCH("selection",LOWER(Z$2:Z$1000)))*ISNUMBER(SEARCH("detection",LOWER(AA$2:AA$1000))))</f>
        <v>0</v>
      </c>
      <c r="GL48" cm="1">
        <f t="array" ref="GL48">SUMPRODUCT((Y$2:Y$1000="PS")*(F$2:F$1000=FV48)*ISNUMBER(SEARCH("selection",LOWER(Z$2:Z$1000)))*ISNUMBER(SEARCH("coverage",LOWER(AA$2:AA$1000))))</f>
        <v>0</v>
      </c>
      <c r="GM48" cm="1">
        <f t="array" ref="GM48">SUMPRODUCT((Y$2:Y$1000="PS")*(F$2:F$1000=FV48)*ISNUMBER(SEARCH("selection",LOWER(Z$2:Z$1000)))*ISNUMBER(SEARCH("change",LOWER(AA$2:AA$1000))))</f>
        <v>0</v>
      </c>
      <c r="GN48" cm="1">
        <f t="array" ref="GN48">SUMPRODUCT((Y$2:Y$1000="PS")*(F$2:F$1000=FV48)*ISNUMBER(SEARCH("selection",LOWER(Z$2:Z$1000)))*ISNUMBER(SEARCH("model",LOWER(AA$2:AA$1000))))</f>
        <v>0</v>
      </c>
      <c r="GO48" cm="1">
        <f t="array" ref="GO48">SUMPRODUCT((Y$2:Y$1000="PS")*(F$2:F$1000=FV48)*ISNUMBER(SEARCH("selection",LOWER(Z$2:Z$1000)))*ISNUMBER(SEARCH("hystory",LOWER(AA$2:AA$1000))))</f>
        <v>0</v>
      </c>
      <c r="GP48" cm="1">
        <f t="array" ref="GP48">SUMPRODUCT((Y$2:Y$1000="PS")*(F$2:F$1000=FV48)*ISNUMBER(SEARCH("selection",LOWER(Z$2:Z$1000)))*ISNUMBER(SEARCH("cost-aware",LOWER(AA$2:AA$1000))))</f>
        <v>0</v>
      </c>
      <c r="GQ48" cm="1">
        <f t="array" ref="GQ48">SUMPRODUCT((Y$2:Y$1000="PS")*(F$2:F$1000=FV48)*ISNUMBER(SEARCH("selection",LOWER(Z$2:Z$1000)))*ISNUMBER(SEARCH("similarity",LOWER(AA$2:AA$1000))))</f>
        <v>0</v>
      </c>
      <c r="GR48" s="35" cm="1">
        <f t="array" ref="GR48">SUMPRODUCT((Y$2:Y$1000="PS")*(F$2:F$1000=FV48)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8">
        <v>2024</v>
      </c>
      <c r="HA48" cm="1">
        <f t="array" ref="HA48">SUMPRODUCT((Y$2:Y$1000="PS")*(F$2:F$1000=GZ48)*ISNUMBER(SEARCH("minimization",LOWER(Z$2:Z$1000)))*ISNUMBER(SEARCH(LOWER(HA$36),LOWER(AB$2:AB$1000))))</f>
        <v>0</v>
      </c>
      <c r="HB48" cm="1">
        <f t="array" ref="HB48">SUMPRODUCT((Y$2:Y$1000="PS")*(F$2:F$1000=GZ48)*ISNUMBER(SEARCH("minimization",LOWER(Z$2:Z$1000)))*ISNUMBER(SEARCH(LOWER(HB$36),LOWER(AB$2:AB$1000))))</f>
        <v>0</v>
      </c>
      <c r="HC48" cm="1">
        <f t="array" ref="HC48">SUMPRODUCT((Y$2:Y$1000="PS")*(F$2:F$1000=GZ48)*ISNUMBER(SEARCH("minimization",LOWER(Z$2:Z$1000)))*ISNUMBER(SEARCH(LOWER(HC$36),LOWER(AB$2:AB$1000))))</f>
        <v>1</v>
      </c>
      <c r="HD48" cm="1">
        <f t="array" ref="HD48">SUMPRODUCT((Y$2:Y$1000="PS")*(F$2:F$1000=GZ48)*ISNUMBER(SEARCH("minimization",LOWER(Z$2:Z$1000)))*ISNUMBER(SEARCH(LOWER(HD$36),LOWER(AB$2:AB$1000))))</f>
        <v>0</v>
      </c>
      <c r="HE48" cm="1">
        <f t="array" ref="HE48">SUMPRODUCT((Y$2:Y$1000="PS")*(F$2:F$1000=GZ48)*ISNUMBER(SEARCH("minimization",LOWER(Z$2:Z$1000)))*ISNUMBER(SEARCH(LOWER(HE$36),LOWER(AB$2:AB$1000))))</f>
        <v>0</v>
      </c>
      <c r="HF48" cm="1">
        <f t="array" ref="HF48">SUMPRODUCT((Y$2:Y$1000="PS")*(F$2:F$1000=GZ48)*ISNUMBER(SEARCH("minimization",LOWER(Z$2:Z$1000)))*ISNUMBER(SEARCH(LOWER(HF$36),LOWER(AB$2:AB$1000))))</f>
        <v>0</v>
      </c>
      <c r="HG48" cm="1">
        <f t="array" ref="HG48">SUMPRODUCT((Y$2:Y$1000="PS")*(F$2:F$1000=GZ48)*ISNUMBER(SEARCH("minimization",LOWER(Z$2:Z$1000)))*ISNUMBER(SEARCH(LOWER(HG$36),LOWER(AB$2:AB$1000))))</f>
        <v>0</v>
      </c>
      <c r="HH48" cm="1">
        <f t="array" ref="HH48">SUMPRODUCT((Y$2:Y$1000="PS")*(F$2:F$1000=GZ48)*ISNUMBER(SEARCH("minimization",LOWER(Z$2:Z$1000)))*ISNUMBER(SEARCH(LOWER(HH$36),LOWER(AB$2:AB$1000))))</f>
        <v>0</v>
      </c>
      <c r="HI48" cm="1">
        <f t="array" ref="HI48">SUMPRODUCT((Y$2:Y$1000="PS")*(F$2:F$1000=GZ48)*ISNUMBER(SEARCH("minimization",LOWER(Z$2:Z$1000)))*ISNUMBER(SEARCH(LOWER(HI$36),LOWER(AB$2:AB$1000))))</f>
        <v>0</v>
      </c>
      <c r="HJ48" cm="1">
        <f t="array" ref="HJ48">SUMPRODUCT((Y$2:Y$1000="PS")*(F$2:F$1000=GZ48)*ISNUMBER(SEARCH("minimization",LOWER(Z$2:Z$1000)))*ISNUMBER(SEARCH(LOWER(HJ$36),LOWER(AB$2:AB$1000))))</f>
        <v>0</v>
      </c>
      <c r="HK48" cm="1">
        <f t="array" ref="HK48">SUMPRODUCT((Y$2:Y$1000="PS")*(F$2:F$1000=GZ48)*ISNUMBER(SEARCH("minimization",LOWER(Z$2:Z$1000)))*ISNUMBER(SEARCH(LOWER(HK$36),LOWER(AB$2:AB$1000))))</f>
        <v>0</v>
      </c>
      <c r="HL48" cm="1">
        <f t="array" ref="HL48">SUMPRODUCT((Y$2:Y$1000="PS")*(F$2:F$1000=GZ48)*ISNUMBER(SEARCH("minimization",LOWER(Z$2:Z$1000)))*ISNUMBER(SEARCH(LOWER(HL$36),LOWER(AB$2:AB$1000))))</f>
        <v>0</v>
      </c>
      <c r="HM48" cm="1">
        <f t="array" ref="HM48">SUMPRODUCT((Y$2:Y$1000="PS")*(F$2:F$1000=GZ48)*ISNUMBER(SEARCH("minimization",LOWER(Z$2:Z$1000)))*ISNUMBER(SEARCH(LOWER(HM$36),LOWER(AB$2:AB$1000))))</f>
        <v>0</v>
      </c>
    </row>
    <row r="49" spans="3:221" ht="144">
      <c r="C49" t="s">
        <v>574</v>
      </c>
      <c r="D49" t="s">
        <v>575</v>
      </c>
      <c r="E49" t="s">
        <v>576</v>
      </c>
      <c r="F49">
        <v>2021</v>
      </c>
      <c r="J49" t="s">
        <v>577</v>
      </c>
      <c r="Y49" t="s">
        <v>58</v>
      </c>
      <c r="Z49" s="6" t="s">
        <v>560</v>
      </c>
      <c r="AA49" s="7" t="s">
        <v>578</v>
      </c>
      <c r="AB49" s="7" t="s">
        <v>1435</v>
      </c>
      <c r="AC49" s="7"/>
      <c r="AD49" s="6" t="s">
        <v>579</v>
      </c>
      <c r="AE49" s="6" t="s">
        <v>580</v>
      </c>
      <c r="AF49" s="7" t="s">
        <v>581</v>
      </c>
      <c r="AG49" s="7" t="s">
        <v>582</v>
      </c>
      <c r="AH49" s="6">
        <v>0.5</v>
      </c>
      <c r="AK49">
        <f t="shared" si="6"/>
        <v>1</v>
      </c>
      <c r="AL49">
        <f t="shared" si="0"/>
        <v>0</v>
      </c>
      <c r="AM49">
        <f t="shared" si="1"/>
        <v>0</v>
      </c>
      <c r="AN49">
        <f t="shared" si="2"/>
        <v>1</v>
      </c>
      <c r="EM49">
        <v>2025</v>
      </c>
      <c r="FV49">
        <v>2025</v>
      </c>
      <c r="FW49" s="35" cm="1">
        <f t="array" ref="FW49">SUMPRODUCT((Y$2:Y$1000="PS")*(F$2:F$1000=FV49)*ISNUMBER(SEARCH("selection",LOWER(Z$2:Z$1000)))*ISNUMBER(SEARCH("integer",LOWER(AA$2:AA$1000))))</f>
        <v>0</v>
      </c>
      <c r="FX49" cm="1">
        <f t="array" ref="FX49">SUMPRODUCT((Y$2:Y$1000="PS")*(F$2:F$1000=FV49)*ISNUMBER(SEARCH("selection",LOWER(Z$2:Z$1000)))*ISNUMBER(SEARCH("data-flow",LOWER(AA$2:AA$1000))))</f>
        <v>0</v>
      </c>
      <c r="FY49" cm="1">
        <f t="array" ref="FY49">SUMPRODUCT((Y$2:Y$1000="PS")*(F$2:F$1000=FV49)*ISNUMBER(SEARCH("selection",LOWER(Z$2:Z$1000)))*ISNUMBER(SEARCH("symbolic",LOWER(AA$2:AA$1000))))</f>
        <v>0</v>
      </c>
      <c r="FZ49" cm="1">
        <f t="array" ref="FZ49">SUMPRODUCT((Y$2:Y$1000="PS")*(F$2:F$1000=FV49)*ISNUMBER(SEARCH("selection",LOWER(Z$2:Z$1000)))*ISNUMBER(SEARCH("dynamyc",LOWER(AA$2:AA$1000))))</f>
        <v>0</v>
      </c>
      <c r="GA49" cm="1">
        <f t="array" ref="GA49">SUMPRODUCT((Y$2:Y$1000="PS")*(F$2:F$1000=FV49)*ISNUMBER(SEARCH("selection",LOWER(Z$2:Z$1000)))*ISNUMBER(SEARCH("graph",LOWER(AA$2:AA$1000))))</f>
        <v>1</v>
      </c>
      <c r="GB49" cm="1">
        <f t="array" ref="GB49">SUMPRODUCT((Y$2:Y$1000="PS")*(F$2:F$1000=FV49)*ISNUMBER(SEARCH("selection",LOWER(Z$2:Z$1000)))*ISNUMBER(SEARCH("textual",LOWER(AA$2:AA$1000))))</f>
        <v>0</v>
      </c>
      <c r="GC49" cm="1">
        <f t="array" ref="GC49">SUMPRODUCT((Y$2:Y$1000="PS")*(F$2:F$1000=FV49)*ISNUMBER(SEARCH("selection",LOWER(Z$2:Z$1000)))*ISNUMBER(SEARCH("sdg",LOWER(AA$2:AA$1000))))</f>
        <v>0</v>
      </c>
      <c r="GD49" cm="1">
        <f t="array" ref="GD49">SUMPRODUCT((Y$2:Y$1000="PS")*(F$2:F$1000=FV49)*ISNUMBER(SEARCH("selection",LOWER(Z$2:Z$1000)))*ISNUMBER(SEARCH("path",LOWER(AA$2:AA$1000))))</f>
        <v>0</v>
      </c>
      <c r="GE49" cm="1">
        <f t="array" ref="GE49">SUMPRODUCT((Y$2:Y$1000="PS")*(F$2:F$1000=FV49)*ISNUMBER(SEARCH("selection",LOWER(Z$2:Z$1000)))*ISNUMBER(SEARCH("mod",LOWER(AA$2:AA$1000))))</f>
        <v>0</v>
      </c>
      <c r="GF49" cm="1">
        <f t="array" ref="GF49">SUMPRODUCT((Y$2:Y$1000="PS")*(F$2:F$1000=FV49)*ISNUMBER(SEARCH("selection",LOWER(Z$2:Z$1000)))*ISNUMBER(SEARCH("firewall",LOWER(AA$2:AA$1000))))</f>
        <v>0</v>
      </c>
      <c r="GG49" cm="1">
        <f t="array" ref="GG49">SUMPRODUCT((Y$2:Y$1000="PS")*(F$2:F$1000=FV49)*ISNUMBER(SEARCH("selection",LOWER(Z$2:Z$1000)))*ISNUMBER(SEARCH("cluster",LOWER(AA$2:AA$1000))))</f>
        <v>0</v>
      </c>
      <c r="GH49" cm="1">
        <f t="array" ref="GH49">SUMPRODUCT((Y$2:Y$1000="PS")*(F$2:F$1000=FV49)*ISNUMBER(SEARCH("selection",LOWER(Z$2:Z$1000)))*ISNUMBER(SEARCH("design",LOWER(AA$2:AA$1000))))</f>
        <v>0</v>
      </c>
      <c r="GI49" cm="1">
        <f t="array" ref="GI49">SUMPRODUCT((Y$2:Y$1000="PS")*(F$2:F$1000=FV49)*ISNUMBER(SEARCH("selection",LOWER(Z$2:Z$1000)))*ISNUMBER(SEARCH("hybrid",LOWER(AA$2:AA$1000))))</f>
        <v>0</v>
      </c>
      <c r="GJ49" cm="1">
        <f t="array" ref="GJ49">SUMPRODUCT((Y$2:Y$1000="PS")*(F$2:F$1000=FV49)*ISNUMBER(SEARCH("selection",LOWER(Z$2:Z$1000)))*ISNUMBER(SEARCH("selection",LOWER(AA$2:AA$1000))))</f>
        <v>0</v>
      </c>
      <c r="GK49" cm="1">
        <f t="array" ref="GK49">SUMPRODUCT((Y$2:Y$1000="PS")*(F$2:F$1000=FV49)*ISNUMBER(SEARCH("selection",LOWER(Z$2:Z$1000)))*ISNUMBER(SEARCH("detection",LOWER(AA$2:AA$1000))))</f>
        <v>0</v>
      </c>
      <c r="GL49" cm="1">
        <f t="array" ref="GL49">SUMPRODUCT((Y$2:Y$1000="PS")*(F$2:F$1000=FV49)*ISNUMBER(SEARCH("selection",LOWER(Z$2:Z$1000)))*ISNUMBER(SEARCH("coverage",LOWER(AA$2:AA$1000))))</f>
        <v>0</v>
      </c>
      <c r="GM49" cm="1">
        <f t="array" ref="GM49">SUMPRODUCT((Y$2:Y$1000="PS")*(F$2:F$1000=FV49)*ISNUMBER(SEARCH("selection",LOWER(Z$2:Z$1000)))*ISNUMBER(SEARCH("change",LOWER(AA$2:AA$1000))))</f>
        <v>0</v>
      </c>
      <c r="GN49" cm="1">
        <f t="array" ref="GN49">SUMPRODUCT((Y$2:Y$1000="PS")*(F$2:F$1000=FV49)*ISNUMBER(SEARCH("selection",LOWER(Z$2:Z$1000)))*ISNUMBER(SEARCH("model",LOWER(AA$2:AA$1000))))</f>
        <v>0</v>
      </c>
      <c r="GO49" cm="1">
        <f t="array" ref="GO49">SUMPRODUCT((Y$2:Y$1000="PS")*(F$2:F$1000=FV49)*ISNUMBER(SEARCH("selection",LOWER(Z$2:Z$1000)))*ISNUMBER(SEARCH("hystory",LOWER(AA$2:AA$1000))))</f>
        <v>0</v>
      </c>
      <c r="GP49" cm="1">
        <f t="array" ref="GP49">SUMPRODUCT((Y$2:Y$1000="PS")*(F$2:F$1000=FV49)*ISNUMBER(SEARCH("selection",LOWER(Z$2:Z$1000)))*ISNUMBER(SEARCH("cost-aware",LOWER(AA$2:AA$1000))))</f>
        <v>0</v>
      </c>
      <c r="GQ49" cm="1">
        <f t="array" ref="GQ49">SUMPRODUCT((Y$2:Y$1000="PS")*(F$2:F$1000=FV49)*ISNUMBER(SEARCH("selection",LOWER(Z$2:Z$1000)))*ISNUMBER(SEARCH("similarity",LOWER(AA$2:AA$1000))))</f>
        <v>0</v>
      </c>
      <c r="GR49" s="35" cm="1">
        <f t="array" ref="GR49">SUMPRODUCT((Y$2:Y$1000="PS")*(F$2:F$1000=FV49)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9">
        <v>2025</v>
      </c>
      <c r="HA49" cm="1">
        <f t="array" ref="HA49">SUMPRODUCT((Y$2:Y$1000="PS")*(F$2:F$1000=GZ49)*ISNUMBER(SEARCH("minimization",LOWER(Z$2:Z$1000)))*ISNUMBER(SEARCH(LOWER(HA$36),LOWER(AB$2:AB$1000))))</f>
        <v>0</v>
      </c>
      <c r="HB49" cm="1">
        <f t="array" ref="HB49">SUMPRODUCT((Y$2:Y$1000="PS")*(F$2:F$1000=GZ49)*ISNUMBER(SEARCH("minimization",LOWER(Z$2:Z$1000)))*ISNUMBER(SEARCH(LOWER(HB$36),LOWER(AB$2:AB$1000))))</f>
        <v>0</v>
      </c>
      <c r="HC49" cm="1">
        <f t="array" ref="HC49">SUMPRODUCT((Y$2:Y$1000="PS")*(F$2:F$1000=GZ49)*ISNUMBER(SEARCH("minimization",LOWER(Z$2:Z$1000)))*ISNUMBER(SEARCH(LOWER(HC$36),LOWER(AB$2:AB$1000))))</f>
        <v>0</v>
      </c>
      <c r="HD49" cm="1">
        <f t="array" ref="HD49">SUMPRODUCT((Y$2:Y$1000="PS")*(F$2:F$1000=GZ49)*ISNUMBER(SEARCH("minimization",LOWER(Z$2:Z$1000)))*ISNUMBER(SEARCH(LOWER(HD$36),LOWER(AB$2:AB$1000))))</f>
        <v>0</v>
      </c>
      <c r="HE49" cm="1">
        <f t="array" ref="HE49">SUMPRODUCT((Y$2:Y$1000="PS")*(F$2:F$1000=GZ49)*ISNUMBER(SEARCH("minimization",LOWER(Z$2:Z$1000)))*ISNUMBER(SEARCH(LOWER(HE$36),LOWER(AB$2:AB$1000))))</f>
        <v>0</v>
      </c>
      <c r="HF49" cm="1">
        <f t="array" ref="HF49">SUMPRODUCT((Y$2:Y$1000="PS")*(F$2:F$1000=GZ49)*ISNUMBER(SEARCH("minimization",LOWER(Z$2:Z$1000)))*ISNUMBER(SEARCH(LOWER(HF$36),LOWER(AB$2:AB$1000))))</f>
        <v>0</v>
      </c>
      <c r="HG49" cm="1">
        <f t="array" ref="HG49">SUMPRODUCT((Y$2:Y$1000="PS")*(F$2:F$1000=GZ49)*ISNUMBER(SEARCH("minimization",LOWER(Z$2:Z$1000)))*ISNUMBER(SEARCH(LOWER(HG$36),LOWER(AB$2:AB$1000))))</f>
        <v>0</v>
      </c>
      <c r="HH49" cm="1">
        <f t="array" ref="HH49">SUMPRODUCT((Y$2:Y$1000="PS")*(F$2:F$1000=GZ49)*ISNUMBER(SEARCH("minimization",LOWER(Z$2:Z$1000)))*ISNUMBER(SEARCH(LOWER(HH$36),LOWER(AB$2:AB$1000))))</f>
        <v>0</v>
      </c>
      <c r="HI49" cm="1">
        <f t="array" ref="HI49">SUMPRODUCT((Y$2:Y$1000="PS")*(F$2:F$1000=GZ49)*ISNUMBER(SEARCH("minimization",LOWER(Z$2:Z$1000)))*ISNUMBER(SEARCH(LOWER(HI$36),LOWER(AB$2:AB$1000))))</f>
        <v>0</v>
      </c>
      <c r="HJ49" cm="1">
        <f t="array" ref="HJ49">SUMPRODUCT((Y$2:Y$1000="PS")*(F$2:F$1000=GZ49)*ISNUMBER(SEARCH("minimization",LOWER(Z$2:Z$1000)))*ISNUMBER(SEARCH(LOWER(HJ$36),LOWER(AB$2:AB$1000))))</f>
        <v>0</v>
      </c>
      <c r="HK49" cm="1">
        <f t="array" ref="HK49">SUMPRODUCT((Y$2:Y$1000="PS")*(F$2:F$1000=GZ49)*ISNUMBER(SEARCH("minimization",LOWER(Z$2:Z$1000)))*ISNUMBER(SEARCH(LOWER(HK$36),LOWER(AB$2:AB$1000))))</f>
        <v>0</v>
      </c>
      <c r="HL49" cm="1">
        <f t="array" ref="HL49">SUMPRODUCT((Y$2:Y$1000="PS")*(F$2:F$1000=GZ49)*ISNUMBER(SEARCH("minimization",LOWER(Z$2:Z$1000)))*ISNUMBER(SEARCH(LOWER(HL$36),LOWER(AB$2:AB$1000))))</f>
        <v>0</v>
      </c>
      <c r="HM49" cm="1">
        <f t="array" ref="HM49">SUMPRODUCT((Y$2:Y$1000="PS")*(F$2:F$1000=GZ49)*ISNUMBER(SEARCH("minimization",LOWER(Z$2:Z$1000)))*ISNUMBER(SEARCH(LOWER(HM$36),LOWER(AB$2:AB$1000))))</f>
        <v>0</v>
      </c>
    </row>
    <row r="50" spans="3:221" ht="96">
      <c r="C50" t="s">
        <v>583</v>
      </c>
      <c r="D50" t="s">
        <v>584</v>
      </c>
      <c r="E50" t="s">
        <v>585</v>
      </c>
      <c r="F50">
        <v>2019</v>
      </c>
      <c r="J50" t="s">
        <v>586</v>
      </c>
      <c r="Y50" t="s">
        <v>58</v>
      </c>
      <c r="Z50" s="4" t="s">
        <v>587</v>
      </c>
      <c r="AA50" s="18" t="s">
        <v>1411</v>
      </c>
      <c r="AB50" s="18" t="s">
        <v>1423</v>
      </c>
      <c r="AC50" s="18"/>
      <c r="AD50" s="18" t="s">
        <v>588</v>
      </c>
      <c r="AE50" s="4" t="s">
        <v>589</v>
      </c>
      <c r="AF50" s="18" t="s">
        <v>590</v>
      </c>
      <c r="AG50" s="18" t="s">
        <v>591</v>
      </c>
      <c r="AH50" s="18">
        <v>0</v>
      </c>
      <c r="AK50">
        <f t="shared" si="6"/>
        <v>1</v>
      </c>
      <c r="AL50">
        <f t="shared" si="0"/>
        <v>0</v>
      </c>
      <c r="AM50">
        <f t="shared" si="1"/>
        <v>0</v>
      </c>
      <c r="AN50">
        <f t="shared" si="2"/>
        <v>1</v>
      </c>
      <c r="EM50" t="s">
        <v>1404</v>
      </c>
      <c r="EN50">
        <v>2</v>
      </c>
      <c r="EO50">
        <v>0</v>
      </c>
      <c r="EP50">
        <v>1</v>
      </c>
      <c r="EQ50">
        <v>3</v>
      </c>
      <c r="ES50" t="s">
        <v>704</v>
      </c>
      <c r="FQ50" t="s">
        <v>1303</v>
      </c>
    </row>
    <row r="51" spans="3:221" ht="96">
      <c r="C51" t="s">
        <v>592</v>
      </c>
      <c r="D51" t="s">
        <v>593</v>
      </c>
      <c r="E51" t="s">
        <v>594</v>
      </c>
      <c r="F51">
        <v>2022</v>
      </c>
      <c r="J51" t="s">
        <v>595</v>
      </c>
      <c r="Y51" t="s">
        <v>58</v>
      </c>
      <c r="Z51" s="4" t="s">
        <v>462</v>
      </c>
      <c r="AA51" s="18" t="s">
        <v>408</v>
      </c>
      <c r="AB51" s="18" t="s">
        <v>91</v>
      </c>
      <c r="AC51" s="18"/>
      <c r="AD51" s="18" t="s">
        <v>596</v>
      </c>
      <c r="AE51" s="4" t="s">
        <v>597</v>
      </c>
      <c r="AF51" s="18" t="s">
        <v>598</v>
      </c>
      <c r="AG51" s="18" t="s">
        <v>599</v>
      </c>
      <c r="AH51" s="18">
        <v>0</v>
      </c>
      <c r="AK51">
        <f t="shared" si="6"/>
        <v>1</v>
      </c>
      <c r="AL51">
        <f t="shared" si="0"/>
        <v>0</v>
      </c>
      <c r="AM51">
        <f t="shared" si="1"/>
        <v>0</v>
      </c>
      <c r="AN51">
        <f t="shared" si="2"/>
        <v>1</v>
      </c>
      <c r="FQ51" t="s">
        <v>1266</v>
      </c>
      <c r="FR51" t="s">
        <v>1267</v>
      </c>
    </row>
    <row r="52" spans="3:221" ht="112">
      <c r="C52" t="s">
        <v>600</v>
      </c>
      <c r="D52" t="s">
        <v>601</v>
      </c>
      <c r="E52" t="s">
        <v>602</v>
      </c>
      <c r="F52">
        <v>2022</v>
      </c>
      <c r="J52" t="s">
        <v>603</v>
      </c>
      <c r="Y52" t="s">
        <v>58</v>
      </c>
      <c r="Z52" s="4" t="s">
        <v>604</v>
      </c>
      <c r="AA52" s="18" t="s">
        <v>408</v>
      </c>
      <c r="AB52" s="18" t="s">
        <v>1435</v>
      </c>
      <c r="AC52" s="18" t="s">
        <v>384</v>
      </c>
      <c r="AD52" s="18" t="s">
        <v>605</v>
      </c>
      <c r="AE52" s="4" t="s">
        <v>606</v>
      </c>
      <c r="AF52" s="18" t="s">
        <v>607</v>
      </c>
      <c r="AG52" s="18" t="s">
        <v>608</v>
      </c>
      <c r="AH52" s="18">
        <v>0</v>
      </c>
      <c r="AK52">
        <f t="shared" si="6"/>
        <v>1</v>
      </c>
      <c r="AL52">
        <f t="shared" si="0"/>
        <v>1</v>
      </c>
      <c r="AM52">
        <f t="shared" si="1"/>
        <v>0</v>
      </c>
      <c r="AN52">
        <f t="shared" si="2"/>
        <v>1</v>
      </c>
      <c r="FQ52" t="s">
        <v>1304</v>
      </c>
      <c r="FR52" s="35" cm="1">
        <f t="array" ref="FR52">SUMPRODUCT((Y$2:Y$1000="PS")*ISNUMBER(SEARCH("search-based",LOWER(AA$2:AA$1000)))*ISNUMBER(SEARCH("minimization",LOWER(Z$2:Z$1000))))</f>
        <v>1</v>
      </c>
    </row>
    <row r="53" spans="3:221" ht="112">
      <c r="C53" t="s">
        <v>609</v>
      </c>
      <c r="D53" t="s">
        <v>610</v>
      </c>
      <c r="E53" t="s">
        <v>611</v>
      </c>
      <c r="F53">
        <v>2022</v>
      </c>
      <c r="J53" t="s">
        <v>612</v>
      </c>
      <c r="Y53" t="s">
        <v>58</v>
      </c>
      <c r="Z53" s="4" t="s">
        <v>613</v>
      </c>
      <c r="AA53" s="18" t="s">
        <v>408</v>
      </c>
      <c r="AB53" s="18" t="s">
        <v>91</v>
      </c>
      <c r="AC53" s="19"/>
      <c r="AD53" s="18" t="s">
        <v>614</v>
      </c>
      <c r="AE53" s="4" t="s">
        <v>615</v>
      </c>
      <c r="AF53" s="18" t="s">
        <v>616</v>
      </c>
      <c r="AG53" s="18" t="s">
        <v>617</v>
      </c>
      <c r="AH53" s="18">
        <v>0</v>
      </c>
      <c r="AK53">
        <f t="shared" si="6"/>
        <v>1</v>
      </c>
      <c r="AL53">
        <f t="shared" si="0"/>
        <v>0</v>
      </c>
      <c r="AM53">
        <f t="shared" si="1"/>
        <v>0</v>
      </c>
      <c r="AN53">
        <f t="shared" si="2"/>
        <v>1</v>
      </c>
      <c r="FQ53" t="s">
        <v>1302</v>
      </c>
      <c r="FR53" s="35" cm="1">
        <f t="array" ref="FR53">SUMPRODUCT((Y$2:Y$1000="PS")*ISNUMBER(SEARCH("minimization",LOWER(Z$2:Z$1000)))*(NOT(ISNUMBER(SEARCH("search-based",LOWER(AA$2:AA$1000))))))</f>
        <v>2</v>
      </c>
    </row>
    <row r="54" spans="3:221" ht="144">
      <c r="C54" t="s">
        <v>618</v>
      </c>
      <c r="D54" t="s">
        <v>619</v>
      </c>
      <c r="E54" t="s">
        <v>620</v>
      </c>
      <c r="F54">
        <v>2023</v>
      </c>
      <c r="J54" t="s">
        <v>621</v>
      </c>
      <c r="Y54" t="s">
        <v>58</v>
      </c>
      <c r="Z54" s="4" t="s">
        <v>622</v>
      </c>
      <c r="AA54" s="18" t="s">
        <v>142</v>
      </c>
      <c r="AB54" s="18" t="s">
        <v>1426</v>
      </c>
      <c r="AC54" s="18"/>
      <c r="AD54" s="18" t="s">
        <v>623</v>
      </c>
      <c r="AE54" s="4" t="s">
        <v>624</v>
      </c>
      <c r="AF54" s="18" t="s">
        <v>590</v>
      </c>
      <c r="AG54" s="18" t="s">
        <v>625</v>
      </c>
      <c r="AH54" s="18">
        <v>1</v>
      </c>
      <c r="AK54">
        <f t="shared" si="6"/>
        <v>1</v>
      </c>
      <c r="AL54">
        <f t="shared" si="0"/>
        <v>0</v>
      </c>
      <c r="AM54">
        <f t="shared" si="1"/>
        <v>0</v>
      </c>
      <c r="AN54">
        <f t="shared" si="2"/>
        <v>1</v>
      </c>
    </row>
    <row r="55" spans="3:221" ht="128">
      <c r="C55" t="s">
        <v>626</v>
      </c>
      <c r="D55" t="s">
        <v>627</v>
      </c>
      <c r="E55" t="s">
        <v>628</v>
      </c>
      <c r="F55">
        <v>2022</v>
      </c>
      <c r="J55" t="s">
        <v>629</v>
      </c>
      <c r="Y55" t="s">
        <v>58</v>
      </c>
      <c r="Z55" s="4" t="s">
        <v>613</v>
      </c>
      <c r="AA55" s="18" t="s">
        <v>630</v>
      </c>
      <c r="AB55" s="18" t="s">
        <v>207</v>
      </c>
      <c r="AC55" s="19"/>
      <c r="AD55" s="18" t="s">
        <v>631</v>
      </c>
      <c r="AE55" s="4" t="s">
        <v>632</v>
      </c>
      <c r="AF55" s="18" t="s">
        <v>633</v>
      </c>
      <c r="AG55" s="18" t="s">
        <v>634</v>
      </c>
      <c r="AH55" s="18">
        <v>0.5</v>
      </c>
      <c r="AK55">
        <f t="shared" si="6"/>
        <v>1</v>
      </c>
      <c r="AL55">
        <f t="shared" si="0"/>
        <v>0</v>
      </c>
      <c r="AM55">
        <f t="shared" si="1"/>
        <v>0</v>
      </c>
      <c r="AN55">
        <f t="shared" si="2"/>
        <v>1</v>
      </c>
    </row>
    <row r="56" spans="3:221" ht="160">
      <c r="C56" t="s">
        <v>635</v>
      </c>
      <c r="D56" t="s">
        <v>636</v>
      </c>
      <c r="E56" t="s">
        <v>637</v>
      </c>
      <c r="F56">
        <v>2023</v>
      </c>
      <c r="J56" t="s">
        <v>638</v>
      </c>
      <c r="Y56" t="s">
        <v>58</v>
      </c>
      <c r="Z56" s="4" t="s">
        <v>622</v>
      </c>
      <c r="AA56" s="18" t="s">
        <v>1412</v>
      </c>
      <c r="AB56" s="18" t="s">
        <v>1435</v>
      </c>
      <c r="AC56" s="18" t="s">
        <v>384</v>
      </c>
      <c r="AD56" s="18" t="s">
        <v>639</v>
      </c>
      <c r="AE56" s="4" t="s">
        <v>640</v>
      </c>
      <c r="AF56" s="18" t="s">
        <v>641</v>
      </c>
      <c r="AG56" s="18" t="s">
        <v>642</v>
      </c>
      <c r="AH56" s="18">
        <v>0.5</v>
      </c>
      <c r="AK56">
        <f t="shared" si="6"/>
        <v>1</v>
      </c>
      <c r="AL56">
        <f t="shared" si="0"/>
        <v>0</v>
      </c>
      <c r="AM56">
        <f t="shared" si="1"/>
        <v>0</v>
      </c>
      <c r="AN56">
        <f t="shared" si="2"/>
        <v>1</v>
      </c>
    </row>
    <row r="57" spans="3:221" ht="112">
      <c r="C57" t="s">
        <v>643</v>
      </c>
      <c r="D57" t="s">
        <v>644</v>
      </c>
      <c r="E57" t="s">
        <v>645</v>
      </c>
      <c r="F57">
        <v>2023</v>
      </c>
      <c r="J57" t="s">
        <v>646</v>
      </c>
      <c r="Y57" t="s">
        <v>58</v>
      </c>
      <c r="Z57" s="4" t="s">
        <v>622</v>
      </c>
      <c r="AA57" s="18" t="s">
        <v>1413</v>
      </c>
      <c r="AB57" s="18" t="s">
        <v>130</v>
      </c>
      <c r="AC57" s="19"/>
      <c r="AD57" s="18" t="s">
        <v>647</v>
      </c>
      <c r="AE57" s="4" t="s">
        <v>648</v>
      </c>
      <c r="AF57" s="18" t="s">
        <v>649</v>
      </c>
      <c r="AG57" s="18" t="s">
        <v>650</v>
      </c>
      <c r="AH57" s="18">
        <v>0</v>
      </c>
      <c r="AK57">
        <f t="shared" si="6"/>
        <v>1</v>
      </c>
      <c r="AL57">
        <f t="shared" si="0"/>
        <v>0</v>
      </c>
      <c r="AM57">
        <f t="shared" si="1"/>
        <v>0</v>
      </c>
      <c r="AN57">
        <f t="shared" si="2"/>
        <v>1</v>
      </c>
    </row>
    <row r="58" spans="3:221">
      <c r="C58" t="s">
        <v>651</v>
      </c>
      <c r="D58" t="s">
        <v>652</v>
      </c>
      <c r="E58" t="s">
        <v>653</v>
      </c>
      <c r="F58">
        <v>2019</v>
      </c>
      <c r="J58" t="s">
        <v>654</v>
      </c>
      <c r="Y58" t="s">
        <v>77</v>
      </c>
      <c r="Z58" s="20" t="s">
        <v>655</v>
      </c>
      <c r="AA58" s="20"/>
      <c r="AB58" s="20"/>
      <c r="AC58" s="20"/>
      <c r="AD58" s="20"/>
      <c r="AE58" s="20"/>
      <c r="AF58" s="20"/>
      <c r="AG58" s="20"/>
      <c r="AH58" s="20"/>
      <c r="AK58">
        <f t="shared" si="6"/>
        <v>0</v>
      </c>
      <c r="AL58">
        <f t="shared" si="0"/>
        <v>0</v>
      </c>
      <c r="AM58">
        <f t="shared" si="1"/>
        <v>0</v>
      </c>
      <c r="AN58">
        <f t="shared" si="2"/>
        <v>0</v>
      </c>
    </row>
    <row r="59" spans="3:221" ht="96">
      <c r="C59" t="s">
        <v>656</v>
      </c>
      <c r="D59" t="s">
        <v>636</v>
      </c>
      <c r="E59" t="s">
        <v>657</v>
      </c>
      <c r="F59">
        <v>2023</v>
      </c>
      <c r="J59" t="s">
        <v>658</v>
      </c>
      <c r="Y59" t="s">
        <v>58</v>
      </c>
      <c r="Z59" s="5" t="s">
        <v>659</v>
      </c>
      <c r="AA59" s="21" t="s">
        <v>408</v>
      </c>
      <c r="AB59" s="21" t="s">
        <v>409</v>
      </c>
      <c r="AC59" s="21" t="s">
        <v>115</v>
      </c>
      <c r="AD59" s="21" t="s">
        <v>660</v>
      </c>
      <c r="AE59" s="5" t="s">
        <v>661</v>
      </c>
      <c r="AF59" s="21" t="s">
        <v>662</v>
      </c>
      <c r="AG59" s="21" t="s">
        <v>663</v>
      </c>
      <c r="AH59" s="21">
        <v>0</v>
      </c>
      <c r="AK59">
        <f t="shared" si="6"/>
        <v>1</v>
      </c>
      <c r="AL59">
        <f t="shared" si="0"/>
        <v>0</v>
      </c>
      <c r="AM59">
        <f t="shared" si="1"/>
        <v>0</v>
      </c>
      <c r="AN59">
        <f t="shared" si="2"/>
        <v>1</v>
      </c>
    </row>
    <row r="60" spans="3:221" ht="80">
      <c r="C60" t="s">
        <v>664</v>
      </c>
      <c r="D60" t="s">
        <v>665</v>
      </c>
      <c r="E60" t="s">
        <v>666</v>
      </c>
      <c r="F60">
        <v>2021</v>
      </c>
      <c r="J60" t="s">
        <v>667</v>
      </c>
      <c r="Y60" t="s">
        <v>58</v>
      </c>
      <c r="Z60" s="4" t="s">
        <v>516</v>
      </c>
      <c r="AA60" s="18" t="s">
        <v>1274</v>
      </c>
      <c r="AB60" s="18" t="s">
        <v>409</v>
      </c>
      <c r="AC60" s="18" t="s">
        <v>704</v>
      </c>
      <c r="AD60" s="18" t="s">
        <v>668</v>
      </c>
      <c r="AE60" s="4" t="s">
        <v>669</v>
      </c>
      <c r="AF60" s="18" t="s">
        <v>670</v>
      </c>
      <c r="AG60" s="18" t="s">
        <v>591</v>
      </c>
      <c r="AH60" s="18">
        <v>0</v>
      </c>
      <c r="AK60">
        <f t="shared" si="6"/>
        <v>1</v>
      </c>
      <c r="AL60">
        <f t="shared" si="0"/>
        <v>0</v>
      </c>
      <c r="AM60">
        <f t="shared" si="1"/>
        <v>0</v>
      </c>
      <c r="AN60">
        <f t="shared" si="2"/>
        <v>1</v>
      </c>
    </row>
    <row r="61" spans="3:221" ht="80">
      <c r="C61" t="s">
        <v>671</v>
      </c>
      <c r="D61" t="s">
        <v>672</v>
      </c>
      <c r="E61" t="s">
        <v>673</v>
      </c>
      <c r="F61">
        <v>2022</v>
      </c>
      <c r="J61" t="s">
        <v>674</v>
      </c>
      <c r="Y61" t="s">
        <v>58</v>
      </c>
      <c r="Z61" s="5" t="s">
        <v>613</v>
      </c>
      <c r="AA61" s="21" t="s">
        <v>408</v>
      </c>
      <c r="AB61" s="21" t="s">
        <v>1435</v>
      </c>
      <c r="AC61" s="21" t="s">
        <v>675</v>
      </c>
      <c r="AD61" s="21" t="s">
        <v>676</v>
      </c>
      <c r="AE61" s="5" t="s">
        <v>677</v>
      </c>
      <c r="AF61" s="21" t="s">
        <v>678</v>
      </c>
      <c r="AG61" s="5" t="s">
        <v>679</v>
      </c>
      <c r="AH61" s="21">
        <v>0</v>
      </c>
      <c r="AK61">
        <f t="shared" si="6"/>
        <v>1</v>
      </c>
      <c r="AL61">
        <f t="shared" si="0"/>
        <v>0</v>
      </c>
      <c r="AM61">
        <f t="shared" si="1"/>
        <v>0</v>
      </c>
      <c r="AN61">
        <f t="shared" si="2"/>
        <v>1</v>
      </c>
    </row>
    <row r="62" spans="3:221" ht="128">
      <c r="C62" t="s">
        <v>680</v>
      </c>
      <c r="D62" t="s">
        <v>681</v>
      </c>
      <c r="E62" t="s">
        <v>682</v>
      </c>
      <c r="F62">
        <v>2024</v>
      </c>
      <c r="J62" t="s">
        <v>683</v>
      </c>
      <c r="Y62" t="s">
        <v>58</v>
      </c>
      <c r="Z62" s="4" t="s">
        <v>684</v>
      </c>
      <c r="AA62" s="18" t="s">
        <v>1418</v>
      </c>
      <c r="AB62" s="18" t="s">
        <v>1435</v>
      </c>
      <c r="AC62" s="18" t="s">
        <v>675</v>
      </c>
      <c r="AD62" s="18" t="s">
        <v>685</v>
      </c>
      <c r="AE62" s="4" t="s">
        <v>686</v>
      </c>
      <c r="AF62" s="18" t="s">
        <v>687</v>
      </c>
      <c r="AG62" s="18" t="s">
        <v>688</v>
      </c>
      <c r="AH62" s="18">
        <v>0</v>
      </c>
      <c r="AK62">
        <f t="shared" si="6"/>
        <v>1</v>
      </c>
      <c r="AL62">
        <f t="shared" si="0"/>
        <v>0</v>
      </c>
      <c r="AM62">
        <f t="shared" si="1"/>
        <v>1</v>
      </c>
      <c r="AN62">
        <f t="shared" si="2"/>
        <v>0</v>
      </c>
    </row>
    <row r="63" spans="3:221" ht="112">
      <c r="C63" t="s">
        <v>689</v>
      </c>
      <c r="D63" t="s">
        <v>459</v>
      </c>
      <c r="E63" t="s">
        <v>690</v>
      </c>
      <c r="F63">
        <v>2024</v>
      </c>
      <c r="J63" t="s">
        <v>691</v>
      </c>
      <c r="Y63" t="s">
        <v>58</v>
      </c>
      <c r="Z63" s="5" t="s">
        <v>569</v>
      </c>
      <c r="AA63" s="18" t="s">
        <v>408</v>
      </c>
      <c r="AB63" s="21" t="s">
        <v>1435</v>
      </c>
      <c r="AC63" s="21" t="s">
        <v>384</v>
      </c>
      <c r="AD63" s="21" t="s">
        <v>692</v>
      </c>
      <c r="AE63" s="5" t="s">
        <v>693</v>
      </c>
      <c r="AF63" s="21" t="s">
        <v>694</v>
      </c>
      <c r="AG63" s="21" t="s">
        <v>695</v>
      </c>
      <c r="AH63" s="21">
        <v>1</v>
      </c>
      <c r="AK63">
        <f t="shared" si="6"/>
        <v>1</v>
      </c>
      <c r="AL63">
        <f t="shared" si="0"/>
        <v>0</v>
      </c>
      <c r="AM63">
        <f t="shared" si="1"/>
        <v>0</v>
      </c>
      <c r="AN63">
        <f t="shared" si="2"/>
        <v>1</v>
      </c>
    </row>
    <row r="64" spans="3:221" ht="144">
      <c r="C64" s="2" t="s">
        <v>696</v>
      </c>
      <c r="D64" t="s">
        <v>513</v>
      </c>
      <c r="E64" t="s">
        <v>697</v>
      </c>
      <c r="F64">
        <v>2015</v>
      </c>
      <c r="J64" t="s">
        <v>698</v>
      </c>
      <c r="Y64" t="s">
        <v>58</v>
      </c>
      <c r="Z64" s="22" t="s">
        <v>699</v>
      </c>
      <c r="AA64" s="18" t="s">
        <v>408</v>
      </c>
      <c r="AB64" s="23" t="s">
        <v>1427</v>
      </c>
      <c r="AC64" s="23" t="s">
        <v>115</v>
      </c>
      <c r="AD64" s="23" t="s">
        <v>700</v>
      </c>
      <c r="AE64" s="22" t="s">
        <v>701</v>
      </c>
      <c r="AF64" s="23" t="s">
        <v>702</v>
      </c>
      <c r="AG64" s="23" t="s">
        <v>703</v>
      </c>
      <c r="AH64" s="23">
        <v>0.5</v>
      </c>
      <c r="AK64">
        <f t="shared" si="6"/>
        <v>1</v>
      </c>
      <c r="AL64">
        <f t="shared" si="0"/>
        <v>0</v>
      </c>
      <c r="AM64">
        <f t="shared" si="1"/>
        <v>0</v>
      </c>
      <c r="AN64">
        <f t="shared" si="2"/>
        <v>1</v>
      </c>
    </row>
    <row r="65" spans="1:180" ht="187">
      <c r="A65" s="24">
        <v>9260075</v>
      </c>
      <c r="B65" s="25" t="s">
        <v>34</v>
      </c>
      <c r="C65" s="26" t="s">
        <v>705</v>
      </c>
      <c r="D65" s="26" t="s">
        <v>706</v>
      </c>
      <c r="E65" s="26" t="s">
        <v>707</v>
      </c>
      <c r="F65" s="25">
        <v>2020</v>
      </c>
      <c r="G65" s="27"/>
      <c r="H65" s="27"/>
      <c r="I65" s="27" t="s">
        <v>708</v>
      </c>
      <c r="J65" s="25" t="s">
        <v>709</v>
      </c>
      <c r="K65" s="25" t="s">
        <v>710</v>
      </c>
      <c r="L65" s="25" t="s">
        <v>711</v>
      </c>
      <c r="M65" s="25"/>
      <c r="N65" s="25" t="s">
        <v>393</v>
      </c>
      <c r="O65" s="25"/>
      <c r="P65" s="25"/>
      <c r="Q65" s="25"/>
      <c r="R65" s="25"/>
      <c r="S65" s="25"/>
      <c r="T65" s="25"/>
      <c r="U65" s="25"/>
      <c r="V65" s="25"/>
      <c r="W65" s="25"/>
      <c r="X65" s="25" t="s">
        <v>712</v>
      </c>
      <c r="Y65" s="27" t="s">
        <v>58</v>
      </c>
      <c r="Z65" s="26" t="s">
        <v>713</v>
      </c>
      <c r="AA65" s="26" t="s">
        <v>142</v>
      </c>
      <c r="AB65" s="26" t="s">
        <v>463</v>
      </c>
      <c r="AC65" s="26"/>
      <c r="AD65" s="26" t="s">
        <v>714</v>
      </c>
      <c r="AE65" s="26" t="s">
        <v>715</v>
      </c>
      <c r="AF65" s="26" t="s">
        <v>716</v>
      </c>
      <c r="AG65" s="26" t="s">
        <v>717</v>
      </c>
      <c r="AH65" s="26">
        <v>0</v>
      </c>
      <c r="AI65" s="26"/>
      <c r="AJ65" s="25"/>
      <c r="AK65">
        <f t="shared" si="6"/>
        <v>1</v>
      </c>
      <c r="AL65">
        <f t="shared" si="0"/>
        <v>0</v>
      </c>
      <c r="AM65">
        <f t="shared" si="1"/>
        <v>0</v>
      </c>
      <c r="AN65">
        <f t="shared" si="2"/>
        <v>1</v>
      </c>
    </row>
    <row r="66" spans="1:180" ht="204">
      <c r="A66" s="24">
        <v>8914670</v>
      </c>
      <c r="B66" s="25" t="s">
        <v>34</v>
      </c>
      <c r="C66" s="26" t="s">
        <v>718</v>
      </c>
      <c r="D66" s="26" t="s">
        <v>719</v>
      </c>
      <c r="E66" s="26" t="s">
        <v>720</v>
      </c>
      <c r="F66" s="25">
        <v>2019</v>
      </c>
      <c r="G66" s="27"/>
      <c r="H66" s="27"/>
      <c r="I66" s="27" t="s">
        <v>721</v>
      </c>
      <c r="J66" s="25" t="s">
        <v>722</v>
      </c>
      <c r="K66" s="25" t="s">
        <v>723</v>
      </c>
      <c r="L66" s="25" t="s">
        <v>724</v>
      </c>
      <c r="M66" s="25" t="s">
        <v>725</v>
      </c>
      <c r="N66" s="25" t="s">
        <v>393</v>
      </c>
      <c r="O66" s="25"/>
      <c r="P66" s="25"/>
      <c r="Q66" s="25"/>
      <c r="R66" s="25"/>
      <c r="S66" s="25"/>
      <c r="T66" s="25"/>
      <c r="U66" s="25"/>
      <c r="V66" s="25"/>
      <c r="W66" s="25"/>
      <c r="X66" s="25" t="s">
        <v>726</v>
      </c>
      <c r="Y66" s="27" t="s">
        <v>58</v>
      </c>
      <c r="Z66" s="26" t="s">
        <v>727</v>
      </c>
      <c r="AA66" s="26" t="s">
        <v>408</v>
      </c>
      <c r="AB66" s="26" t="s">
        <v>1438</v>
      </c>
      <c r="AC66" s="26" t="s">
        <v>728</v>
      </c>
      <c r="AD66" s="26" t="s">
        <v>47</v>
      </c>
      <c r="AE66" s="26" t="s">
        <v>729</v>
      </c>
      <c r="AF66" s="26" t="s">
        <v>730</v>
      </c>
      <c r="AG66" s="26" t="s">
        <v>66</v>
      </c>
      <c r="AH66" s="26">
        <v>0</v>
      </c>
      <c r="AI66" s="26"/>
      <c r="AJ66" s="25"/>
      <c r="AK66">
        <f t="shared" si="6"/>
        <v>1</v>
      </c>
      <c r="AL66">
        <f t="shared" si="0"/>
        <v>0</v>
      </c>
      <c r="AM66">
        <f t="shared" si="1"/>
        <v>0</v>
      </c>
      <c r="AN66">
        <f t="shared" si="2"/>
        <v>1</v>
      </c>
    </row>
    <row r="67" spans="1:180" ht="221">
      <c r="A67" s="24">
        <v>8305938</v>
      </c>
      <c r="B67" s="25" t="s">
        <v>34</v>
      </c>
      <c r="C67" s="26" t="s">
        <v>731</v>
      </c>
      <c r="D67" s="26" t="s">
        <v>161</v>
      </c>
      <c r="E67" s="26" t="s">
        <v>732</v>
      </c>
      <c r="F67" s="25">
        <v>2017</v>
      </c>
      <c r="G67" s="27"/>
      <c r="H67" s="27"/>
      <c r="I67" s="27" t="s">
        <v>733</v>
      </c>
      <c r="J67" s="25" t="s">
        <v>734</v>
      </c>
      <c r="K67" s="25" t="s">
        <v>735</v>
      </c>
      <c r="L67" s="25" t="s">
        <v>736</v>
      </c>
      <c r="M67" s="25"/>
      <c r="N67" s="25" t="s">
        <v>167</v>
      </c>
      <c r="O67" s="25"/>
      <c r="P67" s="25"/>
      <c r="Q67" s="25"/>
      <c r="R67" s="25"/>
      <c r="S67" s="25"/>
      <c r="T67" s="25"/>
      <c r="U67" s="25"/>
      <c r="V67" s="25"/>
      <c r="W67" s="25"/>
      <c r="X67" s="25" t="s">
        <v>737</v>
      </c>
      <c r="Y67" s="27" t="s">
        <v>58</v>
      </c>
      <c r="Z67" s="26" t="s">
        <v>738</v>
      </c>
      <c r="AA67" s="26" t="s">
        <v>142</v>
      </c>
      <c r="AB67" s="26" t="s">
        <v>1424</v>
      </c>
      <c r="AC67" s="26"/>
      <c r="AD67" s="26" t="s">
        <v>739</v>
      </c>
      <c r="AE67" s="26" t="s">
        <v>740</v>
      </c>
      <c r="AF67" s="26" t="s">
        <v>716</v>
      </c>
      <c r="AG67" s="26" t="s">
        <v>741</v>
      </c>
      <c r="AH67" s="26">
        <v>0</v>
      </c>
      <c r="AI67" s="26"/>
      <c r="AJ67" s="25"/>
      <c r="AK67">
        <f t="shared" si="6"/>
        <v>1</v>
      </c>
      <c r="AL67">
        <f t="shared" ref="AL67:AL126" si="9">IF(AND(Y67="PS",ISNUMBER(SEARCH("minimization",Z67))),1,0)</f>
        <v>0</v>
      </c>
      <c r="AM67">
        <f t="shared" ref="AM67:AM126" si="10">IF(AND(Y67="PS",ISNUMBER(SEARCH("selection",Z67))),1,0)</f>
        <v>1</v>
      </c>
      <c r="AN67">
        <f t="shared" ref="AN67:AN126" si="11">IF(AND(Y67="PS",ISNUMBER(SEARCH("prioritization",Z67))),1,0)</f>
        <v>1</v>
      </c>
    </row>
    <row r="68" spans="1:180" ht="153">
      <c r="A68" s="24">
        <v>8453107</v>
      </c>
      <c r="B68" s="25" t="s">
        <v>34</v>
      </c>
      <c r="C68" s="26" t="s">
        <v>742</v>
      </c>
      <c r="D68" s="26" t="s">
        <v>743</v>
      </c>
      <c r="E68" s="26" t="s">
        <v>744</v>
      </c>
      <c r="F68" s="25">
        <v>2018</v>
      </c>
      <c r="G68" s="27"/>
      <c r="H68" s="27"/>
      <c r="I68" s="27" t="s">
        <v>745</v>
      </c>
      <c r="J68" s="25" t="s">
        <v>746</v>
      </c>
      <c r="K68" s="25" t="s">
        <v>747</v>
      </c>
      <c r="L68" s="25" t="s">
        <v>748</v>
      </c>
      <c r="M68" s="25" t="s">
        <v>749</v>
      </c>
      <c r="N68" s="25" t="s">
        <v>75</v>
      </c>
      <c r="O68" s="25"/>
      <c r="P68" s="25"/>
      <c r="Q68" s="25"/>
      <c r="R68" s="25"/>
      <c r="S68" s="25"/>
      <c r="T68" s="25"/>
      <c r="U68" s="25"/>
      <c r="V68" s="25"/>
      <c r="W68" s="25"/>
      <c r="X68" s="25" t="s">
        <v>750</v>
      </c>
      <c r="Y68" s="27" t="s">
        <v>58</v>
      </c>
      <c r="Z68" s="26" t="s">
        <v>1052</v>
      </c>
      <c r="AA68" s="26"/>
      <c r="AB68" s="26"/>
      <c r="AC68" s="26"/>
      <c r="AD68" s="26"/>
      <c r="AE68" s="26"/>
      <c r="AF68" s="26"/>
      <c r="AG68" s="26"/>
      <c r="AH68" s="26"/>
      <c r="AI68" s="26" t="s">
        <v>751</v>
      </c>
      <c r="AJ68" s="25"/>
      <c r="AK68">
        <f t="shared" ref="AK68:AK126" si="12">IF(Y68="PS",1,0)</f>
        <v>1</v>
      </c>
      <c r="AL68">
        <f t="shared" si="9"/>
        <v>0</v>
      </c>
      <c r="AM68">
        <f t="shared" si="10"/>
        <v>0</v>
      </c>
      <c r="AN68">
        <f t="shared" si="11"/>
        <v>1</v>
      </c>
    </row>
    <row r="69" spans="1:180" ht="187">
      <c r="A69" s="24">
        <v>8754416</v>
      </c>
      <c r="B69" s="25" t="s">
        <v>34</v>
      </c>
      <c r="C69" s="26" t="s">
        <v>752</v>
      </c>
      <c r="D69" s="26" t="s">
        <v>753</v>
      </c>
      <c r="E69" s="26" t="s">
        <v>754</v>
      </c>
      <c r="F69" s="25">
        <v>2019</v>
      </c>
      <c r="G69" s="27">
        <v>1</v>
      </c>
      <c r="H69" s="27"/>
      <c r="I69" s="27" t="s">
        <v>755</v>
      </c>
      <c r="J69" s="25" t="s">
        <v>756</v>
      </c>
      <c r="K69" s="25" t="s">
        <v>757</v>
      </c>
      <c r="L69" s="25" t="s">
        <v>758</v>
      </c>
      <c r="M69" s="25" t="s">
        <v>55</v>
      </c>
      <c r="N69" s="25" t="s">
        <v>759</v>
      </c>
      <c r="O69" s="25"/>
      <c r="P69" s="25"/>
      <c r="Q69" s="25"/>
      <c r="R69" s="25"/>
      <c r="S69" s="25"/>
      <c r="T69" s="25"/>
      <c r="U69" s="25"/>
      <c r="V69" s="25"/>
      <c r="W69" s="25"/>
      <c r="X69" s="25" t="s">
        <v>760</v>
      </c>
      <c r="Y69" s="27" t="s">
        <v>58</v>
      </c>
      <c r="Z69" s="26" t="s">
        <v>727</v>
      </c>
      <c r="AA69" s="26" t="s">
        <v>408</v>
      </c>
      <c r="AB69" s="26" t="s">
        <v>550</v>
      </c>
      <c r="AC69" s="26" t="s">
        <v>728</v>
      </c>
      <c r="AD69" s="28" t="s">
        <v>761</v>
      </c>
      <c r="AE69" s="26" t="s">
        <v>762</v>
      </c>
      <c r="AF69" s="26" t="s">
        <v>763</v>
      </c>
      <c r="AG69" s="26" t="s">
        <v>764</v>
      </c>
      <c r="AH69" s="26">
        <v>0.5</v>
      </c>
      <c r="AI69" s="26"/>
      <c r="AJ69" s="25"/>
      <c r="AK69">
        <f t="shared" si="12"/>
        <v>1</v>
      </c>
      <c r="AL69">
        <f t="shared" si="9"/>
        <v>0</v>
      </c>
      <c r="AM69">
        <f t="shared" si="10"/>
        <v>0</v>
      </c>
      <c r="AN69">
        <f t="shared" si="11"/>
        <v>1</v>
      </c>
    </row>
    <row r="70" spans="1:180" ht="170">
      <c r="A70" s="24">
        <v>7582788</v>
      </c>
      <c r="B70" s="25" t="s">
        <v>34</v>
      </c>
      <c r="C70" s="26" t="s">
        <v>765</v>
      </c>
      <c r="D70" s="26" t="s">
        <v>766</v>
      </c>
      <c r="E70" s="26" t="s">
        <v>767</v>
      </c>
      <c r="F70" s="25">
        <v>2016</v>
      </c>
      <c r="G70" s="27"/>
      <c r="H70" s="27"/>
      <c r="I70" s="27" t="s">
        <v>768</v>
      </c>
      <c r="J70" s="25" t="s">
        <v>769</v>
      </c>
      <c r="K70" s="25" t="s">
        <v>770</v>
      </c>
      <c r="L70" s="25"/>
      <c r="M70" s="25"/>
      <c r="N70" s="25" t="s">
        <v>353</v>
      </c>
      <c r="O70" s="25"/>
      <c r="P70" s="25"/>
      <c r="Q70" s="25"/>
      <c r="R70" s="25"/>
      <c r="S70" s="25"/>
      <c r="T70" s="25"/>
      <c r="U70" s="25"/>
      <c r="V70" s="25"/>
      <c r="W70" s="25"/>
      <c r="X70" s="25" t="s">
        <v>771</v>
      </c>
      <c r="Y70" s="27" t="s">
        <v>58</v>
      </c>
      <c r="Z70" s="26" t="s">
        <v>1018</v>
      </c>
      <c r="AA70" s="26"/>
      <c r="AB70" s="26"/>
      <c r="AC70" s="26"/>
      <c r="AD70" s="26"/>
      <c r="AE70" s="26"/>
      <c r="AF70" s="26"/>
      <c r="AG70" s="26"/>
      <c r="AH70" s="26"/>
      <c r="AI70" s="26" t="s">
        <v>751</v>
      </c>
      <c r="AJ70" s="25"/>
      <c r="AK70">
        <f t="shared" si="12"/>
        <v>1</v>
      </c>
      <c r="AL70">
        <f t="shared" si="9"/>
        <v>0</v>
      </c>
      <c r="AM70">
        <f t="shared" si="10"/>
        <v>1</v>
      </c>
      <c r="AN70">
        <f t="shared" si="11"/>
        <v>0</v>
      </c>
      <c r="FV70" t="s">
        <v>1303</v>
      </c>
    </row>
    <row r="71" spans="1:180" ht="153">
      <c r="A71" s="24" t="s">
        <v>772</v>
      </c>
      <c r="B71" s="25" t="s">
        <v>773</v>
      </c>
      <c r="C71" s="26" t="s">
        <v>774</v>
      </c>
      <c r="D71" s="26" t="s">
        <v>775</v>
      </c>
      <c r="E71" s="26" t="s">
        <v>776</v>
      </c>
      <c r="F71" s="25">
        <v>2017</v>
      </c>
      <c r="G71" s="27"/>
      <c r="H71" s="27"/>
      <c r="I71" s="27" t="s">
        <v>777</v>
      </c>
      <c r="J71" s="25" t="s">
        <v>778</v>
      </c>
      <c r="K71" s="25" t="s">
        <v>779</v>
      </c>
      <c r="L71" s="25" t="s">
        <v>772</v>
      </c>
      <c r="M71" s="25"/>
      <c r="N71" s="25"/>
      <c r="O71" s="25"/>
      <c r="P71" s="25">
        <v>9781450344869</v>
      </c>
      <c r="Q71" s="25" t="s">
        <v>780</v>
      </c>
      <c r="R71" s="25" t="s">
        <v>781</v>
      </c>
      <c r="S71" s="29" t="s">
        <v>782</v>
      </c>
      <c r="T71" s="25">
        <v>7</v>
      </c>
      <c r="U71" s="25" t="s">
        <v>783</v>
      </c>
      <c r="V71" s="25" t="s">
        <v>784</v>
      </c>
      <c r="W71" s="25"/>
      <c r="X71" s="25" t="s">
        <v>785</v>
      </c>
      <c r="Y71" s="27" t="s">
        <v>58</v>
      </c>
      <c r="Z71" s="26" t="s">
        <v>786</v>
      </c>
      <c r="AA71" s="26" t="s">
        <v>408</v>
      </c>
      <c r="AB71" s="26" t="s">
        <v>787</v>
      </c>
      <c r="AC71" s="26"/>
      <c r="AD71" s="26" t="s">
        <v>788</v>
      </c>
      <c r="AE71" s="26" t="s">
        <v>789</v>
      </c>
      <c r="AF71" s="26" t="s">
        <v>716</v>
      </c>
      <c r="AG71" s="26" t="s">
        <v>66</v>
      </c>
      <c r="AH71" s="26">
        <v>0</v>
      </c>
      <c r="AI71" s="26"/>
      <c r="AJ71" s="25"/>
      <c r="AK71">
        <f t="shared" si="12"/>
        <v>1</v>
      </c>
      <c r="AL71">
        <f t="shared" si="9"/>
        <v>0</v>
      </c>
      <c r="AM71">
        <f t="shared" si="10"/>
        <v>0</v>
      </c>
      <c r="AN71">
        <f t="shared" si="11"/>
        <v>1</v>
      </c>
      <c r="FV71" t="s">
        <v>1307</v>
      </c>
      <c r="FW71" t="s">
        <v>1304</v>
      </c>
      <c r="FX71" t="s">
        <v>1302</v>
      </c>
    </row>
    <row r="72" spans="1:180" ht="119">
      <c r="A72" s="24" t="s">
        <v>790</v>
      </c>
      <c r="B72" s="25" t="s">
        <v>791</v>
      </c>
      <c r="C72" s="26" t="s">
        <v>792</v>
      </c>
      <c r="D72" s="26"/>
      <c r="E72" s="26" t="s">
        <v>793</v>
      </c>
      <c r="F72" s="25">
        <v>2021</v>
      </c>
      <c r="G72" s="27">
        <v>33</v>
      </c>
      <c r="H72" s="27">
        <v>9</v>
      </c>
      <c r="I72" s="27" t="s">
        <v>794</v>
      </c>
      <c r="J72" s="25" t="s">
        <v>795</v>
      </c>
      <c r="K72" s="25" t="s">
        <v>796</v>
      </c>
      <c r="L72" s="29" t="s">
        <v>797</v>
      </c>
      <c r="M72" s="25" t="s">
        <v>798</v>
      </c>
      <c r="N72" s="25"/>
      <c r="O72" s="25" t="s">
        <v>799</v>
      </c>
      <c r="P72" s="25"/>
      <c r="Q72" s="25"/>
      <c r="R72" s="25"/>
      <c r="S72" s="29" t="s">
        <v>800</v>
      </c>
      <c r="T72" s="25"/>
      <c r="U72" s="25"/>
      <c r="V72" s="25"/>
      <c r="W72" s="25"/>
      <c r="X72" s="25" t="s">
        <v>801</v>
      </c>
      <c r="Y72" s="27" t="s">
        <v>44</v>
      </c>
      <c r="Z72" s="26" t="s">
        <v>802</v>
      </c>
      <c r="AA72" s="39" t="s">
        <v>77</v>
      </c>
      <c r="AB72" s="39"/>
      <c r="AC72" s="39"/>
      <c r="AD72" s="39"/>
      <c r="AE72" s="39"/>
      <c r="AF72" s="39"/>
      <c r="AG72" s="39"/>
      <c r="AH72" s="39"/>
      <c r="AI72" s="26"/>
      <c r="AJ72" s="25"/>
      <c r="AK72">
        <f t="shared" si="12"/>
        <v>0</v>
      </c>
      <c r="AL72">
        <f t="shared" si="9"/>
        <v>0</v>
      </c>
      <c r="AM72">
        <f t="shared" si="10"/>
        <v>0</v>
      </c>
      <c r="AN72">
        <f t="shared" si="11"/>
        <v>0</v>
      </c>
      <c r="FV72">
        <v>2013</v>
      </c>
      <c r="FW72" s="35" cm="1">
        <f t="array" ref="FW72">SUMPRODUCT((Y$2:Y$1000="PS")*(F$2:F$1000=FV72)*ISNUMBER(SEARCH("minimization",LOWER(Z$2:Z$1000)))*ISNUMBER(SEARCH("search-based",LOWER(AA$2:AA$1000))))</f>
        <v>0</v>
      </c>
      <c r="FX72" s="35" cm="1">
        <f t="array" ref="FX72">SUMPRODUCT((Y$2:Y$1000="PS")*(F$2:F$1000=FV72)*ISNUMBER(SEARCH("minimization",LOWER(Z$2:Z$1000)))*(NOT(ISNUMBER(SEARCH("search-based",LOWER(AA$2:AA$1000))))))</f>
        <v>1</v>
      </c>
    </row>
    <row r="73" spans="1:180" ht="204">
      <c r="A73" s="24" t="s">
        <v>803</v>
      </c>
      <c r="B73" s="25" t="s">
        <v>791</v>
      </c>
      <c r="C73" s="26" t="s">
        <v>804</v>
      </c>
      <c r="D73" s="26"/>
      <c r="E73" s="26" t="s">
        <v>805</v>
      </c>
      <c r="F73" s="25">
        <v>2019</v>
      </c>
      <c r="G73" s="27">
        <v>153</v>
      </c>
      <c r="H73" s="27"/>
      <c r="I73" s="27" t="s">
        <v>806</v>
      </c>
      <c r="J73" s="25" t="s">
        <v>807</v>
      </c>
      <c r="K73" s="25" t="s">
        <v>808</v>
      </c>
      <c r="L73" s="29" t="s">
        <v>809</v>
      </c>
      <c r="M73" s="25" t="s">
        <v>810</v>
      </c>
      <c r="N73" s="25"/>
      <c r="O73" s="25" t="s">
        <v>513</v>
      </c>
      <c r="P73" s="25"/>
      <c r="Q73" s="25"/>
      <c r="R73" s="25"/>
      <c r="S73" s="29" t="s">
        <v>811</v>
      </c>
      <c r="T73" s="25"/>
      <c r="U73" s="25"/>
      <c r="V73" s="25"/>
      <c r="W73" s="25"/>
      <c r="X73" s="25" t="s">
        <v>812</v>
      </c>
      <c r="Y73" s="27" t="s">
        <v>58</v>
      </c>
      <c r="Z73" s="26" t="s">
        <v>727</v>
      </c>
      <c r="AA73" s="26" t="s">
        <v>408</v>
      </c>
      <c r="AB73" s="26" t="s">
        <v>1424</v>
      </c>
      <c r="AC73" s="26" t="s">
        <v>813</v>
      </c>
      <c r="AD73" s="26" t="s">
        <v>814</v>
      </c>
      <c r="AE73" s="26" t="s">
        <v>815</v>
      </c>
      <c r="AF73" s="26" t="s">
        <v>816</v>
      </c>
      <c r="AG73" s="26" t="s">
        <v>817</v>
      </c>
      <c r="AH73" s="26">
        <v>0</v>
      </c>
      <c r="AI73" s="26"/>
      <c r="AJ73" s="25"/>
      <c r="AK73">
        <f t="shared" si="12"/>
        <v>1</v>
      </c>
      <c r="AL73">
        <f t="shared" si="9"/>
        <v>0</v>
      </c>
      <c r="AM73">
        <f t="shared" si="10"/>
        <v>0</v>
      </c>
      <c r="AN73">
        <f t="shared" si="11"/>
        <v>1</v>
      </c>
      <c r="FV73">
        <v>2014</v>
      </c>
      <c r="FW73" s="35" cm="1">
        <f t="array" ref="FW73">SUMPRODUCT((Y$2:Y$1000="PS")*(F$2:F$1000=FV73)*ISNUMBER(SEARCH("minimization",LOWER(Z$2:Z$1000)))*ISNUMBER(SEARCH("search-based",LOWER(AA$2:AA$1000))))</f>
        <v>0</v>
      </c>
      <c r="FX73" s="35" cm="1">
        <f t="array" ref="FX73">SUMPRODUCT((Y$2:Y$1000="PS")*(F$2:F$1000=FV73)*ISNUMBER(SEARCH("minimization",LOWER(Z$2:Z$1000)))*(NOT(ISNUMBER(SEARCH("search-based",LOWER(AA$2:AA$1000))))))</f>
        <v>0</v>
      </c>
    </row>
    <row r="74" spans="1:180" ht="187">
      <c r="A74" s="24" t="s">
        <v>818</v>
      </c>
      <c r="B74" s="25" t="s">
        <v>791</v>
      </c>
      <c r="C74" s="26" t="s">
        <v>819</v>
      </c>
      <c r="D74" s="26"/>
      <c r="E74" s="26" t="s">
        <v>820</v>
      </c>
      <c r="F74" s="25">
        <v>2018</v>
      </c>
      <c r="G74" s="27">
        <v>135</v>
      </c>
      <c r="H74" s="27"/>
      <c r="I74" s="27" t="s">
        <v>821</v>
      </c>
      <c r="J74" s="25" t="s">
        <v>822</v>
      </c>
      <c r="K74" s="25" t="s">
        <v>823</v>
      </c>
      <c r="L74" s="29" t="s">
        <v>824</v>
      </c>
      <c r="M74" s="25" t="s">
        <v>810</v>
      </c>
      <c r="N74" s="25"/>
      <c r="O74" s="25" t="s">
        <v>513</v>
      </c>
      <c r="P74" s="25"/>
      <c r="Q74" s="25"/>
      <c r="R74" s="25"/>
      <c r="S74" s="29" t="s">
        <v>825</v>
      </c>
      <c r="T74" s="25"/>
      <c r="U74" s="25"/>
      <c r="V74" s="25"/>
      <c r="W74" s="25"/>
      <c r="X74" s="25" t="s">
        <v>826</v>
      </c>
      <c r="Y74" s="27" t="s">
        <v>58</v>
      </c>
      <c r="Z74" s="26" t="s">
        <v>727</v>
      </c>
      <c r="AA74" s="26" t="s">
        <v>408</v>
      </c>
      <c r="AB74" s="26" t="s">
        <v>463</v>
      </c>
      <c r="AC74" s="26"/>
      <c r="AD74" s="26" t="s">
        <v>827</v>
      </c>
      <c r="AE74" s="26" t="s">
        <v>828</v>
      </c>
      <c r="AF74" s="26" t="s">
        <v>829</v>
      </c>
      <c r="AG74" s="26" t="s">
        <v>830</v>
      </c>
      <c r="AH74" s="26">
        <v>0</v>
      </c>
      <c r="AI74" s="26"/>
      <c r="AJ74" s="25"/>
      <c r="AK74">
        <f t="shared" si="12"/>
        <v>1</v>
      </c>
      <c r="AL74">
        <f t="shared" si="9"/>
        <v>0</v>
      </c>
      <c r="AM74">
        <f t="shared" si="10"/>
        <v>0</v>
      </c>
      <c r="AN74">
        <f t="shared" si="11"/>
        <v>1</v>
      </c>
      <c r="FV74">
        <v>2015</v>
      </c>
      <c r="FW74" s="35" cm="1">
        <f t="array" ref="FW74">SUMPRODUCT((Y$2:Y$1000="PS")*(F$2:F$1000=FV74)*ISNUMBER(SEARCH("minimization",LOWER(Z$2:Z$1000)))*ISNUMBER(SEARCH("search-based",LOWER(AA$2:AA$1000))))</f>
        <v>0</v>
      </c>
      <c r="FX74" s="35" cm="1">
        <f t="array" ref="FX74">SUMPRODUCT((Y$2:Y$1000="PS")*(F$2:F$1000=FV74)*ISNUMBER(SEARCH("minimization",LOWER(Z$2:Z$1000)))*(NOT(ISNUMBER(SEARCH("search-based",LOWER(AA$2:AA$1000))))))</f>
        <v>0</v>
      </c>
    </row>
    <row r="75" spans="1:180" ht="85">
      <c r="A75" s="24" t="s">
        <v>831</v>
      </c>
      <c r="B75" s="25" t="s">
        <v>791</v>
      </c>
      <c r="C75" s="26" t="s">
        <v>832</v>
      </c>
      <c r="D75" s="26"/>
      <c r="E75" s="26" t="s">
        <v>833</v>
      </c>
      <c r="F75" s="25">
        <v>2022</v>
      </c>
      <c r="G75" s="27">
        <v>34</v>
      </c>
      <c r="H75" s="27" t="s">
        <v>834</v>
      </c>
      <c r="I75" s="27" t="s">
        <v>835</v>
      </c>
      <c r="J75" s="25" t="s">
        <v>836</v>
      </c>
      <c r="K75" s="25" t="s">
        <v>837</v>
      </c>
      <c r="L75" s="29" t="s">
        <v>838</v>
      </c>
      <c r="M75" s="25" t="s">
        <v>798</v>
      </c>
      <c r="N75" s="25"/>
      <c r="O75" s="25" t="s">
        <v>799</v>
      </c>
      <c r="P75" s="25"/>
      <c r="Q75" s="25"/>
      <c r="R75" s="25"/>
      <c r="S75" s="29" t="s">
        <v>839</v>
      </c>
      <c r="T75" s="25"/>
      <c r="U75" s="25"/>
      <c r="V75" s="25"/>
      <c r="W75" s="25"/>
      <c r="X75" s="25" t="s">
        <v>840</v>
      </c>
      <c r="Y75" s="27" t="s">
        <v>58</v>
      </c>
      <c r="Z75" s="26" t="s">
        <v>802</v>
      </c>
      <c r="AA75" s="26" t="s">
        <v>60</v>
      </c>
      <c r="AB75" s="26" t="s">
        <v>1316</v>
      </c>
      <c r="AC75" s="26" t="s">
        <v>728</v>
      </c>
      <c r="AD75" s="26" t="s">
        <v>841</v>
      </c>
      <c r="AE75" s="26" t="s">
        <v>842</v>
      </c>
      <c r="AF75" s="26" t="s">
        <v>843</v>
      </c>
      <c r="AG75" s="26" t="s">
        <v>66</v>
      </c>
      <c r="AH75" s="26">
        <v>0.5</v>
      </c>
      <c r="AI75" s="26"/>
      <c r="AJ75" s="25"/>
      <c r="AK75">
        <f t="shared" si="12"/>
        <v>1</v>
      </c>
      <c r="AL75">
        <f t="shared" si="9"/>
        <v>0</v>
      </c>
      <c r="AM75">
        <f t="shared" si="10"/>
        <v>0</v>
      </c>
      <c r="AN75">
        <f t="shared" si="11"/>
        <v>1</v>
      </c>
      <c r="FV75">
        <v>2016</v>
      </c>
      <c r="FW75" s="35" cm="1">
        <f t="array" ref="FW75">SUMPRODUCT((Y$2:Y$1000="PS")*(F$2:F$1000=FV75)*ISNUMBER(SEARCH("minimization",LOWER(Z$2:Z$1000)))*ISNUMBER(SEARCH("search-based",LOWER(AA$2:AA$1000))))</f>
        <v>0</v>
      </c>
      <c r="FX75" s="35" cm="1">
        <f t="array" ref="FX75">SUMPRODUCT((Y$2:Y$1000="PS")*(F$2:F$1000=FV75)*ISNUMBER(SEARCH("minimization",LOWER(Z$2:Z$1000)))*(NOT(ISNUMBER(SEARCH("search-based",LOWER(AA$2:AA$1000))))))</f>
        <v>0</v>
      </c>
    </row>
    <row r="76" spans="1:180" ht="204">
      <c r="A76" s="24" t="s">
        <v>844</v>
      </c>
      <c r="B76" s="25" t="s">
        <v>791</v>
      </c>
      <c r="C76" s="26" t="s">
        <v>845</v>
      </c>
      <c r="D76" s="26"/>
      <c r="E76" s="26" t="s">
        <v>846</v>
      </c>
      <c r="F76" s="25">
        <v>2020</v>
      </c>
      <c r="G76" s="27">
        <v>163</v>
      </c>
      <c r="H76" s="27"/>
      <c r="I76" s="27" t="s">
        <v>847</v>
      </c>
      <c r="J76" s="25" t="s">
        <v>848</v>
      </c>
      <c r="K76" s="25" t="s">
        <v>849</v>
      </c>
      <c r="L76" s="29" t="s">
        <v>850</v>
      </c>
      <c r="M76" s="25" t="s">
        <v>810</v>
      </c>
      <c r="N76" s="25"/>
      <c r="O76" s="25" t="s">
        <v>513</v>
      </c>
      <c r="P76" s="25"/>
      <c r="Q76" s="25"/>
      <c r="R76" s="25"/>
      <c r="S76" s="29" t="s">
        <v>851</v>
      </c>
      <c r="T76" s="25"/>
      <c r="U76" s="25"/>
      <c r="V76" s="25"/>
      <c r="W76" s="25"/>
      <c r="X76" s="25" t="s">
        <v>852</v>
      </c>
      <c r="Y76" s="27" t="s">
        <v>58</v>
      </c>
      <c r="Z76" s="26" t="s">
        <v>853</v>
      </c>
      <c r="AA76" s="26" t="s">
        <v>408</v>
      </c>
      <c r="AB76" s="26" t="s">
        <v>1316</v>
      </c>
      <c r="AC76" s="26" t="s">
        <v>728</v>
      </c>
      <c r="AD76" s="26" t="s">
        <v>827</v>
      </c>
      <c r="AE76" s="26" t="s">
        <v>854</v>
      </c>
      <c r="AF76" s="26" t="s">
        <v>855</v>
      </c>
      <c r="AG76" s="26" t="s">
        <v>66</v>
      </c>
      <c r="AH76" s="26">
        <v>0</v>
      </c>
      <c r="AI76" s="26"/>
      <c r="AJ76" s="25"/>
      <c r="AK76">
        <f t="shared" si="12"/>
        <v>1</v>
      </c>
      <c r="AL76">
        <f t="shared" si="9"/>
        <v>0</v>
      </c>
      <c r="AM76">
        <f t="shared" si="10"/>
        <v>0</v>
      </c>
      <c r="AN76">
        <f t="shared" si="11"/>
        <v>1</v>
      </c>
      <c r="FV76">
        <v>2017</v>
      </c>
      <c r="FW76" s="35" cm="1">
        <f t="array" ref="FW76">SUMPRODUCT((Y$2:Y$1000="PS")*(F$2:F$1000=FV76)*ISNUMBER(SEARCH("minimization",LOWER(Z$2:Z$1000)))*ISNUMBER(SEARCH("search-based",LOWER(AA$2:AA$1000))))</f>
        <v>0</v>
      </c>
      <c r="FX76" s="35" cm="1">
        <f t="array" ref="FX76">SUMPRODUCT((Y$2:Y$1000="PS")*(F$2:F$1000=FV76)*ISNUMBER(SEARCH("minimization",LOWER(Z$2:Z$1000)))*(NOT(ISNUMBER(SEARCH("search-based",LOWER(AA$2:AA$1000))))))</f>
        <v>0</v>
      </c>
    </row>
    <row r="77" spans="1:180" ht="187">
      <c r="A77" s="24" t="s">
        <v>856</v>
      </c>
      <c r="B77" s="25" t="s">
        <v>791</v>
      </c>
      <c r="C77" s="26" t="s">
        <v>857</v>
      </c>
      <c r="D77" s="26"/>
      <c r="E77" s="26" t="s">
        <v>858</v>
      </c>
      <c r="F77" s="25">
        <v>2025</v>
      </c>
      <c r="G77" s="27">
        <v>160</v>
      </c>
      <c r="H77" s="27"/>
      <c r="I77" s="27" t="s">
        <v>859</v>
      </c>
      <c r="J77" s="25" t="s">
        <v>860</v>
      </c>
      <c r="K77" s="25" t="s">
        <v>861</v>
      </c>
      <c r="L77" s="29" t="s">
        <v>862</v>
      </c>
      <c r="M77" s="25" t="s">
        <v>863</v>
      </c>
      <c r="N77" s="25"/>
      <c r="O77" s="25" t="s">
        <v>864</v>
      </c>
      <c r="P77" s="25"/>
      <c r="Q77" s="25"/>
      <c r="R77" s="25"/>
      <c r="S77" s="29" t="s">
        <v>865</v>
      </c>
      <c r="T77" s="25"/>
      <c r="U77" s="25"/>
      <c r="V77" s="25"/>
      <c r="W77" s="25"/>
      <c r="X77" s="25" t="s">
        <v>866</v>
      </c>
      <c r="Y77" s="27" t="s">
        <v>58</v>
      </c>
      <c r="Z77" s="26" t="s">
        <v>867</v>
      </c>
      <c r="AA77" s="26" t="s">
        <v>1418</v>
      </c>
      <c r="AB77" s="26" t="s">
        <v>1423</v>
      </c>
      <c r="AC77" s="26" t="s">
        <v>728</v>
      </c>
      <c r="AD77" s="26" t="s">
        <v>827</v>
      </c>
      <c r="AE77" s="26" t="s">
        <v>869</v>
      </c>
      <c r="AF77" s="26" t="s">
        <v>870</v>
      </c>
      <c r="AG77" s="26" t="s">
        <v>871</v>
      </c>
      <c r="AH77" s="26">
        <v>0.5</v>
      </c>
      <c r="AI77" s="26"/>
      <c r="AJ77" s="25"/>
      <c r="AK77">
        <f t="shared" si="12"/>
        <v>1</v>
      </c>
      <c r="AL77">
        <f t="shared" si="9"/>
        <v>0</v>
      </c>
      <c r="AM77">
        <f t="shared" si="10"/>
        <v>1</v>
      </c>
      <c r="AN77">
        <f t="shared" si="11"/>
        <v>0</v>
      </c>
      <c r="FV77">
        <v>2018</v>
      </c>
      <c r="FW77" s="35" cm="1">
        <f t="array" ref="FW77">SUMPRODUCT((Y$2:Y$1000="PS")*(F$2:F$1000=FV77)*ISNUMBER(SEARCH("minimization",LOWER(Z$2:Z$1000)))*ISNUMBER(SEARCH("search-based",LOWER(AA$2:AA$1000))))</f>
        <v>0</v>
      </c>
      <c r="FX77" s="35" cm="1">
        <f t="array" ref="FX77">SUMPRODUCT((Y$2:Y$1000="PS")*(F$2:F$1000=FV77)*ISNUMBER(SEARCH("minimization",LOWER(Z$2:Z$1000)))*(NOT(ISNUMBER(SEARCH("search-based",LOWER(AA$2:AA$1000))))))</f>
        <v>0</v>
      </c>
    </row>
    <row r="78" spans="1:180" ht="153">
      <c r="A78" s="24" t="s">
        <v>872</v>
      </c>
      <c r="B78" s="25" t="s">
        <v>791</v>
      </c>
      <c r="C78" s="26" t="s">
        <v>873</v>
      </c>
      <c r="D78" s="26"/>
      <c r="E78" s="26" t="s">
        <v>874</v>
      </c>
      <c r="F78" s="25">
        <v>2020</v>
      </c>
      <c r="G78" s="27">
        <v>169</v>
      </c>
      <c r="H78" s="27"/>
      <c r="I78" s="27" t="s">
        <v>875</v>
      </c>
      <c r="J78" s="25" t="s">
        <v>876</v>
      </c>
      <c r="K78" s="25" t="s">
        <v>877</v>
      </c>
      <c r="L78" s="29" t="s">
        <v>878</v>
      </c>
      <c r="M78" s="25" t="s">
        <v>810</v>
      </c>
      <c r="N78" s="25"/>
      <c r="O78" s="25" t="s">
        <v>513</v>
      </c>
      <c r="P78" s="25"/>
      <c r="Q78" s="25"/>
      <c r="R78" s="25"/>
      <c r="S78" s="29" t="s">
        <v>879</v>
      </c>
      <c r="T78" s="25"/>
      <c r="U78" s="25"/>
      <c r="V78" s="25"/>
      <c r="W78" s="25"/>
      <c r="X78" s="25" t="s">
        <v>880</v>
      </c>
      <c r="Y78" s="27" t="s">
        <v>58</v>
      </c>
      <c r="Z78" s="26" t="s">
        <v>713</v>
      </c>
      <c r="AA78" s="26" t="s">
        <v>408</v>
      </c>
      <c r="AB78" s="26" t="s">
        <v>1316</v>
      </c>
      <c r="AC78" s="26" t="s">
        <v>728</v>
      </c>
      <c r="AD78" s="26" t="s">
        <v>881</v>
      </c>
      <c r="AE78" s="26" t="s">
        <v>882</v>
      </c>
      <c r="AF78" s="26" t="s">
        <v>763</v>
      </c>
      <c r="AG78" s="26" t="s">
        <v>883</v>
      </c>
      <c r="AH78" s="26">
        <v>1</v>
      </c>
      <c r="AI78" s="26"/>
      <c r="AJ78" s="25"/>
      <c r="AK78">
        <f t="shared" si="12"/>
        <v>1</v>
      </c>
      <c r="AL78">
        <f t="shared" si="9"/>
        <v>0</v>
      </c>
      <c r="AM78">
        <f t="shared" si="10"/>
        <v>0</v>
      </c>
      <c r="AN78">
        <f t="shared" si="11"/>
        <v>1</v>
      </c>
      <c r="FV78">
        <v>2019</v>
      </c>
      <c r="FW78" s="35" cm="1">
        <f t="array" ref="FW78">SUMPRODUCT((Y$2:Y$1000="PS")*(F$2:F$1000=FV78)*ISNUMBER(SEARCH("minimization",LOWER(Z$2:Z$1000)))*ISNUMBER(SEARCH("search-based",LOWER(AA$2:AA$1000))))</f>
        <v>0</v>
      </c>
      <c r="FX78" s="35" cm="1">
        <f t="array" ref="FX78">SUMPRODUCT((Y$2:Y$1000="PS")*(F$2:F$1000=FV78)*ISNUMBER(SEARCH("minimization",LOWER(Z$2:Z$1000)))*(NOT(ISNUMBER(SEARCH("search-based",LOWER(AA$2:AA$1000))))))</f>
        <v>0</v>
      </c>
    </row>
    <row r="79" spans="1:180" ht="255">
      <c r="A79" s="24" t="s">
        <v>884</v>
      </c>
      <c r="B79" s="25" t="s">
        <v>791</v>
      </c>
      <c r="C79" s="26" t="s">
        <v>885</v>
      </c>
      <c r="D79" s="26"/>
      <c r="E79" s="26" t="s">
        <v>886</v>
      </c>
      <c r="F79" s="25">
        <v>2022</v>
      </c>
      <c r="G79" s="27">
        <v>299</v>
      </c>
      <c r="H79" s="27">
        <v>1</v>
      </c>
      <c r="I79" s="27" t="s">
        <v>887</v>
      </c>
      <c r="J79" s="25" t="s">
        <v>888</v>
      </c>
      <c r="K79" s="25" t="s">
        <v>889</v>
      </c>
      <c r="L79" s="29" t="s">
        <v>890</v>
      </c>
      <c r="M79" s="25" t="s">
        <v>891</v>
      </c>
      <c r="N79" s="25"/>
      <c r="O79" s="25" t="s">
        <v>892</v>
      </c>
      <c r="P79" s="25"/>
      <c r="Q79" s="25"/>
      <c r="R79" s="25"/>
      <c r="S79" s="29" t="s">
        <v>893</v>
      </c>
      <c r="T79" s="25"/>
      <c r="U79" s="25"/>
      <c r="V79" s="25"/>
      <c r="W79" s="25"/>
      <c r="X79" s="25" t="s">
        <v>894</v>
      </c>
      <c r="Y79" s="27" t="s">
        <v>58</v>
      </c>
      <c r="Z79" s="26" t="s">
        <v>1018</v>
      </c>
      <c r="AA79" s="26"/>
      <c r="AB79" s="26"/>
      <c r="AC79" s="26"/>
      <c r="AD79" s="26"/>
      <c r="AE79" s="26"/>
      <c r="AF79" s="26"/>
      <c r="AG79" s="26"/>
      <c r="AH79" s="26"/>
      <c r="AI79" s="26" t="s">
        <v>751</v>
      </c>
      <c r="AJ79" s="25"/>
      <c r="AK79">
        <f t="shared" si="12"/>
        <v>1</v>
      </c>
      <c r="AL79">
        <f t="shared" si="9"/>
        <v>0</v>
      </c>
      <c r="AM79">
        <f t="shared" si="10"/>
        <v>1</v>
      </c>
      <c r="AN79">
        <f t="shared" si="11"/>
        <v>0</v>
      </c>
      <c r="FV79">
        <v>2020</v>
      </c>
      <c r="FW79" s="35" cm="1">
        <f t="array" ref="FW79">SUMPRODUCT((Y$2:Y$1000="PS")*(F$2:F$1000=FV79)*ISNUMBER(SEARCH("minimization",LOWER(Z$2:Z$1000)))*ISNUMBER(SEARCH("search-based",LOWER(AA$2:AA$1000))))</f>
        <v>0</v>
      </c>
      <c r="FX79" s="35" cm="1">
        <f t="array" ref="FX79">SUMPRODUCT((Y$2:Y$1000="PS")*(F$2:F$1000=FV79)*ISNUMBER(SEARCH("minimization",LOWER(Z$2:Z$1000)))*(NOT(ISNUMBER(SEARCH("search-based",LOWER(AA$2:AA$1000))))))</f>
        <v>0</v>
      </c>
    </row>
    <row r="80" spans="1:180" ht="187">
      <c r="A80" s="24" t="s">
        <v>895</v>
      </c>
      <c r="B80" s="25" t="s">
        <v>791</v>
      </c>
      <c r="C80" s="26" t="s">
        <v>896</v>
      </c>
      <c r="D80" s="26"/>
      <c r="E80" s="26" t="s">
        <v>897</v>
      </c>
      <c r="F80" s="25">
        <v>2023</v>
      </c>
      <c r="G80" s="27">
        <v>205</v>
      </c>
      <c r="H80" s="27"/>
      <c r="I80" s="27" t="s">
        <v>898</v>
      </c>
      <c r="J80" s="25" t="s">
        <v>899</v>
      </c>
      <c r="K80" s="25" t="s">
        <v>900</v>
      </c>
      <c r="L80" s="29" t="s">
        <v>901</v>
      </c>
      <c r="M80" s="25" t="s">
        <v>810</v>
      </c>
      <c r="N80" s="25"/>
      <c r="O80" s="25" t="s">
        <v>513</v>
      </c>
      <c r="P80" s="25"/>
      <c r="Q80" s="25"/>
      <c r="R80" s="25"/>
      <c r="S80" s="29" t="s">
        <v>902</v>
      </c>
      <c r="T80" s="25"/>
      <c r="U80" s="25"/>
      <c r="V80" s="25"/>
      <c r="W80" s="25"/>
      <c r="X80" s="25" t="s">
        <v>903</v>
      </c>
      <c r="Y80" s="27" t="s">
        <v>58</v>
      </c>
      <c r="Z80" s="26" t="s">
        <v>904</v>
      </c>
      <c r="AA80" s="26" t="s">
        <v>1419</v>
      </c>
      <c r="AB80" s="26" t="s">
        <v>1428</v>
      </c>
      <c r="AC80" s="26" t="s">
        <v>813</v>
      </c>
      <c r="AD80" s="26" t="s">
        <v>905</v>
      </c>
      <c r="AE80" s="26" t="s">
        <v>906</v>
      </c>
      <c r="AF80" s="26" t="s">
        <v>907</v>
      </c>
      <c r="AG80" s="26" t="s">
        <v>908</v>
      </c>
      <c r="AH80" s="26">
        <v>1</v>
      </c>
      <c r="AI80" s="26"/>
      <c r="AJ80" s="25"/>
      <c r="AK80">
        <f t="shared" si="12"/>
        <v>1</v>
      </c>
      <c r="AL80">
        <f t="shared" si="9"/>
        <v>0</v>
      </c>
      <c r="AM80">
        <f t="shared" si="10"/>
        <v>1</v>
      </c>
      <c r="AN80">
        <f t="shared" si="11"/>
        <v>0</v>
      </c>
      <c r="FV80">
        <v>2021</v>
      </c>
      <c r="FW80" s="35" cm="1">
        <f t="array" ref="FW80">SUMPRODUCT((Y$2:Y$1000="PS")*(F$2:F$1000=FV80)*ISNUMBER(SEARCH("minimization",LOWER(Z$2:Z$1000)))*ISNUMBER(SEARCH("search-based",LOWER(AA$2:AA$1000))))</f>
        <v>0</v>
      </c>
      <c r="FX80" s="35" cm="1">
        <f t="array" ref="FX80">SUMPRODUCT((Y$2:Y$1000="PS")*(F$2:F$1000=FV80)*ISNUMBER(SEARCH("minimization",LOWER(Z$2:Z$1000)))*(NOT(ISNUMBER(SEARCH("search-based",LOWER(AA$2:AA$1000))))))</f>
        <v>0</v>
      </c>
    </row>
    <row r="81" spans="1:180" ht="187">
      <c r="A81" s="24" t="s">
        <v>909</v>
      </c>
      <c r="B81" s="25" t="s">
        <v>791</v>
      </c>
      <c r="C81" s="26" t="s">
        <v>910</v>
      </c>
      <c r="D81" s="26"/>
      <c r="E81" s="26" t="s">
        <v>911</v>
      </c>
      <c r="F81" s="25">
        <v>2022</v>
      </c>
      <c r="G81" s="27">
        <v>192</v>
      </c>
      <c r="H81" s="27"/>
      <c r="I81" s="27" t="s">
        <v>912</v>
      </c>
      <c r="J81" s="25" t="s">
        <v>913</v>
      </c>
      <c r="K81" s="25" t="s">
        <v>914</v>
      </c>
      <c r="L81" s="29" t="s">
        <v>915</v>
      </c>
      <c r="M81" s="25" t="s">
        <v>810</v>
      </c>
      <c r="N81" s="25"/>
      <c r="O81" s="25" t="s">
        <v>513</v>
      </c>
      <c r="P81" s="25"/>
      <c r="Q81" s="25"/>
      <c r="R81" s="25"/>
      <c r="S81" s="29" t="s">
        <v>916</v>
      </c>
      <c r="T81" s="25"/>
      <c r="U81" s="25"/>
      <c r="V81" s="25"/>
      <c r="W81" s="25"/>
      <c r="X81" s="25" t="s">
        <v>917</v>
      </c>
      <c r="Y81" s="27" t="s">
        <v>58</v>
      </c>
      <c r="Z81" s="26" t="s">
        <v>918</v>
      </c>
      <c r="AA81" s="26" t="s">
        <v>408</v>
      </c>
      <c r="AB81" s="26" t="s">
        <v>1429</v>
      </c>
      <c r="AC81" s="26" t="s">
        <v>728</v>
      </c>
      <c r="AD81" s="26" t="s">
        <v>919</v>
      </c>
      <c r="AE81" s="26" t="s">
        <v>920</v>
      </c>
      <c r="AF81" s="26" t="s">
        <v>921</v>
      </c>
      <c r="AG81" s="26" t="s">
        <v>66</v>
      </c>
      <c r="AH81" s="26">
        <v>1</v>
      </c>
      <c r="AI81" s="26"/>
      <c r="AJ81" s="25"/>
      <c r="AK81">
        <f t="shared" si="12"/>
        <v>1</v>
      </c>
      <c r="AL81">
        <f t="shared" si="9"/>
        <v>0</v>
      </c>
      <c r="AM81">
        <f t="shared" si="10"/>
        <v>0</v>
      </c>
      <c r="AN81">
        <f t="shared" si="11"/>
        <v>1</v>
      </c>
      <c r="FV81">
        <v>2022</v>
      </c>
      <c r="FW81" s="35" cm="1">
        <f t="array" ref="FW81">SUMPRODUCT((Y$2:Y$1000="PS")*(F$2:F$1000=FV81)*ISNUMBER(SEARCH("minimization",LOWER(Z$2:Z$1000)))*ISNUMBER(SEARCH("search-based",LOWER(AA$2:AA$1000))))</f>
        <v>0</v>
      </c>
      <c r="FX81" s="35" cm="1">
        <f t="array" ref="FX81">SUMPRODUCT((Y$2:Y$1000="PS")*(F$2:F$1000=FV81)*ISNUMBER(SEARCH("minimization",LOWER(Z$2:Z$1000)))*(NOT(ISNUMBER(SEARCH("search-based",LOWER(AA$2:AA$1000))))))</f>
        <v>1</v>
      </c>
    </row>
    <row r="82" spans="1:180" ht="170">
      <c r="A82" s="24"/>
      <c r="B82" s="25"/>
      <c r="C82" s="26" t="s">
        <v>922</v>
      </c>
      <c r="D82" s="26" t="s">
        <v>923</v>
      </c>
      <c r="E82" s="26" t="s">
        <v>924</v>
      </c>
      <c r="F82" s="25">
        <v>2018</v>
      </c>
      <c r="G82" s="27"/>
      <c r="H82" s="27"/>
      <c r="I82" s="27"/>
      <c r="J82" s="25" t="s">
        <v>925</v>
      </c>
      <c r="K82" s="25"/>
      <c r="L82" s="25"/>
      <c r="M82" s="25"/>
      <c r="N82" s="25"/>
      <c r="O82" s="25"/>
      <c r="P82" s="25"/>
      <c r="Q82" s="25"/>
      <c r="R82" s="25"/>
      <c r="S82" s="25"/>
      <c r="T82" s="25"/>
      <c r="U82" s="25"/>
      <c r="V82" s="25"/>
      <c r="W82" s="25"/>
      <c r="X82" s="25"/>
      <c r="Y82" s="27" t="s">
        <v>77</v>
      </c>
      <c r="Z82" s="26" t="s">
        <v>926</v>
      </c>
      <c r="AA82" s="39" t="s">
        <v>77</v>
      </c>
      <c r="AB82" s="39"/>
      <c r="AC82" s="39"/>
      <c r="AD82" s="39"/>
      <c r="AE82" s="39"/>
      <c r="AF82" s="39"/>
      <c r="AG82" s="39"/>
      <c r="AH82" s="39"/>
      <c r="AI82" s="26"/>
      <c r="AJ82" s="25"/>
      <c r="AK82">
        <f t="shared" si="12"/>
        <v>0</v>
      </c>
      <c r="AL82">
        <f t="shared" si="9"/>
        <v>0</v>
      </c>
      <c r="AM82">
        <f t="shared" si="10"/>
        <v>0</v>
      </c>
      <c r="AN82">
        <f t="shared" si="11"/>
        <v>0</v>
      </c>
      <c r="FV82">
        <v>2023</v>
      </c>
      <c r="FW82" s="35" cm="1">
        <f t="array" ref="FW82">SUMPRODUCT((Y$2:Y$1000="PS")*(F$2:F$1000=FV82)*ISNUMBER(SEARCH("minimization",LOWER(Z$2:Z$1000)))*ISNUMBER(SEARCH("search-based",LOWER(AA$2:AA$1000))))</f>
        <v>0</v>
      </c>
      <c r="FX82" s="35" cm="1">
        <f t="array" ref="FX82">SUMPRODUCT((Y$2:Y$1000="PS")*(F$2:F$1000=FV82)*ISNUMBER(SEARCH("minimization",LOWER(Z$2:Z$1000)))*(NOT(ISNUMBER(SEARCH("search-based",LOWER(AA$2:AA$1000))))))</f>
        <v>0</v>
      </c>
    </row>
    <row r="83" spans="1:180" ht="187">
      <c r="A83" s="24"/>
      <c r="B83" s="25"/>
      <c r="C83" s="26" t="s">
        <v>927</v>
      </c>
      <c r="D83" s="26" t="s">
        <v>928</v>
      </c>
      <c r="E83" s="26" t="s">
        <v>929</v>
      </c>
      <c r="F83" s="25">
        <v>2017</v>
      </c>
      <c r="G83" s="27"/>
      <c r="H83" s="27"/>
      <c r="I83" s="27"/>
      <c r="J83" s="25" t="s">
        <v>930</v>
      </c>
      <c r="K83" s="25"/>
      <c r="L83" s="25"/>
      <c r="M83" s="25"/>
      <c r="N83" s="25"/>
      <c r="O83" s="25"/>
      <c r="P83" s="25"/>
      <c r="Q83" s="25"/>
      <c r="R83" s="25"/>
      <c r="S83" s="25"/>
      <c r="T83" s="25"/>
      <c r="U83" s="25"/>
      <c r="V83" s="25"/>
      <c r="W83" s="25"/>
      <c r="X83" s="25"/>
      <c r="Y83" s="27" t="s">
        <v>58</v>
      </c>
      <c r="Z83" s="26" t="s">
        <v>786</v>
      </c>
      <c r="AA83" s="26" t="s">
        <v>408</v>
      </c>
      <c r="AB83" s="26" t="s">
        <v>550</v>
      </c>
      <c r="AC83" s="26" t="s">
        <v>728</v>
      </c>
      <c r="AD83" s="26" t="s">
        <v>931</v>
      </c>
      <c r="AE83" s="26" t="s">
        <v>932</v>
      </c>
      <c r="AF83" s="26" t="s">
        <v>933</v>
      </c>
      <c r="AG83" s="26" t="s">
        <v>66</v>
      </c>
      <c r="AH83" s="26">
        <v>0</v>
      </c>
      <c r="AI83" s="26"/>
      <c r="AJ83" s="25"/>
      <c r="AK83">
        <f t="shared" si="12"/>
        <v>1</v>
      </c>
      <c r="AL83">
        <f t="shared" si="9"/>
        <v>0</v>
      </c>
      <c r="AM83">
        <f t="shared" si="10"/>
        <v>0</v>
      </c>
      <c r="AN83">
        <f t="shared" si="11"/>
        <v>1</v>
      </c>
      <c r="FV83">
        <v>2024</v>
      </c>
      <c r="FW83" s="35" cm="1">
        <f t="array" ref="FW83">SUMPRODUCT((Y$2:Y$1000="PS")*(F$2:F$1000=FV83)*ISNUMBER(SEARCH("minimization",LOWER(Z$2:Z$1000)))*ISNUMBER(SEARCH("search-based",LOWER(AA$2:AA$1000))))</f>
        <v>1</v>
      </c>
      <c r="FX83" s="35" cm="1">
        <f t="array" ref="FX83">SUMPRODUCT((Y$2:Y$1000="PS")*(F$2:F$1000=FV83)*ISNUMBER(SEARCH("minimization",LOWER(Z$2:Z$1000)))*(NOT(ISNUMBER(SEARCH("search-based",LOWER(AA$2:AA$1000))))))</f>
        <v>0</v>
      </c>
    </row>
    <row r="84" spans="1:180" ht="187">
      <c r="A84" s="24"/>
      <c r="B84" s="25"/>
      <c r="C84" s="26" t="s">
        <v>934</v>
      </c>
      <c r="D84" s="26" t="s">
        <v>935</v>
      </c>
      <c r="E84" s="26" t="s">
        <v>936</v>
      </c>
      <c r="F84" s="25">
        <v>2019</v>
      </c>
      <c r="G84" s="27"/>
      <c r="H84" s="27"/>
      <c r="I84" s="27"/>
      <c r="J84" s="25" t="s">
        <v>937</v>
      </c>
      <c r="K84" s="25"/>
      <c r="L84" s="25"/>
      <c r="M84" s="25"/>
      <c r="N84" s="25"/>
      <c r="O84" s="25"/>
      <c r="P84" s="25"/>
      <c r="Q84" s="25"/>
      <c r="R84" s="25"/>
      <c r="S84" s="25"/>
      <c r="T84" s="25"/>
      <c r="U84" s="25"/>
      <c r="V84" s="25"/>
      <c r="W84" s="25"/>
      <c r="X84" s="25"/>
      <c r="Y84" s="27" t="s">
        <v>58</v>
      </c>
      <c r="Z84" s="26" t="s">
        <v>938</v>
      </c>
      <c r="AA84" s="26" t="s">
        <v>408</v>
      </c>
      <c r="AB84" s="26" t="s">
        <v>1316</v>
      </c>
      <c r="AC84" s="26" t="s">
        <v>813</v>
      </c>
      <c r="AD84" s="26" t="s">
        <v>939</v>
      </c>
      <c r="AE84" s="26" t="s">
        <v>940</v>
      </c>
      <c r="AF84" s="26" t="s">
        <v>941</v>
      </c>
      <c r="AG84" s="26" t="s">
        <v>66</v>
      </c>
      <c r="AH84" s="26">
        <v>0</v>
      </c>
      <c r="AI84" s="26"/>
      <c r="AJ84" s="25"/>
      <c r="AK84">
        <f t="shared" si="12"/>
        <v>1</v>
      </c>
      <c r="AL84">
        <f t="shared" si="9"/>
        <v>0</v>
      </c>
      <c r="AM84">
        <f t="shared" si="10"/>
        <v>0</v>
      </c>
      <c r="AN84">
        <f t="shared" si="11"/>
        <v>1</v>
      </c>
      <c r="FV84">
        <v>2025</v>
      </c>
      <c r="FW84" s="35" cm="1">
        <f t="array" ref="FW84">SUMPRODUCT((Y$2:Y$1000="PS")*(F$2:F$1000=FV84)*ISNUMBER(SEARCH("minimization",LOWER(Z$2:Z$1000)))*ISNUMBER(SEARCH("search-based",LOWER(AA$2:AA$1000))))</f>
        <v>0</v>
      </c>
      <c r="FX84" s="35" cm="1">
        <f t="array" ref="FX84">SUMPRODUCT((Y$2:Y$1000="PS")*(F$2:F$1000=FV84)*ISNUMBER(SEARCH("minimization",LOWER(Z$2:Z$1000)))*(NOT(ISNUMBER(SEARCH("search-based",LOWER(AA$2:AA$1000))))))</f>
        <v>0</v>
      </c>
    </row>
    <row r="85" spans="1:180" ht="170">
      <c r="A85" s="24"/>
      <c r="B85" s="25"/>
      <c r="C85" s="26" t="s">
        <v>942</v>
      </c>
      <c r="D85" s="26" t="s">
        <v>943</v>
      </c>
      <c r="E85" s="26" t="s">
        <v>944</v>
      </c>
      <c r="F85" s="25">
        <v>2019</v>
      </c>
      <c r="G85" s="27"/>
      <c r="H85" s="27"/>
      <c r="I85" s="27"/>
      <c r="J85" s="25" t="s">
        <v>945</v>
      </c>
      <c r="K85" s="25"/>
      <c r="L85" s="25"/>
      <c r="M85" s="25"/>
      <c r="N85" s="25"/>
      <c r="O85" s="25"/>
      <c r="P85" s="25"/>
      <c r="Q85" s="25"/>
      <c r="R85" s="25"/>
      <c r="S85" s="25"/>
      <c r="T85" s="25"/>
      <c r="U85" s="25"/>
      <c r="V85" s="25"/>
      <c r="W85" s="25"/>
      <c r="X85" s="25"/>
      <c r="Y85" s="27" t="s">
        <v>58</v>
      </c>
      <c r="Z85" s="26" t="s">
        <v>727</v>
      </c>
      <c r="AA85" s="26" t="s">
        <v>408</v>
      </c>
      <c r="AB85" s="26" t="s">
        <v>1316</v>
      </c>
      <c r="AC85" s="26" t="s">
        <v>946</v>
      </c>
      <c r="AD85" s="26" t="s">
        <v>947</v>
      </c>
      <c r="AE85" s="26" t="s">
        <v>940</v>
      </c>
      <c r="AF85" s="26" t="s">
        <v>948</v>
      </c>
      <c r="AG85" s="26" t="s">
        <v>66</v>
      </c>
      <c r="AH85" s="26">
        <v>1</v>
      </c>
      <c r="AI85" s="26" t="s">
        <v>949</v>
      </c>
      <c r="AJ85" s="25"/>
      <c r="AK85">
        <f t="shared" si="12"/>
        <v>1</v>
      </c>
      <c r="AL85">
        <f t="shared" si="9"/>
        <v>0</v>
      </c>
      <c r="AM85">
        <f t="shared" si="10"/>
        <v>0</v>
      </c>
      <c r="AN85">
        <f t="shared" si="11"/>
        <v>1</v>
      </c>
    </row>
    <row r="86" spans="1:180" ht="102">
      <c r="A86" s="24"/>
      <c r="B86" s="25"/>
      <c r="C86" s="26" t="s">
        <v>950</v>
      </c>
      <c r="D86" s="26" t="s">
        <v>951</v>
      </c>
      <c r="E86" s="26" t="s">
        <v>952</v>
      </c>
      <c r="F86" s="25">
        <v>2016</v>
      </c>
      <c r="G86" s="27"/>
      <c r="H86" s="27"/>
      <c r="I86" s="27"/>
      <c r="J86" s="25" t="s">
        <v>953</v>
      </c>
      <c r="K86" s="25"/>
      <c r="L86" s="25"/>
      <c r="M86" s="25"/>
      <c r="N86" s="25"/>
      <c r="O86" s="25"/>
      <c r="P86" s="25"/>
      <c r="Q86" s="25"/>
      <c r="R86" s="25"/>
      <c r="S86" s="25"/>
      <c r="T86" s="25"/>
      <c r="U86" s="25"/>
      <c r="V86" s="25"/>
      <c r="W86" s="25"/>
      <c r="X86" s="25"/>
      <c r="Y86" s="27" t="s">
        <v>44</v>
      </c>
      <c r="Z86" s="26" t="s">
        <v>954</v>
      </c>
      <c r="AA86" s="39" t="s">
        <v>44</v>
      </c>
      <c r="AB86" s="39"/>
      <c r="AC86" s="39"/>
      <c r="AD86" s="39"/>
      <c r="AE86" s="39"/>
      <c r="AF86" s="39"/>
      <c r="AG86" s="39"/>
      <c r="AH86" s="39"/>
      <c r="AI86" s="26"/>
      <c r="AJ86" s="25"/>
      <c r="AK86">
        <f t="shared" si="12"/>
        <v>0</v>
      </c>
      <c r="AL86">
        <f t="shared" si="9"/>
        <v>0</v>
      </c>
      <c r="AM86">
        <f t="shared" si="10"/>
        <v>0</v>
      </c>
      <c r="AN86">
        <f t="shared" si="11"/>
        <v>0</v>
      </c>
    </row>
    <row r="87" spans="1:180" ht="136">
      <c r="A87" s="24"/>
      <c r="B87" s="25"/>
      <c r="C87" s="26" t="s">
        <v>955</v>
      </c>
      <c r="D87" s="26" t="s">
        <v>956</v>
      </c>
      <c r="E87" s="26" t="s">
        <v>957</v>
      </c>
      <c r="F87" s="25">
        <v>2018</v>
      </c>
      <c r="G87" s="27"/>
      <c r="H87" s="27"/>
      <c r="I87" s="27"/>
      <c r="J87" s="25" t="s">
        <v>795</v>
      </c>
      <c r="K87" s="25"/>
      <c r="L87" s="25"/>
      <c r="M87" s="25"/>
      <c r="N87" s="25"/>
      <c r="O87" s="25"/>
      <c r="P87" s="25"/>
      <c r="Q87" s="25"/>
      <c r="R87" s="25"/>
      <c r="S87" s="25"/>
      <c r="T87" s="25"/>
      <c r="U87" s="25"/>
      <c r="V87" s="25"/>
      <c r="W87" s="25"/>
      <c r="X87" s="25"/>
      <c r="Y87" s="27" t="s">
        <v>44</v>
      </c>
      <c r="Z87" s="26" t="s">
        <v>802</v>
      </c>
      <c r="AA87" s="39" t="s">
        <v>44</v>
      </c>
      <c r="AB87" s="39"/>
      <c r="AC87" s="39"/>
      <c r="AD87" s="39"/>
      <c r="AE87" s="39"/>
      <c r="AF87" s="39"/>
      <c r="AG87" s="39"/>
      <c r="AH87" s="39"/>
      <c r="AI87" s="26"/>
      <c r="AJ87" s="25"/>
      <c r="AK87">
        <f t="shared" si="12"/>
        <v>0</v>
      </c>
      <c r="AL87">
        <f t="shared" si="9"/>
        <v>0</v>
      </c>
      <c r="AM87">
        <f t="shared" si="10"/>
        <v>0</v>
      </c>
      <c r="AN87">
        <f t="shared" si="11"/>
        <v>0</v>
      </c>
    </row>
    <row r="88" spans="1:180" ht="153">
      <c r="A88" s="24"/>
      <c r="B88" s="25"/>
      <c r="C88" s="26" t="s">
        <v>958</v>
      </c>
      <c r="D88" s="26" t="s">
        <v>959</v>
      </c>
      <c r="E88" s="26" t="s">
        <v>960</v>
      </c>
      <c r="F88" s="25">
        <v>2018</v>
      </c>
      <c r="G88" s="27"/>
      <c r="H88" s="27"/>
      <c r="I88" s="27"/>
      <c r="J88" s="25" t="s">
        <v>961</v>
      </c>
      <c r="K88" s="25"/>
      <c r="L88" s="25"/>
      <c r="M88" s="25"/>
      <c r="N88" s="25"/>
      <c r="O88" s="25"/>
      <c r="P88" s="25"/>
      <c r="Q88" s="25"/>
      <c r="R88" s="25"/>
      <c r="S88" s="25"/>
      <c r="T88" s="25"/>
      <c r="U88" s="25"/>
      <c r="V88" s="25"/>
      <c r="W88" s="25"/>
      <c r="X88" s="25"/>
      <c r="Y88" s="27" t="s">
        <v>77</v>
      </c>
      <c r="Z88" s="26" t="s">
        <v>926</v>
      </c>
      <c r="AA88" s="39" t="s">
        <v>77</v>
      </c>
      <c r="AB88" s="39"/>
      <c r="AC88" s="39"/>
      <c r="AD88" s="39"/>
      <c r="AE88" s="39"/>
      <c r="AF88" s="39"/>
      <c r="AG88" s="39"/>
      <c r="AH88" s="39"/>
      <c r="AI88" s="26"/>
      <c r="AJ88" s="25"/>
      <c r="AK88">
        <f t="shared" si="12"/>
        <v>0</v>
      </c>
      <c r="AL88">
        <f t="shared" si="9"/>
        <v>0</v>
      </c>
      <c r="AM88">
        <f t="shared" si="10"/>
        <v>0</v>
      </c>
      <c r="AN88">
        <f t="shared" si="11"/>
        <v>0</v>
      </c>
    </row>
    <row r="89" spans="1:180" ht="136">
      <c r="A89" s="24"/>
      <c r="B89" s="25"/>
      <c r="C89" s="26" t="s">
        <v>962</v>
      </c>
      <c r="D89" s="26" t="s">
        <v>963</v>
      </c>
      <c r="E89" s="26" t="s">
        <v>964</v>
      </c>
      <c r="F89" s="25">
        <v>2019</v>
      </c>
      <c r="G89" s="27"/>
      <c r="H89" s="27"/>
      <c r="I89" s="27"/>
      <c r="J89" s="25" t="s">
        <v>965</v>
      </c>
      <c r="K89" s="25"/>
      <c r="L89" s="25"/>
      <c r="M89" s="25"/>
      <c r="N89" s="25"/>
      <c r="O89" s="25"/>
      <c r="P89" s="25"/>
      <c r="Q89" s="25"/>
      <c r="R89" s="25"/>
      <c r="S89" s="25"/>
      <c r="T89" s="25"/>
      <c r="U89" s="25"/>
      <c r="V89" s="25"/>
      <c r="W89" s="25"/>
      <c r="X89" s="25"/>
      <c r="Y89" s="27" t="s">
        <v>58</v>
      </c>
      <c r="Z89" s="26" t="s">
        <v>727</v>
      </c>
      <c r="AA89" s="26" t="s">
        <v>966</v>
      </c>
      <c r="AB89" s="26" t="s">
        <v>1316</v>
      </c>
      <c r="AC89" s="26" t="s">
        <v>728</v>
      </c>
      <c r="AD89" s="26" t="s">
        <v>967</v>
      </c>
      <c r="AE89" s="26" t="s">
        <v>968</v>
      </c>
      <c r="AF89" s="26" t="s">
        <v>969</v>
      </c>
      <c r="AG89" s="26" t="s">
        <v>970</v>
      </c>
      <c r="AH89" s="26">
        <v>0.5</v>
      </c>
      <c r="AI89" s="26" t="s">
        <v>971</v>
      </c>
      <c r="AJ89" s="25"/>
      <c r="AK89">
        <f t="shared" si="12"/>
        <v>1</v>
      </c>
      <c r="AL89">
        <f t="shared" si="9"/>
        <v>0</v>
      </c>
      <c r="AM89">
        <f t="shared" si="10"/>
        <v>0</v>
      </c>
      <c r="AN89">
        <f t="shared" si="11"/>
        <v>1</v>
      </c>
    </row>
    <row r="90" spans="1:180" ht="153">
      <c r="A90" s="24"/>
      <c r="B90" s="25"/>
      <c r="C90" s="26" t="s">
        <v>972</v>
      </c>
      <c r="D90" s="26" t="s">
        <v>973</v>
      </c>
      <c r="E90" s="26" t="s">
        <v>974</v>
      </c>
      <c r="F90" s="25">
        <v>2019</v>
      </c>
      <c r="G90" s="27"/>
      <c r="H90" s="27"/>
      <c r="I90" s="27"/>
      <c r="J90" s="25" t="s">
        <v>975</v>
      </c>
      <c r="K90" s="25"/>
      <c r="L90" s="25"/>
      <c r="M90" s="25"/>
      <c r="N90" s="25"/>
      <c r="O90" s="25"/>
      <c r="P90" s="25"/>
      <c r="Q90" s="25"/>
      <c r="R90" s="25"/>
      <c r="S90" s="25"/>
      <c r="T90" s="25"/>
      <c r="U90" s="25"/>
      <c r="V90" s="25"/>
      <c r="W90" s="25"/>
      <c r="X90" s="25"/>
      <c r="Y90" s="27" t="s">
        <v>58</v>
      </c>
      <c r="Z90" s="26" t="s">
        <v>976</v>
      </c>
      <c r="AA90" s="26" t="s">
        <v>966</v>
      </c>
      <c r="AB90" s="26" t="s">
        <v>977</v>
      </c>
      <c r="AC90" s="26" t="s">
        <v>728</v>
      </c>
      <c r="AD90" s="26" t="s">
        <v>978</v>
      </c>
      <c r="AE90" s="26" t="s">
        <v>979</v>
      </c>
      <c r="AF90" s="26" t="s">
        <v>870</v>
      </c>
      <c r="AG90" s="26" t="s">
        <v>980</v>
      </c>
      <c r="AH90" s="26">
        <v>0</v>
      </c>
      <c r="AI90" s="26"/>
      <c r="AJ90" s="25"/>
      <c r="AK90">
        <f t="shared" si="12"/>
        <v>1</v>
      </c>
      <c r="AL90">
        <f t="shared" si="9"/>
        <v>0</v>
      </c>
      <c r="AM90">
        <f t="shared" si="10"/>
        <v>1</v>
      </c>
      <c r="AN90">
        <f t="shared" si="11"/>
        <v>1</v>
      </c>
    </row>
    <row r="91" spans="1:180" ht="153">
      <c r="A91" s="24"/>
      <c r="B91" s="25"/>
      <c r="C91" s="26" t="s">
        <v>981</v>
      </c>
      <c r="D91" s="26" t="s">
        <v>943</v>
      </c>
      <c r="E91" s="26" t="s">
        <v>982</v>
      </c>
      <c r="F91" s="25">
        <v>2013</v>
      </c>
      <c r="G91" s="27"/>
      <c r="H91" s="27"/>
      <c r="I91" s="27"/>
      <c r="J91" s="25" t="s">
        <v>265</v>
      </c>
      <c r="K91" s="25"/>
      <c r="L91" s="25"/>
      <c r="M91" s="25"/>
      <c r="N91" s="25"/>
      <c r="O91" s="25"/>
      <c r="P91" s="25"/>
      <c r="Q91" s="25"/>
      <c r="R91" s="25"/>
      <c r="S91" s="25"/>
      <c r="T91" s="25"/>
      <c r="U91" s="25"/>
      <c r="V91" s="25"/>
      <c r="W91" s="25"/>
      <c r="X91" s="25"/>
      <c r="Y91" s="27" t="s">
        <v>58</v>
      </c>
      <c r="Z91" s="26" t="s">
        <v>983</v>
      </c>
      <c r="AA91" s="26" t="s">
        <v>90</v>
      </c>
      <c r="AB91" s="26" t="s">
        <v>1424</v>
      </c>
      <c r="AC91" s="26" t="s">
        <v>728</v>
      </c>
      <c r="AD91" s="26" t="s">
        <v>984</v>
      </c>
      <c r="AE91" s="26" t="s">
        <v>985</v>
      </c>
      <c r="AF91" s="26" t="s">
        <v>986</v>
      </c>
      <c r="AG91" s="26" t="s">
        <v>66</v>
      </c>
      <c r="AH91" s="26">
        <v>0</v>
      </c>
      <c r="AI91" s="26"/>
      <c r="AJ91" s="25"/>
      <c r="AK91">
        <f t="shared" si="12"/>
        <v>1</v>
      </c>
      <c r="AL91">
        <f t="shared" si="9"/>
        <v>0</v>
      </c>
      <c r="AM91">
        <f t="shared" si="10"/>
        <v>0</v>
      </c>
      <c r="AN91">
        <f t="shared" si="11"/>
        <v>1</v>
      </c>
    </row>
    <row r="92" spans="1:180" ht="372">
      <c r="A92" s="24"/>
      <c r="B92" s="25"/>
      <c r="C92" s="26" t="s">
        <v>987</v>
      </c>
      <c r="D92" s="26" t="s">
        <v>478</v>
      </c>
      <c r="E92" s="26" t="s">
        <v>988</v>
      </c>
      <c r="F92" s="25">
        <v>2016</v>
      </c>
      <c r="G92" s="27"/>
      <c r="H92" s="27"/>
      <c r="I92" s="27"/>
      <c r="J92" s="25" t="s">
        <v>989</v>
      </c>
      <c r="K92" s="25"/>
      <c r="L92" s="25"/>
      <c r="M92" s="25"/>
      <c r="N92" s="25"/>
      <c r="O92" s="25"/>
      <c r="P92" s="25"/>
      <c r="Q92" s="25"/>
      <c r="R92" s="25"/>
      <c r="S92" s="25"/>
      <c r="T92" s="25"/>
      <c r="U92" s="25"/>
      <c r="V92" s="25"/>
      <c r="W92" s="25"/>
      <c r="X92" s="25"/>
      <c r="Y92" s="27" t="s">
        <v>58</v>
      </c>
      <c r="Z92" s="26" t="s">
        <v>954</v>
      </c>
      <c r="AA92" s="26" t="s">
        <v>408</v>
      </c>
      <c r="AB92" s="26" t="s">
        <v>1316</v>
      </c>
      <c r="AC92" s="26" t="s">
        <v>728</v>
      </c>
      <c r="AD92" s="26" t="s">
        <v>990</v>
      </c>
      <c r="AE92" s="26" t="s">
        <v>991</v>
      </c>
      <c r="AF92" s="26" t="s">
        <v>992</v>
      </c>
      <c r="AG92" s="26" t="s">
        <v>993</v>
      </c>
      <c r="AH92" s="26">
        <v>0</v>
      </c>
      <c r="AI92" s="26"/>
      <c r="AJ92" s="25"/>
      <c r="AK92">
        <f t="shared" si="12"/>
        <v>1</v>
      </c>
      <c r="AL92">
        <f t="shared" si="9"/>
        <v>0</v>
      </c>
      <c r="AM92">
        <f t="shared" si="10"/>
        <v>0</v>
      </c>
      <c r="AN92">
        <f t="shared" si="11"/>
        <v>1</v>
      </c>
    </row>
    <row r="93" spans="1:180" ht="102">
      <c r="A93" s="24"/>
      <c r="B93" s="25"/>
      <c r="C93" s="26" t="s">
        <v>994</v>
      </c>
      <c r="D93" s="26" t="s">
        <v>995</v>
      </c>
      <c r="E93" s="26" t="s">
        <v>996</v>
      </c>
      <c r="F93" s="25">
        <v>2013</v>
      </c>
      <c r="G93" s="27"/>
      <c r="H93" s="27"/>
      <c r="I93" s="27"/>
      <c r="J93" s="25" t="s">
        <v>997</v>
      </c>
      <c r="K93" s="25"/>
      <c r="L93" s="25"/>
      <c r="M93" s="25"/>
      <c r="N93" s="25"/>
      <c r="O93" s="25"/>
      <c r="P93" s="25"/>
      <c r="Q93" s="25"/>
      <c r="R93" s="25"/>
      <c r="S93" s="25"/>
      <c r="T93" s="25"/>
      <c r="U93" s="25"/>
      <c r="V93" s="25"/>
      <c r="W93" s="25"/>
      <c r="X93" s="25"/>
      <c r="Y93" s="27" t="s">
        <v>44</v>
      </c>
      <c r="Z93" s="26" t="s">
        <v>998</v>
      </c>
      <c r="AA93" s="39" t="s">
        <v>999</v>
      </c>
      <c r="AB93" s="39"/>
      <c r="AC93" s="39"/>
      <c r="AD93" s="39"/>
      <c r="AE93" s="39"/>
      <c r="AF93" s="39"/>
      <c r="AG93" s="39"/>
      <c r="AH93" s="39"/>
      <c r="AI93" s="26"/>
      <c r="AJ93" s="25"/>
      <c r="AK93">
        <f t="shared" si="12"/>
        <v>0</v>
      </c>
      <c r="AL93">
        <f t="shared" si="9"/>
        <v>0</v>
      </c>
      <c r="AM93">
        <f t="shared" si="10"/>
        <v>0</v>
      </c>
      <c r="AN93">
        <f t="shared" si="11"/>
        <v>0</v>
      </c>
    </row>
    <row r="94" spans="1:180" ht="153">
      <c r="A94" s="24"/>
      <c r="B94" s="25"/>
      <c r="C94" s="26" t="s">
        <v>1000</v>
      </c>
      <c r="D94" s="26" t="s">
        <v>1001</v>
      </c>
      <c r="E94" s="26" t="s">
        <v>1002</v>
      </c>
      <c r="F94" s="25">
        <v>2014</v>
      </c>
      <c r="G94" s="27"/>
      <c r="H94" s="27"/>
      <c r="I94" s="27"/>
      <c r="J94" s="25" t="s">
        <v>1003</v>
      </c>
      <c r="K94" s="25"/>
      <c r="L94" s="25"/>
      <c r="M94" s="25"/>
      <c r="N94" s="25"/>
      <c r="O94" s="25"/>
      <c r="P94" s="25"/>
      <c r="Q94" s="25"/>
      <c r="R94" s="25"/>
      <c r="S94" s="25"/>
      <c r="T94" s="25"/>
      <c r="U94" s="25"/>
      <c r="V94" s="25"/>
      <c r="W94" s="25"/>
      <c r="X94" s="25"/>
      <c r="Y94" s="27" t="s">
        <v>58</v>
      </c>
      <c r="Z94" s="26" t="s">
        <v>1004</v>
      </c>
      <c r="AA94" s="26" t="s">
        <v>129</v>
      </c>
      <c r="AB94" s="26" t="s">
        <v>1439</v>
      </c>
      <c r="AC94" s="26" t="s">
        <v>813</v>
      </c>
      <c r="AD94" s="26" t="s">
        <v>1005</v>
      </c>
      <c r="AE94" s="26" t="s">
        <v>1006</v>
      </c>
      <c r="AF94" s="26" t="s">
        <v>1007</v>
      </c>
      <c r="AG94" s="26" t="s">
        <v>1008</v>
      </c>
      <c r="AH94" s="26">
        <v>0</v>
      </c>
      <c r="AI94" s="26"/>
      <c r="AJ94" s="25"/>
      <c r="AK94">
        <f t="shared" si="12"/>
        <v>1</v>
      </c>
      <c r="AL94">
        <f t="shared" si="9"/>
        <v>0</v>
      </c>
      <c r="AM94">
        <f t="shared" si="10"/>
        <v>1</v>
      </c>
      <c r="AN94">
        <f t="shared" si="11"/>
        <v>0</v>
      </c>
    </row>
    <row r="95" spans="1:180" ht="119">
      <c r="A95" s="24"/>
      <c r="B95" s="25"/>
      <c r="C95" s="26" t="s">
        <v>1009</v>
      </c>
      <c r="D95" s="26" t="s">
        <v>1010</v>
      </c>
      <c r="E95" s="26" t="s">
        <v>1011</v>
      </c>
      <c r="F95" s="25">
        <v>2017</v>
      </c>
      <c r="G95" s="27"/>
      <c r="H95" s="27"/>
      <c r="I95" s="27"/>
      <c r="J95" s="25" t="s">
        <v>1012</v>
      </c>
      <c r="K95" s="25"/>
      <c r="L95" s="25"/>
      <c r="M95" s="25"/>
      <c r="N95" s="25"/>
      <c r="O95" s="25"/>
      <c r="P95" s="25"/>
      <c r="Q95" s="25"/>
      <c r="R95" s="25"/>
      <c r="S95" s="25"/>
      <c r="T95" s="25"/>
      <c r="U95" s="25"/>
      <c r="V95" s="25"/>
      <c r="W95" s="25"/>
      <c r="X95" s="25"/>
      <c r="Y95" s="27" t="s">
        <v>77</v>
      </c>
      <c r="Z95" s="26" t="s">
        <v>1013</v>
      </c>
      <c r="AA95" s="39" t="s">
        <v>77</v>
      </c>
      <c r="AB95" s="39"/>
      <c r="AC95" s="39"/>
      <c r="AD95" s="39"/>
      <c r="AE95" s="39"/>
      <c r="AF95" s="39"/>
      <c r="AG95" s="39"/>
      <c r="AH95" s="39"/>
      <c r="AI95" s="26"/>
      <c r="AJ95" s="25"/>
      <c r="AK95">
        <f t="shared" si="12"/>
        <v>0</v>
      </c>
      <c r="AL95">
        <f t="shared" si="9"/>
        <v>0</v>
      </c>
      <c r="AM95">
        <f t="shared" si="10"/>
        <v>0</v>
      </c>
      <c r="AN95">
        <f t="shared" si="11"/>
        <v>0</v>
      </c>
    </row>
    <row r="96" spans="1:180" ht="409.6">
      <c r="A96" s="2">
        <v>42</v>
      </c>
      <c r="B96" s="2"/>
      <c r="C96" s="2" t="s">
        <v>1014</v>
      </c>
      <c r="D96" s="2" t="s">
        <v>1015</v>
      </c>
      <c r="E96" s="2" t="s">
        <v>1016</v>
      </c>
      <c r="F96" s="2">
        <v>2018</v>
      </c>
      <c r="G96" s="2"/>
      <c r="H96" s="2"/>
      <c r="I96" s="2"/>
      <c r="J96" s="2" t="s">
        <v>1017</v>
      </c>
      <c r="K96" s="2"/>
      <c r="L96" s="2"/>
      <c r="M96" s="2"/>
      <c r="N96" s="2"/>
      <c r="O96" s="2"/>
      <c r="P96" s="2"/>
      <c r="Q96" s="2"/>
      <c r="R96" s="2"/>
      <c r="S96" s="2"/>
      <c r="T96" s="2"/>
      <c r="U96" s="2"/>
      <c r="V96" s="2"/>
      <c r="W96" s="2"/>
      <c r="X96" s="2"/>
      <c r="Y96" s="2" t="s">
        <v>58</v>
      </c>
      <c r="Z96" s="2" t="s">
        <v>1018</v>
      </c>
      <c r="AA96" s="2" t="s">
        <v>966</v>
      </c>
      <c r="AB96" s="2" t="s">
        <v>1435</v>
      </c>
      <c r="AC96" s="2" t="s">
        <v>1019</v>
      </c>
      <c r="AD96" s="2" t="s">
        <v>1020</v>
      </c>
      <c r="AE96" s="2" t="s">
        <v>1021</v>
      </c>
      <c r="AF96" s="2" t="s">
        <v>1022</v>
      </c>
      <c r="AG96" s="2" t="s">
        <v>1023</v>
      </c>
      <c r="AH96" s="2">
        <v>0</v>
      </c>
      <c r="AI96" s="30" t="s">
        <v>1024</v>
      </c>
      <c r="AK96">
        <f t="shared" si="12"/>
        <v>1</v>
      </c>
      <c r="AL96">
        <f t="shared" si="9"/>
        <v>0</v>
      </c>
      <c r="AM96">
        <f t="shared" si="10"/>
        <v>1</v>
      </c>
      <c r="AN96">
        <f t="shared" si="11"/>
        <v>0</v>
      </c>
    </row>
    <row r="97" spans="1:40" ht="409.6">
      <c r="A97" s="2">
        <v>128</v>
      </c>
      <c r="B97" s="2"/>
      <c r="C97" s="2" t="s">
        <v>1025</v>
      </c>
      <c r="D97" s="2" t="s">
        <v>1026</v>
      </c>
      <c r="E97" s="2" t="s">
        <v>1027</v>
      </c>
      <c r="F97" s="2">
        <v>2020</v>
      </c>
      <c r="G97" s="2"/>
      <c r="H97" s="2"/>
      <c r="I97" s="2"/>
      <c r="J97" s="2" t="s">
        <v>1028</v>
      </c>
      <c r="K97" s="2"/>
      <c r="L97" s="2"/>
      <c r="M97" s="2"/>
      <c r="N97" s="2"/>
      <c r="O97" s="2"/>
      <c r="P97" s="2"/>
      <c r="Q97" s="2"/>
      <c r="R97" s="2"/>
      <c r="S97" s="2"/>
      <c r="T97" s="2"/>
      <c r="U97" s="2"/>
      <c r="V97" s="2"/>
      <c r="W97" s="2"/>
      <c r="X97" s="2"/>
      <c r="Y97" s="2" t="s">
        <v>58</v>
      </c>
      <c r="Z97" s="2" t="s">
        <v>1029</v>
      </c>
      <c r="AA97" s="2" t="s">
        <v>60</v>
      </c>
      <c r="AB97" s="2" t="s">
        <v>1435</v>
      </c>
      <c r="AC97" s="2" t="s">
        <v>1030</v>
      </c>
      <c r="AD97" s="2" t="s">
        <v>1031</v>
      </c>
      <c r="AE97" s="2" t="s">
        <v>1032</v>
      </c>
      <c r="AF97" s="2" t="s">
        <v>1033</v>
      </c>
      <c r="AG97" s="2" t="s">
        <v>66</v>
      </c>
      <c r="AH97" s="2">
        <v>0</v>
      </c>
      <c r="AI97" s="2"/>
      <c r="AK97">
        <f t="shared" si="12"/>
        <v>1</v>
      </c>
      <c r="AL97">
        <f t="shared" si="9"/>
        <v>0</v>
      </c>
      <c r="AM97">
        <f t="shared" si="10"/>
        <v>1</v>
      </c>
      <c r="AN97">
        <f t="shared" si="11"/>
        <v>1</v>
      </c>
    </row>
    <row r="98" spans="1:40" ht="409.6">
      <c r="A98" s="2">
        <v>10</v>
      </c>
      <c r="B98" s="2"/>
      <c r="C98" s="2" t="s">
        <v>1034</v>
      </c>
      <c r="D98" s="2" t="s">
        <v>1035</v>
      </c>
      <c r="E98" s="2" t="s">
        <v>1036</v>
      </c>
      <c r="F98" s="2">
        <v>2021</v>
      </c>
      <c r="G98" s="2"/>
      <c r="H98" s="2"/>
      <c r="I98" s="2"/>
      <c r="J98" s="2" t="s">
        <v>1037</v>
      </c>
      <c r="K98" s="2"/>
      <c r="L98" s="2"/>
      <c r="M98" s="2"/>
      <c r="N98" s="2"/>
      <c r="O98" s="2"/>
      <c r="P98" s="2"/>
      <c r="Q98" s="2"/>
      <c r="R98" s="2"/>
      <c r="S98" s="2"/>
      <c r="T98" s="2"/>
      <c r="U98" s="2"/>
      <c r="V98" s="2"/>
      <c r="W98" s="2"/>
      <c r="X98" s="2"/>
      <c r="Y98" s="2" t="s">
        <v>77</v>
      </c>
      <c r="Z98" s="2" t="s">
        <v>1038</v>
      </c>
      <c r="AA98" s="30" t="s">
        <v>1039</v>
      </c>
      <c r="AB98" s="30"/>
      <c r="AC98" s="30"/>
      <c r="AD98" s="30"/>
      <c r="AE98" s="30"/>
      <c r="AF98" s="30"/>
      <c r="AG98" s="30"/>
      <c r="AH98" s="30"/>
      <c r="AI98" s="2"/>
      <c r="AK98">
        <f t="shared" si="12"/>
        <v>0</v>
      </c>
      <c r="AL98">
        <f t="shared" si="9"/>
        <v>0</v>
      </c>
      <c r="AM98">
        <f t="shared" si="10"/>
        <v>0</v>
      </c>
      <c r="AN98">
        <f t="shared" si="11"/>
        <v>0</v>
      </c>
    </row>
    <row r="99" spans="1:40" ht="409.6">
      <c r="A99" s="2">
        <v>130</v>
      </c>
      <c r="B99" s="2"/>
      <c r="C99" s="2" t="s">
        <v>1040</v>
      </c>
      <c r="D99" s="2" t="s">
        <v>1041</v>
      </c>
      <c r="E99" s="2" t="s">
        <v>1042</v>
      </c>
      <c r="F99" s="2">
        <v>2013</v>
      </c>
      <c r="G99" s="2"/>
      <c r="H99" s="2"/>
      <c r="I99" s="2"/>
      <c r="J99" s="2" t="s">
        <v>1043</v>
      </c>
      <c r="K99" s="2"/>
      <c r="L99" s="2"/>
      <c r="M99" s="2"/>
      <c r="N99" s="2"/>
      <c r="O99" s="2"/>
      <c r="P99" s="2"/>
      <c r="Q99" s="2"/>
      <c r="R99" s="2"/>
      <c r="S99" s="2"/>
      <c r="T99" s="2"/>
      <c r="U99" s="2"/>
      <c r="V99" s="2"/>
      <c r="W99" s="2"/>
      <c r="X99" s="2"/>
      <c r="Y99" s="2" t="s">
        <v>58</v>
      </c>
      <c r="Z99" s="2" t="s">
        <v>1044</v>
      </c>
      <c r="AA99" s="2" t="s">
        <v>966</v>
      </c>
      <c r="AB99" s="2" t="s">
        <v>1440</v>
      </c>
      <c r="AC99" s="2"/>
      <c r="AD99" s="2" t="s">
        <v>1045</v>
      </c>
      <c r="AE99" s="2" t="s">
        <v>1046</v>
      </c>
      <c r="AF99" s="2" t="s">
        <v>1047</v>
      </c>
      <c r="AG99" s="2" t="s">
        <v>66</v>
      </c>
      <c r="AH99" s="2">
        <v>0</v>
      </c>
      <c r="AI99" s="2"/>
      <c r="AK99">
        <f t="shared" si="12"/>
        <v>1</v>
      </c>
      <c r="AL99">
        <f t="shared" si="9"/>
        <v>1</v>
      </c>
      <c r="AM99">
        <f t="shared" si="10"/>
        <v>1</v>
      </c>
      <c r="AN99">
        <f t="shared" si="11"/>
        <v>1</v>
      </c>
    </row>
    <row r="100" spans="1:40" ht="409.6">
      <c r="A100" s="2">
        <v>131</v>
      </c>
      <c r="B100" s="2"/>
      <c r="C100" s="2" t="s">
        <v>1048</v>
      </c>
      <c r="D100" s="2" t="s">
        <v>1049</v>
      </c>
      <c r="E100" s="2" t="s">
        <v>1050</v>
      </c>
      <c r="F100" s="2">
        <v>2013</v>
      </c>
      <c r="G100" s="2"/>
      <c r="H100" s="2"/>
      <c r="I100" s="2"/>
      <c r="J100" s="2" t="s">
        <v>1051</v>
      </c>
      <c r="K100" s="2"/>
      <c r="L100" s="2"/>
      <c r="M100" s="2"/>
      <c r="N100" s="2"/>
      <c r="O100" s="2"/>
      <c r="P100" s="2"/>
      <c r="Q100" s="2"/>
      <c r="R100" s="2"/>
      <c r="S100" s="2"/>
      <c r="T100" s="2"/>
      <c r="U100" s="2"/>
      <c r="V100" s="2"/>
      <c r="W100" s="2"/>
      <c r="X100" s="2"/>
      <c r="Y100" s="2" t="s">
        <v>58</v>
      </c>
      <c r="Z100" s="2" t="s">
        <v>1052</v>
      </c>
      <c r="AA100" s="2" t="s">
        <v>408</v>
      </c>
      <c r="AB100" s="2" t="s">
        <v>1435</v>
      </c>
      <c r="AC100" s="2" t="s">
        <v>1030</v>
      </c>
      <c r="AD100" s="2" t="s">
        <v>1053</v>
      </c>
      <c r="AE100" s="2" t="s">
        <v>1054</v>
      </c>
      <c r="AF100" s="2" t="s">
        <v>1055</v>
      </c>
      <c r="AG100" s="2" t="s">
        <v>1056</v>
      </c>
      <c r="AH100" s="2">
        <v>0</v>
      </c>
      <c r="AI100" s="2" t="s">
        <v>1057</v>
      </c>
      <c r="AK100">
        <f t="shared" si="12"/>
        <v>1</v>
      </c>
      <c r="AL100">
        <f t="shared" si="9"/>
        <v>0</v>
      </c>
      <c r="AM100">
        <f t="shared" si="10"/>
        <v>0</v>
      </c>
      <c r="AN100">
        <f t="shared" si="11"/>
        <v>1</v>
      </c>
    </row>
    <row r="101" spans="1:40" ht="409.6">
      <c r="A101" s="2">
        <v>132</v>
      </c>
      <c r="B101" s="2"/>
      <c r="C101" s="2" t="s">
        <v>1058</v>
      </c>
      <c r="D101" s="2" t="s">
        <v>1059</v>
      </c>
      <c r="E101" s="2" t="s">
        <v>1060</v>
      </c>
      <c r="F101" s="2">
        <v>2018</v>
      </c>
      <c r="G101" s="2"/>
      <c r="H101" s="2"/>
      <c r="I101" s="2"/>
      <c r="J101" s="2" t="s">
        <v>1061</v>
      </c>
      <c r="K101" s="2"/>
      <c r="L101" s="2"/>
      <c r="M101" s="2"/>
      <c r="N101" s="2"/>
      <c r="O101" s="2"/>
      <c r="P101" s="2"/>
      <c r="Q101" s="2"/>
      <c r="R101" s="2"/>
      <c r="S101" s="2"/>
      <c r="T101" s="2"/>
      <c r="U101" s="2"/>
      <c r="V101" s="2"/>
      <c r="W101" s="2"/>
      <c r="X101" s="2"/>
      <c r="Y101" s="2" t="s">
        <v>58</v>
      </c>
      <c r="Z101" s="2" t="s">
        <v>1052</v>
      </c>
      <c r="AA101" s="2" t="s">
        <v>1062</v>
      </c>
      <c r="AB101" s="2" t="s">
        <v>207</v>
      </c>
      <c r="AC101" s="2"/>
      <c r="AD101" s="2" t="s">
        <v>1053</v>
      </c>
      <c r="AE101" s="2" t="s">
        <v>1063</v>
      </c>
      <c r="AF101" s="2" t="s">
        <v>1064</v>
      </c>
      <c r="AG101" s="2" t="s">
        <v>66</v>
      </c>
      <c r="AH101" s="2">
        <v>0</v>
      </c>
      <c r="AI101" s="2"/>
      <c r="AK101">
        <f t="shared" si="12"/>
        <v>1</v>
      </c>
      <c r="AL101">
        <f t="shared" si="9"/>
        <v>0</v>
      </c>
      <c r="AM101">
        <f t="shared" si="10"/>
        <v>0</v>
      </c>
      <c r="AN101">
        <f t="shared" si="11"/>
        <v>1</v>
      </c>
    </row>
    <row r="102" spans="1:40" ht="409.6">
      <c r="A102" s="2">
        <v>133</v>
      </c>
      <c r="B102" s="2"/>
      <c r="C102" s="2" t="s">
        <v>1065</v>
      </c>
      <c r="D102" s="2" t="s">
        <v>459</v>
      </c>
      <c r="E102" s="2" t="s">
        <v>1066</v>
      </c>
      <c r="F102" s="2">
        <v>2021</v>
      </c>
      <c r="G102" s="2"/>
      <c r="H102" s="2"/>
      <c r="I102" s="2"/>
      <c r="J102" s="2" t="s">
        <v>1067</v>
      </c>
      <c r="K102" s="2"/>
      <c r="L102" s="2"/>
      <c r="M102" s="2"/>
      <c r="N102" s="2"/>
      <c r="O102" s="2"/>
      <c r="P102" s="2"/>
      <c r="Q102" s="2"/>
      <c r="R102" s="2"/>
      <c r="S102" s="2"/>
      <c r="T102" s="2"/>
      <c r="U102" s="2"/>
      <c r="V102" s="2"/>
      <c r="W102" s="2"/>
      <c r="X102" s="2"/>
      <c r="Y102" s="2" t="s">
        <v>58</v>
      </c>
      <c r="Z102" s="2" t="s">
        <v>1052</v>
      </c>
      <c r="AA102" s="2" t="s">
        <v>1068</v>
      </c>
      <c r="AB102" s="2" t="s">
        <v>1069</v>
      </c>
      <c r="AC102" s="2"/>
      <c r="AD102" s="2" t="s">
        <v>1070</v>
      </c>
      <c r="AE102" s="2" t="s">
        <v>1071</v>
      </c>
      <c r="AF102" s="2" t="s">
        <v>1072</v>
      </c>
      <c r="AG102" s="2" t="s">
        <v>1073</v>
      </c>
      <c r="AH102" s="2">
        <v>1</v>
      </c>
      <c r="AI102" s="2" t="s">
        <v>1074</v>
      </c>
      <c r="AK102">
        <f t="shared" si="12"/>
        <v>1</v>
      </c>
      <c r="AL102">
        <f t="shared" si="9"/>
        <v>0</v>
      </c>
      <c r="AM102">
        <f t="shared" si="10"/>
        <v>0</v>
      </c>
      <c r="AN102">
        <f t="shared" si="11"/>
        <v>1</v>
      </c>
    </row>
    <row r="103" spans="1:40" ht="409.6">
      <c r="A103" s="2">
        <v>134</v>
      </c>
      <c r="B103" s="2"/>
      <c r="C103" s="2" t="s">
        <v>1075</v>
      </c>
      <c r="D103" s="2" t="s">
        <v>1076</v>
      </c>
      <c r="E103" s="2" t="s">
        <v>1077</v>
      </c>
      <c r="F103" s="2">
        <v>2020</v>
      </c>
      <c r="G103" s="2"/>
      <c r="H103" s="2"/>
      <c r="I103" s="2"/>
      <c r="J103" s="2" t="s">
        <v>1078</v>
      </c>
      <c r="K103" s="2"/>
      <c r="L103" s="2"/>
      <c r="M103" s="2"/>
      <c r="N103" s="2"/>
      <c r="O103" s="2"/>
      <c r="P103" s="2"/>
      <c r="Q103" s="2"/>
      <c r="R103" s="2"/>
      <c r="S103" s="2"/>
      <c r="T103" s="2"/>
      <c r="U103" s="2"/>
      <c r="V103" s="2"/>
      <c r="W103" s="2"/>
      <c r="X103" s="2"/>
      <c r="Y103" s="2" t="s">
        <v>58</v>
      </c>
      <c r="Z103" s="2" t="s">
        <v>1052</v>
      </c>
      <c r="AA103" s="2" t="s">
        <v>1079</v>
      </c>
      <c r="AB103" s="2" t="s">
        <v>207</v>
      </c>
      <c r="AC103" s="2"/>
      <c r="AD103" s="2" t="s">
        <v>1080</v>
      </c>
      <c r="AE103" s="2" t="s">
        <v>1081</v>
      </c>
      <c r="AF103" s="2" t="s">
        <v>1082</v>
      </c>
      <c r="AG103" s="2" t="s">
        <v>66</v>
      </c>
      <c r="AH103" s="2">
        <v>1</v>
      </c>
      <c r="AI103" s="2" t="s">
        <v>1083</v>
      </c>
      <c r="AK103">
        <f t="shared" si="12"/>
        <v>1</v>
      </c>
      <c r="AL103">
        <f t="shared" si="9"/>
        <v>0</v>
      </c>
      <c r="AM103">
        <f t="shared" si="10"/>
        <v>0</v>
      </c>
      <c r="AN103">
        <f t="shared" si="11"/>
        <v>1</v>
      </c>
    </row>
    <row r="104" spans="1:40" ht="409.6">
      <c r="A104" s="2">
        <v>135</v>
      </c>
      <c r="B104" s="2"/>
      <c r="C104" s="2" t="s">
        <v>1084</v>
      </c>
      <c r="D104" s="2" t="s">
        <v>1085</v>
      </c>
      <c r="E104" s="2" t="s">
        <v>1086</v>
      </c>
      <c r="F104" s="2">
        <v>2022</v>
      </c>
      <c r="G104" s="2"/>
      <c r="H104" s="2"/>
      <c r="I104" s="2"/>
      <c r="J104" s="2" t="s">
        <v>1087</v>
      </c>
      <c r="K104" s="2"/>
      <c r="L104" s="2"/>
      <c r="M104" s="2"/>
      <c r="N104" s="2"/>
      <c r="O104" s="2"/>
      <c r="P104" s="2"/>
      <c r="Q104" s="2"/>
      <c r="R104" s="2"/>
      <c r="S104" s="2"/>
      <c r="T104" s="2"/>
      <c r="U104" s="2"/>
      <c r="V104" s="2"/>
      <c r="W104" s="2"/>
      <c r="X104" s="2"/>
      <c r="Y104" s="2" t="s">
        <v>58</v>
      </c>
      <c r="Z104" s="2" t="s">
        <v>1052</v>
      </c>
      <c r="AA104" s="2" t="s">
        <v>1088</v>
      </c>
      <c r="AB104" s="2" t="s">
        <v>207</v>
      </c>
      <c r="AC104" s="2"/>
      <c r="AD104" s="2" t="s">
        <v>1080</v>
      </c>
      <c r="AE104" s="2" t="s">
        <v>1089</v>
      </c>
      <c r="AF104" s="2" t="s">
        <v>1090</v>
      </c>
      <c r="AG104" s="2" t="s">
        <v>1091</v>
      </c>
      <c r="AH104" s="2">
        <v>1</v>
      </c>
      <c r="AI104" s="2" t="s">
        <v>1083</v>
      </c>
      <c r="AK104">
        <f t="shared" si="12"/>
        <v>1</v>
      </c>
      <c r="AL104">
        <f t="shared" si="9"/>
        <v>0</v>
      </c>
      <c r="AM104">
        <f t="shared" si="10"/>
        <v>0</v>
      </c>
      <c r="AN104">
        <f t="shared" si="11"/>
        <v>1</v>
      </c>
    </row>
    <row r="105" spans="1:40" ht="409.6">
      <c r="A105" s="2">
        <v>136</v>
      </c>
      <c r="B105" s="2"/>
      <c r="C105" s="2" t="s">
        <v>1092</v>
      </c>
      <c r="D105" s="2" t="s">
        <v>1093</v>
      </c>
      <c r="E105" s="2" t="s">
        <v>1094</v>
      </c>
      <c r="F105" s="2">
        <v>2019</v>
      </c>
      <c r="G105" s="2"/>
      <c r="H105" s="2"/>
      <c r="I105" s="2"/>
      <c r="J105" s="2" t="s">
        <v>1095</v>
      </c>
      <c r="K105" s="2"/>
      <c r="L105" s="2"/>
      <c r="M105" s="2"/>
      <c r="N105" s="2"/>
      <c r="O105" s="2"/>
      <c r="P105" s="2"/>
      <c r="Q105" s="2"/>
      <c r="R105" s="2"/>
      <c r="S105" s="2"/>
      <c r="T105" s="2"/>
      <c r="U105" s="2"/>
      <c r="V105" s="2"/>
      <c r="W105" s="2"/>
      <c r="X105" s="2"/>
      <c r="Y105" s="2" t="s">
        <v>58</v>
      </c>
      <c r="Z105" s="2" t="s">
        <v>1052</v>
      </c>
      <c r="AA105" s="2" t="s">
        <v>408</v>
      </c>
      <c r="AB105" s="2" t="s">
        <v>1435</v>
      </c>
      <c r="AC105" s="2" t="s">
        <v>1096</v>
      </c>
      <c r="AD105" s="2" t="s">
        <v>1080</v>
      </c>
      <c r="AE105" s="2"/>
      <c r="AF105" s="2" t="s">
        <v>1055</v>
      </c>
      <c r="AG105" s="2" t="s">
        <v>1097</v>
      </c>
      <c r="AH105" s="2">
        <v>0</v>
      </c>
      <c r="AI105" s="2"/>
      <c r="AK105">
        <f t="shared" si="12"/>
        <v>1</v>
      </c>
      <c r="AL105">
        <f t="shared" si="9"/>
        <v>0</v>
      </c>
      <c r="AM105">
        <f t="shared" si="10"/>
        <v>0</v>
      </c>
      <c r="AN105">
        <f t="shared" si="11"/>
        <v>1</v>
      </c>
    </row>
    <row r="106" spans="1:40" ht="409.6">
      <c r="A106" s="2">
        <v>137</v>
      </c>
      <c r="B106" s="2"/>
      <c r="C106" s="2" t="s">
        <v>1098</v>
      </c>
      <c r="D106" s="2" t="s">
        <v>1099</v>
      </c>
      <c r="E106" s="2" t="s">
        <v>1100</v>
      </c>
      <c r="F106" s="2">
        <v>2020</v>
      </c>
      <c r="G106" s="2"/>
      <c r="H106" s="2"/>
      <c r="I106" s="2"/>
      <c r="J106" s="2" t="s">
        <v>1101</v>
      </c>
      <c r="K106" s="2"/>
      <c r="L106" s="2"/>
      <c r="M106" s="2"/>
      <c r="N106" s="2"/>
      <c r="O106" s="2"/>
      <c r="P106" s="2"/>
      <c r="Q106" s="2"/>
      <c r="R106" s="2"/>
      <c r="S106" s="2"/>
      <c r="T106" s="2"/>
      <c r="U106" s="2"/>
      <c r="V106" s="2"/>
      <c r="W106" s="2"/>
      <c r="X106" s="2"/>
      <c r="Y106" s="2" t="s">
        <v>58</v>
      </c>
      <c r="Z106" s="2" t="s">
        <v>1052</v>
      </c>
      <c r="AA106" s="2" t="s">
        <v>408</v>
      </c>
      <c r="AB106" s="2" t="s">
        <v>91</v>
      </c>
      <c r="AC106" s="2"/>
      <c r="AD106" s="2" t="s">
        <v>1053</v>
      </c>
      <c r="AE106" s="2" t="s">
        <v>1102</v>
      </c>
      <c r="AF106" s="2" t="s">
        <v>1103</v>
      </c>
      <c r="AG106" s="2" t="s">
        <v>66</v>
      </c>
      <c r="AH106" s="2">
        <v>0</v>
      </c>
      <c r="AI106" s="2"/>
      <c r="AK106">
        <f t="shared" si="12"/>
        <v>1</v>
      </c>
      <c r="AL106">
        <f t="shared" si="9"/>
        <v>0</v>
      </c>
      <c r="AM106">
        <f t="shared" si="10"/>
        <v>0</v>
      </c>
      <c r="AN106">
        <f t="shared" si="11"/>
        <v>1</v>
      </c>
    </row>
    <row r="107" spans="1:40" ht="409.6">
      <c r="A107" s="2">
        <v>104</v>
      </c>
      <c r="B107" s="2"/>
      <c r="C107" s="2" t="s">
        <v>1104</v>
      </c>
      <c r="D107" s="2" t="s">
        <v>1105</v>
      </c>
      <c r="E107" s="2" t="s">
        <v>846</v>
      </c>
      <c r="F107" s="2">
        <v>2019</v>
      </c>
      <c r="G107" s="2"/>
      <c r="H107" s="2"/>
      <c r="I107" s="2"/>
      <c r="J107" s="2" t="s">
        <v>1106</v>
      </c>
      <c r="K107" s="2"/>
      <c r="L107" s="2"/>
      <c r="M107" s="2"/>
      <c r="N107" s="2"/>
      <c r="O107" s="2"/>
      <c r="P107" s="2"/>
      <c r="Q107" s="2"/>
      <c r="R107" s="2"/>
      <c r="S107" s="2"/>
      <c r="T107" s="2"/>
      <c r="U107" s="2"/>
      <c r="V107" s="2"/>
      <c r="W107" s="2"/>
      <c r="X107" s="2"/>
      <c r="Y107" s="2" t="s">
        <v>58</v>
      </c>
      <c r="Z107" s="2" t="s">
        <v>1052</v>
      </c>
      <c r="AA107" s="2" t="s">
        <v>408</v>
      </c>
      <c r="AB107" s="2" t="s">
        <v>1107</v>
      </c>
      <c r="AC107" s="2"/>
      <c r="AD107" s="2" t="s">
        <v>1053</v>
      </c>
      <c r="AE107" s="2" t="s">
        <v>1108</v>
      </c>
      <c r="AF107" s="2" t="s">
        <v>1353</v>
      </c>
      <c r="AG107" s="2" t="s">
        <v>66</v>
      </c>
      <c r="AH107" s="2">
        <v>0</v>
      </c>
      <c r="AI107" s="2"/>
      <c r="AK107">
        <f t="shared" si="12"/>
        <v>1</v>
      </c>
      <c r="AL107">
        <f t="shared" si="9"/>
        <v>0</v>
      </c>
      <c r="AM107">
        <f t="shared" si="10"/>
        <v>0</v>
      </c>
      <c r="AN107">
        <f t="shared" si="11"/>
        <v>1</v>
      </c>
    </row>
    <row r="108" spans="1:40" ht="409.6">
      <c r="A108" s="2">
        <v>140</v>
      </c>
      <c r="B108" s="2"/>
      <c r="C108" s="2" t="s">
        <v>1109</v>
      </c>
      <c r="D108" s="2" t="s">
        <v>1110</v>
      </c>
      <c r="E108" s="2" t="s">
        <v>1111</v>
      </c>
      <c r="F108" s="2">
        <v>2018</v>
      </c>
      <c r="G108" s="2"/>
      <c r="H108" s="2"/>
      <c r="I108" s="2"/>
      <c r="J108" s="2" t="s">
        <v>1112</v>
      </c>
      <c r="K108" s="2"/>
      <c r="L108" s="2"/>
      <c r="M108" s="2"/>
      <c r="N108" s="2"/>
      <c r="O108" s="2"/>
      <c r="P108" s="2"/>
      <c r="Q108" s="2"/>
      <c r="R108" s="2"/>
      <c r="S108" s="2"/>
      <c r="T108" s="2"/>
      <c r="U108" s="2"/>
      <c r="V108" s="2"/>
      <c r="W108" s="2"/>
      <c r="X108" s="2"/>
      <c r="Y108" s="2" t="s">
        <v>58</v>
      </c>
      <c r="Z108" s="2" t="s">
        <v>1018</v>
      </c>
      <c r="AA108" s="2" t="s">
        <v>1414</v>
      </c>
      <c r="AB108" s="2" t="s">
        <v>1435</v>
      </c>
      <c r="AC108" s="2" t="s">
        <v>1113</v>
      </c>
      <c r="AD108" s="2" t="s">
        <v>1114</v>
      </c>
      <c r="AE108" s="2" t="s">
        <v>1115</v>
      </c>
      <c r="AF108" s="2"/>
      <c r="AG108" s="2" t="s">
        <v>1116</v>
      </c>
      <c r="AH108" s="2">
        <v>0.5</v>
      </c>
      <c r="AI108" s="2" t="s">
        <v>1117</v>
      </c>
      <c r="AK108">
        <f t="shared" si="12"/>
        <v>1</v>
      </c>
      <c r="AL108">
        <f t="shared" si="9"/>
        <v>0</v>
      </c>
      <c r="AM108">
        <f t="shared" si="10"/>
        <v>1</v>
      </c>
      <c r="AN108">
        <f t="shared" si="11"/>
        <v>0</v>
      </c>
    </row>
    <row r="109" spans="1:40" ht="409.6">
      <c r="A109" s="2">
        <v>141</v>
      </c>
      <c r="B109" s="2"/>
      <c r="C109" s="2" t="s">
        <v>1118</v>
      </c>
      <c r="D109" s="2" t="s">
        <v>1119</v>
      </c>
      <c r="E109" s="2" t="s">
        <v>1120</v>
      </c>
      <c r="F109" s="2">
        <v>2021</v>
      </c>
      <c r="G109" s="2"/>
      <c r="H109" s="2"/>
      <c r="I109" s="2"/>
      <c r="J109" s="2" t="s">
        <v>1121</v>
      </c>
      <c r="K109" s="2"/>
      <c r="L109" s="2"/>
      <c r="M109" s="2"/>
      <c r="N109" s="2"/>
      <c r="O109" s="2"/>
      <c r="P109" s="2"/>
      <c r="Q109" s="2"/>
      <c r="R109" s="2"/>
      <c r="S109" s="2"/>
      <c r="T109" s="2"/>
      <c r="U109" s="2"/>
      <c r="V109" s="2"/>
      <c r="W109" s="2"/>
      <c r="X109" s="2"/>
      <c r="Y109" s="2" t="s">
        <v>58</v>
      </c>
      <c r="Z109" s="2" t="s">
        <v>1018</v>
      </c>
      <c r="AA109" s="2" t="s">
        <v>129</v>
      </c>
      <c r="AB109" s="2" t="s">
        <v>207</v>
      </c>
      <c r="AC109" s="2" t="s">
        <v>1113</v>
      </c>
      <c r="AD109" s="2" t="s">
        <v>1122</v>
      </c>
      <c r="AE109" s="2" t="s">
        <v>1123</v>
      </c>
      <c r="AF109" s="2" t="s">
        <v>1124</v>
      </c>
      <c r="AG109" s="2" t="s">
        <v>1125</v>
      </c>
      <c r="AH109" s="2">
        <v>1</v>
      </c>
      <c r="AI109" s="2" t="s">
        <v>1126</v>
      </c>
      <c r="AK109">
        <f t="shared" si="12"/>
        <v>1</v>
      </c>
      <c r="AL109">
        <f t="shared" si="9"/>
        <v>0</v>
      </c>
      <c r="AM109">
        <f t="shared" si="10"/>
        <v>1</v>
      </c>
      <c r="AN109">
        <f t="shared" si="11"/>
        <v>0</v>
      </c>
    </row>
    <row r="110" spans="1:40" ht="409.6">
      <c r="A110" s="2">
        <v>142</v>
      </c>
      <c r="B110" s="2"/>
      <c r="C110" s="2" t="s">
        <v>1127</v>
      </c>
      <c r="D110" s="2" t="s">
        <v>1128</v>
      </c>
      <c r="E110" s="2" t="s">
        <v>1129</v>
      </c>
      <c r="F110" s="2">
        <v>2016</v>
      </c>
      <c r="G110" s="2"/>
      <c r="H110" s="2"/>
      <c r="I110" s="2"/>
      <c r="J110" s="2" t="s">
        <v>1130</v>
      </c>
      <c r="K110" s="2"/>
      <c r="L110" s="2"/>
      <c r="M110" s="2"/>
      <c r="N110" s="2"/>
      <c r="O110" s="2"/>
      <c r="P110" s="2"/>
      <c r="Q110" s="2"/>
      <c r="R110" s="2"/>
      <c r="S110" s="2"/>
      <c r="T110" s="2"/>
      <c r="U110" s="2"/>
      <c r="V110" s="2"/>
      <c r="W110" s="2"/>
      <c r="X110" s="2"/>
      <c r="Y110" s="2" t="s">
        <v>58</v>
      </c>
      <c r="Z110" s="2" t="s">
        <v>1018</v>
      </c>
      <c r="AA110" s="2" t="s">
        <v>1420</v>
      </c>
      <c r="AB110" s="2" t="s">
        <v>409</v>
      </c>
      <c r="AC110" s="2"/>
      <c r="AD110" s="2" t="s">
        <v>1131</v>
      </c>
      <c r="AE110" s="2" t="s">
        <v>1132</v>
      </c>
      <c r="AF110" s="2"/>
      <c r="AG110" s="2" t="s">
        <v>1125</v>
      </c>
      <c r="AH110" s="2">
        <v>0</v>
      </c>
      <c r="AI110" s="2"/>
      <c r="AK110">
        <f t="shared" si="12"/>
        <v>1</v>
      </c>
      <c r="AL110">
        <f t="shared" si="9"/>
        <v>0</v>
      </c>
      <c r="AM110">
        <f t="shared" si="10"/>
        <v>1</v>
      </c>
      <c r="AN110">
        <f t="shared" si="11"/>
        <v>0</v>
      </c>
    </row>
    <row r="111" spans="1:40" ht="409.6">
      <c r="A111" s="2">
        <v>143</v>
      </c>
      <c r="B111" s="2"/>
      <c r="C111" s="2" t="s">
        <v>1133</v>
      </c>
      <c r="D111" s="2" t="s">
        <v>1134</v>
      </c>
      <c r="E111" s="2" t="s">
        <v>1135</v>
      </c>
      <c r="F111" s="2">
        <v>2017</v>
      </c>
      <c r="G111" s="2"/>
      <c r="H111" s="2"/>
      <c r="I111" s="2"/>
      <c r="J111" s="2" t="s">
        <v>1136</v>
      </c>
      <c r="K111" s="2"/>
      <c r="L111" s="2"/>
      <c r="M111" s="2"/>
      <c r="N111" s="2"/>
      <c r="O111" s="2"/>
      <c r="P111" s="2"/>
      <c r="Q111" s="2"/>
      <c r="R111" s="2"/>
      <c r="S111" s="2"/>
      <c r="T111" s="2"/>
      <c r="U111" s="2"/>
      <c r="V111" s="2"/>
      <c r="W111" s="2"/>
      <c r="X111" s="2"/>
      <c r="Y111" s="2" t="s">
        <v>58</v>
      </c>
      <c r="Z111" s="2" t="s">
        <v>1018</v>
      </c>
      <c r="AA111" s="2" t="s">
        <v>1421</v>
      </c>
      <c r="AB111" s="2" t="s">
        <v>409</v>
      </c>
      <c r="AC111" s="2"/>
      <c r="AD111" s="2" t="s">
        <v>1137</v>
      </c>
      <c r="AE111" s="2" t="s">
        <v>1138</v>
      </c>
      <c r="AF111" s="2" t="s">
        <v>1139</v>
      </c>
      <c r="AG111" s="2" t="s">
        <v>1125</v>
      </c>
      <c r="AH111" s="2">
        <v>0</v>
      </c>
      <c r="AI111" s="2"/>
      <c r="AK111">
        <f t="shared" si="12"/>
        <v>1</v>
      </c>
      <c r="AL111">
        <f t="shared" si="9"/>
        <v>0</v>
      </c>
      <c r="AM111">
        <f t="shared" si="10"/>
        <v>1</v>
      </c>
      <c r="AN111">
        <f t="shared" si="11"/>
        <v>0</v>
      </c>
    </row>
    <row r="112" spans="1:40" ht="409.6">
      <c r="A112" s="2">
        <v>144</v>
      </c>
      <c r="B112" s="2"/>
      <c r="C112" s="2" t="s">
        <v>1140</v>
      </c>
      <c r="D112" s="2" t="s">
        <v>1141</v>
      </c>
      <c r="E112" s="2" t="s">
        <v>1142</v>
      </c>
      <c r="F112" s="2">
        <v>2018</v>
      </c>
      <c r="G112" s="2"/>
      <c r="H112" s="2"/>
      <c r="I112" s="2"/>
      <c r="J112" s="2" t="s">
        <v>1143</v>
      </c>
      <c r="K112" s="2"/>
      <c r="L112" s="2"/>
      <c r="M112" s="2"/>
      <c r="N112" s="2"/>
      <c r="O112" s="2"/>
      <c r="P112" s="2"/>
      <c r="Q112" s="2"/>
      <c r="R112" s="2"/>
      <c r="S112" s="2"/>
      <c r="T112" s="2"/>
      <c r="U112" s="2"/>
      <c r="V112" s="2"/>
      <c r="W112" s="2"/>
      <c r="X112" s="2"/>
      <c r="Y112" s="2" t="s">
        <v>58</v>
      </c>
      <c r="Z112" s="2" t="s">
        <v>1052</v>
      </c>
      <c r="AA112" s="2" t="s">
        <v>408</v>
      </c>
      <c r="AB112" s="2" t="s">
        <v>1435</v>
      </c>
      <c r="AC112" s="2" t="s">
        <v>1144</v>
      </c>
      <c r="AD112" s="2" t="s">
        <v>1145</v>
      </c>
      <c r="AE112" s="2" t="s">
        <v>1146</v>
      </c>
      <c r="AF112" s="2" t="s">
        <v>1147</v>
      </c>
      <c r="AG112" s="2" t="s">
        <v>1148</v>
      </c>
      <c r="AH112" s="2">
        <v>1</v>
      </c>
      <c r="AI112" s="2" t="s">
        <v>1149</v>
      </c>
      <c r="AK112">
        <f t="shared" si="12"/>
        <v>1</v>
      </c>
      <c r="AL112">
        <f t="shared" si="9"/>
        <v>0</v>
      </c>
      <c r="AM112">
        <f t="shared" si="10"/>
        <v>0</v>
      </c>
      <c r="AN112">
        <f t="shared" si="11"/>
        <v>1</v>
      </c>
    </row>
    <row r="113" spans="1:40" ht="409.6">
      <c r="A113" s="2">
        <v>146</v>
      </c>
      <c r="B113" s="2"/>
      <c r="C113" s="2" t="s">
        <v>1150</v>
      </c>
      <c r="D113" s="2" t="s">
        <v>1151</v>
      </c>
      <c r="E113" s="2" t="s">
        <v>1152</v>
      </c>
      <c r="F113" s="2">
        <v>2017</v>
      </c>
      <c r="G113" s="2"/>
      <c r="H113" s="2"/>
      <c r="I113" s="2"/>
      <c r="J113" s="2" t="s">
        <v>1153</v>
      </c>
      <c r="K113" s="2"/>
      <c r="L113" s="2"/>
      <c r="M113" s="2"/>
      <c r="N113" s="2"/>
      <c r="O113" s="2"/>
      <c r="P113" s="2"/>
      <c r="Q113" s="2"/>
      <c r="R113" s="2"/>
      <c r="S113" s="2"/>
      <c r="T113" s="2"/>
      <c r="U113" s="2"/>
      <c r="V113" s="2"/>
      <c r="W113" s="2"/>
      <c r="X113" s="2"/>
      <c r="Y113" s="2" t="s">
        <v>58</v>
      </c>
      <c r="Z113" s="2" t="s">
        <v>1038</v>
      </c>
      <c r="AA113" s="2" t="s">
        <v>1154</v>
      </c>
      <c r="AB113" s="2" t="s">
        <v>207</v>
      </c>
      <c r="AC113" s="2"/>
      <c r="AD113" s="2"/>
      <c r="AE113" s="2" t="s">
        <v>1155</v>
      </c>
      <c r="AF113" s="2" t="s">
        <v>1156</v>
      </c>
      <c r="AG113" s="2" t="s">
        <v>717</v>
      </c>
      <c r="AH113" s="2">
        <v>0</v>
      </c>
      <c r="AI113" s="2"/>
      <c r="AK113">
        <f t="shared" si="12"/>
        <v>1</v>
      </c>
      <c r="AL113">
        <f t="shared" si="9"/>
        <v>0</v>
      </c>
      <c r="AM113">
        <f t="shared" si="10"/>
        <v>1</v>
      </c>
      <c r="AN113">
        <f t="shared" si="11"/>
        <v>1</v>
      </c>
    </row>
    <row r="114" spans="1:40" ht="409.6">
      <c r="A114" s="2">
        <v>147</v>
      </c>
      <c r="B114" s="2"/>
      <c r="C114" s="2" t="s">
        <v>1157</v>
      </c>
      <c r="D114" s="2" t="s">
        <v>1158</v>
      </c>
      <c r="E114" s="2" t="s">
        <v>1159</v>
      </c>
      <c r="F114" s="2">
        <v>2014</v>
      </c>
      <c r="G114" s="2"/>
      <c r="H114" s="2"/>
      <c r="I114" s="2"/>
      <c r="J114" s="2" t="s">
        <v>1160</v>
      </c>
      <c r="K114" s="2"/>
      <c r="L114" s="2"/>
      <c r="M114" s="2"/>
      <c r="N114" s="2"/>
      <c r="O114" s="2"/>
      <c r="P114" s="2"/>
      <c r="Q114" s="2"/>
      <c r="R114" s="2"/>
      <c r="S114" s="2"/>
      <c r="T114" s="2"/>
      <c r="U114" s="2"/>
      <c r="V114" s="2"/>
      <c r="W114" s="2"/>
      <c r="X114" s="2"/>
      <c r="Y114" s="2" t="s">
        <v>58</v>
      </c>
      <c r="Z114" s="2" t="s">
        <v>1052</v>
      </c>
      <c r="AA114" s="2" t="s">
        <v>1415</v>
      </c>
      <c r="AB114" s="2" t="s">
        <v>91</v>
      </c>
      <c r="AC114" s="2"/>
      <c r="AD114" s="2" t="s">
        <v>1161</v>
      </c>
      <c r="AE114" s="2" t="s">
        <v>1162</v>
      </c>
      <c r="AF114" s="2" t="s">
        <v>1163</v>
      </c>
      <c r="AG114" s="2" t="s">
        <v>1164</v>
      </c>
      <c r="AH114" s="2">
        <v>0</v>
      </c>
      <c r="AI114" s="2"/>
      <c r="AK114">
        <f t="shared" si="12"/>
        <v>1</v>
      </c>
      <c r="AL114">
        <f t="shared" si="9"/>
        <v>0</v>
      </c>
      <c r="AM114">
        <f t="shared" si="10"/>
        <v>0</v>
      </c>
      <c r="AN114">
        <f t="shared" si="11"/>
        <v>1</v>
      </c>
    </row>
    <row r="115" spans="1:40" ht="409.6">
      <c r="A115" s="2">
        <v>148</v>
      </c>
      <c r="B115" s="2"/>
      <c r="C115" s="2" t="s">
        <v>1165</v>
      </c>
      <c r="D115" s="2" t="s">
        <v>1166</v>
      </c>
      <c r="E115" s="2" t="s">
        <v>1167</v>
      </c>
      <c r="F115" s="2">
        <v>2014</v>
      </c>
      <c r="G115" s="2"/>
      <c r="H115" s="2"/>
      <c r="I115" s="2"/>
      <c r="J115" s="2" t="s">
        <v>1168</v>
      </c>
      <c r="K115" s="2"/>
      <c r="L115" s="2"/>
      <c r="M115" s="2"/>
      <c r="N115" s="2"/>
      <c r="O115" s="2"/>
      <c r="P115" s="2"/>
      <c r="Q115" s="2"/>
      <c r="R115" s="2"/>
      <c r="S115" s="2"/>
      <c r="T115" s="2"/>
      <c r="U115" s="2"/>
      <c r="V115" s="2"/>
      <c r="W115" s="2"/>
      <c r="X115" s="2"/>
      <c r="Y115" s="2" t="s">
        <v>58</v>
      </c>
      <c r="Z115" s="2" t="s">
        <v>1169</v>
      </c>
      <c r="AA115" s="2" t="s">
        <v>1170</v>
      </c>
      <c r="AB115" s="2" t="s">
        <v>91</v>
      </c>
      <c r="AC115" s="2"/>
      <c r="AD115" s="2" t="s">
        <v>1171</v>
      </c>
      <c r="AE115" s="2" t="s">
        <v>1172</v>
      </c>
      <c r="AF115" s="2" t="s">
        <v>1173</v>
      </c>
      <c r="AG115" s="2" t="s">
        <v>1174</v>
      </c>
      <c r="AH115" s="2">
        <v>0.5</v>
      </c>
      <c r="AI115" s="2" t="s">
        <v>1175</v>
      </c>
      <c r="AK115">
        <f t="shared" si="12"/>
        <v>1</v>
      </c>
      <c r="AL115">
        <f t="shared" si="9"/>
        <v>0</v>
      </c>
      <c r="AM115">
        <f t="shared" si="10"/>
        <v>1</v>
      </c>
      <c r="AN115">
        <f t="shared" si="11"/>
        <v>1</v>
      </c>
    </row>
    <row r="116" spans="1:40" ht="409.6">
      <c r="A116" s="2">
        <v>149</v>
      </c>
      <c r="B116" s="2"/>
      <c r="C116" s="2" t="s">
        <v>1176</v>
      </c>
      <c r="D116" s="2" t="s">
        <v>1177</v>
      </c>
      <c r="E116" s="2" t="s">
        <v>1178</v>
      </c>
      <c r="F116" s="2">
        <v>2018</v>
      </c>
      <c r="G116" s="2"/>
      <c r="H116" s="2"/>
      <c r="I116" s="2"/>
      <c r="J116" s="2" t="s">
        <v>1179</v>
      </c>
      <c r="K116" s="2"/>
      <c r="L116" s="2"/>
      <c r="M116" s="2"/>
      <c r="N116" s="2"/>
      <c r="O116" s="2"/>
      <c r="P116" s="2"/>
      <c r="Q116" s="2"/>
      <c r="R116" s="2"/>
      <c r="S116" s="2"/>
      <c r="T116" s="2"/>
      <c r="U116" s="2"/>
      <c r="V116" s="2"/>
      <c r="W116" s="2"/>
      <c r="X116" s="2"/>
      <c r="Y116" s="2" t="s">
        <v>58</v>
      </c>
      <c r="Z116" s="2" t="s">
        <v>1180</v>
      </c>
      <c r="AA116" s="2" t="s">
        <v>1170</v>
      </c>
      <c r="AB116" s="2" t="s">
        <v>91</v>
      </c>
      <c r="AC116" s="2"/>
      <c r="AD116" s="2" t="s">
        <v>1080</v>
      </c>
      <c r="AE116" s="2"/>
      <c r="AF116" s="2" t="s">
        <v>1181</v>
      </c>
      <c r="AG116" s="2" t="s">
        <v>66</v>
      </c>
      <c r="AH116" s="2">
        <v>0</v>
      </c>
      <c r="AI116" s="2" t="s">
        <v>1182</v>
      </c>
      <c r="AK116">
        <f t="shared" si="12"/>
        <v>1</v>
      </c>
      <c r="AL116">
        <f t="shared" si="9"/>
        <v>0</v>
      </c>
      <c r="AM116">
        <f t="shared" si="10"/>
        <v>0</v>
      </c>
      <c r="AN116">
        <f t="shared" si="11"/>
        <v>1</v>
      </c>
    </row>
    <row r="117" spans="1:40" ht="409.6">
      <c r="A117" s="2">
        <v>150</v>
      </c>
      <c r="B117" s="2"/>
      <c r="C117" s="2" t="s">
        <v>1183</v>
      </c>
      <c r="D117" s="2" t="s">
        <v>1184</v>
      </c>
      <c r="E117" s="2" t="s">
        <v>1185</v>
      </c>
      <c r="F117" s="2">
        <v>2023</v>
      </c>
      <c r="G117" s="2"/>
      <c r="H117" s="2"/>
      <c r="I117" s="2"/>
      <c r="J117" s="2" t="s">
        <v>1186</v>
      </c>
      <c r="K117" s="2"/>
      <c r="L117" s="2"/>
      <c r="M117" s="2"/>
      <c r="N117" s="2"/>
      <c r="O117" s="2"/>
      <c r="P117" s="2"/>
      <c r="Q117" s="2"/>
      <c r="R117" s="2"/>
      <c r="S117" s="2"/>
      <c r="T117" s="2"/>
      <c r="U117" s="2"/>
      <c r="V117" s="2"/>
      <c r="W117" s="2"/>
      <c r="X117" s="2"/>
      <c r="Y117" s="2" t="s">
        <v>58</v>
      </c>
      <c r="Z117" s="2" t="s">
        <v>1052</v>
      </c>
      <c r="AA117" s="2" t="s">
        <v>114</v>
      </c>
      <c r="AB117" s="2" t="s">
        <v>1187</v>
      </c>
      <c r="AC117" s="2"/>
      <c r="AD117" s="2" t="s">
        <v>1188</v>
      </c>
      <c r="AE117" s="2" t="s">
        <v>1189</v>
      </c>
      <c r="AF117" s="2" t="s">
        <v>1190</v>
      </c>
      <c r="AG117" s="2" t="s">
        <v>66</v>
      </c>
      <c r="AH117" s="2">
        <v>1</v>
      </c>
      <c r="AI117" s="2" t="s">
        <v>1191</v>
      </c>
      <c r="AK117">
        <f t="shared" si="12"/>
        <v>1</v>
      </c>
      <c r="AL117">
        <f t="shared" si="9"/>
        <v>0</v>
      </c>
      <c r="AM117">
        <f t="shared" si="10"/>
        <v>0</v>
      </c>
      <c r="AN117">
        <f t="shared" si="11"/>
        <v>1</v>
      </c>
    </row>
    <row r="118" spans="1:40" ht="409.6">
      <c r="A118" s="2">
        <v>151</v>
      </c>
      <c r="B118" s="2"/>
      <c r="C118" s="2" t="s">
        <v>1192</v>
      </c>
      <c r="D118" s="2" t="s">
        <v>1193</v>
      </c>
      <c r="E118" s="2" t="s">
        <v>1194</v>
      </c>
      <c r="F118" s="2">
        <v>2014</v>
      </c>
      <c r="G118" s="2"/>
      <c r="H118" s="2"/>
      <c r="I118" s="2"/>
      <c r="J118" s="2" t="s">
        <v>1195</v>
      </c>
      <c r="K118" s="2"/>
      <c r="L118" s="2"/>
      <c r="M118" s="2"/>
      <c r="N118" s="2"/>
      <c r="O118" s="2"/>
      <c r="P118" s="2"/>
      <c r="Q118" s="2"/>
      <c r="R118" s="2"/>
      <c r="S118" s="2"/>
      <c r="T118" s="2"/>
      <c r="U118" s="2"/>
      <c r="V118" s="2"/>
      <c r="W118" s="2"/>
      <c r="X118" s="2"/>
      <c r="Y118" s="2" t="s">
        <v>58</v>
      </c>
      <c r="Z118" s="2" t="s">
        <v>1052</v>
      </c>
      <c r="AA118" s="2" t="s">
        <v>142</v>
      </c>
      <c r="AB118" s="2" t="s">
        <v>1373</v>
      </c>
      <c r="AC118" s="2"/>
      <c r="AD118" s="2" t="s">
        <v>1053</v>
      </c>
      <c r="AE118" s="2" t="s">
        <v>1196</v>
      </c>
      <c r="AF118" s="2" t="s">
        <v>1197</v>
      </c>
      <c r="AG118" s="2" t="s">
        <v>66</v>
      </c>
      <c r="AH118" s="2">
        <v>0</v>
      </c>
      <c r="AI118" s="2" t="s">
        <v>1198</v>
      </c>
      <c r="AK118">
        <f t="shared" si="12"/>
        <v>1</v>
      </c>
      <c r="AL118">
        <f t="shared" si="9"/>
        <v>0</v>
      </c>
      <c r="AM118">
        <f t="shared" si="10"/>
        <v>0</v>
      </c>
      <c r="AN118">
        <f t="shared" si="11"/>
        <v>1</v>
      </c>
    </row>
    <row r="119" spans="1:40" ht="409.6">
      <c r="A119" s="2">
        <v>152</v>
      </c>
      <c r="B119" s="2"/>
      <c r="C119" s="2" t="s">
        <v>1199</v>
      </c>
      <c r="D119" s="2" t="s">
        <v>1200</v>
      </c>
      <c r="E119" s="2" t="s">
        <v>1201</v>
      </c>
      <c r="F119" s="2">
        <v>2015</v>
      </c>
      <c r="G119" s="2"/>
      <c r="H119" s="2"/>
      <c r="I119" s="2"/>
      <c r="J119" s="2" t="s">
        <v>1202</v>
      </c>
      <c r="K119" s="2"/>
      <c r="L119" s="2"/>
      <c r="M119" s="2"/>
      <c r="N119" s="2"/>
      <c r="O119" s="2"/>
      <c r="P119" s="2"/>
      <c r="Q119" s="2"/>
      <c r="R119" s="2"/>
      <c r="S119" s="2"/>
      <c r="T119" s="2"/>
      <c r="U119" s="2"/>
      <c r="V119" s="2"/>
      <c r="W119" s="2"/>
      <c r="X119" s="2"/>
      <c r="Y119" s="2" t="s">
        <v>58</v>
      </c>
      <c r="Z119" s="2" t="s">
        <v>1052</v>
      </c>
      <c r="AA119" s="2" t="s">
        <v>408</v>
      </c>
      <c r="AB119" s="2" t="s">
        <v>207</v>
      </c>
      <c r="AC119" s="2" t="s">
        <v>1203</v>
      </c>
      <c r="AD119" s="2" t="s">
        <v>1204</v>
      </c>
      <c r="AE119" s="2" t="s">
        <v>1205</v>
      </c>
      <c r="AF119" s="2" t="s">
        <v>1055</v>
      </c>
      <c r="AG119" s="2" t="s">
        <v>1206</v>
      </c>
      <c r="AH119" s="2">
        <v>0.5</v>
      </c>
      <c r="AI119" s="2" t="s">
        <v>1207</v>
      </c>
      <c r="AK119">
        <f t="shared" si="12"/>
        <v>1</v>
      </c>
      <c r="AL119">
        <f t="shared" si="9"/>
        <v>0</v>
      </c>
      <c r="AM119">
        <f t="shared" si="10"/>
        <v>0</v>
      </c>
      <c r="AN119">
        <f t="shared" si="11"/>
        <v>1</v>
      </c>
    </row>
    <row r="120" spans="1:40" ht="409.6">
      <c r="A120" s="2">
        <v>154</v>
      </c>
      <c r="B120" s="2"/>
      <c r="C120" s="2" t="s">
        <v>1208</v>
      </c>
      <c r="D120" s="2" t="s">
        <v>1209</v>
      </c>
      <c r="E120" s="2" t="s">
        <v>1210</v>
      </c>
      <c r="F120" s="2">
        <v>2021</v>
      </c>
      <c r="G120" s="2"/>
      <c r="H120" s="2"/>
      <c r="I120" s="2"/>
      <c r="J120" s="2" t="s">
        <v>1211</v>
      </c>
      <c r="K120" s="2"/>
      <c r="L120" s="2"/>
      <c r="M120" s="2"/>
      <c r="N120" s="2"/>
      <c r="O120" s="2"/>
      <c r="P120" s="2"/>
      <c r="Q120" s="2"/>
      <c r="R120" s="2"/>
      <c r="S120" s="2"/>
      <c r="T120" s="2"/>
      <c r="U120" s="2"/>
      <c r="V120" s="2"/>
      <c r="W120" s="2"/>
      <c r="X120" s="2"/>
      <c r="Y120" s="2" t="s">
        <v>58</v>
      </c>
      <c r="Z120" s="2" t="s">
        <v>1052</v>
      </c>
      <c r="AA120" s="2" t="s">
        <v>114</v>
      </c>
      <c r="AB120" s="2" t="s">
        <v>1212</v>
      </c>
      <c r="AC120" s="2"/>
      <c r="AD120" s="2" t="s">
        <v>1213</v>
      </c>
      <c r="AE120" s="2" t="s">
        <v>1214</v>
      </c>
      <c r="AF120" s="2" t="s">
        <v>1215</v>
      </c>
      <c r="AG120" s="2" t="s">
        <v>1216</v>
      </c>
      <c r="AH120" s="2">
        <v>0</v>
      </c>
      <c r="AI120" s="2" t="s">
        <v>1217</v>
      </c>
      <c r="AK120">
        <f t="shared" si="12"/>
        <v>1</v>
      </c>
      <c r="AL120">
        <f t="shared" si="9"/>
        <v>0</v>
      </c>
      <c r="AM120">
        <f t="shared" si="10"/>
        <v>0</v>
      </c>
      <c r="AN120">
        <f t="shared" si="11"/>
        <v>1</v>
      </c>
    </row>
    <row r="121" spans="1:40" ht="409.6">
      <c r="A121" s="2">
        <v>155</v>
      </c>
      <c r="B121" s="2"/>
      <c r="C121" s="2" t="s">
        <v>1218</v>
      </c>
      <c r="D121" s="2" t="s">
        <v>1219</v>
      </c>
      <c r="E121" s="2" t="s">
        <v>1220</v>
      </c>
      <c r="F121" s="2">
        <v>2024</v>
      </c>
      <c r="G121" s="2"/>
      <c r="H121" s="2"/>
      <c r="I121" s="2"/>
      <c r="J121" s="2" t="s">
        <v>1221</v>
      </c>
      <c r="K121" s="2"/>
      <c r="L121" s="2"/>
      <c r="M121" s="2"/>
      <c r="N121" s="2"/>
      <c r="O121" s="2"/>
      <c r="P121" s="2"/>
      <c r="Q121" s="2"/>
      <c r="R121" s="2"/>
      <c r="S121" s="2"/>
      <c r="T121" s="2"/>
      <c r="U121" s="2"/>
      <c r="V121" s="2"/>
      <c r="W121" s="2"/>
      <c r="X121" s="2"/>
      <c r="Y121" s="2" t="s">
        <v>58</v>
      </c>
      <c r="Z121" s="2" t="s">
        <v>1052</v>
      </c>
      <c r="AA121" s="2" t="s">
        <v>114</v>
      </c>
      <c r="AB121" s="2" t="s">
        <v>1222</v>
      </c>
      <c r="AC121" s="2"/>
      <c r="AD121" s="2" t="s">
        <v>1223</v>
      </c>
      <c r="AE121" s="2" t="s">
        <v>1224</v>
      </c>
      <c r="AF121" s="2" t="s">
        <v>1225</v>
      </c>
      <c r="AG121" s="2" t="s">
        <v>1226</v>
      </c>
      <c r="AH121" s="2">
        <v>0</v>
      </c>
      <c r="AI121" s="2" t="s">
        <v>1227</v>
      </c>
      <c r="AK121">
        <f t="shared" si="12"/>
        <v>1</v>
      </c>
      <c r="AL121">
        <f t="shared" si="9"/>
        <v>0</v>
      </c>
      <c r="AM121">
        <f t="shared" si="10"/>
        <v>0</v>
      </c>
      <c r="AN121">
        <f t="shared" si="11"/>
        <v>1</v>
      </c>
    </row>
    <row r="122" spans="1:40" ht="409.6">
      <c r="A122" s="2">
        <v>156</v>
      </c>
      <c r="B122" s="2"/>
      <c r="C122" s="2" t="s">
        <v>1228</v>
      </c>
      <c r="D122" s="2" t="s">
        <v>1229</v>
      </c>
      <c r="E122" s="2" t="s">
        <v>1230</v>
      </c>
      <c r="F122" s="2">
        <v>2022</v>
      </c>
      <c r="G122" s="2"/>
      <c r="H122" s="2"/>
      <c r="I122" s="2"/>
      <c r="J122" s="2" t="s">
        <v>1231</v>
      </c>
      <c r="K122" s="2"/>
      <c r="L122" s="2"/>
      <c r="M122" s="2"/>
      <c r="N122" s="2"/>
      <c r="O122" s="2"/>
      <c r="P122" s="2"/>
      <c r="Q122" s="2"/>
      <c r="R122" s="2"/>
      <c r="S122" s="2"/>
      <c r="T122" s="2"/>
      <c r="U122" s="2"/>
      <c r="V122" s="2"/>
      <c r="W122" s="2"/>
      <c r="X122" s="2"/>
      <c r="Y122" s="2" t="s">
        <v>58</v>
      </c>
      <c r="Z122" s="2" t="s">
        <v>1052</v>
      </c>
      <c r="AA122" s="2" t="s">
        <v>1232</v>
      </c>
      <c r="AB122" s="2" t="s">
        <v>409</v>
      </c>
      <c r="AC122" s="2"/>
      <c r="AD122" s="2" t="s">
        <v>1233</v>
      </c>
      <c r="AE122" s="2" t="s">
        <v>1234</v>
      </c>
      <c r="AF122" s="2" t="s">
        <v>1181</v>
      </c>
      <c r="AG122" s="2" t="s">
        <v>1206</v>
      </c>
      <c r="AH122" s="2">
        <v>0</v>
      </c>
      <c r="AI122" s="2" t="s">
        <v>1235</v>
      </c>
      <c r="AK122">
        <f t="shared" si="12"/>
        <v>1</v>
      </c>
      <c r="AL122">
        <f t="shared" si="9"/>
        <v>0</v>
      </c>
      <c r="AM122">
        <f t="shared" si="10"/>
        <v>0</v>
      </c>
      <c r="AN122">
        <f t="shared" si="11"/>
        <v>1</v>
      </c>
    </row>
    <row r="123" spans="1:40" ht="409.6">
      <c r="A123" s="2">
        <v>158</v>
      </c>
      <c r="B123" s="2"/>
      <c r="C123" s="2" t="s">
        <v>1236</v>
      </c>
      <c r="D123" s="2" t="s">
        <v>1237</v>
      </c>
      <c r="E123" s="2" t="s">
        <v>1238</v>
      </c>
      <c r="F123" s="2">
        <v>2020</v>
      </c>
      <c r="G123" s="2"/>
      <c r="H123" s="2"/>
      <c r="I123" s="2"/>
      <c r="J123" s="2" t="s">
        <v>1239</v>
      </c>
      <c r="K123" s="2"/>
      <c r="L123" s="2"/>
      <c r="M123" s="2"/>
      <c r="N123" s="2"/>
      <c r="O123" s="2"/>
      <c r="P123" s="2"/>
      <c r="Q123" s="2"/>
      <c r="R123" s="2"/>
      <c r="S123" s="2"/>
      <c r="T123" s="2"/>
      <c r="U123" s="2"/>
      <c r="V123" s="2"/>
      <c r="W123" s="2"/>
      <c r="X123" s="2"/>
      <c r="Y123" s="2" t="s">
        <v>58</v>
      </c>
      <c r="Z123" s="2" t="s">
        <v>1018</v>
      </c>
      <c r="AA123" s="2" t="s">
        <v>1422</v>
      </c>
      <c r="AB123" s="2" t="s">
        <v>1435</v>
      </c>
      <c r="AC123" s="2" t="s">
        <v>1144</v>
      </c>
      <c r="AD123" s="2" t="s">
        <v>1240</v>
      </c>
      <c r="AE123" s="2" t="s">
        <v>1241</v>
      </c>
      <c r="AF123" s="2"/>
      <c r="AG123" s="2" t="s">
        <v>1242</v>
      </c>
      <c r="AH123" s="2">
        <v>1</v>
      </c>
      <c r="AI123" s="2"/>
      <c r="AK123">
        <f t="shared" si="12"/>
        <v>1</v>
      </c>
      <c r="AL123">
        <f t="shared" si="9"/>
        <v>0</v>
      </c>
      <c r="AM123">
        <f t="shared" si="10"/>
        <v>1</v>
      </c>
      <c r="AN123">
        <f t="shared" si="11"/>
        <v>0</v>
      </c>
    </row>
    <row r="124" spans="1:40" ht="409.6">
      <c r="A124" s="2">
        <v>159</v>
      </c>
      <c r="B124" s="2"/>
      <c r="C124" s="2" t="s">
        <v>1243</v>
      </c>
      <c r="D124" s="2" t="s">
        <v>459</v>
      </c>
      <c r="E124" s="2" t="s">
        <v>1244</v>
      </c>
      <c r="F124" s="2">
        <v>2015</v>
      </c>
      <c r="G124" s="2"/>
      <c r="H124" s="2"/>
      <c r="I124" s="2"/>
      <c r="J124" s="2" t="s">
        <v>1245</v>
      </c>
      <c r="K124" s="2"/>
      <c r="L124" s="2"/>
      <c r="M124" s="2"/>
      <c r="N124" s="2"/>
      <c r="O124" s="2"/>
      <c r="P124" s="2"/>
      <c r="Q124" s="2"/>
      <c r="R124" s="2"/>
      <c r="S124" s="2"/>
      <c r="T124" s="2"/>
      <c r="U124" s="2"/>
      <c r="V124" s="2"/>
      <c r="W124" s="2"/>
      <c r="X124" s="2"/>
      <c r="Y124" s="2" t="s">
        <v>58</v>
      </c>
      <c r="Z124" s="2" t="s">
        <v>1052</v>
      </c>
      <c r="AA124" s="2" t="s">
        <v>60</v>
      </c>
      <c r="AB124" s="2" t="s">
        <v>91</v>
      </c>
      <c r="AC124" s="2" t="s">
        <v>1203</v>
      </c>
      <c r="AD124" s="2" t="s">
        <v>1053</v>
      </c>
      <c r="AE124" s="2" t="s">
        <v>1246</v>
      </c>
      <c r="AF124" s="2" t="s">
        <v>1181</v>
      </c>
      <c r="AG124" s="2" t="s">
        <v>66</v>
      </c>
      <c r="AH124" s="2">
        <v>0</v>
      </c>
      <c r="AI124" s="2"/>
      <c r="AK124">
        <f t="shared" si="12"/>
        <v>1</v>
      </c>
      <c r="AL124">
        <f t="shared" si="9"/>
        <v>0</v>
      </c>
      <c r="AM124">
        <f t="shared" si="10"/>
        <v>0</v>
      </c>
      <c r="AN124">
        <f t="shared" si="11"/>
        <v>1</v>
      </c>
    </row>
    <row r="125" spans="1:40" ht="409.6">
      <c r="A125" s="2">
        <v>160</v>
      </c>
      <c r="B125" s="2"/>
      <c r="C125" s="2" t="s">
        <v>1247</v>
      </c>
      <c r="D125" s="2" t="s">
        <v>496</v>
      </c>
      <c r="E125" s="2" t="s">
        <v>1248</v>
      </c>
      <c r="F125" s="2">
        <v>2016</v>
      </c>
      <c r="G125" s="2"/>
      <c r="H125" s="2"/>
      <c r="I125" s="2"/>
      <c r="J125" s="2" t="s">
        <v>1249</v>
      </c>
      <c r="K125" s="2"/>
      <c r="L125" s="2"/>
      <c r="M125" s="2"/>
      <c r="N125" s="2"/>
      <c r="O125" s="2"/>
      <c r="P125" s="2"/>
      <c r="Q125" s="2"/>
      <c r="R125" s="2"/>
      <c r="S125" s="2"/>
      <c r="T125" s="2"/>
      <c r="U125" s="2"/>
      <c r="V125" s="2"/>
      <c r="W125" s="2"/>
      <c r="X125" s="2"/>
      <c r="Y125" s="2" t="s">
        <v>58</v>
      </c>
      <c r="Z125" s="2" t="s">
        <v>1052</v>
      </c>
      <c r="AA125" s="2" t="s">
        <v>1416</v>
      </c>
      <c r="AB125" s="2" t="s">
        <v>1441</v>
      </c>
      <c r="AC125" s="2"/>
      <c r="AD125" s="2" t="s">
        <v>1053</v>
      </c>
      <c r="AE125" s="2" t="s">
        <v>1250</v>
      </c>
      <c r="AF125" s="2"/>
      <c r="AG125" s="2" t="s">
        <v>66</v>
      </c>
      <c r="AH125" s="2">
        <v>0.5</v>
      </c>
      <c r="AI125" s="2" t="s">
        <v>1251</v>
      </c>
      <c r="AK125">
        <f t="shared" si="12"/>
        <v>1</v>
      </c>
      <c r="AL125">
        <f t="shared" si="9"/>
        <v>0</v>
      </c>
      <c r="AM125">
        <f t="shared" si="10"/>
        <v>0</v>
      </c>
      <c r="AN125">
        <f t="shared" si="11"/>
        <v>1</v>
      </c>
    </row>
    <row r="126" spans="1:40" ht="409.6">
      <c r="A126" s="2">
        <v>161</v>
      </c>
      <c r="B126" s="2"/>
      <c r="C126" s="2" t="s">
        <v>1252</v>
      </c>
      <c r="D126" s="2" t="s">
        <v>459</v>
      </c>
      <c r="E126" s="2" t="s">
        <v>1253</v>
      </c>
      <c r="F126" s="2">
        <v>2022</v>
      </c>
      <c r="G126" s="2"/>
      <c r="H126" s="2"/>
      <c r="I126" s="2"/>
      <c r="J126" s="2" t="s">
        <v>1254</v>
      </c>
      <c r="K126" s="2"/>
      <c r="L126" s="2"/>
      <c r="M126" s="2"/>
      <c r="N126" s="2"/>
      <c r="O126" s="2"/>
      <c r="P126" s="2"/>
      <c r="Q126" s="2"/>
      <c r="R126" s="2"/>
      <c r="S126" s="2"/>
      <c r="T126" s="2"/>
      <c r="U126" s="2"/>
      <c r="V126" s="2"/>
      <c r="W126" s="2"/>
      <c r="X126" s="2"/>
      <c r="Y126" s="2" t="s">
        <v>58</v>
      </c>
      <c r="Z126" s="2" t="s">
        <v>1052</v>
      </c>
      <c r="AA126" s="2" t="s">
        <v>408</v>
      </c>
      <c r="AB126" s="2" t="s">
        <v>1255</v>
      </c>
      <c r="AC126" s="2"/>
      <c r="AD126" s="2" t="s">
        <v>1053</v>
      </c>
      <c r="AE126" s="2" t="s">
        <v>1256</v>
      </c>
      <c r="AF126" s="2" t="s">
        <v>1181</v>
      </c>
      <c r="AG126" s="2" t="s">
        <v>1257</v>
      </c>
      <c r="AH126" s="2">
        <v>1</v>
      </c>
      <c r="AI126" s="2" t="s">
        <v>1258</v>
      </c>
      <c r="AK126">
        <f t="shared" si="12"/>
        <v>1</v>
      </c>
      <c r="AL126">
        <f t="shared" si="9"/>
        <v>0</v>
      </c>
      <c r="AM126">
        <f t="shared" si="10"/>
        <v>0</v>
      </c>
      <c r="AN126">
        <f t="shared" si="11"/>
        <v>1</v>
      </c>
    </row>
  </sheetData>
  <sortState xmlns:xlrd2="http://schemas.microsoft.com/office/spreadsheetml/2017/richdata2" ref="CS3:CT8">
    <sortCondition descending="1" ref="CT3:CT8"/>
  </sortState>
  <mergeCells count="7">
    <mergeCell ref="AA95:AH95"/>
    <mergeCell ref="AA72:AH72"/>
    <mergeCell ref="AA82:AH82"/>
    <mergeCell ref="AA86:AH86"/>
    <mergeCell ref="AA87:AH87"/>
    <mergeCell ref="AA88:AH88"/>
    <mergeCell ref="AA93:AH93"/>
  </mergeCells>
  <hyperlinks>
    <hyperlink ref="L74" r:id="rId1" xr:uid="{D9E2F81E-2807-D747-80B5-9399212DB230}"/>
    <hyperlink ref="S74" r:id="rId2" xr:uid="{C9F00438-8D33-A84E-B42E-85430F053E74}"/>
    <hyperlink ref="S73" r:id="rId3" xr:uid="{2F326A5A-D129-4A4F-9B9E-44F70A69C991}"/>
    <hyperlink ref="L73" r:id="rId4" xr:uid="{90E4B8E4-52B2-6948-AC36-825D80E8F481}"/>
    <hyperlink ref="S72" r:id="rId5" xr:uid="{5EAEFB33-F97C-2B40-8302-602A6305B070}"/>
    <hyperlink ref="L72" r:id="rId6" xr:uid="{70F94221-881C-C04B-902B-53201E4F23E7}"/>
    <hyperlink ref="S71" r:id="rId7" xr:uid="{0345C24A-CF3E-D84C-80A0-4AF217652748}"/>
    <hyperlink ref="L75" r:id="rId8" xr:uid="{17210E44-A2DA-7342-B7F6-237C86C25E49}"/>
    <hyperlink ref="S75" r:id="rId9" xr:uid="{71484045-B327-9A4C-BAAF-F3611FB4D19A}"/>
    <hyperlink ref="L76" r:id="rId10" xr:uid="{6FD5A6CD-7CDA-7249-822E-5462083E9B8B}"/>
    <hyperlink ref="S76" r:id="rId11" xr:uid="{6528FC36-5343-C24A-8D82-C4EC6E7D5543}"/>
    <hyperlink ref="L77" r:id="rId12" xr:uid="{F1727B52-A140-E64E-BD40-812BB568E49D}"/>
    <hyperlink ref="S77" r:id="rId13" xr:uid="{1D6479B6-3AE8-684A-96A3-9511DCD6F4E9}"/>
    <hyperlink ref="L78" r:id="rId14" xr:uid="{B1E5E672-6237-3C4F-A636-F89D3961B3AB}"/>
    <hyperlink ref="S78" r:id="rId15" xr:uid="{90F3D487-5CEE-F045-9F70-1779EA857E46}"/>
    <hyperlink ref="L79" r:id="rId16" xr:uid="{18A72B60-7D96-A14F-A7AB-44CD4FCEFD6F}"/>
    <hyperlink ref="S79" r:id="rId17" xr:uid="{D31B44FA-D3A8-CB46-87A9-B8B1E45B9630}"/>
    <hyperlink ref="L80" r:id="rId18" xr:uid="{83077A9C-873D-5F40-9FA4-ACF00090E9B9}"/>
    <hyperlink ref="S80" r:id="rId19" xr:uid="{FA21D786-480F-0D44-B96E-E33205DB7CC9}"/>
    <hyperlink ref="L81" r:id="rId20" xr:uid="{3E2CEB50-CEC3-1243-9BF2-40C734E22861}"/>
    <hyperlink ref="S81" r:id="rId21" xr:uid="{2D4EFF58-59E9-2447-9AEB-E3D6F60A1C1C}"/>
    <hyperlink ref="AD69" r:id="rId22" xr:uid="{773738DC-C51F-6D43-93C4-064EF7FA9A56}"/>
  </hyperlinks>
  <pageMargins left="0.7" right="0.7" top="0.75" bottom="0.75" header="0.3" footer="0.3"/>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C968-CFFD-1A41-862E-46C430B19788}">
  <dimension ref="A1:E1"/>
  <sheetViews>
    <sheetView workbookViewId="0"/>
  </sheetViews>
  <sheetFormatPr baseColWidth="10" defaultRowHeight="16"/>
  <sheetData>
    <row r="1" spans="1:5">
      <c r="A1" s="32"/>
      <c r="B1" s="32"/>
      <c r="C1" s="32"/>
      <c r="D1" s="32"/>
      <c r="E1"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TROVATO</dc:creator>
  <cp:lastModifiedBy>Antonio TROVATO</cp:lastModifiedBy>
  <dcterms:created xsi:type="dcterms:W3CDTF">2025-10-26T10:38:41Z</dcterms:created>
  <dcterms:modified xsi:type="dcterms:W3CDTF">2025-10-27T22:36:23Z</dcterms:modified>
</cp:coreProperties>
</file>